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drawings/drawing13.xml" ContentType="application/vnd.openxmlformats-officedocument.drawing+xml"/>
  <Override PartName="/xl/comments14.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5.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6.xml" ContentType="application/vnd.openxmlformats-officedocument.spreadsheetml.comments+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ims.gov.uk\HomeDrive\Users\MBytheway\Data\Desktop\"/>
    </mc:Choice>
  </mc:AlternateContent>
  <xr:revisionPtr revIDLastSave="0" documentId="13_ncr:1_{B9FD9C76-7A2C-42AD-9DC0-10407AFC886C}" xr6:coauthVersionLast="45" xr6:coauthVersionMax="45" xr10:uidLastSave="{00000000-0000-0000-0000-000000000000}"/>
  <bookViews>
    <workbookView xWindow="-120" yWindow="-120" windowWidth="23280" windowHeight="15000" tabRatio="794" firstSheet="3" activeTab="4" xr2:uid="{00000000-000D-0000-FFFF-FFFF00000000}"/>
  </bookViews>
  <sheets>
    <sheet name="Version control" sheetId="1" state="hidden"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state="hidden" r:id="rId8"/>
    <sheet name="SPC Chart" sheetId="7" r:id="rId9"/>
    <sheet name="SPC background (hide)" sheetId="12" state="hidden" r:id="rId10"/>
    <sheet name="Planned" sheetId="14" r:id="rId11"/>
    <sheet name="Planned background (hide)" sheetId="15" state="hidden" r:id="rId12"/>
    <sheet name="Planned SPC" sheetId="21" r:id="rId13"/>
    <sheet name="Capacity" sheetId="20" r:id="rId14"/>
    <sheet name="Critical resources" sheetId="22" r:id="rId15"/>
    <sheet name="Capacity setup" sheetId="32" r:id="rId16"/>
    <sheet name="Capacity summary" sheetId="24" r:id="rId17"/>
    <sheet name="Critical resources (hide)" sheetId="30" state="hidden" r:id="rId18"/>
    <sheet name="Parameters" sheetId="11" r:id="rId19"/>
    <sheet name="Parameters calculator" sheetId="25" state="hidden" r:id="rId20"/>
    <sheet name="Parameters calculator (hide)" sheetId="26" state="hidden" r:id="rId21"/>
    <sheet name="Capacity Scenario (hide)" sheetId="42" state="hidden" r:id="rId22"/>
    <sheet name="Pathway" sheetId="28" r:id="rId23"/>
    <sheet name="Summary" sheetId="18" r:id="rId24"/>
    <sheet name="Lock (hide)" sheetId="27" state="hidden" r:id="rId25"/>
    <sheet name="Capacity calculation (hide)" sheetId="31"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 i="18" l="1"/>
  <c r="I1" i="31"/>
  <c r="P4" i="18" l="1"/>
  <c r="N4" i="18"/>
  <c r="L4" i="18"/>
  <c r="J4" i="18"/>
  <c r="H4" i="18"/>
  <c r="G4" i="18"/>
  <c r="A2" i="17" l="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1"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A15" i="17" s="1"/>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B4" i="36" s="1"/>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A6" i="36" l="1"/>
  <c r="B5" i="36"/>
  <c r="DN30" i="6"/>
  <c r="DM29" i="6"/>
  <c r="A7" i="36" l="1"/>
  <c r="B6" i="36"/>
  <c r="DN31" i="6"/>
  <c r="DM30" i="6"/>
  <c r="B38" i="18"/>
  <c r="A8" i="36" l="1"/>
  <c r="B7" i="36"/>
  <c r="DN32" i="6"/>
  <c r="DM31" i="6"/>
  <c r="A9" i="36" l="1"/>
  <c r="B8" i="36"/>
  <c r="DN33" i="6"/>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A10" i="36" l="1"/>
  <c r="B9" i="36"/>
  <c r="DN34" i="6"/>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11" i="36" l="1"/>
  <c r="B10" i="36"/>
  <c r="DN35" i="6"/>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A12" i="36" l="1"/>
  <c r="B11" i="36"/>
  <c r="DN36" i="6"/>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A13" i="36" l="1"/>
  <c r="B12" i="36"/>
  <c r="DN37" i="6"/>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A14" i="36" l="1"/>
  <c r="B13" i="36"/>
  <c r="DN38" i="6"/>
  <c r="DM37" i="6"/>
  <c r="BK3" i="31"/>
  <c r="BK1" i="31" s="1"/>
  <c r="E6" i="30"/>
  <c r="D6" i="30"/>
  <c r="B7" i="30"/>
  <c r="A7" i="30" s="1"/>
  <c r="A15" i="36" l="1"/>
  <c r="B14" i="36"/>
  <c r="DN39" i="6"/>
  <c r="DM38" i="6"/>
  <c r="F7" i="30"/>
  <c r="BL3" i="31" s="1"/>
  <c r="BL1"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BL110" i="31" l="1"/>
  <c r="A16" i="36"/>
  <c r="B15" i="36"/>
  <c r="DN40" i="6"/>
  <c r="DM39" i="6"/>
  <c r="F8" i="30"/>
  <c r="BM3" i="31" s="1"/>
  <c r="BM1" i="31" s="1"/>
  <c r="A8" i="30"/>
  <c r="D8" i="30"/>
  <c r="E8" i="30"/>
  <c r="B9" i="30"/>
  <c r="A9" i="30" s="1"/>
  <c r="A11" i="22"/>
  <c r="G65" i="26"/>
  <c r="R12" i="17"/>
  <c r="H13" i="39"/>
  <c r="BM110" i="31" l="1"/>
  <c r="A17" i="36"/>
  <c r="B16" i="36"/>
  <c r="BE211" i="3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 i="31" s="1"/>
  <c r="A16" i="17"/>
  <c r="D15" i="17"/>
  <c r="J15" i="17" s="1"/>
  <c r="D9" i="30"/>
  <c r="E9" i="30"/>
  <c r="B10" i="30"/>
  <c r="A10" i="30" s="1"/>
  <c r="C15" i="17"/>
  <c r="J13" i="39" s="1"/>
  <c r="B15" i="17"/>
  <c r="I13" i="39" s="1"/>
  <c r="A56" i="26"/>
  <c r="A55" i="26"/>
  <c r="A57" i="26"/>
  <c r="E4" i="17"/>
  <c r="A69" i="26"/>
  <c r="A70" i="26"/>
  <c r="A71" i="26"/>
  <c r="A72" i="26"/>
  <c r="A73" i="26"/>
  <c r="A74" i="26"/>
  <c r="A75" i="26"/>
  <c r="A76" i="26"/>
  <c r="A77" i="26"/>
  <c r="A68" i="26"/>
  <c r="H14" i="39" l="1"/>
  <c r="BN110" i="31"/>
  <c r="A18" i="36"/>
  <c r="B17" i="36"/>
  <c r="DN42" i="6"/>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 i="31" s="1"/>
  <c r="K13" i="39"/>
  <c r="A17" i="17"/>
  <c r="D16" i="17"/>
  <c r="D10" i="30"/>
  <c r="E10" i="30"/>
  <c r="B11" i="30"/>
  <c r="C55" i="26"/>
  <c r="C56" i="26"/>
  <c r="C57" i="26"/>
  <c r="B55" i="26"/>
  <c r="L55" i="26" s="1"/>
  <c r="B56" i="26"/>
  <c r="L56" i="26" s="1"/>
  <c r="B57" i="26"/>
  <c r="L57" i="26" s="1"/>
  <c r="A8" i="28"/>
  <c r="A7" i="28"/>
  <c r="A6" i="28"/>
  <c r="C20" i="25"/>
  <c r="K14" i="39" l="1"/>
  <c r="H15" i="39"/>
  <c r="BO110" i="31"/>
  <c r="A19" i="36"/>
  <c r="B18" i="36"/>
  <c r="DN43" i="6"/>
  <c r="DM42" i="6"/>
  <c r="F11" i="30"/>
  <c r="BP3" i="31" s="1"/>
  <c r="BP1" i="31" s="1"/>
  <c r="A11" i="30"/>
  <c r="M55" i="26"/>
  <c r="A18" i="17"/>
  <c r="D17" i="17"/>
  <c r="J17" i="17" s="1"/>
  <c r="B17" i="17"/>
  <c r="I15" i="39" s="1"/>
  <c r="C17" i="17"/>
  <c r="J15" i="39" s="1"/>
  <c r="M56" i="26"/>
  <c r="M57" i="26"/>
  <c r="D11" i="30"/>
  <c r="E11" i="30"/>
  <c r="B12" i="30"/>
  <c r="A12" i="30" s="1"/>
  <c r="A27" i="11"/>
  <c r="A10" i="11"/>
  <c r="H16" i="39" l="1"/>
  <c r="BP110" i="31"/>
  <c r="A20" i="36"/>
  <c r="B19" i="36"/>
  <c r="DN44" i="6"/>
  <c r="DM43" i="6"/>
  <c r="F12" i="30"/>
  <c r="BQ3" i="31" s="1"/>
  <c r="BQ1" i="31" s="1"/>
  <c r="K15" i="39"/>
  <c r="A19" i="17"/>
  <c r="D18" i="17"/>
  <c r="B18" i="17"/>
  <c r="I16" i="39" s="1"/>
  <c r="C18" i="17"/>
  <c r="J16" i="39" s="1"/>
  <c r="D12" i="30"/>
  <c r="E12" i="30"/>
  <c r="B13" i="30"/>
  <c r="B6" i="26"/>
  <c r="B7" i="26"/>
  <c r="B8" i="26"/>
  <c r="B9" i="26"/>
  <c r="B10" i="26"/>
  <c r="B11" i="26"/>
  <c r="B12" i="26"/>
  <c r="B13" i="26"/>
  <c r="B14" i="26"/>
  <c r="B5" i="26"/>
  <c r="H17" i="39" l="1"/>
  <c r="BQ110" i="31"/>
  <c r="A21" i="36"/>
  <c r="B20" i="36"/>
  <c r="DN45" i="6"/>
  <c r="DM44" i="6"/>
  <c r="F13" i="30"/>
  <c r="BR3" i="31" s="1"/>
  <c r="BR1" i="31" s="1"/>
  <c r="A13" i="30"/>
  <c r="K16" i="39"/>
  <c r="A20" i="17"/>
  <c r="D19" i="17"/>
  <c r="J19" i="17" s="1"/>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H18" i="39" l="1"/>
  <c r="BR110" i="31"/>
  <c r="A22" i="36"/>
  <c r="B21" i="36"/>
  <c r="DN46" i="6"/>
  <c r="DM45" i="6"/>
  <c r="F14" i="30"/>
  <c r="BS3" i="31" s="1"/>
  <c r="BS1" i="31" s="1"/>
  <c r="A14" i="30"/>
  <c r="K17" i="39"/>
  <c r="A21" i="17"/>
  <c r="D20" i="17"/>
  <c r="B20" i="17"/>
  <c r="I18" i="39" s="1"/>
  <c r="C20" i="17"/>
  <c r="J18" i="39" s="1"/>
  <c r="D14" i="30"/>
  <c r="E14" i="30"/>
  <c r="B15" i="30"/>
  <c r="A15" i="30" s="1"/>
  <c r="H19" i="39" l="1"/>
  <c r="BS110" i="31"/>
  <c r="A23" i="36"/>
  <c r="B22" i="36"/>
  <c r="DN47" i="6"/>
  <c r="DM46" i="6"/>
  <c r="K18" i="39"/>
  <c r="F15" i="30"/>
  <c r="BT3" i="31" s="1"/>
  <c r="BT1" i="31" s="1"/>
  <c r="A22" i="17"/>
  <c r="D21" i="17"/>
  <c r="C21" i="17"/>
  <c r="J19" i="39" s="1"/>
  <c r="B21" i="17"/>
  <c r="I19" i="39" s="1"/>
  <c r="D15" i="30"/>
  <c r="E15" i="30"/>
  <c r="B16" i="30"/>
  <c r="A16" i="30" s="1"/>
  <c r="K19" i="39" l="1"/>
  <c r="H20" i="39"/>
  <c r="BT110" i="31"/>
  <c r="A24" i="36"/>
  <c r="B23" i="36"/>
  <c r="DN48" i="6"/>
  <c r="DM47" i="6"/>
  <c r="F16" i="30"/>
  <c r="BU3" i="31" s="1"/>
  <c r="BU1" i="31" s="1"/>
  <c r="A23" i="17"/>
  <c r="D22" i="17"/>
  <c r="J22" i="17"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K20" i="39" l="1"/>
  <c r="H21" i="39"/>
  <c r="BU110" i="31"/>
  <c r="A25" i="36"/>
  <c r="B24" i="36"/>
  <c r="DN49" i="6"/>
  <c r="DM48" i="6"/>
  <c r="F17" i="30"/>
  <c r="BV3" i="31" s="1"/>
  <c r="BV1" i="31" s="1"/>
  <c r="A24" i="17"/>
  <c r="D23" i="17"/>
  <c r="C23" i="17"/>
  <c r="J21" i="39" s="1"/>
  <c r="B23" i="17"/>
  <c r="I21" i="39" s="1"/>
  <c r="D17" i="30"/>
  <c r="E17" i="30"/>
  <c r="B18" i="30"/>
  <c r="A18" i="30" s="1"/>
  <c r="H22" i="39" l="1"/>
  <c r="BV110" i="31"/>
  <c r="A26" i="36"/>
  <c r="B25" i="36"/>
  <c r="K21" i="39"/>
  <c r="DN50" i="6"/>
  <c r="DM49" i="6"/>
  <c r="F18" i="30"/>
  <c r="BW3" i="31" s="1"/>
  <c r="BW1" i="31" s="1"/>
  <c r="A25" i="17"/>
  <c r="D24" i="17"/>
  <c r="C24" i="17"/>
  <c r="J22" i="39" s="1"/>
  <c r="B24" i="17"/>
  <c r="I22" i="39" s="1"/>
  <c r="D18" i="30"/>
  <c r="E18" i="30"/>
  <c r="B19" i="30"/>
  <c r="A19" i="30" s="1"/>
  <c r="H23" i="39" l="1"/>
  <c r="BW110" i="31"/>
  <c r="A27" i="36"/>
  <c r="B26" i="36"/>
  <c r="K22" i="39"/>
  <c r="DN51" i="6"/>
  <c r="DM50" i="6"/>
  <c r="F19" i="30"/>
  <c r="BX3" i="31" s="1"/>
  <c r="BX1" i="31" s="1"/>
  <c r="A26" i="17"/>
  <c r="D25" i="17"/>
  <c r="C25" i="17"/>
  <c r="J23" i="39" s="1"/>
  <c r="B25" i="17"/>
  <c r="I23" i="39" s="1"/>
  <c r="M16" i="20"/>
  <c r="D19" i="30"/>
  <c r="E19" i="30"/>
  <c r="B20" i="30"/>
  <c r="A20" i="30" s="1"/>
  <c r="H24" i="39" l="1"/>
  <c r="BX110" i="31"/>
  <c r="A28" i="36"/>
  <c r="B27" i="36"/>
  <c r="K23" i="39"/>
  <c r="DN52" i="6"/>
  <c r="DM51" i="6"/>
  <c r="F20" i="30"/>
  <c r="BY3" i="31" s="1"/>
  <c r="BY1"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D26" i="17"/>
  <c r="J26" i="17" s="1"/>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25" i="39" l="1"/>
  <c r="H118" i="32"/>
  <c r="T15" i="20"/>
  <c r="BY110" i="31"/>
  <c r="A29" i="36"/>
  <c r="B28" i="36"/>
  <c r="H205" i="32"/>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BI193" i="31"/>
  <c r="BI129" i="31"/>
  <c r="BI184" i="31"/>
  <c r="BI120" i="31"/>
  <c r="BI204" i="31"/>
  <c r="BI140" i="31"/>
  <c r="H177" i="32"/>
  <c r="H174" i="32"/>
  <c r="H161" i="32"/>
  <c r="H140" i="32"/>
  <c r="H175" i="32"/>
  <c r="BI130" i="31"/>
  <c r="BI123" i="31"/>
  <c r="BI206" i="31"/>
  <c r="BI142" i="31"/>
  <c r="BI176" i="31"/>
  <c r="BI197" i="31"/>
  <c r="BI196" i="31"/>
  <c r="BI132" i="31"/>
  <c r="H165" i="32"/>
  <c r="H208" i="32"/>
  <c r="H136" i="32"/>
  <c r="H171" i="32"/>
  <c r="H210" i="32"/>
  <c r="H146" i="32"/>
  <c r="H200" i="32"/>
  <c r="H197" i="32"/>
  <c r="H145" i="32"/>
  <c r="H194" i="32"/>
  <c r="H162" i="32"/>
  <c r="H130" i="32"/>
  <c r="H149" i="32"/>
  <c r="H196" i="32"/>
  <c r="H164" i="32"/>
  <c r="H132" i="32"/>
  <c r="H169" i="32"/>
  <c r="H199" i="32"/>
  <c r="H167" i="32"/>
  <c r="H135" i="32"/>
  <c r="BI210" i="31"/>
  <c r="BK210" i="31" s="1"/>
  <c r="BI122" i="31"/>
  <c r="BK122" i="31" s="1"/>
  <c r="BI115" i="31"/>
  <c r="BK115" i="31" s="1"/>
  <c r="BI177" i="31"/>
  <c r="BK177" i="31" s="1"/>
  <c r="BI203" i="31"/>
  <c r="BI167" i="31"/>
  <c r="BK167" i="31" s="1"/>
  <c r="BI198" i="31"/>
  <c r="BI134" i="31"/>
  <c r="BK134" i="31" s="1"/>
  <c r="BI168" i="31"/>
  <c r="BK168" i="31" s="1"/>
  <c r="BI189" i="31"/>
  <c r="BK189" i="31" s="1"/>
  <c r="BI195" i="31"/>
  <c r="BK195" i="31" s="1"/>
  <c r="BI188" i="31"/>
  <c r="BK188" i="31" s="1"/>
  <c r="BI124" i="31"/>
  <c r="G121" i="32"/>
  <c r="J121" i="32" s="1"/>
  <c r="G135" i="32"/>
  <c r="J135" i="32" s="1"/>
  <c r="G209" i="32"/>
  <c r="J209" i="32" s="1"/>
  <c r="BI175" i="31"/>
  <c r="BK175" i="31" s="1"/>
  <c r="BI117" i="31"/>
  <c r="BK117" i="31" s="1"/>
  <c r="H133" i="32"/>
  <c r="H137" i="32"/>
  <c r="H192" i="32"/>
  <c r="H160" i="32"/>
  <c r="H128" i="32"/>
  <c r="H153" i="32"/>
  <c r="H195" i="32"/>
  <c r="H163" i="32"/>
  <c r="H131" i="32"/>
  <c r="BI194" i="31"/>
  <c r="BK194" i="31" s="1"/>
  <c r="BI202" i="31"/>
  <c r="BI169" i="31"/>
  <c r="BI179" i="31"/>
  <c r="BI159" i="31"/>
  <c r="BK159" i="31" s="1"/>
  <c r="BI190" i="31"/>
  <c r="BK190" i="31" s="1"/>
  <c r="BI126" i="31"/>
  <c r="BK126" i="31" s="1"/>
  <c r="BI160" i="31"/>
  <c r="BK160" i="31" s="1"/>
  <c r="BI173" i="31"/>
  <c r="BK173" i="31" s="1"/>
  <c r="BI171" i="31"/>
  <c r="BI180" i="31"/>
  <c r="BI116" i="31"/>
  <c r="G126" i="32"/>
  <c r="J126" i="32" s="1"/>
  <c r="G194" i="32"/>
  <c r="J194" i="32" s="1"/>
  <c r="G203" i="32"/>
  <c r="J203" i="32" s="1"/>
  <c r="G177" i="32"/>
  <c r="J177" i="32" s="1"/>
  <c r="H166" i="32"/>
  <c r="H134" i="32"/>
  <c r="BI121" i="31"/>
  <c r="H213" i="32"/>
  <c r="H125" i="32"/>
  <c r="H186" i="32"/>
  <c r="H154" i="32"/>
  <c r="H122" i="32"/>
  <c r="H121" i="32"/>
  <c r="H188" i="32"/>
  <c r="H156" i="32"/>
  <c r="H124" i="32"/>
  <c r="H141" i="32"/>
  <c r="H191" i="32"/>
  <c r="H159" i="32"/>
  <c r="H127" i="32"/>
  <c r="BI178" i="31"/>
  <c r="BK178" i="31" s="1"/>
  <c r="BI211" i="31"/>
  <c r="BK211" i="31" s="1"/>
  <c r="BI186" i="31"/>
  <c r="BK186" i="31" s="1"/>
  <c r="BI161" i="31"/>
  <c r="BK161" i="31" s="1"/>
  <c r="BI139" i="31"/>
  <c r="BK139" i="31" s="1"/>
  <c r="BI151" i="31"/>
  <c r="BK151" i="31" s="1"/>
  <c r="BI182" i="31"/>
  <c r="BK182" i="31" s="1"/>
  <c r="BI118" i="31"/>
  <c r="BK118" i="31" s="1"/>
  <c r="BI152" i="31"/>
  <c r="BK152" i="31" s="1"/>
  <c r="BI165" i="31"/>
  <c r="BK165" i="31" s="1"/>
  <c r="BI131" i="31"/>
  <c r="BK131" i="31" s="1"/>
  <c r="BI172" i="31"/>
  <c r="BK172" i="31" s="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K170" i="31" s="1"/>
  <c r="BI187" i="31"/>
  <c r="BK187" i="31" s="1"/>
  <c r="BI162" i="31"/>
  <c r="BK162" i="31" s="1"/>
  <c r="BI153" i="31"/>
  <c r="BI207" i="31"/>
  <c r="BK207" i="31" s="1"/>
  <c r="BI143" i="31"/>
  <c r="BK143" i="31" s="1"/>
  <c r="BI174" i="31"/>
  <c r="BK174" i="31" s="1"/>
  <c r="BI208" i="31"/>
  <c r="BK208" i="31" s="1"/>
  <c r="BI144" i="31"/>
  <c r="BK144" i="31" s="1"/>
  <c r="BI157" i="31"/>
  <c r="BI205" i="31"/>
  <c r="BK205" i="31" s="1"/>
  <c r="BI164" i="31"/>
  <c r="BK164" i="31" s="1"/>
  <c r="G174" i="32"/>
  <c r="J174" i="32" s="1"/>
  <c r="G138" i="32"/>
  <c r="J138" i="32" s="1"/>
  <c r="G190" i="32"/>
  <c r="J190" i="32" s="1"/>
  <c r="G123" i="32"/>
  <c r="J123" i="32" s="1"/>
  <c r="G208" i="32"/>
  <c r="J208" i="32" s="1"/>
  <c r="H198" i="32"/>
  <c r="BI185" i="31"/>
  <c r="BK185" i="31" s="1"/>
  <c r="H189" i="32"/>
  <c r="H193" i="32"/>
  <c r="H212" i="32"/>
  <c r="H180" i="32"/>
  <c r="H148" i="32"/>
  <c r="H217" i="32"/>
  <c r="H215" i="32"/>
  <c r="H183" i="32"/>
  <c r="H151" i="32"/>
  <c r="BI154" i="31"/>
  <c r="BK154" i="31" s="1"/>
  <c r="BI163" i="31"/>
  <c r="BK163" i="31" s="1"/>
  <c r="BI209" i="31"/>
  <c r="BK209" i="31" s="1"/>
  <c r="BI145" i="31"/>
  <c r="BK145" i="31" s="1"/>
  <c r="BI199" i="31"/>
  <c r="BK199" i="31" s="1"/>
  <c r="BI135" i="31"/>
  <c r="BK135" i="31" s="1"/>
  <c r="BI166" i="31"/>
  <c r="BK166" i="31" s="1"/>
  <c r="BI200" i="31"/>
  <c r="BK200" i="31" s="1"/>
  <c r="BI136" i="31"/>
  <c r="BK136" i="31" s="1"/>
  <c r="BI141" i="31"/>
  <c r="BK141" i="31" s="1"/>
  <c r="BI181" i="31"/>
  <c r="BK181" i="31" s="1"/>
  <c r="BI156" i="31"/>
  <c r="BK156" i="31" s="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K146" i="31" s="1"/>
  <c r="BI155" i="31"/>
  <c r="BK155" i="31" s="1"/>
  <c r="BI201" i="31"/>
  <c r="BK201" i="31" s="1"/>
  <c r="BI137" i="31"/>
  <c r="BK137" i="31" s="1"/>
  <c r="BI191" i="31"/>
  <c r="BK191" i="31" s="1"/>
  <c r="BI127" i="31"/>
  <c r="BK127" i="31" s="1"/>
  <c r="BI158" i="31"/>
  <c r="BK158" i="31" s="1"/>
  <c r="BI192" i="31"/>
  <c r="BK192" i="31" s="1"/>
  <c r="BI128" i="31"/>
  <c r="BK128" i="31" s="1"/>
  <c r="BI133" i="31"/>
  <c r="BK133" i="31" s="1"/>
  <c r="BI149" i="31"/>
  <c r="BK149" i="31" s="1"/>
  <c r="BI148" i="31"/>
  <c r="BK148" i="31" s="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K147" i="31" s="1"/>
  <c r="BI183" i="31"/>
  <c r="BK183" i="31" s="1"/>
  <c r="BI119" i="31"/>
  <c r="BK119" i="31" s="1"/>
  <c r="BI150" i="31"/>
  <c r="BK150" i="31" s="1"/>
  <c r="BI125" i="31"/>
  <c r="BK125" i="31" s="1"/>
  <c r="G181" i="32"/>
  <c r="J181" i="32" s="1"/>
  <c r="G210" i="32"/>
  <c r="J210" i="32" s="1"/>
  <c r="BI114" i="31"/>
  <c r="F21" i="30"/>
  <c r="BZ3" i="31" s="1"/>
  <c r="BZ1" i="31" s="1"/>
  <c r="J197" i="32"/>
  <c r="A28" i="17"/>
  <c r="D27" i="17"/>
  <c r="J27" i="17" s="1"/>
  <c r="C27" i="17"/>
  <c r="J25" i="39" s="1"/>
  <c r="B27" i="17"/>
  <c r="I25" i="39" s="1"/>
  <c r="H119" i="32"/>
  <c r="J153" i="32"/>
  <c r="J188" i="32"/>
  <c r="J127" i="32"/>
  <c r="J160" i="32"/>
  <c r="J143" i="32"/>
  <c r="U17" i="20"/>
  <c r="U15" i="20" s="1"/>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F26" i="24" l="1"/>
  <c r="BK114" i="31"/>
  <c r="F69" i="24"/>
  <c r="BK157" i="31"/>
  <c r="F83" i="24"/>
  <c r="BK171" i="31"/>
  <c r="F114" i="24"/>
  <c r="BK202" i="31"/>
  <c r="F36" i="24"/>
  <c r="BK124" i="31"/>
  <c r="F115" i="24"/>
  <c r="BK203" i="31"/>
  <c r="BW130" i="31"/>
  <c r="BK130" i="31"/>
  <c r="DE120" i="31"/>
  <c r="BK120" i="31"/>
  <c r="CV140" i="31"/>
  <c r="BK140" i="31"/>
  <c r="F33" i="24"/>
  <c r="BK121" i="31"/>
  <c r="DJ132" i="31"/>
  <c r="DK132" i="31" s="1"/>
  <c r="BK132" i="31"/>
  <c r="BW184" i="31"/>
  <c r="BK184" i="31"/>
  <c r="F65" i="24"/>
  <c r="BK153" i="31"/>
  <c r="F91" i="24"/>
  <c r="BK179" i="31"/>
  <c r="BP206" i="31"/>
  <c r="BK206" i="31"/>
  <c r="F81" i="24"/>
  <c r="BK169" i="31"/>
  <c r="CO196" i="31"/>
  <c r="BK196" i="31"/>
  <c r="CR129" i="31"/>
  <c r="BK129" i="31"/>
  <c r="DF123" i="31"/>
  <c r="BK123" i="31"/>
  <c r="BL197" i="31"/>
  <c r="BK197" i="31"/>
  <c r="BX193" i="31"/>
  <c r="BK193" i="31"/>
  <c r="BZ204" i="31"/>
  <c r="BK204" i="31"/>
  <c r="CG176" i="31"/>
  <c r="BK176" i="31"/>
  <c r="DC138" i="31"/>
  <c r="BK138" i="31"/>
  <c r="F28" i="24"/>
  <c r="BK116" i="31"/>
  <c r="F110" i="24"/>
  <c r="BK198" i="31"/>
  <c r="F92" i="24"/>
  <c r="BK180" i="31"/>
  <c r="CL142" i="31"/>
  <c r="BK142" i="31"/>
  <c r="H26" i="39"/>
  <c r="BZ110" i="31"/>
  <c r="A30" i="36"/>
  <c r="B29" i="36"/>
  <c r="CL196" i="31"/>
  <c r="CZ142" i="31"/>
  <c r="BL206" i="31"/>
  <c r="DG193" i="31"/>
  <c r="F50" i="24"/>
  <c r="CM197" i="31"/>
  <c r="BP193" i="31"/>
  <c r="CT196" i="31"/>
  <c r="CY197" i="31"/>
  <c r="F109" i="24"/>
  <c r="CH197" i="31"/>
  <c r="F118" i="24"/>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DK142" i="31" s="1"/>
  <c r="CK142" i="31"/>
  <c r="CP132" i="31"/>
  <c r="CC196" i="31"/>
  <c r="BM142" i="31"/>
  <c r="CN142" i="31"/>
  <c r="BS142" i="31"/>
  <c r="CT206" i="31"/>
  <c r="BO206" i="31"/>
  <c r="BY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DK140" i="31" s="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T140" i="31"/>
  <c r="CC140" i="31"/>
  <c r="CN140" i="31"/>
  <c r="DD196" i="31"/>
  <c r="DC196" i="31"/>
  <c r="CC142" i="31"/>
  <c r="BW142" i="31"/>
  <c r="CH142" i="31"/>
  <c r="DB142" i="31"/>
  <c r="BN206" i="31"/>
  <c r="DJ206" i="31"/>
  <c r="DK206" i="31" s="1"/>
  <c r="CP206" i="31"/>
  <c r="CY206" i="31"/>
  <c r="DH206" i="31"/>
  <c r="CD140" i="31"/>
  <c r="CL140" i="31"/>
  <c r="CT140" i="31"/>
  <c r="BS140" i="31"/>
  <c r="CB140" i="31"/>
  <c r="CK140" i="31"/>
  <c r="DA142" i="31"/>
  <c r="CF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DK196" i="31" s="1"/>
  <c r="BY196" i="31"/>
  <c r="DJ197" i="31"/>
  <c r="DK197" i="31" s="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DK129" i="31" s="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CR132" i="31"/>
  <c r="DA132" i="31"/>
  <c r="CE123" i="31"/>
  <c r="DF130" i="31"/>
  <c r="DI204" i="31"/>
  <c r="CB120" i="31"/>
  <c r="CG184" i="31"/>
  <c r="BZ184" i="31"/>
  <c r="BO184" i="31"/>
  <c r="CL132" i="31"/>
  <c r="BN132" i="31"/>
  <c r="CN132" i="31"/>
  <c r="DE132" i="31"/>
  <c r="BS132" i="31"/>
  <c r="CZ132" i="31"/>
  <c r="DI132" i="31"/>
  <c r="CV123"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DK120" i="31" s="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CN120" i="31"/>
  <c r="CV120" i="31"/>
  <c r="CZ120" i="31"/>
  <c r="DI120" i="31"/>
  <c r="BO120" i="31"/>
  <c r="CG120" i="31"/>
  <c r="F116" i="24"/>
  <c r="CB123" i="31"/>
  <c r="DE123" i="31"/>
  <c r="CM123" i="31"/>
  <c r="CY204" i="31"/>
  <c r="BY204" i="31"/>
  <c r="CP204" i="31"/>
  <c r="BY123" i="31"/>
  <c r="CZ123" i="31"/>
  <c r="BS123" i="31"/>
  <c r="DA123" i="31"/>
  <c r="DJ123" i="31"/>
  <c r="DK123" i="31" s="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DG204" i="31"/>
  <c r="CJ204" i="31"/>
  <c r="CS204" i="31"/>
  <c r="DB204" i="31"/>
  <c r="BR204" i="31"/>
  <c r="DD120" i="31"/>
  <c r="BS120" i="31"/>
  <c r="CX120" i="31"/>
  <c r="BM120" i="31"/>
  <c r="BV120" i="31"/>
  <c r="CE120" i="31"/>
  <c r="CW120" i="31"/>
  <c r="BZ138" i="31"/>
  <c r="CA123" i="31"/>
  <c r="BL123" i="31"/>
  <c r="DH123" i="31"/>
  <c r="BN123" i="31"/>
  <c r="BW123" i="31"/>
  <c r="CN123" i="31"/>
  <c r="DJ130" i="31"/>
  <c r="DK130" i="31" s="1"/>
  <c r="CD130" i="31"/>
  <c r="CX130" i="31"/>
  <c r="DG130" i="31"/>
  <c r="BM130" i="31"/>
  <c r="CG204" i="31"/>
  <c r="BS204" i="31"/>
  <c r="CR204" i="31"/>
  <c r="DA204" i="31"/>
  <c r="DJ204" i="31"/>
  <c r="DK204" i="31" s="1"/>
  <c r="BP120" i="31"/>
  <c r="CP120" i="31"/>
  <c r="BL120" i="31"/>
  <c r="BU120" i="31"/>
  <c r="CD120" i="31"/>
  <c r="CM120" i="31"/>
  <c r="CC138" i="31"/>
  <c r="K25" i="39"/>
  <c r="DN54" i="6"/>
  <c r="DM53" i="6"/>
  <c r="CN176" i="31"/>
  <c r="CH176" i="31"/>
  <c r="BT176" i="31"/>
  <c r="CC176" i="31"/>
  <c r="CL176" i="31"/>
  <c r="CW176" i="31"/>
  <c r="CS184" i="31"/>
  <c r="CD184" i="31"/>
  <c r="BN184" i="31"/>
  <c r="CX184" i="31"/>
  <c r="DE184" i="31"/>
  <c r="CL184" i="31"/>
  <c r="CU184" i="31"/>
  <c r="BQ193" i="31"/>
  <c r="BO193" i="31"/>
  <c r="BT193" i="31"/>
  <c r="CC193" i="31"/>
  <c r="CL193" i="31"/>
  <c r="CV193" i="31"/>
  <c r="CS138" i="31"/>
  <c r="CW138" i="31"/>
  <c r="CN138" i="31"/>
  <c r="CP138" i="31"/>
  <c r="DH138" i="31"/>
  <c r="BW138" i="31"/>
  <c r="CV176" i="31"/>
  <c r="BP176" i="31"/>
  <c r="BS176" i="31"/>
  <c r="CB176" i="31"/>
  <c r="CK176" i="31"/>
  <c r="CT176" i="31"/>
  <c r="DE176" i="31"/>
  <c r="CO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P138" i="31"/>
  <c r="BL138" i="31"/>
  <c r="BV138" i="31"/>
  <c r="CM138" i="31"/>
  <c r="CX176" i="31"/>
  <c r="DF176" i="31"/>
  <c r="CI176" i="31"/>
  <c r="CR176" i="31"/>
  <c r="DA176" i="31"/>
  <c r="DJ176" i="31"/>
  <c r="DK176" i="31" s="1"/>
  <c r="DA184" i="31"/>
  <c r="BM184" i="31"/>
  <c r="CW184" i="31"/>
  <c r="CN184" i="31"/>
  <c r="CB184" i="31"/>
  <c r="DJ184" i="31"/>
  <c r="DK184" i="31" s="1"/>
  <c r="DE193" i="31"/>
  <c r="CP193" i="31"/>
  <c r="CI193" i="31"/>
  <c r="CR193" i="31"/>
  <c r="DA193" i="31"/>
  <c r="DJ193" i="31"/>
  <c r="DK193" i="31" s="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DK138" i="31" s="1"/>
  <c r="CT138" i="31"/>
  <c r="DE143" i="31"/>
  <c r="CW143" i="31"/>
  <c r="CO143" i="31"/>
  <c r="CG143" i="31"/>
  <c r="BY143" i="31"/>
  <c r="BQ143" i="31"/>
  <c r="DJ143" i="31"/>
  <c r="DK143" i="31" s="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DE168" i="31"/>
  <c r="CW168" i="31"/>
  <c r="CO168" i="31"/>
  <c r="CG168" i="31"/>
  <c r="BY168" i="31"/>
  <c r="BQ168" i="31"/>
  <c r="CX168" i="31"/>
  <c r="CL168" i="31"/>
  <c r="BX168" i="31"/>
  <c r="BM168" i="31"/>
  <c r="DJ168" i="31"/>
  <c r="DK168" i="31" s="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K133" i="31" s="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CH133" i="31"/>
  <c r="BZ133" i="31"/>
  <c r="BR133" i="31"/>
  <c r="CP133" i="31"/>
  <c r="DF133" i="31"/>
  <c r="CX133" i="31"/>
  <c r="DG149" i="31"/>
  <c r="CY149" i="31"/>
  <c r="CQ149" i="31"/>
  <c r="CI149" i="31"/>
  <c r="CA149" i="31"/>
  <c r="BS149" i="31"/>
  <c r="DD149" i="31"/>
  <c r="CV149" i="31"/>
  <c r="CN149" i="31"/>
  <c r="CF149" i="31"/>
  <c r="BX149" i="31"/>
  <c r="BP149" i="31"/>
  <c r="DC149" i="31"/>
  <c r="CU149" i="31"/>
  <c r="CM149" i="31"/>
  <c r="CE149" i="31"/>
  <c r="BW149" i="31"/>
  <c r="BO149" i="31"/>
  <c r="DJ149" i="31"/>
  <c r="DK149" i="31" s="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K175" i="31" s="1"/>
  <c r="DB175" i="31"/>
  <c r="CT175" i="31"/>
  <c r="CL175" i="31"/>
  <c r="CD175" i="31"/>
  <c r="BV175" i="31"/>
  <c r="BN175" i="31"/>
  <c r="DG175" i="31"/>
  <c r="CY175" i="31"/>
  <c r="CQ175" i="31"/>
  <c r="CI175" i="31"/>
  <c r="CA175" i="31"/>
  <c r="BS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CY159" i="31"/>
  <c r="CB159" i="31"/>
  <c r="CT159" i="31"/>
  <c r="CA159" i="31"/>
  <c r="CR159" i="31"/>
  <c r="BV159" i="31"/>
  <c r="DJ159" i="31"/>
  <c r="DK159" i="31" s="1"/>
  <c r="CQ159" i="31"/>
  <c r="BT159" i="31"/>
  <c r="DH159" i="31"/>
  <c r="CL159" i="31"/>
  <c r="BS159" i="31"/>
  <c r="DG134" i="31"/>
  <c r="DD134" i="31"/>
  <c r="DJ134" i="31"/>
  <c r="DK134" i="31" s="1"/>
  <c r="CZ134" i="31"/>
  <c r="CR134" i="31"/>
  <c r="CJ134" i="31"/>
  <c r="CB134" i="31"/>
  <c r="BT134" i="31"/>
  <c r="BL134" i="31"/>
  <c r="DI134" i="31"/>
  <c r="CY134" i="31"/>
  <c r="CQ134" i="31"/>
  <c r="CI134" i="31"/>
  <c r="CA134" i="31"/>
  <c r="BS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DK183" i="31" s="1"/>
  <c r="CD183" i="31"/>
  <c r="DI183" i="31"/>
  <c r="BM183" i="31"/>
  <c r="DE128" i="31"/>
  <c r="CW128" i="31"/>
  <c r="CO128" i="31"/>
  <c r="CG128" i="31"/>
  <c r="BY128" i="31"/>
  <c r="BQ128" i="31"/>
  <c r="DC128" i="31"/>
  <c r="CU128" i="31"/>
  <c r="CM128" i="31"/>
  <c r="CE128" i="31"/>
  <c r="BW128" i="31"/>
  <c r="BO128" i="31"/>
  <c r="DJ128" i="31"/>
  <c r="DK128" i="31" s="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K146" i="31" s="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CY146" i="31"/>
  <c r="CF146" i="31"/>
  <c r="CW146" i="31"/>
  <c r="CA146" i="31"/>
  <c r="DJ200" i="31"/>
  <c r="DK200" i="31" s="1"/>
  <c r="DB200" i="31"/>
  <c r="CT200" i="31"/>
  <c r="CL200" i="31"/>
  <c r="CD200" i="31"/>
  <c r="BV200" i="31"/>
  <c r="BN200" i="31"/>
  <c r="DG200" i="31"/>
  <c r="CY200" i="31"/>
  <c r="CQ200" i="31"/>
  <c r="CI200" i="31"/>
  <c r="CA200" i="31"/>
  <c r="BS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DK164" i="31" s="1"/>
  <c r="CX164" i="31"/>
  <c r="CJ164" i="31"/>
  <c r="BY164" i="31"/>
  <c r="CY164" i="31"/>
  <c r="BT164" i="31"/>
  <c r="CW164" i="31"/>
  <c r="BL164" i="31"/>
  <c r="CT164" i="31"/>
  <c r="CL164" i="31"/>
  <c r="CI164" i="31"/>
  <c r="CH164" i="31"/>
  <c r="DH164" i="31"/>
  <c r="BZ164" i="31"/>
  <c r="DG164" i="31"/>
  <c r="BV164" i="31"/>
  <c r="DJ153" i="31"/>
  <c r="DK153" i="31" s="1"/>
  <c r="DB153" i="31"/>
  <c r="CT153" i="31"/>
  <c r="CL153" i="31"/>
  <c r="CD153" i="31"/>
  <c r="BV153" i="31"/>
  <c r="BN153" i="31"/>
  <c r="DI153" i="31"/>
  <c r="DA153" i="31"/>
  <c r="CS153" i="31"/>
  <c r="CK153" i="31"/>
  <c r="CC153" i="31"/>
  <c r="BU153" i="31"/>
  <c r="BM153" i="31"/>
  <c r="DG153" i="31"/>
  <c r="CY153" i="31"/>
  <c r="CQ153" i="31"/>
  <c r="CI153" i="31"/>
  <c r="CA153" i="31"/>
  <c r="BS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DK172" i="31" s="1"/>
  <c r="CQ172" i="31"/>
  <c r="BT172" i="31"/>
  <c r="DG172" i="31"/>
  <c r="CJ172" i="31"/>
  <c r="BN172" i="31"/>
  <c r="CT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K161" i="31" s="1"/>
  <c r="DB161" i="31"/>
  <c r="CT161" i="31"/>
  <c r="CL161" i="31"/>
  <c r="CD161" i="31"/>
  <c r="BV161" i="31"/>
  <c r="BN161" i="31"/>
  <c r="DI161" i="31"/>
  <c r="DA161" i="31"/>
  <c r="CS161" i="31"/>
  <c r="CK161" i="31"/>
  <c r="CC161" i="31"/>
  <c r="BU161" i="31"/>
  <c r="BM161" i="31"/>
  <c r="DG161" i="31"/>
  <c r="CY161" i="31"/>
  <c r="CQ161" i="31"/>
  <c r="CI161" i="31"/>
  <c r="CA161" i="31"/>
  <c r="BS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K116" i="31" s="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DD179" i="31"/>
  <c r="CV179" i="31"/>
  <c r="CN179" i="31"/>
  <c r="CF179" i="31"/>
  <c r="BX179" i="31"/>
  <c r="BP179" i="31"/>
  <c r="DC179" i="31"/>
  <c r="CU179" i="31"/>
  <c r="CM179" i="31"/>
  <c r="CE179" i="31"/>
  <c r="BW179" i="31"/>
  <c r="BO179" i="31"/>
  <c r="DJ179" i="31"/>
  <c r="DK179" i="31" s="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DF198" i="31"/>
  <c r="CX198" i="31"/>
  <c r="CP198" i="31"/>
  <c r="CH198" i="31"/>
  <c r="BZ198" i="31"/>
  <c r="BR198" i="31"/>
  <c r="CO198" i="31"/>
  <c r="BV198" i="31"/>
  <c r="DJ198" i="31"/>
  <c r="DK198" i="31" s="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K201" i="31" s="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K190" i="31" s="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CE190" i="31"/>
  <c r="DC190" i="31"/>
  <c r="BS190" i="31"/>
  <c r="CU190" i="31"/>
  <c r="BR190" i="31"/>
  <c r="CR190" i="31"/>
  <c r="CQ190" i="31"/>
  <c r="CC190" i="31"/>
  <c r="BU190" i="31"/>
  <c r="CI190" i="31"/>
  <c r="DH190" i="31"/>
  <c r="DF190" i="31"/>
  <c r="F48" i="24"/>
  <c r="DE136" i="31"/>
  <c r="CW136" i="31"/>
  <c r="CO136" i="31"/>
  <c r="CG136" i="31"/>
  <c r="BY136" i="31"/>
  <c r="BQ136" i="31"/>
  <c r="DJ136" i="31"/>
  <c r="DK136" i="31" s="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CF136" i="31"/>
  <c r="DA136" i="31"/>
  <c r="CQ136" i="31"/>
  <c r="F119" i="24"/>
  <c r="DG207" i="31"/>
  <c r="CY207" i="31"/>
  <c r="CQ207" i="31"/>
  <c r="CI207" i="31"/>
  <c r="CA207" i="31"/>
  <c r="BS207" i="31"/>
  <c r="DD207" i="31"/>
  <c r="CV207" i="31"/>
  <c r="CN207" i="31"/>
  <c r="CF207" i="31"/>
  <c r="BX207" i="31"/>
  <c r="BP207" i="31"/>
  <c r="DC207" i="31"/>
  <c r="CU207" i="31"/>
  <c r="CM207" i="31"/>
  <c r="CE207" i="31"/>
  <c r="BW207" i="31"/>
  <c r="BO207" i="31"/>
  <c r="DJ207" i="31"/>
  <c r="DK207" i="31" s="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CY147" i="31"/>
  <c r="CB147" i="31"/>
  <c r="CT147" i="31"/>
  <c r="CA147" i="31"/>
  <c r="CR147" i="31"/>
  <c r="BV147" i="31"/>
  <c r="DJ147" i="31"/>
  <c r="DK147" i="31" s="1"/>
  <c r="CQ147" i="31"/>
  <c r="BT147" i="31"/>
  <c r="DH147" i="31"/>
  <c r="BS147" i="31"/>
  <c r="CL147" i="31"/>
  <c r="DI192" i="31"/>
  <c r="DA192" i="31"/>
  <c r="CS192" i="31"/>
  <c r="CK192" i="31"/>
  <c r="CC192" i="31"/>
  <c r="BU192" i="31"/>
  <c r="BM192" i="31"/>
  <c r="DG192" i="31"/>
  <c r="CY192" i="31"/>
  <c r="CQ192" i="31"/>
  <c r="CI192" i="31"/>
  <c r="CA192" i="31"/>
  <c r="BS192" i="31"/>
  <c r="DF192" i="31"/>
  <c r="CX192" i="31"/>
  <c r="CP192" i="31"/>
  <c r="CH192" i="31"/>
  <c r="BZ192" i="31"/>
  <c r="BR192" i="31"/>
  <c r="DE192" i="31"/>
  <c r="CW192" i="31"/>
  <c r="CO192" i="31"/>
  <c r="CG192" i="31"/>
  <c r="BY192" i="31"/>
  <c r="BQ192" i="31"/>
  <c r="DD192" i="31"/>
  <c r="CV192" i="31"/>
  <c r="CN192" i="31"/>
  <c r="CF192" i="31"/>
  <c r="BX192" i="31"/>
  <c r="BP192" i="31"/>
  <c r="DJ192" i="31"/>
  <c r="DK192" i="31" s="1"/>
  <c r="CM192" i="31"/>
  <c r="BT192" i="31"/>
  <c r="DH192" i="31"/>
  <c r="CL192" i="31"/>
  <c r="BO192" i="31"/>
  <c r="DB192" i="31"/>
  <c r="CE192" i="31"/>
  <c r="BL192" i="31"/>
  <c r="CD192" i="31"/>
  <c r="CZ192" i="31"/>
  <c r="BV192" i="31"/>
  <c r="CU192" i="31"/>
  <c r="BN192" i="31"/>
  <c r="CT192" i="31"/>
  <c r="CR192" i="31"/>
  <c r="DC192" i="31"/>
  <c r="CJ192" i="31"/>
  <c r="CB192" i="31"/>
  <c r="BW192" i="31"/>
  <c r="DJ166" i="31"/>
  <c r="DK166" i="31" s="1"/>
  <c r="DB166" i="31"/>
  <c r="CT166" i="31"/>
  <c r="CL166" i="31"/>
  <c r="CD166" i="31"/>
  <c r="BV166" i="31"/>
  <c r="BN166" i="31"/>
  <c r="DI166" i="31"/>
  <c r="DA166" i="31"/>
  <c r="CS166" i="31"/>
  <c r="CK166" i="31"/>
  <c r="CC166" i="31"/>
  <c r="BU166" i="31"/>
  <c r="BM166" i="31"/>
  <c r="DG166" i="31"/>
  <c r="CY166" i="31"/>
  <c r="CQ166" i="31"/>
  <c r="CI166" i="31"/>
  <c r="CA166" i="31"/>
  <c r="BS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DK185" i="31" s="1"/>
  <c r="CY185" i="31"/>
  <c r="CK185" i="31"/>
  <c r="BX185" i="31"/>
  <c r="BL185" i="31"/>
  <c r="DI185" i="31"/>
  <c r="CV185" i="31"/>
  <c r="CJ185" i="31"/>
  <c r="BV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CY205" i="31"/>
  <c r="CB205" i="31"/>
  <c r="CT205" i="31"/>
  <c r="CA205" i="31"/>
  <c r="CR205" i="31"/>
  <c r="BV205" i="31"/>
  <c r="BS205" i="31"/>
  <c r="DJ205" i="31"/>
  <c r="DK205" i="31" s="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DK162" i="31" s="1"/>
  <c r="CF162" i="31"/>
  <c r="DF131" i="31"/>
  <c r="CX131" i="31"/>
  <c r="CP131" i="31"/>
  <c r="CH131" i="31"/>
  <c r="BZ131" i="31"/>
  <c r="BR131" i="31"/>
  <c r="DD131" i="31"/>
  <c r="CV131" i="31"/>
  <c r="CN131" i="31"/>
  <c r="CF131" i="31"/>
  <c r="BX131" i="31"/>
  <c r="BP131" i="31"/>
  <c r="DC131" i="31"/>
  <c r="CU131" i="31"/>
  <c r="CM131" i="31"/>
  <c r="CE131" i="31"/>
  <c r="BW131" i="31"/>
  <c r="BO131" i="31"/>
  <c r="DJ131" i="31"/>
  <c r="DK131" i="31" s="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DK186" i="31" s="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DJ121" i="31"/>
  <c r="DK121" i="31" s="1"/>
  <c r="CY121" i="31"/>
  <c r="CC121" i="31"/>
  <c r="CT121" i="31"/>
  <c r="CA121" i="31"/>
  <c r="BU121" i="31"/>
  <c r="CS121" i="31"/>
  <c r="BV121" i="31"/>
  <c r="CQ121" i="31"/>
  <c r="DJ180" i="31"/>
  <c r="DK180" i="31" s="1"/>
  <c r="DB180" i="31"/>
  <c r="CT180" i="31"/>
  <c r="CL180" i="31"/>
  <c r="CD180" i="31"/>
  <c r="BV180" i="31"/>
  <c r="BN180" i="31"/>
  <c r="DG180" i="31"/>
  <c r="CY180" i="31"/>
  <c r="CQ180" i="31"/>
  <c r="CI180" i="31"/>
  <c r="CA180" i="31"/>
  <c r="BS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K169" i="31" s="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CN169" i="31"/>
  <c r="CK169" i="31"/>
  <c r="CC169" i="31"/>
  <c r="DE167" i="31"/>
  <c r="CW167" i="31"/>
  <c r="CO167" i="31"/>
  <c r="CG167" i="31"/>
  <c r="BY167" i="31"/>
  <c r="BQ167" i="31"/>
  <c r="DD167" i="31"/>
  <c r="CV167" i="31"/>
  <c r="CN167" i="31"/>
  <c r="CF167" i="31"/>
  <c r="BX167" i="31"/>
  <c r="BP167" i="31"/>
  <c r="DJ167" i="31"/>
  <c r="DK167" i="31" s="1"/>
  <c r="DB167" i="31"/>
  <c r="CT167" i="31"/>
  <c r="CL167" i="31"/>
  <c r="CD167" i="31"/>
  <c r="BV167" i="31"/>
  <c r="BN167" i="31"/>
  <c r="CZ167" i="31"/>
  <c r="CM167" i="31"/>
  <c r="CA167" i="31"/>
  <c r="BM167" i="31"/>
  <c r="CY167" i="31"/>
  <c r="CK167" i="31"/>
  <c r="BZ167" i="31"/>
  <c r="BL167" i="31"/>
  <c r="DI167" i="31"/>
  <c r="CX167" i="31"/>
  <c r="CJ167" i="31"/>
  <c r="BW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K114" i="31" s="1"/>
  <c r="DB114" i="31"/>
  <c r="CT114" i="31"/>
  <c r="CL114" i="31"/>
  <c r="CD114" i="31"/>
  <c r="BV114" i="31"/>
  <c r="BN114" i="31"/>
  <c r="CY114" i="31"/>
  <c r="CP114" i="31"/>
  <c r="DI114" i="31"/>
  <c r="DA114" i="31"/>
  <c r="CS114" i="31"/>
  <c r="CK114" i="31"/>
  <c r="CC114" i="31"/>
  <c r="BU114" i="31"/>
  <c r="BM114" i="31"/>
  <c r="DG114" i="31"/>
  <c r="CX114" i="31"/>
  <c r="DH114" i="31"/>
  <c r="CZ114" i="31"/>
  <c r="CR114" i="31"/>
  <c r="CJ114" i="31"/>
  <c r="CB114" i="31"/>
  <c r="BT114" i="31"/>
  <c r="BL114" i="31"/>
  <c r="CQ114" i="31"/>
  <c r="DF114" i="31"/>
  <c r="CA114" i="31"/>
  <c r="CH114" i="31"/>
  <c r="DC158" i="31"/>
  <c r="CU158" i="31"/>
  <c r="CM158" i="31"/>
  <c r="CE158" i="31"/>
  <c r="BW158" i="31"/>
  <c r="BO158" i="31"/>
  <c r="DJ158" i="31"/>
  <c r="DK158" i="31" s="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CY158" i="31"/>
  <c r="CF158" i="31"/>
  <c r="CW158" i="31"/>
  <c r="CA158" i="31"/>
  <c r="DJ135" i="31"/>
  <c r="DK135" i="31" s="1"/>
  <c r="DB135" i="31"/>
  <c r="CT135" i="31"/>
  <c r="CL135" i="31"/>
  <c r="CD135" i="31"/>
  <c r="BV135" i="31"/>
  <c r="BN135" i="31"/>
  <c r="DG135" i="31"/>
  <c r="CY135" i="31"/>
  <c r="CQ135" i="31"/>
  <c r="CI135" i="31"/>
  <c r="CA135" i="31"/>
  <c r="BS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DK157" i="31" s="1"/>
  <c r="CY157" i="31"/>
  <c r="CK157" i="31"/>
  <c r="BX157" i="31"/>
  <c r="BL157" i="31"/>
  <c r="CV157" i="31"/>
  <c r="CJ157" i="31"/>
  <c r="BV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DK187" i="31" s="1"/>
  <c r="CA187" i="31"/>
  <c r="DH187" i="31"/>
  <c r="CW187" i="31"/>
  <c r="BY187" i="31"/>
  <c r="BN187" i="31"/>
  <c r="CX187" i="31"/>
  <c r="DG165" i="31"/>
  <c r="CY165" i="31"/>
  <c r="CQ165" i="31"/>
  <c r="CI165" i="31"/>
  <c r="CA165" i="31"/>
  <c r="BS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DK165" i="31" s="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DK211" i="31" s="1"/>
  <c r="BV211" i="31"/>
  <c r="BN211" i="31"/>
  <c r="DD211" i="31"/>
  <c r="CS211" i="31"/>
  <c r="DF171" i="31"/>
  <c r="CX171" i="31"/>
  <c r="CP171" i="31"/>
  <c r="CH171" i="31"/>
  <c r="BZ171" i="31"/>
  <c r="BR171" i="31"/>
  <c r="DC171" i="31"/>
  <c r="CU171" i="31"/>
  <c r="CM171" i="31"/>
  <c r="CE171" i="31"/>
  <c r="BW171" i="31"/>
  <c r="DJ171" i="31"/>
  <c r="DK171" i="31" s="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K202" i="31" s="1"/>
  <c r="DB202" i="31"/>
  <c r="CT202" i="31"/>
  <c r="CL202" i="31"/>
  <c r="CD202" i="31"/>
  <c r="BV202" i="31"/>
  <c r="BN202" i="31"/>
  <c r="CS202" i="31"/>
  <c r="BZ202" i="31"/>
  <c r="DI202" i="31"/>
  <c r="CP202" i="31"/>
  <c r="BS202" i="31"/>
  <c r="DG202" i="31"/>
  <c r="CK202" i="31"/>
  <c r="BR202" i="31"/>
  <c r="DF202" i="31"/>
  <c r="CI202" i="31"/>
  <c r="BM202" i="31"/>
  <c r="DA202" i="31"/>
  <c r="CH202" i="31"/>
  <c r="CY202" i="31"/>
  <c r="CQ202" i="31"/>
  <c r="CX202" i="31"/>
  <c r="CC202" i="31"/>
  <c r="CA202" i="31"/>
  <c r="BU202" i="31"/>
  <c r="DI124" i="31"/>
  <c r="DA124" i="31"/>
  <c r="CS124" i="31"/>
  <c r="CK124" i="31"/>
  <c r="CC124" i="31"/>
  <c r="BU124" i="31"/>
  <c r="BM124" i="31"/>
  <c r="DG124" i="31"/>
  <c r="CY124" i="31"/>
  <c r="CQ124" i="31"/>
  <c r="CI124" i="31"/>
  <c r="CA124" i="31"/>
  <c r="BS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DK124" i="31" s="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DK203" i="31" s="1"/>
  <c r="BM203" i="31"/>
  <c r="DI203" i="31"/>
  <c r="CN203" i="31"/>
  <c r="CF203" i="31"/>
  <c r="DB203" i="31"/>
  <c r="BP203" i="31"/>
  <c r="CL203" i="31"/>
  <c r="BU203" i="31"/>
  <c r="DJ150" i="31"/>
  <c r="DK150" i="31" s="1"/>
  <c r="DB150" i="31"/>
  <c r="CT150" i="31"/>
  <c r="CL150" i="31"/>
  <c r="CD150" i="31"/>
  <c r="BV150" i="31"/>
  <c r="BN150" i="31"/>
  <c r="DG150" i="31"/>
  <c r="CY150" i="31"/>
  <c r="CQ150" i="31"/>
  <c r="CI150" i="31"/>
  <c r="CA150" i="31"/>
  <c r="BS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DK163" i="31" s="1"/>
  <c r="BX163" i="31"/>
  <c r="DB163" i="31"/>
  <c r="BW163" i="31"/>
  <c r="CW163" i="31"/>
  <c r="BO163" i="31"/>
  <c r="CV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DJ151" i="31"/>
  <c r="DK151" i="31" s="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K210" i="31" s="1"/>
  <c r="DB210" i="31"/>
  <c r="CT210" i="31"/>
  <c r="CL210" i="31"/>
  <c r="CD210" i="31"/>
  <c r="BV210" i="31"/>
  <c r="BN210" i="31"/>
  <c r="CX210" i="31"/>
  <c r="CA210" i="31"/>
  <c r="CQ210" i="31"/>
  <c r="BU210" i="31"/>
  <c r="DI210" i="31"/>
  <c r="CP210" i="31"/>
  <c r="BS210" i="31"/>
  <c r="DG210" i="31"/>
  <c r="CK210" i="31"/>
  <c r="BR210" i="31"/>
  <c r="DF210" i="31"/>
  <c r="CI210" i="31"/>
  <c r="BM210" i="31"/>
  <c r="CH210" i="31"/>
  <c r="CC210" i="31"/>
  <c r="BZ210" i="31"/>
  <c r="DA210" i="31"/>
  <c r="CY210" i="31"/>
  <c r="CS210" i="31"/>
  <c r="DH155" i="31"/>
  <c r="CZ155" i="31"/>
  <c r="CR155" i="31"/>
  <c r="CJ155" i="31"/>
  <c r="CB155" i="31"/>
  <c r="BT155" i="31"/>
  <c r="BL155" i="31"/>
  <c r="DG155" i="31"/>
  <c r="CY155" i="31"/>
  <c r="CQ155" i="31"/>
  <c r="CI155" i="31"/>
  <c r="CA155" i="31"/>
  <c r="BS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DK155" i="31" s="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CR139" i="31"/>
  <c r="BV139" i="31"/>
  <c r="DJ139" i="31"/>
  <c r="DK139" i="31" s="1"/>
  <c r="CQ139" i="31"/>
  <c r="BT139" i="31"/>
  <c r="DH139" i="31"/>
  <c r="CL139" i="31"/>
  <c r="BS139" i="31"/>
  <c r="DG139" i="31"/>
  <c r="CJ139" i="31"/>
  <c r="BP139" i="31"/>
  <c r="DJ127" i="31"/>
  <c r="DK127" i="31" s="1"/>
  <c r="DB127" i="31"/>
  <c r="CT127" i="31"/>
  <c r="CL127" i="31"/>
  <c r="CD127" i="31"/>
  <c r="BV127" i="31"/>
  <c r="BN127" i="31"/>
  <c r="DH127" i="31"/>
  <c r="CZ127" i="31"/>
  <c r="CR127" i="31"/>
  <c r="CJ127" i="31"/>
  <c r="CB127" i="31"/>
  <c r="BT127" i="31"/>
  <c r="BL127" i="31"/>
  <c r="DG127" i="31"/>
  <c r="CY127" i="31"/>
  <c r="CQ127" i="31"/>
  <c r="CI127" i="31"/>
  <c r="CA127" i="31"/>
  <c r="BS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K199" i="31" s="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K144" i="31" s="1"/>
  <c r="DB144" i="31"/>
  <c r="CT144" i="31"/>
  <c r="CL144" i="31"/>
  <c r="CD144" i="31"/>
  <c r="BV144" i="31"/>
  <c r="BN144" i="31"/>
  <c r="CS144" i="31"/>
  <c r="BZ144" i="31"/>
  <c r="CQ144" i="31"/>
  <c r="BU144" i="31"/>
  <c r="DI144" i="31"/>
  <c r="CP144" i="31"/>
  <c r="BS144" i="31"/>
  <c r="DG144" i="31"/>
  <c r="CK144" i="31"/>
  <c r="BR144" i="31"/>
  <c r="DF144" i="31"/>
  <c r="CI144" i="31"/>
  <c r="BM144" i="31"/>
  <c r="DA144" i="31"/>
  <c r="CH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DK170" i="31" s="1"/>
  <c r="CT170" i="31"/>
  <c r="CI170" i="31"/>
  <c r="BU170" i="31"/>
  <c r="DI170" i="31"/>
  <c r="CS170" i="31"/>
  <c r="CF170" i="31"/>
  <c r="BT170" i="31"/>
  <c r="DE170" i="31"/>
  <c r="CR170" i="31"/>
  <c r="CD170" i="31"/>
  <c r="BS170" i="31"/>
  <c r="DB170" i="31"/>
  <c r="CQ170" i="31"/>
  <c r="CC170" i="31"/>
  <c r="BP170" i="31"/>
  <c r="CZ170" i="31"/>
  <c r="CL170" i="31"/>
  <c r="CA170" i="31"/>
  <c r="BM170" i="31"/>
  <c r="CN170" i="31"/>
  <c r="CK170" i="31"/>
  <c r="CJ170" i="31"/>
  <c r="CB170" i="31"/>
  <c r="BX170" i="31"/>
  <c r="DA170" i="31"/>
  <c r="BV170" i="31"/>
  <c r="CY170" i="31"/>
  <c r="BN170" i="31"/>
  <c r="BL170" i="31"/>
  <c r="CV170" i="31"/>
  <c r="DG152" i="31"/>
  <c r="CY152" i="31"/>
  <c r="CQ152" i="31"/>
  <c r="CI152" i="31"/>
  <c r="CA152" i="31"/>
  <c r="BS152" i="31"/>
  <c r="DF152" i="31"/>
  <c r="CX152" i="31"/>
  <c r="CP152" i="31"/>
  <c r="CH152" i="31"/>
  <c r="BZ152" i="31"/>
  <c r="DD152" i="31"/>
  <c r="CV152" i="31"/>
  <c r="CN152" i="31"/>
  <c r="CF152" i="31"/>
  <c r="BX152" i="31"/>
  <c r="BP152" i="31"/>
  <c r="DC152" i="31"/>
  <c r="CR152" i="31"/>
  <c r="CD152" i="31"/>
  <c r="BR152" i="31"/>
  <c r="CZ152" i="31"/>
  <c r="CL152" i="31"/>
  <c r="BY152" i="31"/>
  <c r="BN152" i="31"/>
  <c r="DJ152" i="31"/>
  <c r="DK152" i="31" s="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DK178" i="31" s="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DF173" i="31"/>
  <c r="CX173" i="31"/>
  <c r="CP173" i="31"/>
  <c r="CH173" i="31"/>
  <c r="BZ173" i="31"/>
  <c r="BR173" i="31"/>
  <c r="DC173" i="31"/>
  <c r="CG173" i="31"/>
  <c r="BN173" i="31"/>
  <c r="DB173" i="31"/>
  <c r="CE173" i="31"/>
  <c r="CU173" i="31"/>
  <c r="BY173" i="31"/>
  <c r="DJ173" i="31"/>
  <c r="DK173" i="31" s="1"/>
  <c r="BW173" i="31"/>
  <c r="DE173" i="31"/>
  <c r="BV173" i="31"/>
  <c r="CW173" i="31"/>
  <c r="BQ173" i="31"/>
  <c r="CT173" i="31"/>
  <c r="BO173" i="31"/>
  <c r="CM173" i="31"/>
  <c r="CD173" i="31"/>
  <c r="CO173" i="31"/>
  <c r="CL173" i="31"/>
  <c r="DG194" i="31"/>
  <c r="CY194" i="31"/>
  <c r="CQ194" i="31"/>
  <c r="CI194" i="31"/>
  <c r="CA194" i="31"/>
  <c r="BS194" i="31"/>
  <c r="DE194" i="31"/>
  <c r="CW194" i="31"/>
  <c r="CO194" i="31"/>
  <c r="CG194" i="31"/>
  <c r="BY194" i="31"/>
  <c r="BQ194" i="31"/>
  <c r="DD194" i="31"/>
  <c r="CV194" i="31"/>
  <c r="CN194" i="31"/>
  <c r="CF194" i="31"/>
  <c r="BX194" i="31"/>
  <c r="BP194" i="31"/>
  <c r="DC194" i="31"/>
  <c r="CU194" i="31"/>
  <c r="CM194" i="31"/>
  <c r="CE194" i="31"/>
  <c r="BW194" i="31"/>
  <c r="BO194" i="31"/>
  <c r="DJ194" i="31"/>
  <c r="DK194" i="31" s="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DF188" i="31"/>
  <c r="CX188" i="31"/>
  <c r="CP188" i="31"/>
  <c r="CH188" i="31"/>
  <c r="BZ188" i="31"/>
  <c r="BR188" i="31"/>
  <c r="DD188" i="31"/>
  <c r="CV188" i="31"/>
  <c r="CN188" i="31"/>
  <c r="CF188" i="31"/>
  <c r="BX188" i="31"/>
  <c r="BP188" i="31"/>
  <c r="DJ188" i="31"/>
  <c r="DK188" i="31" s="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K177" i="31" s="1"/>
  <c r="DB177" i="31"/>
  <c r="CT177" i="31"/>
  <c r="CL177" i="31"/>
  <c r="CD177" i="31"/>
  <c r="BV177" i="31"/>
  <c r="BN177" i="31"/>
  <c r="DF177" i="31"/>
  <c r="CI177" i="31"/>
  <c r="BM177" i="31"/>
  <c r="DA177" i="31"/>
  <c r="CH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K191" i="31" s="1"/>
  <c r="DB191" i="31"/>
  <c r="DI191" i="31"/>
  <c r="DA191" i="31"/>
  <c r="CZ191" i="31"/>
  <c r="CO191" i="31"/>
  <c r="CD191" i="31"/>
  <c r="BT191" i="31"/>
  <c r="BL191" i="31"/>
  <c r="CY191" i="31"/>
  <c r="CM191" i="31"/>
  <c r="CC191" i="31"/>
  <c r="BS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K156" i="31" s="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DK145" i="31" s="1"/>
  <c r="CN145" i="31"/>
  <c r="BU145" i="31"/>
  <c r="DI145" i="31"/>
  <c r="CL145" i="31"/>
  <c r="BP145" i="31"/>
  <c r="DJ208" i="31"/>
  <c r="DK208" i="31" s="1"/>
  <c r="DB208" i="31"/>
  <c r="CT208" i="31"/>
  <c r="CL208" i="31"/>
  <c r="CD208" i="31"/>
  <c r="BV208" i="31"/>
  <c r="BN208" i="31"/>
  <c r="DG208" i="31"/>
  <c r="CY208" i="31"/>
  <c r="CQ208" i="31"/>
  <c r="CI208" i="31"/>
  <c r="CA208" i="31"/>
  <c r="BS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K118" i="31" s="1"/>
  <c r="DA118" i="31"/>
  <c r="CS118" i="31"/>
  <c r="CK118" i="31"/>
  <c r="CC118" i="31"/>
  <c r="BU118" i="31"/>
  <c r="BM118" i="31"/>
  <c r="CZ118" i="31"/>
  <c r="CR118" i="31"/>
  <c r="CJ118" i="31"/>
  <c r="CB118" i="31"/>
  <c r="BT118" i="31"/>
  <c r="BL118" i="31"/>
  <c r="CT118" i="31"/>
  <c r="CY118" i="31"/>
  <c r="CQ118" i="31"/>
  <c r="CI118" i="31"/>
  <c r="CA118" i="31"/>
  <c r="BS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DF160" i="31"/>
  <c r="CX160" i="31"/>
  <c r="CP160" i="31"/>
  <c r="CH160" i="31"/>
  <c r="BZ160" i="31"/>
  <c r="BR160" i="31"/>
  <c r="DD160" i="31"/>
  <c r="CV160" i="31"/>
  <c r="CN160" i="31"/>
  <c r="CF160" i="31"/>
  <c r="BX160" i="31"/>
  <c r="BP160" i="31"/>
  <c r="CU160" i="31"/>
  <c r="BY160" i="31"/>
  <c r="CT160" i="31"/>
  <c r="BW160" i="31"/>
  <c r="CO160" i="31"/>
  <c r="BV160" i="31"/>
  <c r="DJ160" i="31"/>
  <c r="DK160" i="31" s="1"/>
  <c r="CM160" i="31"/>
  <c r="BQ160" i="31"/>
  <c r="DE160" i="31"/>
  <c r="CL160" i="31"/>
  <c r="BO160" i="31"/>
  <c r="DC160" i="31"/>
  <c r="CG160" i="31"/>
  <c r="BN160" i="31"/>
  <c r="DB160" i="31"/>
  <c r="CE160" i="31"/>
  <c r="CW160" i="31"/>
  <c r="CD160" i="31"/>
  <c r="DJ195" i="31"/>
  <c r="DK195" i="31" s="1"/>
  <c r="DB195" i="31"/>
  <c r="CT195" i="31"/>
  <c r="CL195" i="31"/>
  <c r="CD195" i="31"/>
  <c r="BV195" i="31"/>
  <c r="BN195" i="31"/>
  <c r="DH195" i="31"/>
  <c r="CZ195" i="31"/>
  <c r="CR195" i="31"/>
  <c r="CJ195" i="31"/>
  <c r="CB195" i="31"/>
  <c r="BT195" i="31"/>
  <c r="BL195" i="31"/>
  <c r="DG195" i="31"/>
  <c r="CY195" i="31"/>
  <c r="CQ195" i="31"/>
  <c r="CI195" i="31"/>
  <c r="CA195" i="31"/>
  <c r="BS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K115" i="31" s="1"/>
  <c r="DB115" i="31"/>
  <c r="CT115" i="31"/>
  <c r="CL115" i="31"/>
  <c r="CD115" i="31"/>
  <c r="BV115" i="31"/>
  <c r="CC115" i="31"/>
  <c r="DG141" i="31"/>
  <c r="CY141" i="31"/>
  <c r="CQ141" i="31"/>
  <c r="CI141" i="31"/>
  <c r="CA141" i="31"/>
  <c r="BS141" i="31"/>
  <c r="DD141" i="31"/>
  <c r="CV141" i="31"/>
  <c r="CN141" i="31"/>
  <c r="CF141" i="31"/>
  <c r="BX141" i="31"/>
  <c r="BP141" i="31"/>
  <c r="DC141" i="31"/>
  <c r="CU141" i="31"/>
  <c r="CM141" i="31"/>
  <c r="CE141" i="31"/>
  <c r="BW141" i="31"/>
  <c r="BO141" i="31"/>
  <c r="DJ141" i="31"/>
  <c r="DK141" i="31" s="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K119" i="31" s="1"/>
  <c r="DB119" i="31"/>
  <c r="CT119" i="31"/>
  <c r="CL119" i="31"/>
  <c r="CD119" i="31"/>
  <c r="BV119" i="31"/>
  <c r="BN119" i="31"/>
  <c r="DH119" i="31"/>
  <c r="CZ119" i="31"/>
  <c r="CR119" i="31"/>
  <c r="CJ119" i="31"/>
  <c r="CB119" i="31"/>
  <c r="BT119" i="31"/>
  <c r="BL119" i="31"/>
  <c r="DG119" i="31"/>
  <c r="CY119" i="31"/>
  <c r="CQ119" i="31"/>
  <c r="CI119" i="31"/>
  <c r="CA119" i="31"/>
  <c r="BS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K154" i="31" s="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CP154" i="31"/>
  <c r="F122" i="24"/>
  <c r="F97" i="24"/>
  <c r="F37" i="24"/>
  <c r="DD125" i="31"/>
  <c r="CV125" i="31"/>
  <c r="CN125" i="31"/>
  <c r="CF125" i="31"/>
  <c r="BX125" i="31"/>
  <c r="BP125" i="31"/>
  <c r="DJ125" i="31"/>
  <c r="DK125" i="31" s="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DF148" i="31"/>
  <c r="CX148" i="31"/>
  <c r="CP148" i="31"/>
  <c r="CH148" i="31"/>
  <c r="BZ148" i="31"/>
  <c r="BR148" i="31"/>
  <c r="CU148" i="31"/>
  <c r="BY148" i="31"/>
  <c r="CT148" i="31"/>
  <c r="BW148" i="31"/>
  <c r="CO148" i="31"/>
  <c r="BV148" i="31"/>
  <c r="DJ148" i="31"/>
  <c r="DK148" i="31" s="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DK137" i="31" s="1"/>
  <c r="CV137" i="31"/>
  <c r="CK137" i="31"/>
  <c r="BX137" i="31"/>
  <c r="BN137" i="31"/>
  <c r="DI137" i="31"/>
  <c r="CU137" i="31"/>
  <c r="CH137" i="31"/>
  <c r="BW137" i="31"/>
  <c r="BM137" i="31"/>
  <c r="DF137" i="31"/>
  <c r="CT137" i="31"/>
  <c r="CF137" i="31"/>
  <c r="BV137" i="31"/>
  <c r="DE181" i="31"/>
  <c r="CW181" i="31"/>
  <c r="CO181" i="31"/>
  <c r="CG181" i="31"/>
  <c r="BY181" i="31"/>
  <c r="BQ181" i="31"/>
  <c r="DJ181" i="31"/>
  <c r="DK181" i="31" s="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K209" i="31" s="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DD174" i="31"/>
  <c r="CV174" i="31"/>
  <c r="CN174" i="31"/>
  <c r="CF174" i="31"/>
  <c r="BX174" i="31"/>
  <c r="BP174" i="31"/>
  <c r="DC174" i="31"/>
  <c r="CU174" i="31"/>
  <c r="CM174" i="31"/>
  <c r="CE174" i="31"/>
  <c r="BW174" i="31"/>
  <c r="BO174" i="31"/>
  <c r="DJ174" i="31"/>
  <c r="DK174" i="31" s="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K182" i="31" s="1"/>
  <c r="DB182" i="31"/>
  <c r="CT182" i="31"/>
  <c r="CL182" i="31"/>
  <c r="CD182" i="31"/>
  <c r="BV182" i="31"/>
  <c r="BN182" i="31"/>
  <c r="CS182" i="31"/>
  <c r="BZ182" i="31"/>
  <c r="DG182" i="31"/>
  <c r="CK182" i="31"/>
  <c r="BR182" i="31"/>
  <c r="DF182" i="31"/>
  <c r="CI182" i="31"/>
  <c r="BM182" i="31"/>
  <c r="DA182" i="31"/>
  <c r="CH182" i="31"/>
  <c r="CY182" i="31"/>
  <c r="CC182" i="31"/>
  <c r="CP182" i="31"/>
  <c r="CA182" i="31"/>
  <c r="BS182" i="31"/>
  <c r="CX182" i="31"/>
  <c r="CQ182" i="31"/>
  <c r="BU182" i="31"/>
  <c r="DI182" i="31"/>
  <c r="DG126" i="31"/>
  <c r="CY126" i="31"/>
  <c r="CQ126" i="31"/>
  <c r="CI126" i="31"/>
  <c r="CA126" i="31"/>
  <c r="BS126" i="31"/>
  <c r="DE126" i="31"/>
  <c r="CW126" i="31"/>
  <c r="CO126" i="31"/>
  <c r="CG126" i="31"/>
  <c r="BY126" i="31"/>
  <c r="BQ126" i="31"/>
  <c r="DD126" i="31"/>
  <c r="CV126" i="31"/>
  <c r="CN126" i="31"/>
  <c r="CF126" i="31"/>
  <c r="BX126" i="31"/>
  <c r="BP126" i="31"/>
  <c r="DC126" i="31"/>
  <c r="CU126" i="31"/>
  <c r="CM126" i="31"/>
  <c r="CE126" i="31"/>
  <c r="BW126" i="31"/>
  <c r="BO126" i="31"/>
  <c r="DJ126" i="31"/>
  <c r="DK126" i="31" s="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DJ117" i="31"/>
  <c r="DK117" i="31" s="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K189" i="31" s="1"/>
  <c r="DB189" i="31"/>
  <c r="CT189" i="31"/>
  <c r="CL189" i="31"/>
  <c r="CD189" i="31"/>
  <c r="BV189" i="31"/>
  <c r="BN189" i="31"/>
  <c r="DI189" i="31"/>
  <c r="DA189" i="31"/>
  <c r="CS189" i="31"/>
  <c r="CK189" i="31"/>
  <c r="CC189" i="31"/>
  <c r="BU189" i="31"/>
  <c r="BM189" i="31"/>
  <c r="DG189" i="31"/>
  <c r="CY189" i="31"/>
  <c r="CQ189" i="31"/>
  <c r="CI189" i="31"/>
  <c r="CA189" i="31"/>
  <c r="BS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DF122" i="31"/>
  <c r="CX122" i="31"/>
  <c r="CP122" i="31"/>
  <c r="CH122" i="31"/>
  <c r="BZ122" i="31"/>
  <c r="BR122" i="31"/>
  <c r="CW122" i="31"/>
  <c r="CD122" i="31"/>
  <c r="CV122" i="31"/>
  <c r="BY122" i="31"/>
  <c r="DB122" i="31"/>
  <c r="CT122" i="31"/>
  <c r="BX122" i="31"/>
  <c r="CF122" i="31"/>
  <c r="CO122" i="31"/>
  <c r="BV122" i="31"/>
  <c r="DJ122" i="31"/>
  <c r="DK122" i="31" s="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 i="31" s="1"/>
  <c r="A29" i="17"/>
  <c r="D28" i="17"/>
  <c r="C28" i="17"/>
  <c r="J26" i="39" s="1"/>
  <c r="B28" i="17"/>
  <c r="I26" i="39" s="1"/>
  <c r="D22" i="30"/>
  <c r="E22" i="30"/>
  <c r="B23" i="30"/>
  <c r="A23" i="30" s="1"/>
  <c r="H27" i="39" l="1"/>
  <c r="CA110" i="31"/>
  <c r="A31" i="36"/>
  <c r="B30" i="36"/>
  <c r="DL163" i="31"/>
  <c r="DL154" i="31"/>
  <c r="DL137" i="31"/>
  <c r="DL117" i="31"/>
  <c r="DL188" i="31"/>
  <c r="DL152" i="31"/>
  <c r="DL199" i="31"/>
  <c r="DL165" i="31"/>
  <c r="DL167" i="31"/>
  <c r="DL162" i="31"/>
  <c r="DL166" i="31"/>
  <c r="DL116" i="31"/>
  <c r="DL161" i="31"/>
  <c r="DL128" i="31"/>
  <c r="DL168" i="31"/>
  <c r="DL143" i="31"/>
  <c r="DL196" i="31"/>
  <c r="DL126" i="31"/>
  <c r="DL182" i="31"/>
  <c r="DL174" i="31"/>
  <c r="DL115" i="31"/>
  <c r="DL145" i="31"/>
  <c r="DL178" i="31"/>
  <c r="DL170" i="31"/>
  <c r="DL155" i="31"/>
  <c r="DL150" i="31"/>
  <c r="DL124" i="31"/>
  <c r="DL121" i="31"/>
  <c r="DL185" i="31"/>
  <c r="DL193" i="31"/>
  <c r="DL204" i="31"/>
  <c r="DL123" i="31"/>
  <c r="DL209" i="31"/>
  <c r="DL127" i="31"/>
  <c r="DL139" i="31"/>
  <c r="DL180" i="31"/>
  <c r="DL207" i="31"/>
  <c r="DL198" i="31"/>
  <c r="DL179" i="31"/>
  <c r="DL134" i="31"/>
  <c r="DL206" i="31"/>
  <c r="DL129" i="31"/>
  <c r="DL122" i="31"/>
  <c r="DL189" i="31"/>
  <c r="DL125" i="31"/>
  <c r="DL119" i="31"/>
  <c r="DL160" i="31"/>
  <c r="DL208" i="31"/>
  <c r="DL210" i="31"/>
  <c r="DL114" i="31"/>
  <c r="DL169" i="31"/>
  <c r="DL192" i="31"/>
  <c r="DL190" i="31"/>
  <c r="DL200" i="31"/>
  <c r="DL140" i="31"/>
  <c r="DL194" i="31"/>
  <c r="DL173" i="31"/>
  <c r="DL171" i="31"/>
  <c r="DL187" i="31"/>
  <c r="DL157" i="31"/>
  <c r="DL186" i="31"/>
  <c r="DL172" i="31"/>
  <c r="DL153" i="31"/>
  <c r="DL183" i="31"/>
  <c r="DL175" i="31"/>
  <c r="DL133" i="31"/>
  <c r="DL142" i="31"/>
  <c r="DL197" i="31"/>
  <c r="DL141" i="31"/>
  <c r="DL118" i="31"/>
  <c r="DL177" i="31"/>
  <c r="DL151" i="31"/>
  <c r="DL202" i="31"/>
  <c r="DL135" i="31"/>
  <c r="DL147" i="31"/>
  <c r="DL136" i="31"/>
  <c r="DL164" i="31"/>
  <c r="DL146" i="31"/>
  <c r="DL130" i="31"/>
  <c r="DL148" i="31"/>
  <c r="DL191" i="31"/>
  <c r="DL131" i="31"/>
  <c r="DL201" i="31"/>
  <c r="DL159" i="31"/>
  <c r="DL184" i="31"/>
  <c r="DL181" i="31"/>
  <c r="DL195" i="31"/>
  <c r="DL156" i="31"/>
  <c r="DL144" i="31"/>
  <c r="DL203" i="31"/>
  <c r="DL211" i="31"/>
  <c r="DL158" i="31"/>
  <c r="DL205" i="31"/>
  <c r="DL149" i="31"/>
  <c r="DL138" i="31"/>
  <c r="DL176" i="31"/>
  <c r="DL120" i="31"/>
  <c r="DL132" i="31"/>
  <c r="K26" i="39"/>
  <c r="DN55" i="6"/>
  <c r="DM54" i="6"/>
  <c r="F23" i="30"/>
  <c r="CB3" i="31" s="1"/>
  <c r="CB1" i="31" s="1"/>
  <c r="A30" i="17"/>
  <c r="D29" i="17"/>
  <c r="J29" i="17" s="1"/>
  <c r="B29" i="17"/>
  <c r="I27" i="39" s="1"/>
  <c r="C29" i="17"/>
  <c r="J27" i="39" s="1"/>
  <c r="D23" i="30"/>
  <c r="E23" i="30"/>
  <c r="B24" i="30"/>
  <c r="A24" i="30" s="1"/>
  <c r="H28" i="39" l="1"/>
  <c r="CB110" i="31"/>
  <c r="A32" i="36"/>
  <c r="B31" i="36"/>
  <c r="DN56" i="6"/>
  <c r="EA5" i="6"/>
  <c r="EE4" i="6"/>
  <c r="K27" i="39"/>
  <c r="DM55" i="6"/>
  <c r="DM56" i="6" s="1"/>
  <c r="F24" i="30"/>
  <c r="CC3" i="31" s="1"/>
  <c r="CC1" i="31" s="1"/>
  <c r="A31" i="17"/>
  <c r="D30" i="17"/>
  <c r="J30" i="17" s="1"/>
  <c r="B30" i="17"/>
  <c r="I28" i="39" s="1"/>
  <c r="C30" i="17"/>
  <c r="J28" i="39" s="1"/>
  <c r="D24" i="30"/>
  <c r="E24" i="30"/>
  <c r="B25" i="30"/>
  <c r="A25" i="30" s="1"/>
  <c r="H29" i="39" l="1"/>
  <c r="CC110" i="31"/>
  <c r="A33" i="36"/>
  <c r="B32" i="36"/>
  <c r="EE5" i="6"/>
  <c r="DR33" i="6" s="1"/>
  <c r="K28" i="39"/>
  <c r="F25" i="30"/>
  <c r="CD3" i="31" s="1"/>
  <c r="CD1" i="31" s="1"/>
  <c r="A32" i="17"/>
  <c r="D31" i="17"/>
  <c r="J31" i="17" s="1"/>
  <c r="B31" i="17"/>
  <c r="I29" i="39" s="1"/>
  <c r="C31" i="17"/>
  <c r="J29" i="39" s="1"/>
  <c r="D25" i="30"/>
  <c r="E25" i="30"/>
  <c r="B26" i="30"/>
  <c r="A26" i="30" s="1"/>
  <c r="K29" i="39" l="1"/>
  <c r="H30" i="39"/>
  <c r="CD110" i="31"/>
  <c r="A34" i="36"/>
  <c r="B33" i="36"/>
  <c r="DR6" i="6"/>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 i="31" s="1"/>
  <c r="A33" i="17"/>
  <c r="D32" i="17"/>
  <c r="J32" i="17" s="1"/>
  <c r="B32" i="17"/>
  <c r="I30" i="39" s="1"/>
  <c r="C32" i="17"/>
  <c r="J30" i="39" s="1"/>
  <c r="D26" i="30"/>
  <c r="E26" i="30"/>
  <c r="B27" i="30"/>
  <c r="A27" i="30" s="1"/>
  <c r="H31" i="39" l="1"/>
  <c r="CE110" i="31"/>
  <c r="A35" i="36"/>
  <c r="B34" i="36"/>
  <c r="K30" i="39"/>
  <c r="F27" i="30"/>
  <c r="CF3" i="31" s="1"/>
  <c r="CF1" i="31" s="1"/>
  <c r="A34" i="17"/>
  <c r="D33" i="17"/>
  <c r="J33" i="17" s="1"/>
  <c r="B33" i="17"/>
  <c r="I31" i="39" s="1"/>
  <c r="C33" i="17"/>
  <c r="J31" i="39" s="1"/>
  <c r="D27" i="30"/>
  <c r="E27" i="30"/>
  <c r="B28" i="30"/>
  <c r="A28" i="30" s="1"/>
  <c r="H32" i="39" l="1"/>
  <c r="CF110" i="31"/>
  <c r="A36" i="36"/>
  <c r="B35" i="36"/>
  <c r="K31" i="39"/>
  <c r="F28" i="30"/>
  <c r="CG3" i="31" s="1"/>
  <c r="CG1" i="31" s="1"/>
  <c r="A35" i="17"/>
  <c r="D34" i="17"/>
  <c r="J34" i="17" s="1"/>
  <c r="B34" i="17"/>
  <c r="I32" i="39" s="1"/>
  <c r="C34" i="17"/>
  <c r="J32" i="39" s="1"/>
  <c r="D28" i="30"/>
  <c r="E28" i="30"/>
  <c r="B29" i="30"/>
  <c r="A29" i="30" s="1"/>
  <c r="K32" i="39" l="1"/>
  <c r="H33" i="39"/>
  <c r="CG110" i="31"/>
  <c r="A37" i="36"/>
  <c r="B36" i="36"/>
  <c r="F29" i="30"/>
  <c r="CH3" i="31" s="1"/>
  <c r="CH1" i="31" s="1"/>
  <c r="A36" i="17"/>
  <c r="D35" i="17"/>
  <c r="J35" i="17" s="1"/>
  <c r="B35" i="17"/>
  <c r="I33" i="39" s="1"/>
  <c r="C35" i="17"/>
  <c r="J33" i="39" s="1"/>
  <c r="D29" i="30"/>
  <c r="E29" i="30"/>
  <c r="B30" i="30"/>
  <c r="A30" i="30" s="1"/>
  <c r="H34" i="39" l="1"/>
  <c r="CH110" i="31"/>
  <c r="A38" i="36"/>
  <c r="B37" i="36"/>
  <c r="K33" i="39"/>
  <c r="F30" i="30"/>
  <c r="CI3" i="31" s="1"/>
  <c r="CI1" i="31" s="1"/>
  <c r="A37" i="17"/>
  <c r="D36" i="17"/>
  <c r="J36" i="17" s="1"/>
  <c r="B36" i="17"/>
  <c r="I34" i="39" s="1"/>
  <c r="C36" i="17"/>
  <c r="J34" i="39" s="1"/>
  <c r="D30" i="30"/>
  <c r="E30" i="30"/>
  <c r="B31" i="30"/>
  <c r="A31" i="30" s="1"/>
  <c r="K34" i="39" l="1"/>
  <c r="H35" i="39"/>
  <c r="CI110" i="31"/>
  <c r="A39" i="36"/>
  <c r="B38" i="36"/>
  <c r="F31" i="30"/>
  <c r="CJ3" i="31" s="1"/>
  <c r="CJ1" i="31" s="1"/>
  <c r="A38" i="17"/>
  <c r="D37" i="17"/>
  <c r="J37" i="17" s="1"/>
  <c r="B37" i="17"/>
  <c r="I35" i="39" s="1"/>
  <c r="C37" i="17"/>
  <c r="J35" i="39" s="1"/>
  <c r="D31" i="30"/>
  <c r="E31" i="30"/>
  <c r="B32" i="30"/>
  <c r="A32" i="30" s="1"/>
  <c r="K35" i="39" l="1"/>
  <c r="H36" i="39"/>
  <c r="CJ110" i="31"/>
  <c r="A40" i="36"/>
  <c r="B39" i="36"/>
  <c r="F32" i="30"/>
  <c r="CK3" i="31" s="1"/>
  <c r="CK1" i="31" s="1"/>
  <c r="A39" i="17"/>
  <c r="D38" i="17"/>
  <c r="J38" i="17" s="1"/>
  <c r="C38" i="17"/>
  <c r="J36" i="39" s="1"/>
  <c r="B38" i="17"/>
  <c r="I36" i="39" s="1"/>
  <c r="D32" i="30"/>
  <c r="E32" i="30"/>
  <c r="B33" i="30"/>
  <c r="A33" i="30" s="1"/>
  <c r="K36" i="39" l="1"/>
  <c r="H37" i="39"/>
  <c r="CK110" i="31"/>
  <c r="A41" i="36"/>
  <c r="B40" i="36"/>
  <c r="F33" i="30"/>
  <c r="CL3" i="31" s="1"/>
  <c r="CL1" i="31" s="1"/>
  <c r="A40" i="17"/>
  <c r="D39" i="17"/>
  <c r="J39" i="17" s="1"/>
  <c r="C39" i="17"/>
  <c r="J37" i="39" s="1"/>
  <c r="B39" i="17"/>
  <c r="I37" i="39" s="1"/>
  <c r="D33" i="30"/>
  <c r="E33" i="30"/>
  <c r="B34" i="30"/>
  <c r="A34" i="30" s="1"/>
  <c r="K37" i="39" l="1"/>
  <c r="H38" i="39"/>
  <c r="CL110" i="31"/>
  <c r="A42" i="36"/>
  <c r="B41" i="36"/>
  <c r="F34" i="30"/>
  <c r="CM3" i="31" s="1"/>
  <c r="CM1" i="31" s="1"/>
  <c r="A41" i="17"/>
  <c r="D40" i="17"/>
  <c r="C40" i="17"/>
  <c r="J38" i="39" s="1"/>
  <c r="B40" i="17"/>
  <c r="I38" i="39" s="1"/>
  <c r="D34" i="30"/>
  <c r="E34" i="30"/>
  <c r="B35" i="30"/>
  <c r="A35" i="30" s="1"/>
  <c r="K38" i="39" l="1"/>
  <c r="H39" i="39"/>
  <c r="CM110" i="31"/>
  <c r="A43" i="36"/>
  <c r="B42" i="36"/>
  <c r="F35" i="30"/>
  <c r="CN3" i="31" s="1"/>
  <c r="CN1" i="31" s="1"/>
  <c r="A42" i="17"/>
  <c r="D41" i="17"/>
  <c r="B41" i="17"/>
  <c r="I39" i="39" s="1"/>
  <c r="C41" i="17"/>
  <c r="J39" i="39" s="1"/>
  <c r="D35" i="30"/>
  <c r="E35" i="30"/>
  <c r="B36" i="30"/>
  <c r="A36" i="30" s="1"/>
  <c r="K39" i="39" l="1"/>
  <c r="H40" i="39"/>
  <c r="CN110" i="31"/>
  <c r="A44" i="36"/>
  <c r="B43" i="36"/>
  <c r="F36" i="30"/>
  <c r="CO3" i="31" s="1"/>
  <c r="CO1" i="31" s="1"/>
  <c r="A43" i="17"/>
  <c r="D42" i="17"/>
  <c r="C42" i="17"/>
  <c r="J40" i="39" s="1"/>
  <c r="B42" i="17"/>
  <c r="I40" i="39" s="1"/>
  <c r="D36" i="30"/>
  <c r="E36" i="30"/>
  <c r="B37" i="30"/>
  <c r="A37" i="30" s="1"/>
  <c r="K40" i="39" l="1"/>
  <c r="H41" i="39"/>
  <c r="CO110" i="31"/>
  <c r="A45" i="36"/>
  <c r="B44" i="36"/>
  <c r="F37" i="30"/>
  <c r="CP3" i="31" s="1"/>
  <c r="CP1" i="31" s="1"/>
  <c r="A44" i="17"/>
  <c r="D43" i="17"/>
  <c r="C43" i="17"/>
  <c r="J41" i="39" s="1"/>
  <c r="B43" i="17"/>
  <c r="I41" i="39" s="1"/>
  <c r="D37" i="30"/>
  <c r="E37" i="30"/>
  <c r="B38" i="30"/>
  <c r="A38" i="30" s="1"/>
  <c r="K41" i="39" l="1"/>
  <c r="H42" i="39"/>
  <c r="CP110" i="31"/>
  <c r="A46" i="36"/>
  <c r="B45" i="36"/>
  <c r="F38" i="30"/>
  <c r="CQ3" i="31" s="1"/>
  <c r="CQ1" i="31" s="1"/>
  <c r="A45" i="17"/>
  <c r="D44" i="17"/>
  <c r="C44" i="17"/>
  <c r="J42" i="39" s="1"/>
  <c r="B44" i="17"/>
  <c r="I42" i="39" s="1"/>
  <c r="D38" i="30"/>
  <c r="E38" i="30"/>
  <c r="B39" i="30"/>
  <c r="A39" i="30" s="1"/>
  <c r="K42" i="39" l="1"/>
  <c r="H43" i="39"/>
  <c r="CQ110" i="31"/>
  <c r="A47" i="36"/>
  <c r="B46" i="36"/>
  <c r="F39" i="30"/>
  <c r="CR3" i="31" s="1"/>
  <c r="CR1" i="31" s="1"/>
  <c r="A46" i="17"/>
  <c r="D45" i="17"/>
  <c r="B45" i="17"/>
  <c r="I43" i="39" s="1"/>
  <c r="C45" i="17"/>
  <c r="J43" i="39" s="1"/>
  <c r="D39" i="30"/>
  <c r="E39" i="30"/>
  <c r="B40" i="30"/>
  <c r="A40" i="30" s="1"/>
  <c r="K43" i="39" l="1"/>
  <c r="H44" i="39"/>
  <c r="CR110" i="31"/>
  <c r="A48" i="36"/>
  <c r="B47" i="36"/>
  <c r="F40" i="30"/>
  <c r="CS3" i="31" s="1"/>
  <c r="CS1" i="31" s="1"/>
  <c r="A47" i="17"/>
  <c r="D46" i="17"/>
  <c r="B46" i="17"/>
  <c r="I44" i="39" s="1"/>
  <c r="C46" i="17"/>
  <c r="J44" i="39" s="1"/>
  <c r="D40" i="30"/>
  <c r="E40" i="30"/>
  <c r="B41" i="30"/>
  <c r="A41" i="30" s="1"/>
  <c r="K44" i="39" l="1"/>
  <c r="H45" i="39"/>
  <c r="CS110" i="31"/>
  <c r="A49" i="36"/>
  <c r="B48" i="36"/>
  <c r="F41" i="30"/>
  <c r="CT3" i="31" s="1"/>
  <c r="CT1" i="31" s="1"/>
  <c r="A48" i="17"/>
  <c r="D47" i="17"/>
  <c r="C47" i="17"/>
  <c r="J45" i="39" s="1"/>
  <c r="B47" i="17"/>
  <c r="I45" i="39" s="1"/>
  <c r="D41" i="30"/>
  <c r="E41" i="30"/>
  <c r="B42" i="30"/>
  <c r="A42" i="30" s="1"/>
  <c r="K45" i="39" l="1"/>
  <c r="H46" i="39"/>
  <c r="CT110" i="31"/>
  <c r="A50" i="36"/>
  <c r="B49" i="36"/>
  <c r="F42" i="30"/>
  <c r="CU3" i="31" s="1"/>
  <c r="CU1" i="31" s="1"/>
  <c r="A49" i="17"/>
  <c r="D48" i="17"/>
  <c r="B48" i="17"/>
  <c r="I46" i="39" s="1"/>
  <c r="C48" i="17"/>
  <c r="J46" i="39" s="1"/>
  <c r="D42" i="30"/>
  <c r="E42" i="30"/>
  <c r="B43" i="30"/>
  <c r="A43" i="30" s="1"/>
  <c r="K46" i="39" l="1"/>
  <c r="CU110" i="31"/>
  <c r="A51" i="36"/>
  <c r="B50" i="36"/>
  <c r="F43" i="30"/>
  <c r="CV3" i="31" s="1"/>
  <c r="CV1" i="31" s="1"/>
  <c r="D49" i="17"/>
  <c r="H47" i="39"/>
  <c r="A50" i="17"/>
  <c r="B49" i="17"/>
  <c r="I47" i="39" s="1"/>
  <c r="C49" i="17"/>
  <c r="J47" i="39" s="1"/>
  <c r="D43" i="30"/>
  <c r="E43" i="30"/>
  <c r="B44" i="30"/>
  <c r="A44" i="30" s="1"/>
  <c r="K47" i="39" l="1"/>
  <c r="H48" i="39"/>
  <c r="CV110" i="31"/>
  <c r="A52" i="36"/>
  <c r="B51" i="36"/>
  <c r="F44" i="30"/>
  <c r="CW3" i="31" s="1"/>
  <c r="CW1" i="31" s="1"/>
  <c r="A51" i="17"/>
  <c r="D50" i="17"/>
  <c r="J50" i="17" s="1"/>
  <c r="B50" i="17"/>
  <c r="I48" i="39" s="1"/>
  <c r="C50" i="17"/>
  <c r="J48" i="39" s="1"/>
  <c r="D44" i="30"/>
  <c r="E44" i="30"/>
  <c r="B45" i="30"/>
  <c r="A45" i="30" s="1"/>
  <c r="K48" i="39" l="1"/>
  <c r="H49" i="39"/>
  <c r="CW110" i="31"/>
  <c r="A53" i="36"/>
  <c r="B52" i="36"/>
  <c r="F45" i="30"/>
  <c r="CX3" i="31" s="1"/>
  <c r="CX1" i="31" s="1"/>
  <c r="A52" i="17"/>
  <c r="D51" i="17"/>
  <c r="B51" i="17"/>
  <c r="I49" i="39" s="1"/>
  <c r="C51" i="17"/>
  <c r="J49" i="39" s="1"/>
  <c r="D45" i="30"/>
  <c r="E45" i="30"/>
  <c r="B46" i="30"/>
  <c r="A46" i="30" s="1"/>
  <c r="K49" i="39" l="1"/>
  <c r="H50" i="39"/>
  <c r="CX110" i="31"/>
  <c r="A54" i="36"/>
  <c r="B53" i="36"/>
  <c r="F46" i="30"/>
  <c r="CY3" i="31" s="1"/>
  <c r="CY1" i="31" s="1"/>
  <c r="A53" i="17"/>
  <c r="D52" i="17"/>
  <c r="J52" i="17" s="1"/>
  <c r="B52" i="17"/>
  <c r="I50" i="39" s="1"/>
  <c r="C52" i="17"/>
  <c r="J50" i="39" s="1"/>
  <c r="D46" i="30"/>
  <c r="E46" i="30"/>
  <c r="B47" i="30"/>
  <c r="A47" i="30" s="1"/>
  <c r="K50" i="39" l="1"/>
  <c r="H51" i="39"/>
  <c r="CY110" i="31"/>
  <c r="A55" i="36"/>
  <c r="B55" i="36" s="1"/>
  <c r="B54" i="36"/>
  <c r="F47" i="30"/>
  <c r="CZ3" i="31" s="1"/>
  <c r="CZ1" i="31" s="1"/>
  <c r="A54" i="17"/>
  <c r="D53" i="17"/>
  <c r="J53" i="17" s="1"/>
  <c r="B53" i="17"/>
  <c r="I51" i="39" s="1"/>
  <c r="C53" i="17"/>
  <c r="J51" i="39" s="1"/>
  <c r="D47" i="30"/>
  <c r="E47" i="30"/>
  <c r="B48" i="30"/>
  <c r="A48" i="30" s="1"/>
  <c r="K51" i="39" l="1"/>
  <c r="H52" i="39"/>
  <c r="CZ110" i="31"/>
  <c r="F48" i="30"/>
  <c r="DA3" i="31" s="1"/>
  <c r="DA1" i="31" s="1"/>
  <c r="A55" i="17"/>
  <c r="D54" i="17"/>
  <c r="J54" i="17" s="1"/>
  <c r="C54" i="17"/>
  <c r="J52" i="39" s="1"/>
  <c r="B54" i="17"/>
  <c r="I52" i="39" s="1"/>
  <c r="D48" i="30"/>
  <c r="E48" i="30"/>
  <c r="B49" i="30"/>
  <c r="A49" i="30" s="1"/>
  <c r="K52" i="39" l="1"/>
  <c r="H53" i="39"/>
  <c r="DA110" i="31"/>
  <c r="F49" i="30"/>
  <c r="DB3" i="31" s="1"/>
  <c r="DB1" i="31" s="1"/>
  <c r="A56" i="17"/>
  <c r="D55" i="17"/>
  <c r="J55" i="17" s="1"/>
  <c r="C55" i="17"/>
  <c r="J53" i="39" s="1"/>
  <c r="B55" i="17"/>
  <c r="I53" i="39" s="1"/>
  <c r="D49" i="30"/>
  <c r="E49" i="30"/>
  <c r="B50" i="30"/>
  <c r="A50" i="30" s="1"/>
  <c r="K53" i="39" l="1"/>
  <c r="H54" i="39"/>
  <c r="DB110" i="31"/>
  <c r="F50" i="30"/>
  <c r="DC3" i="31" s="1"/>
  <c r="DC1" i="31" s="1"/>
  <c r="A57" i="17"/>
  <c r="D56" i="17"/>
  <c r="J56" i="17" s="1"/>
  <c r="C56" i="17"/>
  <c r="J54" i="39" s="1"/>
  <c r="B56" i="17"/>
  <c r="I54" i="39" s="1"/>
  <c r="D50" i="30"/>
  <c r="E50" i="30"/>
  <c r="B51" i="30"/>
  <c r="A51" i="30" s="1"/>
  <c r="K54" i="39" l="1"/>
  <c r="H55" i="39"/>
  <c r="DC110" i="31"/>
  <c r="F51" i="30"/>
  <c r="DD3" i="31" s="1"/>
  <c r="DD1" i="31" s="1"/>
  <c r="A58" i="17"/>
  <c r="D57" i="17"/>
  <c r="J57" i="17" s="1"/>
  <c r="B57" i="17"/>
  <c r="I55" i="39" s="1"/>
  <c r="C57" i="17"/>
  <c r="J55" i="39" s="1"/>
  <c r="D51" i="30"/>
  <c r="E51" i="30"/>
  <c r="B52" i="30"/>
  <c r="A52" i="30" s="1"/>
  <c r="K55" i="39" l="1"/>
  <c r="H56" i="39"/>
  <c r="DD110" i="31"/>
  <c r="F52" i="30"/>
  <c r="DE3" i="31" s="1"/>
  <c r="DE1" i="31" s="1"/>
  <c r="A59" i="17"/>
  <c r="D58" i="17"/>
  <c r="J58" i="17" s="1"/>
  <c r="C58" i="17"/>
  <c r="J56" i="39" s="1"/>
  <c r="B58" i="17"/>
  <c r="I56" i="39" s="1"/>
  <c r="D52" i="30"/>
  <c r="E52" i="30"/>
  <c r="B53" i="30"/>
  <c r="A53" i="30" s="1"/>
  <c r="K56" i="39" l="1"/>
  <c r="H57" i="39"/>
  <c r="DE110" i="31"/>
  <c r="F53" i="30"/>
  <c r="DF3" i="31" s="1"/>
  <c r="DF1" i="31" s="1"/>
  <c r="A60" i="17"/>
  <c r="D59" i="17"/>
  <c r="J59" i="17" s="1"/>
  <c r="B59" i="17"/>
  <c r="I57" i="39" s="1"/>
  <c r="C59" i="17"/>
  <c r="J57" i="39" s="1"/>
  <c r="D53" i="30"/>
  <c r="E53" i="30"/>
  <c r="B54" i="30"/>
  <c r="A54" i="30" s="1"/>
  <c r="K57" i="39" l="1"/>
  <c r="H58" i="39"/>
  <c r="DF110" i="31"/>
  <c r="F54" i="30"/>
  <c r="DG3" i="31" s="1"/>
  <c r="DG1" i="31" s="1"/>
  <c r="A61" i="17"/>
  <c r="D60" i="17"/>
  <c r="J60" i="17" s="1"/>
  <c r="C60" i="17"/>
  <c r="J58" i="39" s="1"/>
  <c r="B60" i="17"/>
  <c r="I58" i="39" s="1"/>
  <c r="D54" i="30"/>
  <c r="E54" i="30"/>
  <c r="B55" i="30"/>
  <c r="A55" i="30" s="1"/>
  <c r="K58" i="39" l="1"/>
  <c r="H59" i="39"/>
  <c r="DG110" i="31"/>
  <c r="F55" i="30"/>
  <c r="DH3" i="31" s="1"/>
  <c r="DH1" i="31" s="1"/>
  <c r="A62" i="17"/>
  <c r="D61" i="17"/>
  <c r="J61" i="17" s="1"/>
  <c r="B61" i="17"/>
  <c r="I59" i="39" s="1"/>
  <c r="C61" i="17"/>
  <c r="J59" i="39" s="1"/>
  <c r="D55" i="30"/>
  <c r="E55" i="30"/>
  <c r="B56" i="30"/>
  <c r="A56" i="30" s="1"/>
  <c r="K59" i="39" l="1"/>
  <c r="H60" i="39"/>
  <c r="DH110" i="31"/>
  <c r="F56" i="30"/>
  <c r="DI3" i="31" s="1"/>
  <c r="DI1" i="31" s="1"/>
  <c r="A63" i="17"/>
  <c r="D62" i="17"/>
  <c r="J62" i="17" s="1"/>
  <c r="B62" i="17"/>
  <c r="I60" i="39" s="1"/>
  <c r="C62" i="17"/>
  <c r="J60" i="39" s="1"/>
  <c r="E56" i="30"/>
  <c r="D56" i="30"/>
  <c r="B57" i="30"/>
  <c r="B58" i="30" s="1"/>
  <c r="F58" i="30" s="1"/>
  <c r="K60" i="39" l="1"/>
  <c r="H61" i="39"/>
  <c r="A58" i="30"/>
  <c r="E58" i="30"/>
  <c r="DI110" i="31"/>
  <c r="F57" i="30"/>
  <c r="DJ3" i="31" s="1"/>
  <c r="DJ1" i="31" s="1"/>
  <c r="A57" i="30"/>
  <c r="I63" i="30" s="1"/>
  <c r="A64" i="17"/>
  <c r="D63" i="17"/>
  <c r="J63" i="17"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K61" i="39" l="1"/>
  <c r="H62" i="39"/>
  <c r="DJ110" i="31"/>
  <c r="DK3" i="31"/>
  <c r="M6" i="30"/>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D64" i="17"/>
  <c r="J64" i="17" s="1"/>
  <c r="B64" i="17"/>
  <c r="I62" i="39" s="1"/>
  <c r="C64" i="17"/>
  <c r="J62" i="39" s="1"/>
  <c r="K62" i="39" l="1"/>
  <c r="H63" i="39"/>
  <c r="DK110" i="31"/>
  <c r="DK1" i="31"/>
  <c r="I2" i="30"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H5" i="31" s="1" a="1"/>
  <c r="H5" i="31" s="1"/>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D65" i="17"/>
  <c r="J65" i="17" s="1"/>
  <c r="B65" i="17"/>
  <c r="I63" i="39" s="1"/>
  <c r="C65" i="17"/>
  <c r="J63" i="39" s="1"/>
  <c r="K63" i="39" l="1"/>
  <c r="H64" i="39"/>
  <c r="I113" i="31"/>
  <c r="V7" i="3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J66" i="17" s="1"/>
  <c r="A67" i="17"/>
  <c r="C66" i="17"/>
  <c r="J64" i="39" s="1"/>
  <c r="D67" i="17" l="1"/>
  <c r="J67" i="17" s="1"/>
  <c r="E127" i="24"/>
  <c r="E124" i="24"/>
  <c r="E126" i="24"/>
  <c r="E125" i="24"/>
  <c r="E25" i="24"/>
  <c r="BH113" i="31" s="1"/>
  <c r="E24" i="24"/>
  <c r="BH112" i="31" s="1"/>
  <c r="K64" i="39"/>
  <c r="C67" i="17"/>
  <c r="B67" i="17"/>
  <c r="Z19" i="15"/>
  <c r="BI113" i="31" l="1"/>
  <c r="BK113" i="31" s="1"/>
  <c r="G119" i="32"/>
  <c r="BI112" i="31"/>
  <c r="BK112" i="31" s="1"/>
  <c r="G118" i="32"/>
  <c r="J118" i="32" s="1"/>
  <c r="Y19" i="15"/>
  <c r="AA19" i="15" s="1"/>
  <c r="DG112" i="31" l="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K112" i="31" s="1"/>
  <c r="DB112" i="31"/>
  <c r="CT112" i="31"/>
  <c r="CL112" i="31"/>
  <c r="CD112" i="31"/>
  <c r="BV112" i="31"/>
  <c r="BN112" i="31"/>
  <c r="CS112" i="31"/>
  <c r="CZ112" i="31"/>
  <c r="BM112" i="31"/>
  <c r="BL112" i="31"/>
  <c r="F25" i="24"/>
  <c r="DJ113" i="31"/>
  <c r="DK113" i="31" s="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DK214" i="31" l="1"/>
  <c r="CK214" i="3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L113" i="31"/>
  <c r="BL214" i="31"/>
  <c r="DL112" i="31"/>
  <c r="AB2" i="15"/>
  <c r="C2" i="15"/>
  <c r="DL214" i="31" l="1"/>
  <c r="A14" i="14"/>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J40" i="17" s="1"/>
  <c r="CA111" i="31"/>
  <c r="DJ111" i="31"/>
  <c r="BY111" i="31"/>
  <c r="DE111" i="31"/>
  <c r="BO111" i="31"/>
  <c r="DD111" i="31"/>
  <c r="CK111" i="31"/>
  <c r="J41" i="17" s="1"/>
  <c r="CW111" i="31"/>
  <c r="CT111" i="31"/>
  <c r="BT111" i="31"/>
  <c r="J24" i="17" s="1"/>
  <c r="DI111" i="31"/>
  <c r="BQ111" i="31"/>
  <c r="J21" i="17" s="1"/>
  <c r="DB111" i="31"/>
  <c r="BV111" i="31"/>
  <c r="CM111" i="31"/>
  <c r="J43" i="17" s="1"/>
  <c r="CX111" i="31"/>
  <c r="CR111" i="31"/>
  <c r="J48" i="17" s="1"/>
  <c r="BW111" i="31"/>
  <c r="CP111" i="31"/>
  <c r="J46" i="17" s="1"/>
  <c r="CZ111" i="31"/>
  <c r="BN111" i="31"/>
  <c r="J18" i="17" s="1"/>
  <c r="CQ111" i="31"/>
  <c r="J47" i="17" s="1"/>
  <c r="CV111" i="31"/>
  <c r="CS111" i="31"/>
  <c r="J49" i="17" s="1"/>
  <c r="BX111" i="31"/>
  <c r="J28" i="17" s="1"/>
  <c r="BS111" i="31"/>
  <c r="J23" i="17" s="1"/>
  <c r="DH111" i="31"/>
  <c r="CN111" i="31"/>
  <c r="J44" i="17" s="1"/>
  <c r="CU111" i="31"/>
  <c r="J51" i="17" s="1"/>
  <c r="BM111" i="31"/>
  <c r="CO111" i="31"/>
  <c r="J45" i="17" s="1"/>
  <c r="CB111" i="31"/>
  <c r="BP111" i="31"/>
  <c r="J20" i="17" s="1"/>
  <c r="DA111" i="31"/>
  <c r="DF111" i="31"/>
  <c r="CL111" i="31"/>
  <c r="J42" i="17" s="1"/>
  <c r="DC111" i="31"/>
  <c r="BZ111" i="31"/>
  <c r="CY111" i="31"/>
  <c r="BU111" i="31"/>
  <c r="J25" i="17" s="1"/>
  <c r="BR111" i="31"/>
  <c r="DG111" i="31"/>
  <c r="DK111" i="31" l="1"/>
  <c r="Q30" i="17"/>
  <c r="Q20" i="17"/>
  <c r="Q33" i="17"/>
  <c r="Q34" i="17"/>
  <c r="A173" i="12"/>
  <c r="B170" i="3"/>
  <c r="AP161" i="6" s="1"/>
  <c r="AQ161" i="6"/>
  <c r="BL111" i="31"/>
  <c r="J16" i="17" s="1"/>
  <c r="Q16" i="17" l="1"/>
  <c r="DL111" i="31"/>
  <c r="L28" i="17"/>
  <c r="L36" i="17"/>
  <c r="Q35" i="17"/>
  <c r="I217" i="32"/>
  <c r="B171" i="3"/>
  <c r="AP162" i="6" s="1"/>
  <c r="A174" i="12"/>
  <c r="AQ162" i="6"/>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Q39" i="17"/>
  <c r="L16" i="17"/>
  <c r="Q17" i="17"/>
  <c r="L38" i="17"/>
  <c r="Q38" i="17"/>
  <c r="L15" i="17"/>
  <c r="Q15" i="17"/>
  <c r="I215" i="32" l="1"/>
  <c r="B173" i="3"/>
  <c r="AP164" i="6" s="1"/>
  <c r="A176" i="12"/>
  <c r="AQ164" i="6"/>
  <c r="Q40" i="17"/>
  <c r="L39" i="17"/>
  <c r="I214" i="32" l="1"/>
  <c r="B174" i="3"/>
  <c r="AP165" i="6" s="1"/>
  <c r="A177" i="12"/>
  <c r="AQ165" i="6"/>
  <c r="Q41" i="17"/>
  <c r="L40" i="17"/>
  <c r="I213" i="32" l="1"/>
  <c r="B175" i="3"/>
  <c r="AP166" i="6" s="1"/>
  <c r="A178" i="12"/>
  <c r="AQ166" i="6"/>
  <c r="Q42" i="17"/>
  <c r="L41" i="17"/>
  <c r="I212" i="32" l="1"/>
  <c r="A179" i="12"/>
  <c r="B176" i="3"/>
  <c r="AP167" i="6" s="1"/>
  <c r="AQ167" i="6"/>
  <c r="Q43" i="17"/>
  <c r="L42" i="17"/>
  <c r="I211" i="32" l="1"/>
  <c r="B177" i="3"/>
  <c r="AP168" i="6" s="1"/>
  <c r="A180" i="12"/>
  <c r="AQ168" i="6"/>
  <c r="Q44" i="17"/>
  <c r="L43" i="17"/>
  <c r="I210" i="32" l="1"/>
  <c r="A181" i="12"/>
  <c r="B178" i="3"/>
  <c r="AP169" i="6" s="1"/>
  <c r="AQ169" i="6"/>
  <c r="Q45" i="17"/>
  <c r="L44" i="17"/>
  <c r="I209" i="32" l="1"/>
  <c r="B179" i="3"/>
  <c r="AP170" i="6" s="1"/>
  <c r="A182" i="12"/>
  <c r="AQ170" i="6"/>
  <c r="Q46" i="17"/>
  <c r="L45" i="17"/>
  <c r="I208" i="32" l="1"/>
  <c r="A183" i="12"/>
  <c r="B180" i="3"/>
  <c r="AP171" i="6" s="1"/>
  <c r="AQ171" i="6"/>
  <c r="Q47" i="17"/>
  <c r="L46" i="17"/>
  <c r="I207" i="32" l="1"/>
  <c r="A184" i="12"/>
  <c r="B181" i="3"/>
  <c r="AP172" i="6" s="1"/>
  <c r="AQ172" i="6"/>
  <c r="Q48" i="17"/>
  <c r="L47" i="17"/>
  <c r="I206" i="32" l="1"/>
  <c r="B182" i="3"/>
  <c r="AP173" i="6" s="1"/>
  <c r="A185" i="12"/>
  <c r="AQ173" i="6"/>
  <c r="Q49" i="17"/>
  <c r="L48" i="17"/>
  <c r="I205" i="32" l="1"/>
  <c r="B183" i="3"/>
  <c r="AP174" i="6" s="1"/>
  <c r="A186" i="12"/>
  <c r="AQ174" i="6"/>
  <c r="Q50" i="17"/>
  <c r="L49" i="17"/>
  <c r="I204" i="32" l="1"/>
  <c r="A187" i="12"/>
  <c r="B184" i="3"/>
  <c r="AP175" i="6" s="1"/>
  <c r="AQ175" i="6"/>
  <c r="Q51" i="17"/>
  <c r="L50" i="17"/>
  <c r="I203" i="32" l="1"/>
  <c r="A188" i="12"/>
  <c r="B185" i="3"/>
  <c r="AP176" i="6" s="1"/>
  <c r="AQ176" i="6"/>
  <c r="Q52" i="17"/>
  <c r="L51" i="17"/>
  <c r="I202" i="32" l="1"/>
  <c r="B186" i="3"/>
  <c r="AP177" i="6" s="1"/>
  <c r="A189" i="12"/>
  <c r="AQ177" i="6"/>
  <c r="Q53" i="17"/>
  <c r="L52" i="17"/>
  <c r="I201" i="32" l="1"/>
  <c r="B187" i="3"/>
  <c r="AP178" i="6" s="1"/>
  <c r="A190" i="12"/>
  <c r="AQ178" i="6"/>
  <c r="Q54" i="17"/>
  <c r="L53" i="17"/>
  <c r="I200" i="32" l="1"/>
  <c r="A191" i="12"/>
  <c r="B188" i="3"/>
  <c r="AP179" i="6" s="1"/>
  <c r="AQ179" i="6"/>
  <c r="Q55" i="17"/>
  <c r="L54" i="17"/>
  <c r="I199" i="32" l="1"/>
  <c r="B189" i="3"/>
  <c r="AP180" i="6" s="1"/>
  <c r="A192" i="12"/>
  <c r="AQ180" i="6"/>
  <c r="Q56" i="17"/>
  <c r="L55" i="17"/>
  <c r="I198" i="32" l="1"/>
  <c r="A193" i="12"/>
  <c r="B190" i="3"/>
  <c r="AP181" i="6" s="1"/>
  <c r="AQ181" i="6"/>
  <c r="Q57" i="17"/>
  <c r="L56" i="17"/>
  <c r="I197" i="32" l="1"/>
  <c r="B191" i="3"/>
  <c r="AP182" i="6" s="1"/>
  <c r="A194" i="12"/>
  <c r="AQ182" i="6"/>
  <c r="Q58" i="17"/>
  <c r="L57" i="17"/>
  <c r="I196" i="32" l="1"/>
  <c r="B192" i="3"/>
  <c r="AP183" i="6" s="1"/>
  <c r="A195" i="12"/>
  <c r="AQ183" i="6"/>
  <c r="Q59" i="17"/>
  <c r="L58" i="17"/>
  <c r="I195" i="32" l="1"/>
  <c r="A196" i="12"/>
  <c r="B193" i="3"/>
  <c r="AP184" i="6" s="1"/>
  <c r="AQ184" i="6"/>
  <c r="Q60" i="17"/>
  <c r="L59" i="17"/>
  <c r="I194" i="32" l="1"/>
  <c r="A197" i="12"/>
  <c r="B194" i="3"/>
  <c r="AP185" i="6" s="1"/>
  <c r="AQ185" i="6"/>
  <c r="Q61" i="17"/>
  <c r="L60" i="17"/>
  <c r="I193" i="32" l="1"/>
  <c r="A198" i="12"/>
  <c r="B195" i="3"/>
  <c r="AP186" i="6" s="1"/>
  <c r="AQ186" i="6"/>
  <c r="Q62" i="17"/>
  <c r="L61" i="17"/>
  <c r="I192" i="32" l="1"/>
  <c r="A199" i="12"/>
  <c r="B196" i="3"/>
  <c r="AP187" i="6" s="1"/>
  <c r="AQ187" i="6"/>
  <c r="Q63" i="17"/>
  <c r="L62" i="17"/>
  <c r="I191" i="32" l="1"/>
  <c r="B197" i="3"/>
  <c r="AP188" i="6" s="1"/>
  <c r="A200" i="12"/>
  <c r="AQ188" i="6"/>
  <c r="Q64" i="17"/>
  <c r="L63" i="17"/>
  <c r="I190" i="32" l="1"/>
  <c r="A201" i="12"/>
  <c r="B198" i="3"/>
  <c r="AP189" i="6" s="1"/>
  <c r="AQ189" i="6"/>
  <c r="Q65" i="17"/>
  <c r="L64" i="17"/>
  <c r="I189" i="32" l="1"/>
  <c r="A202" i="12"/>
  <c r="B199" i="3"/>
  <c r="AP190" i="6" s="1"/>
  <c r="AQ190" i="6"/>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M17" i="31" s="1"/>
  <c r="H33" i="20"/>
  <c r="DM21" i="31" s="1"/>
  <c r="H37" i="20"/>
  <c r="DM25" i="31" s="1"/>
  <c r="H41" i="20"/>
  <c r="H47" i="20"/>
  <c r="DM35" i="31" s="1"/>
  <c r="H50" i="20"/>
  <c r="H53" i="20"/>
  <c r="H56" i="20"/>
  <c r="H59" i="20"/>
  <c r="H62" i="20"/>
  <c r="H68" i="20"/>
  <c r="H73" i="20"/>
  <c r="DM61" i="31" s="1"/>
  <c r="H79" i="20"/>
  <c r="DM67" i="31" s="1"/>
  <c r="H82" i="20"/>
  <c r="H85" i="20"/>
  <c r="H88" i="20"/>
  <c r="H91" i="20"/>
  <c r="H94" i="20"/>
  <c r="H100" i="20"/>
  <c r="H105" i="20"/>
  <c r="DM93" i="31" s="1"/>
  <c r="H111" i="20"/>
  <c r="DM99" i="31" s="1"/>
  <c r="H114" i="20"/>
  <c r="F12" i="32"/>
  <c r="F16" i="32"/>
  <c r="F14" i="32"/>
  <c r="F95" i="32"/>
  <c r="F58" i="32"/>
  <c r="F108" i="32"/>
  <c r="F60" i="32"/>
  <c r="F55" i="32"/>
  <c r="F102" i="32"/>
  <c r="F26" i="32"/>
  <c r="F81" i="32"/>
  <c r="F90" i="32"/>
  <c r="F64" i="32"/>
  <c r="F36" i="32"/>
  <c r="F110" i="32"/>
  <c r="F24" i="32"/>
  <c r="H25" i="20"/>
  <c r="H30" i="20"/>
  <c r="H34" i="20"/>
  <c r="H38" i="20"/>
  <c r="H42" i="20"/>
  <c r="DM30" i="31" s="1"/>
  <c r="H45" i="20"/>
  <c r="DM33" i="31" s="1"/>
  <c r="H48" i="20"/>
  <c r="DM36" i="31" s="1"/>
  <c r="H51" i="20"/>
  <c r="DM39" i="31" s="1"/>
  <c r="H54" i="20"/>
  <c r="H60" i="20"/>
  <c r="H65" i="20"/>
  <c r="DM53" i="31" s="1"/>
  <c r="H71" i="20"/>
  <c r="DM59" i="31" s="1"/>
  <c r="H74" i="20"/>
  <c r="DM62" i="31" s="1"/>
  <c r="H77" i="20"/>
  <c r="H80" i="20"/>
  <c r="DM68" i="31" s="1"/>
  <c r="H83" i="20"/>
  <c r="H86" i="20"/>
  <c r="H92" i="20"/>
  <c r="H97" i="20"/>
  <c r="DM85" i="31" s="1"/>
  <c r="H103" i="20"/>
  <c r="DM91" i="31" s="1"/>
  <c r="H106" i="20"/>
  <c r="DM94" i="31" s="1"/>
  <c r="H109" i="20"/>
  <c r="DM97" i="31" s="1"/>
  <c r="H112" i="20"/>
  <c r="DM100" i="31" s="1"/>
  <c r="H115" i="20"/>
  <c r="F15" i="32"/>
  <c r="F99" i="32"/>
  <c r="F80" i="32"/>
  <c r="F56" i="32"/>
  <c r="F51" i="32"/>
  <c r="F30" i="32"/>
  <c r="F94" i="32"/>
  <c r="F21" i="32"/>
  <c r="F59" i="32"/>
  <c r="F52" i="32"/>
  <c r="F25" i="32"/>
  <c r="F91" i="32"/>
  <c r="F43" i="32"/>
  <c r="H23" i="20"/>
  <c r="H28" i="20"/>
  <c r="H32" i="20"/>
  <c r="H36" i="20"/>
  <c r="DM24" i="31" s="1"/>
  <c r="H40" i="20"/>
  <c r="DM28" i="31" s="1"/>
  <c r="H44" i="20"/>
  <c r="H49" i="20"/>
  <c r="H55" i="20"/>
  <c r="H58" i="20"/>
  <c r="DM46" i="31" s="1"/>
  <c r="H61" i="20"/>
  <c r="H64" i="20"/>
  <c r="H67" i="20"/>
  <c r="H70" i="20"/>
  <c r="H76" i="20"/>
  <c r="H81" i="20"/>
  <c r="DM69" i="31" s="1"/>
  <c r="H87" i="20"/>
  <c r="H90" i="20"/>
  <c r="DM78" i="31" s="1"/>
  <c r="H93" i="20"/>
  <c r="H96" i="20"/>
  <c r="H99" i="20"/>
  <c r="H102" i="20"/>
  <c r="H108" i="20"/>
  <c r="H113" i="20"/>
  <c r="F13" i="32"/>
  <c r="F17" i="32"/>
  <c r="H89" i="20"/>
  <c r="H27" i="20"/>
  <c r="F54" i="32"/>
  <c r="H107" i="20"/>
  <c r="DM95" i="31" s="1"/>
  <c r="H95" i="20"/>
  <c r="DM83" i="31" s="1"/>
  <c r="H84" i="20"/>
  <c r="DM72" i="31" s="1"/>
  <c r="H72" i="20"/>
  <c r="H35" i="20"/>
  <c r="F23" i="32"/>
  <c r="F46" i="32"/>
  <c r="F65" i="32"/>
  <c r="H116" i="20"/>
  <c r="DM104" i="31" s="1"/>
  <c r="H69" i="20"/>
  <c r="DM57" i="31" s="1"/>
  <c r="H46" i="20"/>
  <c r="DM34" i="31" s="1"/>
  <c r="F85" i="32"/>
  <c r="F18" i="32"/>
  <c r="H78" i="20"/>
  <c r="DM66" i="31" s="1"/>
  <c r="H43" i="20"/>
  <c r="F53" i="32"/>
  <c r="F20" i="32"/>
  <c r="H104" i="20"/>
  <c r="H57" i="20"/>
  <c r="H31" i="20"/>
  <c r="F83" i="32"/>
  <c r="F57" i="32"/>
  <c r="H101" i="20"/>
  <c r="DM89" i="31" s="1"/>
  <c r="H66" i="20"/>
  <c r="F92" i="32"/>
  <c r="F19" i="32"/>
  <c r="H110" i="20"/>
  <c r="DM98" i="31" s="1"/>
  <c r="H98" i="20"/>
  <c r="H75" i="20"/>
  <c r="DM63" i="31" s="1"/>
  <c r="H63" i="20"/>
  <c r="DM51" i="31" s="1"/>
  <c r="H52" i="20"/>
  <c r="DM40" i="31" s="1"/>
  <c r="H39" i="20"/>
  <c r="F47" i="32"/>
  <c r="F75" i="32"/>
  <c r="F74" i="32"/>
  <c r="F34" i="32"/>
  <c r="H17" i="20"/>
  <c r="H18" i="20"/>
  <c r="DM6" i="31" s="1"/>
  <c r="H19" i="20"/>
  <c r="DM7" i="31" s="1"/>
  <c r="H20" i="20"/>
  <c r="DM8" i="31" s="1"/>
  <c r="H21" i="20"/>
  <c r="DM5" i="31" l="1"/>
  <c r="H15" i="20"/>
  <c r="I15" i="20" s="1"/>
  <c r="BI76" i="3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M19" i="31"/>
  <c r="H82" i="32"/>
  <c r="DM75" i="31"/>
  <c r="H63" i="32"/>
  <c r="DM56" i="31"/>
  <c r="H52" i="32"/>
  <c r="DM45" i="31"/>
  <c r="I113" i="20"/>
  <c r="DM101" i="31"/>
  <c r="I49" i="20"/>
  <c r="DM37" i="31"/>
  <c r="H33" i="32"/>
  <c r="DM26" i="31"/>
  <c r="H89" i="32"/>
  <c r="DM82" i="31"/>
  <c r="H57" i="32"/>
  <c r="DM50" i="31"/>
  <c r="H17" i="32"/>
  <c r="DM10" i="31"/>
  <c r="H23" i="32"/>
  <c r="DM16" i="31"/>
  <c r="H18" i="32"/>
  <c r="DM11" i="31"/>
  <c r="H39" i="32"/>
  <c r="DM32" i="31"/>
  <c r="H29" i="32"/>
  <c r="DM22" i="31"/>
  <c r="H86" i="32"/>
  <c r="DM79" i="31"/>
  <c r="H54" i="32"/>
  <c r="DM47" i="31"/>
  <c r="H88" i="32"/>
  <c r="DM81" i="31"/>
  <c r="H99" i="32"/>
  <c r="DM92" i="31"/>
  <c r="H71" i="32"/>
  <c r="DM64" i="31"/>
  <c r="H97" i="32"/>
  <c r="DM90" i="31"/>
  <c r="H65" i="32"/>
  <c r="DM58" i="31"/>
  <c r="H87" i="32"/>
  <c r="DM80" i="31"/>
  <c r="H55" i="32"/>
  <c r="DM48" i="31"/>
  <c r="H25" i="32"/>
  <c r="DM18" i="31"/>
  <c r="H83" i="32"/>
  <c r="DM76" i="31"/>
  <c r="H51" i="32"/>
  <c r="DM44" i="31"/>
  <c r="H19" i="32"/>
  <c r="DM12" i="31"/>
  <c r="H56" i="32"/>
  <c r="DM49" i="31"/>
  <c r="I77" i="20"/>
  <c r="DM65" i="31"/>
  <c r="H93" i="32"/>
  <c r="DM86" i="31"/>
  <c r="H67" i="32"/>
  <c r="DM60" i="31"/>
  <c r="H50" i="32"/>
  <c r="DM43" i="31"/>
  <c r="H95" i="32"/>
  <c r="DM88" i="31"/>
  <c r="H21" i="32"/>
  <c r="DM14" i="31"/>
  <c r="H103" i="32"/>
  <c r="DM96" i="31"/>
  <c r="H16" i="32"/>
  <c r="DM9" i="31"/>
  <c r="H34" i="32"/>
  <c r="DM27" i="31"/>
  <c r="H61" i="32"/>
  <c r="DM54" i="31"/>
  <c r="H94" i="32"/>
  <c r="DM87" i="31"/>
  <c r="H62" i="32"/>
  <c r="DM55" i="31"/>
  <c r="H81" i="32"/>
  <c r="DM74" i="31"/>
  <c r="H49" i="32"/>
  <c r="DM42" i="31"/>
  <c r="H20" i="32"/>
  <c r="DM13" i="31"/>
  <c r="H80" i="32"/>
  <c r="DM73" i="31"/>
  <c r="H48" i="32"/>
  <c r="DM41" i="31"/>
  <c r="H84" i="32"/>
  <c r="DM77" i="31"/>
  <c r="I43" i="20"/>
  <c r="DM31" i="31"/>
  <c r="H22" i="32"/>
  <c r="DM15" i="31"/>
  <c r="H91" i="32"/>
  <c r="DM84" i="31"/>
  <c r="H59" i="32"/>
  <c r="DM52" i="31"/>
  <c r="H27" i="32"/>
  <c r="DM20" i="31"/>
  <c r="H110" i="32"/>
  <c r="DM103" i="31"/>
  <c r="H78" i="32"/>
  <c r="DM71" i="31"/>
  <c r="H109" i="32"/>
  <c r="DM102" i="31"/>
  <c r="H77" i="32"/>
  <c r="DM70" i="31"/>
  <c r="H45" i="32"/>
  <c r="DM38" i="31"/>
  <c r="H30" i="32"/>
  <c r="DM23" i="31"/>
  <c r="H36" i="32"/>
  <c r="DM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K57" i="31" s="1"/>
  <c r="DC57" i="31"/>
  <c r="CV57" i="31"/>
  <c r="CO57" i="31"/>
  <c r="BX63" i="31"/>
  <c r="BN63" i="31"/>
  <c r="DJ63" i="31"/>
  <c r="DK63" i="31" s="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DK76" i="31" s="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DK78" i="31" s="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DK21" i="31" s="1"/>
  <c r="BX21" i="31"/>
  <c r="BR78" i="31"/>
  <c r="CA78" i="31"/>
  <c r="CJ78" i="31"/>
  <c r="CS78" i="31"/>
  <c r="DB78" i="31"/>
  <c r="BP78" i="31"/>
  <c r="CF49" i="31"/>
  <c r="CN49" i="31"/>
  <c r="CC49" i="31"/>
  <c r="DJ49" i="31"/>
  <c r="DK49" i="31" s="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DK22" i="31" s="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DK59" i="31" s="1"/>
  <c r="BZ59" i="31"/>
  <c r="DG59" i="31"/>
  <c r="DI59" i="31"/>
  <c r="BL79" i="31"/>
  <c r="DJ79" i="31"/>
  <c r="DK79" i="31" s="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DK20" i="31" s="1"/>
  <c r="CB86" i="31"/>
  <c r="BW86" i="31"/>
  <c r="CH86" i="31"/>
  <c r="DJ87" i="31"/>
  <c r="DK87" i="31" s="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DK80" i="31" s="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DK86" i="31" s="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DK101" i="31" s="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DK84" i="31" s="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DK67" i="31" s="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K5" i="31" s="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DK44" i="31" s="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K39" i="31" s="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K8" i="31" s="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K18" i="31" s="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K26" i="31" s="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DK95" i="31" s="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DK50" i="31" s="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K29" i="31" s="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K24" i="31" s="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K61" i="31" s="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K98" i="31" s="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K23" i="31" s="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K41" i="31" s="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K55" i="31" s="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DK32" i="31" s="1"/>
  <c r="CD32" i="31"/>
  <c r="CL32" i="31"/>
  <c r="DE93" i="31"/>
  <c r="CW93" i="31"/>
  <c r="CO93" i="31"/>
  <c r="CG93" i="31"/>
  <c r="BY93" i="31"/>
  <c r="BQ93" i="31"/>
  <c r="DC93" i="31"/>
  <c r="CU93" i="31"/>
  <c r="CM93" i="31"/>
  <c r="CE93" i="31"/>
  <c r="BW93" i="31"/>
  <c r="BO93" i="31"/>
  <c r="DJ93" i="31"/>
  <c r="DK93" i="31" s="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K13" i="31" s="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K14" i="31" s="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K37" i="31" s="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K45" i="31" s="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K81" i="31" s="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DK46" i="31" s="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K35" i="31" s="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K69" i="31" s="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DK64" i="31" s="1"/>
  <c r="CT64" i="31"/>
  <c r="CE64" i="31"/>
  <c r="BT64" i="31"/>
  <c r="CJ64" i="31"/>
  <c r="BV64" i="31"/>
  <c r="CV64" i="31"/>
  <c r="BK64" i="31"/>
  <c r="DC47" i="31"/>
  <c r="CU47" i="31"/>
  <c r="CM47" i="31"/>
  <c r="CE47" i="31"/>
  <c r="BW47" i="31"/>
  <c r="BO47" i="31"/>
  <c r="DJ47" i="31"/>
  <c r="DK47" i="31" s="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K71" i="31" s="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K9" i="31" s="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K10" i="31" s="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DK75" i="31" s="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K83" i="31" s="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K90" i="31" s="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K56" i="31" s="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DK99" i="31" s="1"/>
  <c r="CM99" i="31"/>
  <c r="BT99" i="31"/>
  <c r="DH99" i="31"/>
  <c r="CL99" i="31"/>
  <c r="BO99" i="31"/>
  <c r="DC43" i="31"/>
  <c r="CU43" i="31"/>
  <c r="CM43" i="31"/>
  <c r="CE43" i="31"/>
  <c r="BW43" i="31"/>
  <c r="BO43" i="31"/>
  <c r="DJ43" i="31"/>
  <c r="DK43" i="31" s="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K77" i="31" s="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K12" i="31" s="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K74" i="31" s="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K40" i="31" s="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K19" i="31" s="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DK28" i="31" s="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K36" i="31" s="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K66" i="31" s="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K52" i="31" s="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DK85" i="31" s="1"/>
  <c r="CP85" i="31"/>
  <c r="BS85" i="31"/>
  <c r="DG85" i="31"/>
  <c r="CL85" i="31"/>
  <c r="BR85" i="31"/>
  <c r="DF85" i="31"/>
  <c r="CI85" i="31"/>
  <c r="BN85" i="31"/>
  <c r="DC51" i="31"/>
  <c r="CU51" i="31"/>
  <c r="CM51" i="31"/>
  <c r="CE51" i="31"/>
  <c r="BW51" i="31"/>
  <c r="BO51" i="31"/>
  <c r="DJ51" i="31"/>
  <c r="DK51" i="31" s="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K34" i="31" s="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K82" i="31" s="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DK92" i="31" s="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DK100" i="31" s="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K53" i="31" s="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DK48" i="31" s="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K60" i="31" s="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DK104" i="31" s="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DK103" i="31" s="1"/>
  <c r="CM103" i="31"/>
  <c r="BT103" i="31"/>
  <c r="DH103" i="31"/>
  <c r="CL103" i="31"/>
  <c r="BO103" i="31"/>
  <c r="DC103" i="31"/>
  <c r="CJ103" i="31"/>
  <c r="BN103" i="31"/>
  <c r="DD17" i="31"/>
  <c r="CV17" i="31"/>
  <c r="CN17" i="31"/>
  <c r="CF17" i="31"/>
  <c r="BX17" i="31"/>
  <c r="BP17" i="31"/>
  <c r="DC17" i="31"/>
  <c r="CU17" i="31"/>
  <c r="CM17" i="31"/>
  <c r="CE17" i="31"/>
  <c r="BW17" i="31"/>
  <c r="BO17" i="31"/>
  <c r="DJ17" i="31"/>
  <c r="DK17" i="31" s="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K30" i="31" s="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K38" i="31" s="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K27" i="31" s="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K25" i="31" s="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DK54" i="31" s="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K33" i="31" s="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K72" i="31" s="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K68" i="31" s="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K7" i="31" s="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K58" i="31" s="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DK96" i="31" s="1"/>
  <c r="CN96" i="31"/>
  <c r="BQ96" i="31"/>
  <c r="DE96" i="31"/>
  <c r="CL96" i="31"/>
  <c r="BP96" i="31"/>
  <c r="DD96" i="31"/>
  <c r="CG96" i="31"/>
  <c r="BN96" i="31"/>
  <c r="DB96" i="31"/>
  <c r="CF96" i="31"/>
  <c r="CW96" i="31"/>
  <c r="CD96" i="31"/>
  <c r="DC70" i="31"/>
  <c r="CU70" i="31"/>
  <c r="CM70" i="31"/>
  <c r="CE70" i="31"/>
  <c r="BW70" i="31"/>
  <c r="BO70" i="31"/>
  <c r="DJ70" i="31"/>
  <c r="DK70" i="31" s="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K15" i="31" s="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DK42" i="31" s="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DK6" i="31" s="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K11" i="31" s="1"/>
  <c r="DB11" i="31"/>
  <c r="CT11" i="31"/>
  <c r="CL11" i="31"/>
  <c r="CD11" i="31"/>
  <c r="BV11" i="31"/>
  <c r="BN11" i="31"/>
  <c r="DI11" i="31"/>
  <c r="DA11" i="31"/>
  <c r="CS11" i="31"/>
  <c r="CK11" i="31"/>
  <c r="CC11" i="31"/>
  <c r="BU11" i="31"/>
  <c r="BM11" i="31"/>
  <c r="DC11" i="31"/>
  <c r="CU11" i="31"/>
  <c r="CE11" i="31"/>
  <c r="CM11" i="31"/>
  <c r="BO11" i="31"/>
  <c r="BW11" i="31"/>
  <c r="DJ16" i="31"/>
  <c r="DK16" i="31" s="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DK65" i="31" s="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K94" i="31" s="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K73" i="31" s="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K102" i="31" s="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K91" i="31" s="1"/>
  <c r="DB91" i="31"/>
  <c r="CT91" i="31"/>
  <c r="CL91" i="31"/>
  <c r="DE89" i="31"/>
  <c r="CW89" i="31"/>
  <c r="CO89" i="31"/>
  <c r="CG89" i="31"/>
  <c r="BY89" i="31"/>
  <c r="BQ89" i="31"/>
  <c r="DD89" i="31"/>
  <c r="CV89" i="31"/>
  <c r="CN89" i="31"/>
  <c r="CF89" i="31"/>
  <c r="BX89" i="31"/>
  <c r="BP89" i="31"/>
  <c r="DC89" i="31"/>
  <c r="CU89" i="31"/>
  <c r="CM89" i="31"/>
  <c r="CE89" i="31"/>
  <c r="BW89" i="31"/>
  <c r="BO89" i="31"/>
  <c r="DJ89" i="31"/>
  <c r="DK89" i="31" s="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K31" i="31" s="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K97" i="31" s="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K62" i="31" s="1"/>
  <c r="DB62" i="31"/>
  <c r="CT62" i="31"/>
  <c r="BN62" i="31"/>
  <c r="DC88" i="31"/>
  <c r="CU88" i="31"/>
  <c r="CM88" i="31"/>
  <c r="CE88" i="31"/>
  <c r="BW88" i="31"/>
  <c r="BO88" i="31"/>
  <c r="DJ88" i="31"/>
  <c r="DK88" i="31" s="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L63" i="31" l="1"/>
  <c r="I70" i="32" s="1"/>
  <c r="DL76" i="31"/>
  <c r="I83" i="32" s="1"/>
  <c r="DL57" i="31"/>
  <c r="I64" i="32" s="1"/>
  <c r="DL49" i="31"/>
  <c r="I56" i="32" s="1"/>
  <c r="DL21" i="31"/>
  <c r="I28" i="32" s="1"/>
  <c r="DL78" i="31"/>
  <c r="I85" i="32" s="1"/>
  <c r="DL22" i="31"/>
  <c r="I29" i="32" s="1"/>
  <c r="DL59" i="31"/>
  <c r="I66" i="32" s="1"/>
  <c r="DL80" i="31"/>
  <c r="I87" i="32" s="1"/>
  <c r="DL20" i="31"/>
  <c r="I27" i="32" s="1"/>
  <c r="DL87" i="31"/>
  <c r="I94" i="32" s="1"/>
  <c r="DL86" i="31"/>
  <c r="I93" i="32" s="1"/>
  <c r="DL101" i="31"/>
  <c r="I108" i="32" s="1"/>
  <c r="DL79" i="31"/>
  <c r="I86" i="32" s="1"/>
  <c r="DL84" i="31"/>
  <c r="I91" i="32" s="1"/>
  <c r="DL67" i="31"/>
  <c r="I74" i="32" s="1"/>
  <c r="DL66" i="31"/>
  <c r="I73" i="32" s="1"/>
  <c r="I177" i="32"/>
  <c r="DL38" i="31"/>
  <c r="I45" i="32" s="1"/>
  <c r="DL9" i="31"/>
  <c r="I16" i="32" s="1"/>
  <c r="DL71" i="31"/>
  <c r="I78" i="32" s="1"/>
  <c r="DL13" i="31"/>
  <c r="I20" i="32" s="1"/>
  <c r="DL26" i="31"/>
  <c r="I33" i="32" s="1"/>
  <c r="DL65" i="31"/>
  <c r="I72" i="32" s="1"/>
  <c r="DL68" i="31"/>
  <c r="I75" i="32" s="1"/>
  <c r="DL92" i="31"/>
  <c r="I99" i="32" s="1"/>
  <c r="DL12" i="31"/>
  <c r="I19" i="32" s="1"/>
  <c r="DL90" i="31"/>
  <c r="I97" i="32" s="1"/>
  <c r="DL14" i="31"/>
  <c r="I21" i="32" s="1"/>
  <c r="DL29" i="31"/>
  <c r="I36" i="32" s="1"/>
  <c r="DL50" i="31"/>
  <c r="I57" i="32" s="1"/>
  <c r="DL42" i="31"/>
  <c r="I49" i="32" s="1"/>
  <c r="DL15" i="31"/>
  <c r="I22" i="32" s="1"/>
  <c r="DL94" i="31"/>
  <c r="I101" i="32" s="1"/>
  <c r="DL11" i="31"/>
  <c r="I18" i="32" s="1"/>
  <c r="DL70" i="31"/>
  <c r="I77" i="32" s="1"/>
  <c r="DL48" i="31"/>
  <c r="I55" i="32" s="1"/>
  <c r="DL40" i="31"/>
  <c r="I47" i="32" s="1"/>
  <c r="DL74" i="31"/>
  <c r="I81" i="32" s="1"/>
  <c r="DL10" i="31"/>
  <c r="I17" i="32" s="1"/>
  <c r="DL41" i="31"/>
  <c r="I48" i="32" s="1"/>
  <c r="DL44" i="31"/>
  <c r="I51" i="32" s="1"/>
  <c r="DL28" i="31"/>
  <c r="I35" i="32" s="1"/>
  <c r="DL91" i="31"/>
  <c r="I98" i="32" s="1"/>
  <c r="DL33" i="31"/>
  <c r="I40" i="32" s="1"/>
  <c r="DL27" i="31"/>
  <c r="I34" i="32" s="1"/>
  <c r="DL17" i="31"/>
  <c r="I24" i="32" s="1"/>
  <c r="DL82" i="31"/>
  <c r="I89" i="32" s="1"/>
  <c r="DL51" i="31"/>
  <c r="I58" i="32" s="1"/>
  <c r="DL43" i="31"/>
  <c r="I50" i="32" s="1"/>
  <c r="DL75" i="31"/>
  <c r="I82" i="32" s="1"/>
  <c r="DL47" i="31"/>
  <c r="I54" i="32" s="1"/>
  <c r="DL69" i="31"/>
  <c r="I76" i="32" s="1"/>
  <c r="DL81" i="31"/>
  <c r="I88" i="32" s="1"/>
  <c r="DL37" i="31"/>
  <c r="I44" i="32" s="1"/>
  <c r="DL97" i="31"/>
  <c r="I104" i="32" s="1"/>
  <c r="DL31" i="31"/>
  <c r="I38" i="32" s="1"/>
  <c r="DL89" i="31"/>
  <c r="I96" i="32" s="1"/>
  <c r="DL25" i="31"/>
  <c r="I32" i="32" s="1"/>
  <c r="DL83" i="31"/>
  <c r="I90" i="32" s="1"/>
  <c r="DL35" i="31"/>
  <c r="I42" i="32" s="1"/>
  <c r="DL32" i="31"/>
  <c r="I39" i="32" s="1"/>
  <c r="DL95" i="31"/>
  <c r="I102" i="32" s="1"/>
  <c r="DL98" i="31"/>
  <c r="I105" i="32" s="1"/>
  <c r="DL88" i="31"/>
  <c r="I95" i="32" s="1"/>
  <c r="DL6" i="31"/>
  <c r="I13" i="32" s="1"/>
  <c r="DL96" i="31"/>
  <c r="I103" i="32" s="1"/>
  <c r="DL72" i="31"/>
  <c r="I79" i="32" s="1"/>
  <c r="DL34" i="31"/>
  <c r="I41" i="32" s="1"/>
  <c r="DL36" i="31"/>
  <c r="I43" i="32" s="1"/>
  <c r="DL46" i="31"/>
  <c r="I53" i="32" s="1"/>
  <c r="DL45" i="31"/>
  <c r="I52" i="32" s="1"/>
  <c r="DL55" i="31"/>
  <c r="I62" i="32" s="1"/>
  <c r="DL62" i="31"/>
  <c r="I69" i="32" s="1"/>
  <c r="DL73" i="31"/>
  <c r="I80" i="32" s="1"/>
  <c r="DL16" i="31"/>
  <c r="I23" i="32" s="1"/>
  <c r="DL58" i="31"/>
  <c r="I65" i="32" s="1"/>
  <c r="DL7" i="31"/>
  <c r="I14" i="32" s="1"/>
  <c r="DL60" i="31"/>
  <c r="I67" i="32" s="1"/>
  <c r="DL53" i="31"/>
  <c r="I60" i="32" s="1"/>
  <c r="DL100" i="31"/>
  <c r="I107" i="32" s="1"/>
  <c r="DL52" i="31"/>
  <c r="I59" i="32" s="1"/>
  <c r="DL77" i="31"/>
  <c r="I84" i="32" s="1"/>
  <c r="DL99" i="31"/>
  <c r="I106" i="32" s="1"/>
  <c r="DL64" i="31"/>
  <c r="I71" i="32" s="1"/>
  <c r="DL93" i="31"/>
  <c r="I100" i="32" s="1"/>
  <c r="DL23" i="31"/>
  <c r="I30" i="32" s="1"/>
  <c r="DL61" i="31"/>
  <c r="I68" i="32" s="1"/>
  <c r="DL8" i="31"/>
  <c r="I15" i="32" s="1"/>
  <c r="DL39" i="31"/>
  <c r="I46" i="32" s="1"/>
  <c r="DL5" i="31"/>
  <c r="I12" i="32" s="1"/>
  <c r="DL102" i="31"/>
  <c r="I109" i="32" s="1"/>
  <c r="DL54" i="31"/>
  <c r="I61" i="32" s="1"/>
  <c r="DL30" i="31"/>
  <c r="I37" i="32" s="1"/>
  <c r="DL103" i="31"/>
  <c r="I110" i="32" s="1"/>
  <c r="DL104" i="31"/>
  <c r="I111" i="32" s="1"/>
  <c r="DL85" i="31"/>
  <c r="I92" i="32" s="1"/>
  <c r="DL19" i="31"/>
  <c r="I26" i="32" s="1"/>
  <c r="DL56" i="31"/>
  <c r="I63" i="32" s="1"/>
  <c r="DL24" i="31"/>
  <c r="I31" i="32" s="1"/>
  <c r="DL18" i="31"/>
  <c r="I25" i="32" s="1"/>
  <c r="DM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K4" i="31" s="1"/>
  <c r="DD4" i="31"/>
  <c r="CZ4" i="31"/>
  <c r="CQ4" i="31"/>
  <c r="CM4" i="31"/>
  <c r="CS4" i="31"/>
  <c r="CD4" i="31"/>
  <c r="BZ4" i="31"/>
  <c r="BW4" i="31"/>
  <c r="BR4" i="31"/>
  <c r="BN4" i="31"/>
  <c r="I15" i="17" l="1"/>
  <c r="I16" i="17"/>
  <c r="I24" i="17"/>
  <c r="I43" i="17"/>
  <c r="P43" i="17" s="1"/>
  <c r="I23" i="17"/>
  <c r="I36" i="17"/>
  <c r="I20" i="17"/>
  <c r="I39" i="17"/>
  <c r="I41" i="17"/>
  <c r="I21" i="17"/>
  <c r="I44" i="17"/>
  <c r="I52" i="17"/>
  <c r="I27" i="17"/>
  <c r="I58" i="17"/>
  <c r="I64" i="17"/>
  <c r="I59" i="17"/>
  <c r="I25" i="17"/>
  <c r="I55" i="17"/>
  <c r="I46" i="17"/>
  <c r="I37" i="17"/>
  <c r="I56" i="17"/>
  <c r="I32" i="17"/>
  <c r="I62" i="17"/>
  <c r="I45" i="17"/>
  <c r="I51" i="17"/>
  <c r="I63" i="17"/>
  <c r="I34" i="17"/>
  <c r="P34" i="17" s="1"/>
  <c r="I42" i="17"/>
  <c r="I65" i="17"/>
  <c r="I60" i="17"/>
  <c r="I67" i="17"/>
  <c r="I38" i="17"/>
  <c r="I28" i="17"/>
  <c r="I47" i="17"/>
  <c r="I26" i="17"/>
  <c r="I53" i="17"/>
  <c r="I22" i="17"/>
  <c r="I48" i="17"/>
  <c r="I31" i="17"/>
  <c r="I30" i="17"/>
  <c r="I18" i="17"/>
  <c r="I57" i="17"/>
  <c r="I33" i="17"/>
  <c r="I54" i="17"/>
  <c r="I29" i="17"/>
  <c r="I35" i="17"/>
  <c r="I17" i="17"/>
  <c r="I19" i="17"/>
  <c r="I66" i="17"/>
  <c r="I40" i="17"/>
  <c r="I50" i="17"/>
  <c r="I49" i="17"/>
  <c r="I61" i="17"/>
  <c r="DL4" i="31"/>
  <c r="C4" i="24" s="1"/>
  <c r="I176" i="32"/>
  <c r="B212" i="3"/>
  <c r="AP203" i="6" s="1"/>
  <c r="AQ203" i="6"/>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O8" i="12"/>
  <c r="P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N209" i="12"/>
  <c r="N262" i="12"/>
  <c r="N199" i="12"/>
  <c r="N214" i="12"/>
  <c r="N217" i="12"/>
  <c r="N167" i="12"/>
  <c r="N215" i="12"/>
  <c r="N187" i="12"/>
  <c r="N194" i="12"/>
  <c r="N206" i="12"/>
  <c r="N203" i="12"/>
  <c r="N190" i="12"/>
  <c r="N191" i="12"/>
  <c r="N201" i="12"/>
  <c r="N268" i="12"/>
  <c r="N208" i="12"/>
  <c r="N266" i="12"/>
  <c r="N200" i="12"/>
  <c r="N267" i="12"/>
  <c r="N221" i="12"/>
  <c r="N193" i="12"/>
  <c r="T193" i="12" s="1"/>
  <c r="N205" i="12"/>
  <c r="N213" i="12"/>
  <c r="N207" i="12"/>
  <c r="T207" i="12" s="1"/>
  <c r="N218" i="12"/>
  <c r="N212" i="12"/>
  <c r="N269" i="12"/>
  <c r="N189" i="12"/>
  <c r="N274" i="12"/>
  <c r="N192" i="12"/>
  <c r="N196" i="12"/>
  <c r="N211" i="12"/>
  <c r="N264" i="12"/>
  <c r="N270" i="12"/>
  <c r="N168" i="12"/>
  <c r="N219" i="12"/>
  <c r="T219" i="12" s="1"/>
  <c r="N220" i="12"/>
  <c r="N198" i="12"/>
  <c r="N216" i="12"/>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N175" i="12"/>
  <c r="N234" i="12"/>
  <c r="N184" i="12"/>
  <c r="N235" i="12"/>
  <c r="N202" i="12"/>
  <c r="N170" i="12"/>
  <c r="T170" i="12" s="1"/>
  <c r="N223" i="12"/>
  <c r="N228" i="12"/>
  <c r="T228" i="12" s="1"/>
  <c r="N227" i="12"/>
  <c r="N233" i="12"/>
  <c r="N181" i="12"/>
  <c r="N236" i="12"/>
  <c r="N185" i="12"/>
  <c r="N197" i="12"/>
  <c r="N174" i="12"/>
  <c r="N176" i="12"/>
  <c r="T176" i="12" s="1"/>
  <c r="N171" i="12"/>
  <c r="N232" i="12"/>
  <c r="N180" i="12"/>
  <c r="N186" i="12"/>
  <c r="N243" i="12"/>
  <c r="N245" i="12"/>
  <c r="N249" i="12"/>
  <c r="N250" i="12"/>
  <c r="N251" i="12"/>
  <c r="N271" i="12"/>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16" i="12" l="1"/>
  <c r="T208" i="12"/>
  <c r="T204" i="12"/>
  <c r="T271" i="12"/>
  <c r="T167" i="12"/>
  <c r="T223" i="12"/>
  <c r="T235" i="12"/>
  <c r="T211" i="12"/>
  <c r="T187" i="12"/>
  <c r="T224" i="12"/>
  <c r="T241" i="12"/>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05" i="12" l="1"/>
  <c r="U210" i="12"/>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5" i="18" s="1"/>
  <c r="V15" i="17"/>
  <c r="R55" i="39"/>
  <c r="V57" i="17"/>
  <c r="R57" i="17" s="1"/>
  <c r="V63" i="17"/>
  <c r="R63" i="17" s="1"/>
  <c r="R61" i="39"/>
  <c r="V60" i="17"/>
  <c r="R60" i="17" s="1"/>
  <c r="R58" i="39"/>
  <c r="V34" i="17"/>
  <c r="R34" i="17" s="1"/>
  <c r="R32" i="39"/>
  <c r="V21" i="17"/>
  <c r="R21" i="17" s="1"/>
  <c r="E47" i="36" s="1"/>
  <c r="R19" i="39"/>
  <c r="R25" i="39"/>
  <c r="V27" i="17"/>
  <c r="R27" i="17" s="1"/>
  <c r="E53" i="36"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E54" i="36" s="1"/>
  <c r="R26" i="39"/>
  <c r="V18" i="17"/>
  <c r="R18" i="17" s="1"/>
  <c r="E44" i="36" s="1"/>
  <c r="R16" i="39"/>
  <c r="V40" i="17"/>
  <c r="R40" i="17" s="1"/>
  <c r="R38" i="39"/>
  <c r="V52" i="17"/>
  <c r="R52" i="17" s="1"/>
  <c r="R50" i="39"/>
  <c r="V30" i="17"/>
  <c r="R30" i="17" s="1"/>
  <c r="R28" i="39"/>
  <c r="V17" i="17"/>
  <c r="R17" i="17" s="1"/>
  <c r="E43" i="36" s="1"/>
  <c r="R15" i="39"/>
  <c r="R21" i="39"/>
  <c r="V23" i="17"/>
  <c r="R23" i="17" s="1"/>
  <c r="E49" i="36" s="1"/>
  <c r="R40" i="39"/>
  <c r="V42" i="17"/>
  <c r="R42" i="17" s="1"/>
  <c r="R27" i="39"/>
  <c r="V29" i="17"/>
  <c r="R29" i="17" s="1"/>
  <c r="E55" i="36" s="1"/>
  <c r="R33" i="39"/>
  <c r="V35" i="17"/>
  <c r="R35" i="17" s="1"/>
  <c r="R62" i="39"/>
  <c r="V64" i="17"/>
  <c r="R64" i="17" s="1"/>
  <c r="R36" i="39"/>
  <c r="V38" i="17"/>
  <c r="R38" i="17" s="1"/>
  <c r="V25" i="17"/>
  <c r="R25" i="17" s="1"/>
  <c r="E51" i="36" s="1"/>
  <c r="R23" i="39"/>
  <c r="V31" i="17"/>
  <c r="R31" i="17" s="1"/>
  <c r="R29" i="39"/>
  <c r="V66" i="17"/>
  <c r="R66" i="17" s="1"/>
  <c r="R64" i="39"/>
  <c r="R51" i="39"/>
  <c r="V53" i="17"/>
  <c r="R53" i="17" s="1"/>
  <c r="V59" i="17"/>
  <c r="R59" i="17" s="1"/>
  <c r="R57" i="39"/>
  <c r="V24" i="17"/>
  <c r="R24" i="17" s="1"/>
  <c r="E50" i="36" s="1"/>
  <c r="R22" i="39"/>
  <c r="R63" i="39"/>
  <c r="V65" i="17"/>
  <c r="R65" i="17" s="1"/>
  <c r="V32" i="17"/>
  <c r="R32" i="17" s="1"/>
  <c r="R30" i="39"/>
  <c r="V44" i="17"/>
  <c r="R44" i="17" s="1"/>
  <c r="R42" i="39"/>
  <c r="V26" i="17"/>
  <c r="R26" i="17" s="1"/>
  <c r="E52" i="36" s="1"/>
  <c r="R24" i="39"/>
  <c r="R54" i="39"/>
  <c r="V56" i="17"/>
  <c r="R56" i="17" s="1"/>
  <c r="V19" i="17"/>
  <c r="R19" i="17" s="1"/>
  <c r="E45" i="36" s="1"/>
  <c r="R17" i="39"/>
  <c r="V36" i="17"/>
  <c r="R36" i="17" s="1"/>
  <c r="R34" i="39"/>
  <c r="R20" i="39"/>
  <c r="V22" i="17"/>
  <c r="R22" i="17" s="1"/>
  <c r="E48" i="36"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E46" i="36" s="1"/>
  <c r="R18" i="39"/>
  <c r="V61" i="17"/>
  <c r="R61" i="17" s="1"/>
  <c r="R59" i="39"/>
  <c r="K16" i="17"/>
  <c r="R14" i="39" s="1"/>
  <c r="V16" i="17"/>
  <c r="R16" i="17" s="1"/>
  <c r="E42" i="36"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13" i="15" l="1"/>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41"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DO11" i="6"/>
  <c r="DQ11" i="6" s="1"/>
  <c r="F34" i="17"/>
  <c r="DO25" i="6"/>
  <c r="DQ25" i="6" s="1"/>
  <c r="F48" i="17"/>
  <c r="DO27" i="6"/>
  <c r="DQ27" i="6" s="1"/>
  <c r="F50" i="17"/>
  <c r="DO12" i="6"/>
  <c r="DQ12" i="6" s="1"/>
  <c r="F35" i="17"/>
  <c r="DO22" i="6"/>
  <c r="DQ22" i="6" s="1"/>
  <c r="F45" i="17"/>
  <c r="S15" i="17"/>
  <c r="R71" i="17"/>
  <c r="E32" i="18" s="1"/>
  <c r="R70" i="17"/>
  <c r="AR13" i="15"/>
  <c r="AR25" i="15"/>
  <c r="AR26" i="15"/>
  <c r="AR12" i="15"/>
  <c r="AR11" i="15"/>
  <c r="F55" i="36" l="1"/>
  <c r="G55" i="36" s="1"/>
  <c r="H55" i="36" s="1"/>
  <c r="AR48" i="15"/>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F52" i="36"/>
  <c r="F15" i="36"/>
  <c r="F17" i="36"/>
  <c r="F54" i="36"/>
  <c r="F26" i="36"/>
  <c r="F23" i="36"/>
  <c r="F43" i="36"/>
  <c r="F49" i="36"/>
  <c r="F18" i="36"/>
  <c r="F16" i="36"/>
  <c r="F10" i="36"/>
  <c r="F35" i="36"/>
  <c r="F19" i="36"/>
  <c r="F30" i="36"/>
  <c r="F29" i="36"/>
  <c r="F6" i="36"/>
  <c r="F21" i="36"/>
  <c r="F13" i="36"/>
  <c r="F38" i="36"/>
  <c r="F22" i="36"/>
  <c r="F11" i="36"/>
  <c r="F51" i="36"/>
  <c r="F46" i="36"/>
  <c r="B47" i="26" l="1"/>
  <c r="B46" i="26"/>
  <c r="J5" i="17"/>
  <c r="B6" i="39"/>
  <c r="G45" i="36"/>
  <c r="H45" i="36" s="1"/>
  <c r="G53" i="36"/>
  <c r="H53" i="36" s="1"/>
  <c r="G47" i="36"/>
  <c r="H47" i="36" s="1"/>
  <c r="G44" i="36"/>
  <c r="H44" i="36" s="1"/>
  <c r="G51" i="36"/>
  <c r="H51" i="36" s="1"/>
  <c r="G50" i="36"/>
  <c r="H50" i="36" s="1"/>
  <c r="G49" i="36"/>
  <c r="H49" i="36" s="1"/>
  <c r="G46" i="36"/>
  <c r="H46" i="36" s="1"/>
  <c r="G43" i="36"/>
  <c r="H43" i="36" s="1"/>
  <c r="G48" i="36"/>
  <c r="H48" i="36" s="1"/>
  <c r="G52" i="36"/>
  <c r="H52" i="36" s="1"/>
  <c r="G42" i="36"/>
  <c r="H42" i="36" s="1"/>
  <c r="G54" i="36"/>
  <c r="H54" i="36" s="1"/>
  <c r="G41" i="36"/>
  <c r="H41"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0"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0"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E4" i="36"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E6" i="36" l="1"/>
  <c r="G6" i="36" s="1"/>
  <c r="H6" i="36" s="1"/>
  <c r="E11" i="36"/>
  <c r="E8" i="36"/>
  <c r="G8" i="36" s="1"/>
  <c r="H8" i="36" s="1"/>
  <c r="E14" i="36"/>
  <c r="G14" i="36" s="1"/>
  <c r="H14" i="36" s="1"/>
  <c r="E15" i="36"/>
  <c r="G15" i="36" s="1"/>
  <c r="H15" i="36" s="1"/>
  <c r="E12" i="36"/>
  <c r="G12" i="36" s="1"/>
  <c r="H12" i="36" s="1"/>
  <c r="E5" i="36"/>
  <c r="G5" i="36" s="1"/>
  <c r="H5" i="36" s="1"/>
  <c r="E9" i="36"/>
  <c r="G9" i="36" s="1"/>
  <c r="H9" i="36" s="1"/>
  <c r="E7" i="36"/>
  <c r="G7" i="36" s="1"/>
  <c r="H7" i="36" s="1"/>
  <c r="E13" i="36"/>
  <c r="G13" i="36" s="1"/>
  <c r="H13" i="36" s="1"/>
  <c r="E10" i="36"/>
  <c r="E17" i="36"/>
  <c r="G17" i="36" s="1"/>
  <c r="H17" i="36" s="1"/>
  <c r="E16" i="36"/>
  <c r="G16" i="36" s="1"/>
  <c r="H16" i="36" s="1"/>
  <c r="E18" i="36"/>
  <c r="G18" i="36" s="1"/>
  <c r="H18" i="36" s="1"/>
  <c r="E19" i="36"/>
  <c r="E20" i="36"/>
  <c r="G20" i="36" s="1"/>
  <c r="H20" i="36" s="1"/>
  <c r="E21" i="36"/>
  <c r="G21" i="36" s="1"/>
  <c r="H21" i="36" s="1"/>
  <c r="E23" i="36"/>
  <c r="E22" i="36"/>
  <c r="G22" i="36" s="1"/>
  <c r="H22" i="36" s="1"/>
  <c r="E25" i="36"/>
  <c r="G25" i="36" s="1"/>
  <c r="H25" i="36" s="1"/>
  <c r="E24" i="36"/>
  <c r="G24" i="36" s="1"/>
  <c r="H24" i="36" s="1"/>
  <c r="E27" i="36"/>
  <c r="G27" i="36" s="1"/>
  <c r="H27" i="36" s="1"/>
  <c r="E26" i="36"/>
  <c r="G26" i="36" s="1"/>
  <c r="H26" i="36" s="1"/>
  <c r="E29" i="36"/>
  <c r="G29" i="36" s="1"/>
  <c r="H29" i="36" s="1"/>
  <c r="E28" i="36"/>
  <c r="G28" i="36" s="1"/>
  <c r="H28" i="36" s="1"/>
  <c r="E30" i="36"/>
  <c r="G30" i="36" s="1"/>
  <c r="H30" i="36" s="1"/>
  <c r="E32" i="36"/>
  <c r="G32" i="36" s="1"/>
  <c r="H32" i="36" s="1"/>
  <c r="E31" i="36"/>
  <c r="G31" i="36" s="1"/>
  <c r="H31" i="36" s="1"/>
  <c r="E33" i="36"/>
  <c r="G33" i="36" s="1"/>
  <c r="H33" i="36" s="1"/>
  <c r="E34" i="36"/>
  <c r="G34" i="36" s="1"/>
  <c r="H34" i="36" s="1"/>
  <c r="E35" i="36"/>
  <c r="G35" i="36" s="1"/>
  <c r="H35" i="36" s="1"/>
  <c r="E36" i="36"/>
  <c r="G36" i="36" s="1"/>
  <c r="H36" i="36" s="1"/>
  <c r="E37" i="36"/>
  <c r="G37" i="36" s="1"/>
  <c r="H37" i="36" s="1"/>
  <c r="E38" i="36"/>
  <c r="G38" i="36" s="1"/>
  <c r="H38" i="36" s="1"/>
  <c r="E39" i="36"/>
  <c r="G39" i="36" s="1"/>
  <c r="H39" i="36" s="1"/>
  <c r="E40" i="36"/>
  <c r="G40" i="36" s="1"/>
  <c r="H40" i="36" s="1"/>
  <c r="G4" i="36"/>
  <c r="H4" i="36" s="1"/>
  <c r="G10" i="36"/>
  <c r="H10" i="36" s="1"/>
  <c r="G11" i="36"/>
  <c r="H11" i="36" s="1"/>
  <c r="G19" i="36"/>
  <c r="H19" i="36" s="1"/>
  <c r="G23" i="36"/>
  <c r="H23" i="36" s="1"/>
  <c r="DS13" i="6"/>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H69" i="26" l="1"/>
  <c r="C53" i="18" s="1"/>
  <c r="B61" i="18" s="1"/>
  <c r="H71" i="26"/>
  <c r="DT14" i="6"/>
  <c r="N25" i="17" s="1"/>
  <c r="M25" i="17"/>
  <c r="DU15" i="6"/>
  <c r="DT13" i="6"/>
  <c r="N24" i="17" s="1"/>
  <c r="M24" i="17"/>
  <c r="DT12" i="6"/>
  <c r="N23" i="17" s="1"/>
  <c r="DU12" i="6"/>
  <c r="DT11" i="6"/>
  <c r="N22" i="17" s="1"/>
  <c r="M31" i="17"/>
  <c r="T31" i="17" s="1"/>
  <c r="DU20" i="6"/>
  <c r="DT20" i="6"/>
  <c r="DT15" i="6"/>
  <c r="N26" i="17" s="1"/>
  <c r="M21" i="17"/>
  <c r="T21" i="17" s="1"/>
  <c r="M28" i="17"/>
  <c r="T28" i="17" s="1"/>
  <c r="DU17" i="6"/>
  <c r="DT17" i="6"/>
  <c r="M29" i="17"/>
  <c r="T29" i="17" s="1"/>
  <c r="DU18" i="6"/>
  <c r="DT18" i="6"/>
  <c r="DU16" i="6"/>
  <c r="M27" i="17"/>
  <c r="T27" i="17" s="1"/>
  <c r="DT16" i="6"/>
  <c r="M30" i="17"/>
  <c r="T30" i="17" s="1"/>
  <c r="DU19" i="6"/>
  <c r="DT19" i="6"/>
  <c r="DU22" i="6"/>
  <c r="M33" i="17"/>
  <c r="T33" i="17" s="1"/>
  <c r="DT22" i="6"/>
  <c r="DU25" i="6"/>
  <c r="M36" i="17"/>
  <c r="T36" i="17" s="1"/>
  <c r="DT25" i="6"/>
  <c r="DU27" i="6"/>
  <c r="M38" i="17"/>
  <c r="T38" i="17" s="1"/>
  <c r="DT27" i="6"/>
  <c r="DU21" i="6"/>
  <c r="M32" i="17"/>
  <c r="T32" i="17" s="1"/>
  <c r="DT21" i="6"/>
  <c r="DU26" i="6"/>
  <c r="M37" i="17"/>
  <c r="T37" i="17" s="1"/>
  <c r="DT26" i="6"/>
  <c r="DU29" i="6"/>
  <c r="M40" i="17"/>
  <c r="T40" i="17" s="1"/>
  <c r="DT29" i="6"/>
  <c r="DU23" i="6"/>
  <c r="M34" i="17"/>
  <c r="T34" i="17" s="1"/>
  <c r="DT23" i="6"/>
  <c r="M41" i="17"/>
  <c r="T41" i="17" s="1"/>
  <c r="DU30" i="6"/>
  <c r="DT30" i="6"/>
  <c r="DU24" i="6"/>
  <c r="M35" i="17"/>
  <c r="T35" i="17" s="1"/>
  <c r="DT24" i="6"/>
  <c r="M39" i="17"/>
  <c r="T39" i="17" s="1"/>
  <c r="DU28" i="6"/>
  <c r="DT28" i="6"/>
  <c r="DT10" i="6"/>
  <c r="N21" i="17" s="1"/>
  <c r="J66" i="26"/>
  <c r="C50" i="18"/>
  <c r="DU11" i="6"/>
  <c r="M17" i="17"/>
  <c r="T17" i="17" s="1"/>
  <c r="M18" i="17"/>
  <c r="T18" i="17" s="1"/>
  <c r="DU7" i="6"/>
  <c r="M20" i="17"/>
  <c r="T20" i="17" s="1"/>
  <c r="DU9" i="6"/>
  <c r="DU6" i="6"/>
  <c r="N17" i="17"/>
  <c r="DX7" i="6"/>
  <c r="DT8" i="6"/>
  <c r="DX8" i="6" s="1"/>
  <c r="DU8" i="6"/>
  <c r="M15" i="17"/>
  <c r="DU4" i="6"/>
  <c r="DT4" i="6"/>
  <c r="DX5" i="6"/>
  <c r="N16" i="17"/>
  <c r="U16" i="17" s="1"/>
  <c r="DX9" i="6"/>
  <c r="C29" i="36" l="1"/>
  <c r="T15" i="17"/>
  <c r="DX14" i="6"/>
  <c r="AD8" i="36"/>
  <c r="DX12" i="6"/>
  <c r="DX13" i="6"/>
  <c r="DX11" i="6"/>
  <c r="DX15" i="6"/>
  <c r="U21" i="17"/>
  <c r="DX10" i="6"/>
  <c r="N31" i="17"/>
  <c r="U31" i="17" s="1"/>
  <c r="DX20" i="6"/>
  <c r="N29" i="17"/>
  <c r="U29" i="17" s="1"/>
  <c r="DX18" i="6"/>
  <c r="N30" i="17"/>
  <c r="U30" i="17" s="1"/>
  <c r="DX19" i="6"/>
  <c r="N28" i="17"/>
  <c r="U28" i="17" s="1"/>
  <c r="DX17" i="6"/>
  <c r="N27" i="17"/>
  <c r="U27" i="17"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8" i="36"/>
  <c r="C8" i="36"/>
  <c r="C6" i="36"/>
  <c r="C35" i="36"/>
  <c r="AD6" i="36"/>
  <c r="AD7" i="36"/>
  <c r="U18" i="17"/>
  <c r="U17" i="17"/>
  <c r="N19" i="17"/>
  <c r="U19" i="17" s="1"/>
  <c r="U20" i="17"/>
  <c r="EE10" i="6"/>
  <c r="EA3" i="6"/>
  <c r="D36" i="40" s="1"/>
  <c r="F36" i="40" s="1"/>
  <c r="DX4" i="6"/>
  <c r="N15" i="17"/>
  <c r="T24" i="17"/>
  <c r="AD55" i="36" s="1"/>
  <c r="T25" i="17"/>
  <c r="C4" i="36" s="1"/>
  <c r="T26" i="17"/>
  <c r="C27" i="36" s="1"/>
  <c r="T22" i="17"/>
  <c r="C23" i="36" s="1"/>
  <c r="T23" i="17"/>
  <c r="C31" i="36" s="1"/>
  <c r="U22" i="17"/>
  <c r="U23" i="17"/>
  <c r="U24" i="17"/>
  <c r="U26" i="17"/>
  <c r="U25" i="17"/>
  <c r="C37" i="36" l="1"/>
  <c r="C39" i="36"/>
  <c r="C38" i="36"/>
  <c r="C36" i="36"/>
  <c r="C16" i="36"/>
  <c r="AD16" i="36"/>
  <c r="C17" i="36"/>
  <c r="AD17" i="36"/>
  <c r="C19" i="36"/>
  <c r="AD19" i="36"/>
  <c r="AD20" i="36"/>
  <c r="C18" i="36"/>
  <c r="AD18" i="36"/>
  <c r="C22" i="36"/>
  <c r="C21" i="36"/>
  <c r="C20" i="36"/>
  <c r="C24" i="36"/>
  <c r="C26" i="36"/>
  <c r="AD26" i="36"/>
  <c r="C25" i="36"/>
  <c r="C51" i="36"/>
  <c r="C49" i="36"/>
  <c r="C5" i="36"/>
  <c r="C52" i="36"/>
  <c r="C50" i="36"/>
  <c r="AD52" i="36"/>
  <c r="AD50" i="36"/>
  <c r="AD49" i="36"/>
  <c r="AD22" i="36"/>
  <c r="AD24" i="36"/>
  <c r="AD23" i="36"/>
  <c r="AD21" i="36"/>
  <c r="AD25" i="36"/>
  <c r="U15" i="17"/>
  <c r="AE4" i="36" s="1"/>
  <c r="AD27" i="36"/>
  <c r="AD37" i="36"/>
  <c r="AD38" i="36"/>
  <c r="AD39" i="36"/>
  <c r="AD29" i="36"/>
  <c r="AD28" i="36"/>
  <c r="AD36" i="36"/>
  <c r="D52" i="36"/>
  <c r="C54" i="36"/>
  <c r="D51" i="36"/>
  <c r="D49" i="36"/>
  <c r="C55" i="36"/>
  <c r="C53" i="36"/>
  <c r="D50" i="36"/>
  <c r="D20" i="36"/>
  <c r="AD5" i="36"/>
  <c r="C48" i="36"/>
  <c r="AD4" i="36"/>
  <c r="C47" i="36"/>
  <c r="AE47" i="36"/>
  <c r="AD48" i="36"/>
  <c r="AD47" i="36"/>
  <c r="AE24" i="36"/>
  <c r="AD53" i="36"/>
  <c r="AD51" i="36"/>
  <c r="AE7" i="36"/>
  <c r="AE20" i="36"/>
  <c r="D29" i="36"/>
  <c r="AE46" i="36"/>
  <c r="AE8" i="36"/>
  <c r="AE30" i="36"/>
  <c r="D24" i="36"/>
  <c r="D9" i="36"/>
  <c r="D17" i="36"/>
  <c r="AE17" i="36"/>
  <c r="D19" i="36"/>
  <c r="AE19" i="36"/>
  <c r="D18" i="36"/>
  <c r="AE18" i="36"/>
  <c r="D23" i="36"/>
  <c r="AE23" i="36"/>
  <c r="D22" i="36"/>
  <c r="AE22" i="36"/>
  <c r="D21" i="36"/>
  <c r="AE21" i="36"/>
  <c r="D4" i="36"/>
  <c r="C13" i="36"/>
  <c r="C34" i="36"/>
  <c r="C15" i="36"/>
  <c r="D25" i="36"/>
  <c r="D36" i="36"/>
  <c r="D26" i="36"/>
  <c r="AD10" i="36"/>
  <c r="AD30" i="36"/>
  <c r="C30" i="36"/>
  <c r="D31" i="36"/>
  <c r="AE25" i="36"/>
  <c r="D8" i="36"/>
  <c r="D28" i="36"/>
  <c r="C33" i="36"/>
  <c r="C12" i="36"/>
  <c r="C32" i="36"/>
  <c r="D7" i="36"/>
  <c r="D27" i="36"/>
  <c r="AE55" i="36"/>
  <c r="C41" i="36"/>
  <c r="C11" i="36"/>
  <c r="D6" i="36"/>
  <c r="C42" i="36"/>
  <c r="C10" i="36"/>
  <c r="C46" i="36"/>
  <c r="C14" i="36"/>
  <c r="C44" i="36"/>
  <c r="C40" i="36"/>
  <c r="D35" i="36"/>
  <c r="AE6" i="36"/>
  <c r="D37" i="36"/>
  <c r="AE27" i="36"/>
  <c r="D38" i="36"/>
  <c r="AE31" i="36"/>
  <c r="AD34" i="36"/>
  <c r="C45" i="36"/>
  <c r="AE28" i="36"/>
  <c r="D39" i="36"/>
  <c r="AD32" i="36"/>
  <c r="C43" i="36"/>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42" i="36"/>
  <c r="AE41" i="36"/>
  <c r="AE40" i="36"/>
  <c r="AE54" i="36"/>
  <c r="AE52" i="36"/>
  <c r="AE53" i="36"/>
  <c r="AE51" i="36"/>
  <c r="AE43" i="36"/>
  <c r="AE50" i="36"/>
  <c r="AE49" i="36"/>
  <c r="AE13" i="36"/>
  <c r="AE14" i="36"/>
  <c r="AE11" i="36"/>
  <c r="AE12" i="36"/>
  <c r="AE5" i="36" l="1"/>
  <c r="D5" i="36"/>
  <c r="AE10" i="36"/>
  <c r="AE16" i="36"/>
  <c r="D16" i="36"/>
  <c r="AE26" i="36"/>
  <c r="AE32" i="36"/>
  <c r="M70" i="17"/>
  <c r="D29" i="18" s="1"/>
  <c r="G29" i="18" s="1"/>
  <c r="D14" i="36"/>
  <c r="D33" i="36"/>
  <c r="D48" i="36"/>
  <c r="D53" i="36"/>
  <c r="D54" i="36"/>
  <c r="D46" i="36"/>
  <c r="D11" i="36"/>
  <c r="D15" i="36"/>
  <c r="D55" i="36"/>
  <c r="D43" i="36"/>
  <c r="D45" i="36"/>
  <c r="D40" i="36"/>
  <c r="D10" i="36"/>
  <c r="D41" i="36"/>
  <c r="D32" i="36"/>
  <c r="D30" i="36"/>
  <c r="D34" i="36"/>
  <c r="D47" i="36"/>
  <c r="D44" i="36"/>
  <c r="D42" i="36"/>
  <c r="D12" i="36"/>
  <c r="D13" i="36"/>
  <c r="N70" i="17" l="1" a="1"/>
  <c r="N70" i="17" s="1"/>
  <c r="C6" i="37" s="1"/>
  <c r="C5" i="37"/>
  <c r="D28" i="18" l="1"/>
  <c r="G28" i="18" s="1"/>
  <c r="N71" i="17"/>
  <c r="I118" i="32"/>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Bytheway, Mark</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27" authorId="1" shapeId="0" xr:uid="{F99A1311-C067-4DDD-A648-3D3B62E10D8A}">
      <text>
        <r>
          <rPr>
            <sz val="9"/>
            <color indexed="81"/>
            <rFont val="Tahoma"/>
            <family val="2"/>
          </rPr>
          <t xml:space="preserve">
Please note that these percentiles are adjusted for rebookings/DNAs/Cancellations/ROTT so the figures displayed will not mirror what is shown on the SPC chart in the SPC chart tab.</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<sst xmlns="http://schemas.openxmlformats.org/spreadsheetml/2006/main" count="2585" uniqueCount="1305">
  <si>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</si>
  <si>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</si>
  <si>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</si>
  <si>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</si>
  <si>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</si>
  <si>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</si>
  <si>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</si>
  <si>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</si>
  <si>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</si>
  <si>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</si>
  <si>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</si>
  <si>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</si>
  <si>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</si>
  <si>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</si>
  <si>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</si>
  <si>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</si>
  <si>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</si>
  <si>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</si>
  <si>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</si>
  <si>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</si>
  <si>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</si>
  <si>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</si>
  <si>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</si>
  <si>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</si>
  <si>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</si>
  <si>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</si>
  <si>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</si>
  <si>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</si>
  <si>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</si>
  <si>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</si>
  <si>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</si>
  <si>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</si>
  <si>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</si>
  <si>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</si>
  <si>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</si>
  <si>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</si>
  <si>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</si>
  <si>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</si>
  <si>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</si>
  <si>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</si>
  <si>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</si>
  <si>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</si>
  <si>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</si>
  <si>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</si>
  <si>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</si>
  <si>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</si>
  <si>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</si>
  <si>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</si>
  <si>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</si>
  <si>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</si>
  <si>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</si>
  <si>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</si>
  <si>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</si>
  <si>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</si>
  <si>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</si>
  <si>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</si>
  <si>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</si>
  <si>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</si>
  <si>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</si>
  <si>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</si>
  <si>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</si>
  <si>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</si>
  <si>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</si>
  <si>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</si>
  <si>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</si>
  <si>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</si>
  <si>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</si>
  <si>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</si>
  <si>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</si>
  <si>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</si>
  <si>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</si>
  <si>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</si>
  <si>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</si>
  <si>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</si>
  <si>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</si>
  <si>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</si>
  <si>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</si>
  <si>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</si>
  <si>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</si>
  <si>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</si>
  <si>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</si>
  <si>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</si>
  <si>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</si>
  <si>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</si>
  <si>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</si>
  <si>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</si>
  <si>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</si>
  <si>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</si>
  <si>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</si>
  <si>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</si>
  <si>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</si>
  <si>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</si>
  <si>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</si>
  <si>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</si>
  <si>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</si>
  <si>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</si>
  <si>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</si>
  <si>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</si>
  <si>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</si>
  <si>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</si>
  <si>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</si>
  <si>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</si>
  <si>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</si>
  <si>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</si>
  <si>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</si>
  <si>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</si>
  <si>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</si>
  <si>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</si>
  <si>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</si>
  <si>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</si>
  <si>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</si>
  <si>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</si>
  <si>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</si>
  <si>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</si>
  <si>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</si>
  <si>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</si>
  <si>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</si>
  <si>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</si>
  <si>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</si>
  <si>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</si>
  <si>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</si>
  <si>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</si>
  <si>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</si>
  <si>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</si>
  <si>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</si>
  <si>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</si>
  <si>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</si>
  <si>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</si>
  <si>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</si>
  <si>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</si>
  <si>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</si>
  <si>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</si>
  <si>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</si>
  <si>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</si>
  <si>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</si>
  <si>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</si>
  <si>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</si>
  <si>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</si>
  <si>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</si>
  <si>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</si>
  <si>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</si>
  <si>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</si>
  <si>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</si>
  <si>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</si>
  <si>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</si>
  <si>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</si>
  <si>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</si>
  <si>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</si>
  <si>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</si>
  <si>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</si>
  <si>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</si>
  <si>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</si>
  <si>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</si>
  <si>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</si>
  <si>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</si>
  <si>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</si>
  <si>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</si>
  <si>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</si>
  <si>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</si>
  <si>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</si>
  <si>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</si>
  <si>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</si>
  <si>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</si>
  <si>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</si>
  <si>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</si>
  <si>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</si>
  <si>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</si>
  <si>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</si>
  <si>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</si>
  <si>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</si>
  <si>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</si>
  <si>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</si>
  <si>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</si>
  <si>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</si>
  <si>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</si>
  <si>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</si>
  <si>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</si>
  <si>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</si>
  <si>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</si>
  <si>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</si>
  <si>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</si>
  <si>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</si>
  <si>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</si>
  <si>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</si>
  <si>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</si>
  <si>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</si>
  <si>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</si>
  <si>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</si>
  <si>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</si>
  <si>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</si>
  <si>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</si>
  <si>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</si>
  <si>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</si>
  <si>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</si>
  <si>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</si>
  <si>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</si>
  <si>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</si>
  <si>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</si>
  <si>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</si>
  <si>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</si>
  <si>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</si>
  <si>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</si>
  <si>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</si>
  <si>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</si>
  <si>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</si>
  <si>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</si>
  <si>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</si>
  <si>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</si>
  <si>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</si>
  <si>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</si>
  <si>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</si>
  <si>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</si>
  <si>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</si>
  <si>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</si>
  <si>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</si>
  <si>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</si>
  <si>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</si>
  <si>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</si>
  <si>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</si>
  <si>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</si>
  <si>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</si>
  <si>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</si>
  <si>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</si>
  <si>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</si>
  <si>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</si>
  <si>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</si>
  <si>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</si>
  <si>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</si>
  <si>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</si>
  <si>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</si>
  <si>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</si>
  <si>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</si>
  <si>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</si>
  <si>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</si>
  <si>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</si>
  <si>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</si>
  <si>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</si>
  <si>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</si>
  <si>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</si>
  <si>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</si>
  <si>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</si>
  <si>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</si>
  <si>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</si>
  <si>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</si>
  <si>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</si>
  <si>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</si>
  <si>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</si>
  <si>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</si>
  <si>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</si>
  <si>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</si>
  <si>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</si>
  <si>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</si>
  <si>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</si>
  <si>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</si>
  <si>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</si>
  <si>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</si>
  <si>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</si>
  <si>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</si>
  <si>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</si>
  <si>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</si>
  <si>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</si>
  <si>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</si>
  <si>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</si>
  <si>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</si>
  <si>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</si>
  <si>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</si>
  <si>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</si>
  <si>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</si>
  <si>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</si>
  <si>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</si>
  <si>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</si>
  <si>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</si>
  <si>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</si>
  <si>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</si>
  <si>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</si>
  <si>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</si>
  <si>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</si>
  <si>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</si>
  <si>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</si>
  <si>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</si>
  <si>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</si>
  <si>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</si>
  <si>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</si>
  <si>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</si>
  <si>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</si>
  <si>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</si>
  <si>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</si>
  <si>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</si>
  <si>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</si>
  <si>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</si>
  <si>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</si>
  <si>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</si>
  <si>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</si>
  <si>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</si>
  <si>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</si>
  <si>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</si>
  <si>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</si>
  <si>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</si>
  <si>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</si>
  <si>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</si>
  <si>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</si>
  <si>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</si>
  <si>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</si>
  <si>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</si>
  <si>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</si>
  <si>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</si>
  <si>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</si>
  <si>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</si>
  <si>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</si>
  <si>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</si>
  <si>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</si>
  <si>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</si>
  <si>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</si>
  <si>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</si>
  <si>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</si>
  <si>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</si>
  <si>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</si>
  <si>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</si>
  <si>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</si>
  <si>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</si>
  <si>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</si>
  <si>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</si>
  <si>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</si>
  <si>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</si>
  <si>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</si>
  <si>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</si>
  <si>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</si>
  <si>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</si>
  <si>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</si>
  <si>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</si>
  <si>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</si>
  <si>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</si>
  <si>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</si>
  <si>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</si>
  <si>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</si>
  <si>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</si>
  <si>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</si>
  <si>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</si>
  <si>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</si>
  <si>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</si>
  <si>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</si>
  <si>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</si>
  <si>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</si>
  <si>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</si>
  <si>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</si>
  <si>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</si>
  <si>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</si>
  <si>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</si>
  <si>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</si>
  <si>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</si>
  <si>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</si>
  <si>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</si>
  <si>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</si>
  <si>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</si>
  <si>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</si>
  <si>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</si>
  <si>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</si>
  <si>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</si>
  <si>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</si>
  <si>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</si>
  <si>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</si>
  <si>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</si>
  <si>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</si>
  <si>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</si>
  <si>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</si>
  <si>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</si>
  <si>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</si>
  <si>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</si>
  <si>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</si>
  <si>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</si>
  <si>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</si>
  <si>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</si>
  <si>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</si>
  <si>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</si>
  <si>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</si>
  <si>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</si>
  <si>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</si>
  <si>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</si>
  <si>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</si>
  <si>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</si>
  <si>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</si>
  <si>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</si>
  <si>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</si>
  <si>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</si>
  <si>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</si>
  <si>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</si>
  <si>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</si>
  <si>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</si>
  <si>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</si>
  <si>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</si>
  <si>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</si>
  <si>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</si>
  <si>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</si>
  <si>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</si>
  <si>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</si>
  <si>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</si>
  <si>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</si>
  <si>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</si>
  <si>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</si>
  <si>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</si>
  <si>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</si>
  <si>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</si>
  <si>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</si>
  <si>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</si>
  <si>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</si>
  <si>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</si>
  <si>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</si>
  <si>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</si>
  <si>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</si>
  <si>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</si>
  <si>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</si>
  <si>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</si>
  <si>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</si>
  <si>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</si>
  <si>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</si>
  <si>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</si>
  <si>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</si>
  <si>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</si>
  <si>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</si>
  <si>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</si>
  <si>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</si>
  <si>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</si>
  <si>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</si>
  <si>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</si>
  <si>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</si>
  <si>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</si>
  <si>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</si>
  <si>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</si>
  <si>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</si>
  <si>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</si>
  <si>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</si>
  <si>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</si>
  <si>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</si>
  <si>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</si>
  <si>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</si>
  <si>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</si>
  <si>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</si>
  <si>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</si>
  <si>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</si>
  <si>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</si>
  <si>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</si>
  <si>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</si>
  <si>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</si>
  <si>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</si>
  <si>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</si>
  <si>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</si>
  <si>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</si>
  <si>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</si>
  <si>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</si>
  <si>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</si>
  <si>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</si>
  <si>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</si>
  <si>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</si>
  <si>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</si>
  <si>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</si>
  <si>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</si>
  <si>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</si>
  <si>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</si>
  <si>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</si>
  <si>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</si>
  <si>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</si>
  <si>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</si>
  <si>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</si>
  <si>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</si>
  <si>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</si>
  <si>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</si>
  <si>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</si>
  <si>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</si>
  <si>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</si>
  <si>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</si>
  <si>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</si>
  <si>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</si>
  <si>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</si>
  <si>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</si>
  <si>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</si>
  <si>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</si>
  <si>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</si>
  <si>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</si>
  <si>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</si>
  <si>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</si>
  <si>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</si>
  <si>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</si>
  <si>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</si>
  <si>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</si>
  <si>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</si>
  <si>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</si>
  <si>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</si>
  <si>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</si>
  <si>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</si>
  <si>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</si>
  <si>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</si>
  <si>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</si>
  <si>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</si>
  <si>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</si>
  <si>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</si>
  <si>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</si>
  <si>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</si>
  <si>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</si>
  <si>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</si>
  <si>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</si>
  <si>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</si>
  <si>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</si>
  <si>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</si>
  <si>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</si>
  <si>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</si>
  <si>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</si>
  <si>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</si>
  <si>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</si>
  <si>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</si>
  <si>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</si>
  <si>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</si>
  <si>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</si>
  <si>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</si>
  <si>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</si>
  <si>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</si>
  <si>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</si>
  <si>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</si>
  <si>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</si>
  <si>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</si>
  <si>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</si>
  <si>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</si>
  <si>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</si>
  <si>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</si>
  <si>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</si>
  <si>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</si>
  <si>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</si>
  <si>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</si>
  <si>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</si>
  <si>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</si>
  <si>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</si>
  <si>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</si>
  <si>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</si>
  <si>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</si>
  <si>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</si>
  <si>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</si>
  <si>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</si>
  <si>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</si>
  <si>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</si>
  <si>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</si>
  <si>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</si>
  <si>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</si>
  <si>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</si>
  <si>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</si>
  <si>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</si>
  <si>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</si>
  <si>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</si>
  <si>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</si>
  <si>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</si>
  <si>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</si>
  <si>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</si>
  <si>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</si>
  <si>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</si>
  <si>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</si>
  <si>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</si>
  <si>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</si>
  <si>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</si>
  <si>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</si>
  <si>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</si>
  <si>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</si>
  <si>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</si>
  <si>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</si>
  <si>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</si>
  <si>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</si>
  <si>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</si>
  <si>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</si>
  <si>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</si>
  <si>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</si>
  <si>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</si>
  <si>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</si>
  <si>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</si>
  <si>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</si>
  <si>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</si>
  <si>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</si>
  <si>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</si>
  <si>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</si>
  <si>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</si>
  <si>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</si>
  <si>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</si>
  <si>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</si>
  <si>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</si>
  <si>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</si>
  <si>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</si>
  <si>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</si>
  <si>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</si>
  <si>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</si>
  <si>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</si>
  <si>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</si>
  <si>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</si>
  <si>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</si>
  <si>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</si>
  <si>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</si>
  <si>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</si>
  <si>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</si>
  <si>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</si>
  <si>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</si>
  <si>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</si>
  <si>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</si>
  <si>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</si>
  <si>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</si>
  <si>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</si>
  <si>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</si>
  <si>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</si>
  <si>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</si>
  <si>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</si>
  <si>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</si>
  <si>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</si>
  <si>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</si>
  <si>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</si>
  <si>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</si>
  <si>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</si>
  <si>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</si>
  <si>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</si>
  <si>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</si>
  <si>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</si>
  <si>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</si>
  <si>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</si>
  <si>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</si>
  <si>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</si>
  <si>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</si>
  <si>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</si>
  <si>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</si>
  <si>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</si>
  <si>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</si>
  <si>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</si>
  <si>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</si>
  <si>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</si>
  <si>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</si>
  <si>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</si>
  <si>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</si>
  <si>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</si>
  <si>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</si>
  <si>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</si>
  <si>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</si>
  <si>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</si>
  <si>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</si>
  <si>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</si>
  <si>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</si>
  <si>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</si>
  <si>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</si>
  <si>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</si>
  <si>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</si>
  <si>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</si>
  <si>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</si>
  <si>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</si>
  <si>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</si>
  <si>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</si>
  <si>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</si>
  <si>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</si>
  <si>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</si>
  <si>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</si>
  <si>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</si>
  <si>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</si>
  <si>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</si>
  <si>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</si>
  <si>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</si>
  <si>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</si>
  <si>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</si>
  <si>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</si>
  <si>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</si>
  <si>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</si>
  <si>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</si>
  <si>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</si>
  <si>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</si>
  <si>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</si>
  <si>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</si>
  <si>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</si>
  <si>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</si>
  <si>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</si>
  <si>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</si>
  <si>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</si>
  <si>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</si>
  <si>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</si>
  <si>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</si>
  <si>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</si>
  <si>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</si>
  <si>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</si>
  <si>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</si>
  <si>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</si>
  <si>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</si>
  <si>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</si>
  <si>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</si>
  <si>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</si>
  <si>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</si>
  <si>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</si>
  <si>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</si>
  <si>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</si>
  <si>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</si>
  <si>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</si>
  <si>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</si>
  <si>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</si>
  <si>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</si>
  <si>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</si>
  <si>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</si>
  <si>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</si>
  <si>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</si>
  <si>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</si>
  <si>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</si>
  <si>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</si>
  <si>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</si>
  <si>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</si>
  <si>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</si>
  <si>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</si>
  <si>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</si>
  <si>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</si>
  <si>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</si>
  <si>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</si>
  <si>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</si>
  <si>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</si>
  <si>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</si>
  <si>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</si>
  <si>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</si>
  <si>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</si>
  <si>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</si>
  <si>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</si>
  <si>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</si>
  <si>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</si>
  <si>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</si>
  <si>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</si>
  <si>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</si>
  <si>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</si>
  <si>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</si>
  <si>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</si>
  <si>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</si>
  <si>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</si>
  <si>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</si>
  <si>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</si>
  <si>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</si>
  <si>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</si>
  <si>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</si>
  <si>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</si>
  <si>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</si>
  <si>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</si>
  <si>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</si>
  <si>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</si>
  <si>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</si>
  <si>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</si>
  <si>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</si>
  <si>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</si>
  <si>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</si>
  <si>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</si>
  <si>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</si>
  <si>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</si>
  <si>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</si>
  <si>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</si>
  <si>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</si>
  <si>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</si>
  <si>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</si>
  <si>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</si>
  <si>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</si>
  <si>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</si>
  <si>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</si>
  <si>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</si>
  <si>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</si>
  <si>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</si>
  <si>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</si>
  <si>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</si>
  <si>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</si>
  <si>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</si>
  <si>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</si>
  <si>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</si>
  <si>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</si>
  <si>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</si>
  <si>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</si>
  <si>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</si>
  <si>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</si>
  <si>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</si>
  <si>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</si>
  <si>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</si>
  <si>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</si>
  <si>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</si>
  <si>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</si>
  <si>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</si>
  <si>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</si>
  <si>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</si>
  <si>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</si>
  <si>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</si>
  <si>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</si>
  <si>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</si>
  <si>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</si>
  <si>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</si>
  <si>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</si>
  <si>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</si>
  <si>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</si>
  <si>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</si>
  <si>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</si>
  <si>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</si>
  <si>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</si>
  <si>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</si>
  <si>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</si>
  <si>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</si>
  <si>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</si>
  <si>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</si>
  <si>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</si>
  <si>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</si>
  <si>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</si>
  <si>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</si>
  <si>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</si>
  <si>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</si>
  <si>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</si>
  <si>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</si>
  <si>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</si>
  <si>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</si>
  <si>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</si>
  <si>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</si>
  <si>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</si>
  <si>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</si>
  <si>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</si>
  <si>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</si>
  <si>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</si>
  <si>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</si>
  <si>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</si>
  <si>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</si>
  <si>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</si>
  <si>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</si>
  <si>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</si>
  <si>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</si>
  <si>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</si>
  <si>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</si>
  <si>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</si>
  <si>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</si>
  <si>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</si>
  <si>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</si>
  <si>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</si>
  <si>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</si>
  <si>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</si>
  <si>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</si>
  <si>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</si>
  <si>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</si>
  <si>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</si>
  <si>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</si>
  <si>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</si>
  <si>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</si>
  <si>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</si>
  <si>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</si>
  <si>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</si>
  <si>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</si>
  <si>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</si>
  <si>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</si>
  <si>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</si>
  <si>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</si>
  <si>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</si>
  <si>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</si>
  <si>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</si>
  <si>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</si>
  <si>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</si>
  <si>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</si>
  <si>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</si>
  <si>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</si>
  <si>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</si>
  <si>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</si>
  <si>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</si>
  <si>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</si>
  <si>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</si>
  <si>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</si>
  <si>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</si>
  <si>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</si>
  <si>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</si>
  <si>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</si>
  <si>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</si>
  <si>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</si>
  <si>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</si>
  <si>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</si>
  <si>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</si>
  <si>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</si>
  <si>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</si>
  <si>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</si>
  <si>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</si>
  <si>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</si>
  <si>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</si>
  <si>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</si>
  <si>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</si>
  <si>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</si>
  <si>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</si>
  <si>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</si>
  <si>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</si>
  <si>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</si>
  <si>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</si>
  <si>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</si>
  <si>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</si>
  <si>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</si>
  <si>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</si>
  <si>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</si>
  <si>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</si>
  <si>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</si>
  <si>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</si>
  <si>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</si>
  <si>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</si>
  <si>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</si>
  <si>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</si>
  <si>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</si>
  <si>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</si>
  <si>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</si>
  <si>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</si>
  <si>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</si>
  <si>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</si>
  <si>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</si>
  <si>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</si>
  <si>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</si>
  <si>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</si>
  <si>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</si>
  <si>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</si>
  <si>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</si>
  <si>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</si>
  <si>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</si>
  <si>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</si>
  <si>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</si>
  <si>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</si>
  <si>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</si>
  <si>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</si>
  <si>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</si>
  <si>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</si>
  <si>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</si>
  <si>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</si>
  <si>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</si>
  <si>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</si>
  <si>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</si>
  <si>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</si>
  <si>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</si>
  <si>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</si>
  <si>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</si>
  <si>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</si>
  <si>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</si>
  <si>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</si>
  <si>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</si>
  <si>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</si>
  <si>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</si>
  <si>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</si>
  <si>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</si>
  <si>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</si>
  <si>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</si>
  <si>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</si>
  <si>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</si>
  <si>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</si>
  <si>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</si>
  <si>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</si>
  <si>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</si>
  <si>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</si>
  <si>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</si>
  <si>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</si>
  <si>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</si>
  <si>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</si>
  <si>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</si>
  <si>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</si>
  <si>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</si>
  <si>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</si>
  <si>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</si>
  <si>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</si>
  <si>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</si>
  <si>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</si>
  <si>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</si>
  <si>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</si>
  <si>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</si>
  <si>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</si>
  <si>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</si>
  <si>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</si>
  <si>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</si>
  <si>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</si>
  <si>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</si>
  <si>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</si>
  <si>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</si>
  <si>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</si>
  <si>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</si>
  <si>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</si>
  <si>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</si>
  <si>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</si>
  <si>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</si>
  <si>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</si>
  <si>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</si>
  <si>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</si>
  <si>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</si>
  <si>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</si>
  <si>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</si>
  <si>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</si>
  <si>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</si>
  <si>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</si>
  <si>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</si>
  <si>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</si>
  <si>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</si>
  <si>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</si>
  <si>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</si>
  <si>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</si>
  <si>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</si>
  <si>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</si>
  <si>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</si>
  <si>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</si>
  <si>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</si>
  <si>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</si>
  <si>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</si>
  <si>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</si>
  <si>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</si>
  <si>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</si>
  <si>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</si>
  <si>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</si>
  <si>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</si>
  <si>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</si>
  <si>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</si>
  <si>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</si>
  <si>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</si>
  <si>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</si>
  <si>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</si>
  <si>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</si>
  <si>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</si>
  <si>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</si>
  <si>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</si>
  <si>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</si>
  <si>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</si>
  <si>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</si>
  <si>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</si>
  <si>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</si>
  <si>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</si>
  <si>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</si>
  <si>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</si>
  <si>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</si>
  <si>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</si>
  <si>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</si>
  <si>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</si>
  <si>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</si>
  <si>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</si>
  <si>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</si>
  <si>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</si>
  <si>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</si>
  <si>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</si>
  <si>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</si>
  <si>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</si>
  <si>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</si>
  <si>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</si>
  <si>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</si>
  <si>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</si>
  <si>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</si>
  <si>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</si>
  <si>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</si>
  <si>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</si>
  <si>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</si>
  <si>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</si>
  <si>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</si>
  <si>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</si>
  <si>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</si>
  <si>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</si>
  <si>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</si>
  <si>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</si>
  <si>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</si>
  <si>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</si>
  <si>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</si>
  <si>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</si>
  <si>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</si>
  <si>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</si>
  <si>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</si>
  <si>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</si>
  <si>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</si>
  <si>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</si>
  <si>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</si>
  <si>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</si>
  <si>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</si>
  <si>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</si>
  <si>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</si>
  <si>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</si>
  <si>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</si>
  <si>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</si>
  <si>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</si>
  <si>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</si>
  <si>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</si>
  <si>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</si>
  <si>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</si>
  <si>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</si>
  <si>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</si>
  <si>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</si>
  <si>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</si>
  <si>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</si>
  <si>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</si>
  <si>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</si>
  <si>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</si>
  <si>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</si>
  <si>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</si>
  <si>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</si>
  <si>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</si>
  <si>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</si>
  <si>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</si>
  <si>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</si>
  <si>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</si>
  <si>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</si>
  <si>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</si>
  <si>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</si>
  <si>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</si>
  <si>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</si>
  <si>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</si>
  <si>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</si>
  <si>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</si>
  <si>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</si>
  <si>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</si>
  <si>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</si>
  <si>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</si>
  <si>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</si>
  <si>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</si>
  <si>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</si>
  <si>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</si>
  <si>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</si>
  <si>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</si>
  <si>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</si>
  <si>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</si>
  <si>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</si>
  <si>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</si>
  <si>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</si>
  <si>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</si>
  <si>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</si>
  <si>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</si>
  <si>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</si>
  <si>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</si>
  <si>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</si>
  <si>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</si>
  <si>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</si>
  <si>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</si>
  <si>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</si>
  <si>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</si>
  <si>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</si>
  <si>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</si>
  <si>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</si>
  <si>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</si>
  <si>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</si>
  <si>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</si>
  <si>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</si>
  <si>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</si>
  <si>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</si>
  <si>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</si>
  <si>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</si>
  <si>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</si>
  <si>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</si>
  <si>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</si>
  <si>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</si>
  <si>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</si>
  <si>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</si>
  <si>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</si>
  <si>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</si>
  <si>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</si>
  <si>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</si>
  <si>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</si>
  <si>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</si>
  <si>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</si>
  <si>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</si>
  <si>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</si>
  <si>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</si>
  <si>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</si>
  <si>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</si>
  <si>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</si>
  <si>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</si>
  <si>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</si>
  <si>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</si>
  <si>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</si>
  <si>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</si>
  <si>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</si>
  <si>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</si>
  <si>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</si>
  <si>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</si>
  <si>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</si>
  <si>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</si>
  <si>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</si>
  <si>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</si>
  <si>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</si>
  <si>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</si>
  <si>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</si>
  <si>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</si>
  <si>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</si>
  <si>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</si>
  <si>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</si>
  <si>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</si>
  <si>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</si>
  <si>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</si>
  <si>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</si>
  <si>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</si>
  <si>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</si>
  <si>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</si>
  <si>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</si>
  <si>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</si>
  <si>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</si>
  <si>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</si>
  <si>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</si>
  <si>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</si>
  <si>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</si>
  <si>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</si>
  <si>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</si>
  <si>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</si>
  <si>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</si>
  <si>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</si>
  <si>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</si>
  <si>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</si>
  <si>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</si>
  <si>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</si>
  <si>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</si>
  <si>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</si>
  <si>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</si>
  <si>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</si>
  <si>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</si>
  <si>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</si>
  <si>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</si>
  <si>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</si>
  <si>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</si>
  <si>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</si>
  <si>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</si>
  <si>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</si>
  <si>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</si>
  <si>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</si>
  <si>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</si>
  <si>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</si>
  <si>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</si>
  <si>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</si>
  <si>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</si>
  <si>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</si>
  <si>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</si>
  <si>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</si>
  <si>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</si>
  <si>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</si>
  <si>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</si>
  <si>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</si>
  <si>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</si>
  <si>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</si>
  <si>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</si>
  <si>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</si>
  <si>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</si>
  <si>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</si>
  <si>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</si>
  <si>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</si>
  <si>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</si>
  <si>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</si>
  <si>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</si>
  <si>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</si>
  <si>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</si>
  <si>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</si>
  <si>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</si>
  <si>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</si>
  <si>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</si>
  <si>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</si>
  <si>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</si>
  <si>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</si>
  <si>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</si>
  <si>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</si>
  <si>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</si>
  <si>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</si>
  <si>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</si>
  <si>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</si>
  <si>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</si>
  <si>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</si>
  <si>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</si>
  <si>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</si>
  <si>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</si>
  <si>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</si>
  <si>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</si>
  <si>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</si>
  <si>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</si>
  <si>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</si>
  <si>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</si>
  <si>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t>
  </si>
  <si>
    <t>AdHoc</t>
  </si>
  <si>
    <t>Enabled</t>
  </si>
  <si>
    <t>Change demand scenario:</t>
  </si>
  <si>
    <t>Consultant: Mr Smith</t>
  </si>
  <si>
    <t>Consultant: Ms Taylor</t>
  </si>
  <si>
    <t>CT Scanner 1</t>
  </si>
  <si>
    <t>CT Scanner 2</t>
  </si>
  <si>
    <t>CT Scanner 3</t>
  </si>
  <si>
    <t>1. Consultant: Mr Smith</t>
  </si>
  <si>
    <t>2. Consultant: Ms Taylor</t>
  </si>
  <si>
    <t>3. CT Scanner 1</t>
  </si>
  <si>
    <t>Change Capacity Scenario:</t>
  </si>
  <si>
    <t>Name:</t>
  </si>
  <si>
    <t>Demand Uplift:</t>
  </si>
  <si>
    <t>ROTT:</t>
  </si>
  <si>
    <t>Scenario Count:</t>
  </si>
  <si>
    <t>Test</t>
  </si>
  <si>
    <t>NASL%</t>
  </si>
  <si>
    <t>NASR:D%</t>
  </si>
  <si>
    <t>NASL:D%</t>
  </si>
  <si>
    <t>Paul Bullard + Sai Khunpha</t>
  </si>
  <si>
    <t>Additional functionality:
Users can now save capacity and scenario templates, and switch between them for what-if planning. 
Scenario and capacity templates can be loaded via the Summary page.</t>
  </si>
  <si>
    <t>3.4h</t>
  </si>
  <si>
    <t>Bug fix:
Capacity conversion from patients -&gt; other units and vice versa not working as expected, corrected so that it is now calculating correctly.</t>
  </si>
  <si>
    <t>3.4i</t>
  </si>
  <si>
    <t>Selection List</t>
  </si>
  <si>
    <t>Core Clinic 1</t>
  </si>
  <si>
    <t>Mon</t>
  </si>
  <si>
    <t>Independent sector 1</t>
  </si>
  <si>
    <t>Core Clinic 2</t>
  </si>
  <si>
    <t>Ad Hoc 2</t>
  </si>
  <si>
    <t>Core Clinic 3</t>
  </si>
  <si>
    <t>Tue</t>
  </si>
  <si>
    <t>Core Clinic 4</t>
  </si>
  <si>
    <t>Thu</t>
  </si>
  <si>
    <t>Covid restoration clinic</t>
  </si>
  <si>
    <t>Wed</t>
  </si>
  <si>
    <t>3.4ii</t>
  </si>
  <si>
    <t>5% Increase</t>
  </si>
  <si>
    <t>Current Template:</t>
  </si>
  <si>
    <t>Scenario1</t>
  </si>
  <si>
    <t>Capacity Scenario:</t>
  </si>
  <si>
    <t>Planning Scenario:</t>
  </si>
  <si>
    <t>Capacity Template Options</t>
  </si>
  <si>
    <t>Historic data</t>
  </si>
  <si>
    <t xml:space="preserve">  Based on 85th percentile</t>
  </si>
  <si>
    <t xml:space="preserve">  Based on 65th percentile</t>
  </si>
  <si>
    <t>[Not Saved]</t>
  </si>
  <si>
    <t>Warning message for importing capacity and demand scenarios that unsaved changes will be lost.
Importing demand scenario now updates summary table in summary tab.
Capacity import/export now accounts for change from minutes/points/patients.
Loaded capacity template displayed on capacity, capacity summary and summary sheet.
Waiting list clearance calculation corrected
Warning message to &gt;52 weeks entered in "weeks per year" for Capacity
Change made to how week 53 is displayed in summary tab
Change made to how specific week selections in Capacity Summary calculates in Summary tab
Correction to overall summary capacity figures at top of table in Capacity sheet</t>
  </si>
  <si>
    <t xml:space="preserve">Bug fix: 
Summary sheet not showing ad hoc and core capacity due to mismatch with wk 53 calculations. Rows with non-matching values will now default to average wk (for year) capacity values if no match found.
Feature update:
- Added debug mode to facilitate development
</t>
  </si>
  <si>
    <t>Test name 1</t>
  </si>
  <si>
    <t>Test name 2</t>
  </si>
  <si>
    <t>Ad Hoc 1</t>
  </si>
  <si>
    <t>Ad hoc session</t>
  </si>
  <si>
    <t>Version: 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</si>
</sst>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
      <sz val="8"/>
      <color rgb="FF000000"/>
      <name val="Tahoma"/>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2F2F2"/>
        <bgColor indexed="64"/>
      </patternFill>
    </fill>
  </fills>
  <borders count="98">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
      <left/>
      <right style="thin">
        <color theme="1" tint="0.14996795556505021"/>
      </right>
      <top style="thin">
        <color theme="1" tint="0.14996795556505021"/>
      </top>
      <bottom style="thin">
        <color theme="1" tint="0.14996795556505021"/>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94">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6"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1"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2" fillId="0" borderId="0" xfId="0" applyFont="1" applyAlignment="1">
      <alignment vertical="center"/>
    </xf>
    <xf numFmtId="0" fontId="62"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3"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2" fillId="0" borderId="0" xfId="0" applyFont="1" applyProtection="1">
      <protection hidden="1"/>
    </xf>
    <xf numFmtId="9" fontId="64" fillId="9" borderId="62" xfId="0" applyNumberFormat="1" applyFont="1" applyFill="1" applyBorder="1" applyProtection="1">
      <protection locked="0"/>
    </xf>
    <xf numFmtId="9" fontId="64"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59" fillId="0" borderId="0" xfId="0" applyFont="1" applyProtection="1">
      <protection hidden="1"/>
    </xf>
    <xf numFmtId="3" fontId="0" fillId="9" borderId="0" xfId="0" applyNumberFormat="1" applyFill="1" applyAlignment="1" applyProtection="1">
      <alignment wrapText="1"/>
      <protection hidden="1"/>
    </xf>
    <xf numFmtId="0" fontId="56" fillId="6" borderId="0" xfId="0" applyFont="1" applyFill="1" applyAlignment="1" applyProtection="1">
      <alignment horizontal="center"/>
      <protection hidden="1"/>
    </xf>
    <xf numFmtId="0" fontId="57"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5" fillId="0" borderId="15" xfId="0" applyNumberFormat="1" applyFont="1" applyBorder="1" applyProtection="1">
      <protection hidden="1"/>
    </xf>
    <xf numFmtId="3" fontId="65" fillId="0" borderId="16" xfId="0" applyNumberFormat="1" applyFont="1" applyBorder="1" applyProtection="1">
      <protection hidden="1"/>
    </xf>
    <xf numFmtId="3" fontId="65" fillId="0" borderId="17" xfId="0" applyNumberFormat="1" applyFont="1" applyBorder="1" applyProtection="1">
      <protection hidden="1"/>
    </xf>
    <xf numFmtId="1" fontId="65" fillId="9" borderId="0" xfId="0" applyNumberFormat="1" applyFont="1" applyFill="1" applyProtection="1">
      <protection hidden="1"/>
    </xf>
    <xf numFmtId="3" fontId="65" fillId="2" borderId="15" xfId="0" applyNumberFormat="1" applyFont="1" applyFill="1" applyBorder="1" applyProtection="1">
      <protection hidden="1"/>
    </xf>
    <xf numFmtId="3" fontId="65" fillId="2" borderId="16" xfId="0" applyNumberFormat="1" applyFont="1" applyFill="1" applyBorder="1" applyProtection="1">
      <protection hidden="1"/>
    </xf>
    <xf numFmtId="3" fontId="65" fillId="2" borderId="17" xfId="0" applyNumberFormat="1" applyFont="1" applyFill="1" applyBorder="1" applyProtection="1">
      <protection hidden="1"/>
    </xf>
    <xf numFmtId="0" fontId="65" fillId="9" borderId="0" xfId="0" applyFont="1" applyFill="1" applyProtection="1">
      <protection hidden="1"/>
    </xf>
    <xf numFmtId="3" fontId="65" fillId="0" borderId="3" xfId="0" applyNumberFormat="1" applyFont="1" applyBorder="1" applyProtection="1">
      <protection hidden="1"/>
    </xf>
    <xf numFmtId="3" fontId="65" fillId="0" borderId="4" xfId="0" applyNumberFormat="1" applyFont="1" applyBorder="1" applyProtection="1">
      <protection hidden="1"/>
    </xf>
    <xf numFmtId="3" fontId="65" fillId="0" borderId="5" xfId="0" applyNumberFormat="1" applyFont="1" applyBorder="1" applyProtection="1">
      <protection hidden="1"/>
    </xf>
    <xf numFmtId="3" fontId="65" fillId="9" borderId="0" xfId="0" applyNumberFormat="1" applyFont="1" applyFill="1" applyProtection="1">
      <protection hidden="1"/>
    </xf>
    <xf numFmtId="0" fontId="61" fillId="0" borderId="0" xfId="0" applyNumberFormat="1" applyFont="1" applyBorder="1" applyAlignment="1" applyProtection="1">
      <alignment horizontal="center"/>
      <protection hidden="1"/>
    </xf>
    <xf numFmtId="0" fontId="61" fillId="0" borderId="15" xfId="0" applyNumberFormat="1" applyFont="1" applyBorder="1" applyProtection="1">
      <protection hidden="1"/>
    </xf>
    <xf numFmtId="0" fontId="61" fillId="0" borderId="16" xfId="0" applyNumberFormat="1" applyFont="1" applyBorder="1" applyProtection="1">
      <protection hidden="1"/>
    </xf>
    <xf numFmtId="0" fontId="61" fillId="0" borderId="17" xfId="0" applyNumberFormat="1" applyFont="1" applyBorder="1" applyProtection="1">
      <protection hidden="1"/>
    </xf>
    <xf numFmtId="0" fontId="61" fillId="9" borderId="0" xfId="0" applyNumberFormat="1" applyFont="1" applyFill="1" applyBorder="1" applyAlignment="1" applyProtection="1">
      <alignment horizontal="center"/>
      <protection hidden="1"/>
    </xf>
    <xf numFmtId="0" fontId="61"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0" fillId="9" borderId="0" xfId="0" applyNumberFormat="1" applyFont="1" applyFill="1" applyProtection="1">
      <protection hidden="1"/>
    </xf>
    <xf numFmtId="0" fontId="60" fillId="9" borderId="0" xfId="0" applyFont="1" applyFill="1" applyProtection="1">
      <protection hidden="1"/>
    </xf>
    <xf numFmtId="14" fontId="60" fillId="9" borderId="54" xfId="0" applyNumberFormat="1" applyFont="1" applyFill="1" applyBorder="1" applyProtection="1">
      <protection hidden="1"/>
    </xf>
    <xf numFmtId="14" fontId="60" fillId="7" borderId="60" xfId="0" applyNumberFormat="1" applyFont="1" applyFill="1" applyBorder="1" applyProtection="1">
      <protection hidden="1"/>
    </xf>
    <xf numFmtId="14" fontId="60" fillId="7" borderId="70" xfId="0" applyNumberFormat="1" applyFont="1" applyFill="1" applyBorder="1" applyProtection="1">
      <protection hidden="1"/>
    </xf>
    <xf numFmtId="3" fontId="60" fillId="9" borderId="0" xfId="0" applyNumberFormat="1" applyFont="1" applyFill="1" applyProtection="1">
      <protection hidden="1"/>
    </xf>
    <xf numFmtId="0" fontId="9" fillId="0" borderId="0" xfId="0" applyFont="1"/>
    <xf numFmtId="3" fontId="62"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0" fillId="0" borderId="0" xfId="0" applyFont="1" applyAlignment="1">
      <alignment horizontal="center"/>
    </xf>
    <xf numFmtId="164" fontId="60"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6" fillId="0" borderId="52" xfId="0" applyFont="1" applyBorder="1" applyAlignment="1" applyProtection="1">
      <alignment vertical="center" wrapText="1"/>
      <protection locked="0"/>
    </xf>
    <xf numFmtId="0" fontId="67" fillId="0" borderId="52" xfId="0" applyFont="1" applyBorder="1" applyAlignment="1" applyProtection="1">
      <alignment vertical="center" wrapText="1"/>
      <protection locked="0"/>
    </xf>
    <xf numFmtId="2" fontId="4" fillId="0" borderId="72" xfId="0" applyNumberFormat="1" applyFont="1" applyBorder="1"/>
    <xf numFmtId="0" fontId="68" fillId="0" borderId="0" xfId="0" applyFont="1" applyFill="1" applyBorder="1"/>
    <xf numFmtId="0" fontId="60" fillId="9" borderId="0" xfId="0" applyNumberFormat="1" applyFont="1" applyFill="1" applyProtection="1">
      <protection hidden="1"/>
    </xf>
    <xf numFmtId="0" fontId="59" fillId="0" borderId="0" xfId="0" applyFont="1" applyFill="1"/>
    <xf numFmtId="2" fontId="0" fillId="0" borderId="72" xfId="0" applyNumberFormat="1" applyFont="1" applyBorder="1"/>
    <xf numFmtId="0" fontId="69" fillId="0" borderId="0" xfId="0" applyFont="1" applyAlignment="1"/>
    <xf numFmtId="164" fontId="59"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1" fillId="0" borderId="0" xfId="0" applyFont="1" applyBorder="1"/>
    <xf numFmtId="0" fontId="70" fillId="0" borderId="0" xfId="0" applyFont="1" applyBorder="1" applyAlignment="1" applyProtection="1">
      <alignment horizontal="center" vertical="center"/>
      <protection locked="0"/>
    </xf>
    <xf numFmtId="0" fontId="70" fillId="0" borderId="0" xfId="0" applyFont="1" applyFill="1" applyBorder="1" applyAlignment="1" applyProtection="1">
      <alignment horizontal="center" vertical="center"/>
      <protection locked="0"/>
    </xf>
    <xf numFmtId="0" fontId="71" fillId="0" borderId="0" xfId="0" applyFont="1"/>
    <xf numFmtId="0" fontId="72" fillId="0" borderId="0" xfId="0" applyFont="1"/>
    <xf numFmtId="3" fontId="60" fillId="0" borderId="0" xfId="0" applyNumberFormat="1" applyFont="1" applyBorder="1" applyAlignment="1" applyProtection="1">
      <alignment horizontal="right"/>
      <protection hidden="1"/>
    </xf>
    <xf numFmtId="0" fontId="59" fillId="0" borderId="0" xfId="0" applyFont="1"/>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3"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4" borderId="72" xfId="0" applyFont="1" applyFill="1" applyBorder="1" applyProtection="1">
      <protection hidden="1"/>
    </xf>
    <xf numFmtId="3" fontId="4" fillId="84"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4" fillId="0" borderId="52" xfId="0" applyNumberFormat="1" applyFont="1" applyBorder="1" applyAlignment="1" applyProtection="1">
      <alignment horizontal="center"/>
      <protection locked="0"/>
    </xf>
    <xf numFmtId="3" fontId="74" fillId="0" borderId="53" xfId="0" applyNumberFormat="1" applyFont="1" applyBorder="1" applyAlignment="1" applyProtection="1">
      <alignment horizontal="center"/>
      <protection locked="0"/>
    </xf>
    <xf numFmtId="0" fontId="75" fillId="0" borderId="0" xfId="0" applyFont="1" applyAlignment="1" applyProtection="1">
      <alignment horizontal="center" vertical="center"/>
      <protection locked="0"/>
    </xf>
    <xf numFmtId="0" fontId="75" fillId="0" borderId="0" xfId="0" applyFont="1" applyBorder="1" applyAlignment="1" applyProtection="1">
      <alignment horizontal="center" vertical="center"/>
      <protection locked="0"/>
    </xf>
    <xf numFmtId="0" fontId="75" fillId="0" borderId="58" xfId="0" applyFont="1" applyBorder="1" applyAlignment="1" applyProtection="1">
      <alignment horizontal="center" vertical="center"/>
      <protection locked="0"/>
    </xf>
    <xf numFmtId="0" fontId="75" fillId="0" borderId="59" xfId="0" applyFont="1" applyBorder="1" applyAlignment="1" applyProtection="1">
      <alignment horizontal="center" vertical="center"/>
      <protection locked="0"/>
    </xf>
    <xf numFmtId="0" fontId="75"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77"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0" fontId="4" fillId="0" borderId="0" xfId="0" applyFont="1"/>
    <xf numFmtId="0" fontId="0" fillId="85" borderId="0" xfId="0" applyFill="1"/>
    <xf numFmtId="9" fontId="0" fillId="85" borderId="0" xfId="1" applyFont="1" applyFill="1"/>
    <xf numFmtId="9" fontId="0" fillId="85" borderId="0" xfId="0" applyNumberFormat="1" applyFill="1"/>
    <xf numFmtId="0" fontId="0" fillId="9" borderId="66" xfId="0" applyFill="1" applyBorder="1" applyAlignment="1">
      <alignment horizontal="right"/>
    </xf>
    <xf numFmtId="0" fontId="59" fillId="0" borderId="0" xfId="0" applyFont="1"/>
    <xf numFmtId="14" fontId="0" fillId="0" borderId="72" xfId="0" applyNumberFormat="1" applyFont="1" applyBorder="1" applyAlignment="1">
      <alignment wrapText="1"/>
    </xf>
    <xf numFmtId="0" fontId="4" fillId="0" borderId="0" xfId="0" applyFont="1"/>
    <xf numFmtId="0" fontId="0" fillId="68" borderId="72" xfId="0" applyFill="1" applyBorder="1"/>
    <xf numFmtId="1" fontId="0" fillId="9" borderId="67" xfId="0" applyNumberFormat="1" applyFill="1" applyBorder="1" applyAlignment="1"/>
    <xf numFmtId="0" fontId="5" fillId="0" borderId="0" xfId="0" applyFont="1" applyAlignment="1">
      <alignment vertical="center"/>
    </xf>
    <xf numFmtId="0" fontId="5" fillId="76" borderId="48" xfId="0" applyFont="1" applyFill="1" applyBorder="1" applyAlignment="1">
      <alignment horizontal="center" vertical="center"/>
    </xf>
    <xf numFmtId="3" fontId="14" fillId="86" borderId="64" xfId="0" applyNumberFormat="1" applyFont="1" applyFill="1" applyBorder="1" applyProtection="1">
      <protection hidden="1"/>
    </xf>
    <xf numFmtId="0" fontId="14" fillId="86" borderId="64" xfId="0" applyFont="1" applyFill="1" applyBorder="1" applyAlignment="1" applyProtection="1">
      <alignment horizontal="right"/>
      <protection hidden="1"/>
    </xf>
    <xf numFmtId="0" fontId="4" fillId="85" borderId="0" xfId="0" applyFont="1" applyFill="1"/>
    <xf numFmtId="3" fontId="0" fillId="85" borderId="0" xfId="0" applyNumberFormat="1" applyFill="1"/>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xf numFmtId="14" fontId="14" fillId="0" borderId="82" xfId="0" applyNumberFormat="1" applyFont="1" applyFill="1" applyBorder="1" applyAlignment="1" applyProtection="1">
      <alignment horizontal="center" vertical="center"/>
      <protection locked="0"/>
    </xf>
    <xf numFmtId="14" fontId="0" fillId="68" borderId="48" xfId="0" applyNumberFormat="1" applyFill="1" applyBorder="1" applyProtection="1">
      <protection locked="0"/>
    </xf>
    <xf numFmtId="14" fontId="61" fillId="0" borderId="15" xfId="0" applyNumberFormat="1" applyFont="1" applyBorder="1" applyProtection="1">
      <protection hidden="1"/>
    </xf>
    <xf numFmtId="14" fontId="61" fillId="0" borderId="16" xfId="0" applyNumberFormat="1" applyFont="1" applyBorder="1" applyProtection="1">
      <protection hidden="1"/>
    </xf>
    <xf numFmtId="14" fontId="61" fillId="0" borderId="17" xfId="0" applyNumberFormat="1" applyFont="1" applyBorder="1" applyProtection="1">
      <protection hidden="1"/>
    </xf>
    <xf numFmtId="14" fontId="61" fillId="9" borderId="0" xfId="0" applyNumberFormat="1" applyFont="1" applyFill="1" applyProtection="1">
      <protection hidden="1"/>
    </xf>
    <xf numFmtId="0" fontId="68" fillId="0" borderId="0" xfId="0" applyFont="1"/>
    <xf numFmtId="0" fontId="14" fillId="0" borderId="82" xfId="0" applyFont="1" applyFill="1" applyBorder="1" applyAlignment="1" applyProtection="1">
      <alignment horizontal="center" vertical="center"/>
      <protection locked="0"/>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0" fillId="0" borderId="0" xfId="0" applyAlignment="1">
      <alignment horizontal="left"/>
    </xf>
    <xf numFmtId="0" fontId="0" fillId="0" borderId="51" xfId="0" applyBorder="1" applyAlignment="1">
      <alignment horizontal="left"/>
    </xf>
    <xf numFmtId="0" fontId="61" fillId="0" borderId="0" xfId="0" applyFont="1" applyBorder="1" applyAlignment="1">
      <alignment horizontal="left"/>
    </xf>
    <xf numFmtId="0" fontId="61" fillId="0" borderId="71" xfId="0" applyFont="1" applyBorder="1" applyAlignment="1">
      <alignment horizontal="left"/>
    </xf>
    <xf numFmtId="0" fontId="0" fillId="0" borderId="97" xfId="0" applyBorder="1" applyAlignment="1" applyProtection="1">
      <alignment horizontal="center" wrapText="1"/>
      <protection locked="0"/>
    </xf>
    <xf numFmtId="0" fontId="0" fillId="0" borderId="2" xfId="0" applyBorder="1" applyAlignment="1" applyProtection="1">
      <alignment horizontal="center" wrapText="1"/>
      <protection locked="0"/>
    </xf>
    <xf numFmtId="0" fontId="56" fillId="0" borderId="83" xfId="0" applyFont="1" applyBorder="1" applyAlignment="1">
      <alignment horizontal="center"/>
    </xf>
    <xf numFmtId="0" fontId="56" fillId="0" borderId="86" xfId="0" applyFont="1" applyBorder="1" applyAlignment="1">
      <alignment horizontal="center"/>
    </xf>
    <xf numFmtId="0" fontId="56" fillId="0" borderId="84" xfId="0" applyFont="1" applyBorder="1" applyAlignment="1">
      <alignment horizontal="center"/>
    </xf>
    <xf numFmtId="3" fontId="0" fillId="0" borderId="72" xfId="0" applyNumberFormat="1" applyBorder="1" applyAlignment="1" applyProtection="1">
      <alignment horizontal="center"/>
      <protection locked="0"/>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5" fillId="4" borderId="0" xfId="0" applyFont="1" applyFill="1" applyAlignment="1">
      <alignment horizontal="center" vertical="center" wrapText="1"/>
    </xf>
    <xf numFmtId="0" fontId="5" fillId="4" borderId="91" xfId="0" applyFont="1" applyFill="1" applyBorder="1" applyAlignment="1">
      <alignment horizontal="center" vertical="center" wrapText="1"/>
    </xf>
    <xf numFmtId="0" fontId="5" fillId="4" borderId="90" xfId="0" applyFont="1" applyFill="1" applyBorder="1" applyAlignment="1">
      <alignment horizontal="center" vertical="center" wrapText="1"/>
    </xf>
    <xf numFmtId="0" fontId="5" fillId="4" borderId="0" xfId="0" applyFont="1" applyFill="1" applyAlignment="1">
      <alignment horizontal="center" vertical="center"/>
    </xf>
    <xf numFmtId="0" fontId="5" fillId="4" borderId="90" xfId="0" applyFont="1" applyFill="1" applyBorder="1" applyAlignment="1">
      <alignment horizontal="center" vertical="center"/>
    </xf>
    <xf numFmtId="0" fontId="56" fillId="10" borderId="81" xfId="0" applyFont="1" applyFill="1" applyBorder="1" applyAlignment="1" applyProtection="1">
      <alignment horizontal="center" vertical="center" wrapText="1"/>
      <protection hidden="1"/>
    </xf>
    <xf numFmtId="0" fontId="56"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9" fillId="7" borderId="0" xfId="0" applyFont="1" applyFill="1" applyAlignment="1">
      <alignment horizontal="left"/>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3" fontId="0" fillId="9" borderId="70" xfId="0" applyNumberFormat="1" applyFill="1" applyBorder="1" applyAlignment="1" applyProtection="1">
      <alignment horizontal="center"/>
      <protection hidden="1"/>
    </xf>
    <xf numFmtId="0" fontId="59" fillId="0" borderId="0" xfId="0" applyFont="1"/>
    <xf numFmtId="0" fontId="59" fillId="0" borderId="96" xfId="0" applyFont="1" applyBorder="1"/>
    <xf numFmtId="0" fontId="4" fillId="0" borderId="0" xfId="0" applyFont="1"/>
    <xf numFmtId="0" fontId="4" fillId="0" borderId="51" xfId="0" applyFont="1" applyBorder="1"/>
    <xf numFmtId="0" fontId="4" fillId="0" borderId="0" xfId="0" applyFont="1" applyAlignment="1">
      <alignment horizontal="left" vertical="center"/>
    </xf>
    <xf numFmtId="0" fontId="4" fillId="0" borderId="0" xfId="0" applyFont="1" applyAlignment="1">
      <alignment horizontal="center" vertical="center"/>
    </xf>
    <xf numFmtId="0" fontId="59"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64">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patternType="none">
          <bgColor auto="1"/>
        </patternFill>
      </fill>
    </dxf>
    <dxf>
      <font>
        <b val="0"/>
        <i val="0"/>
        <color auto="1"/>
      </font>
      <fill>
        <patternFill>
          <bgColor theme="0" tint="-0.14996795556505021"/>
        </patternFill>
      </fill>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bgColor theme="0"/>
        </patternFill>
      </fill>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fill>
        <patternFill>
          <bgColor theme="0"/>
        </patternFill>
      </fill>
      <border>
        <left style="thin">
          <color rgb="FF768692"/>
        </left>
        <right style="thin">
          <color rgb="FF768692"/>
        </right>
        <top style="thin">
          <color rgb="FF768692"/>
        </top>
        <bottom style="thin">
          <color rgb="FF768692"/>
        </bottom>
        <vertical/>
        <horizontal/>
      </border>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5"/>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1164</c:v>
                </c:pt>
                <c:pt idx="24">
                  <c:v>1164</c:v>
                </c:pt>
                <c:pt idx="25">
                  <c:v>1164</c:v>
                </c:pt>
                <c:pt idx="26">
                  <c:v>1164</c:v>
                </c:pt>
                <c:pt idx="27">
                  <c:v>1164</c:v>
                </c:pt>
                <c:pt idx="28">
                  <c:v>1164</c:v>
                </c:pt>
                <c:pt idx="29">
                  <c:v>1164</c:v>
                </c:pt>
                <c:pt idx="30">
                  <c:v>1164</c:v>
                </c:pt>
                <c:pt idx="31">
                  <c:v>1164</c:v>
                </c:pt>
                <c:pt idx="32">
                  <c:v>1164</c:v>
                </c:pt>
                <c:pt idx="33">
                  <c:v>664</c:v>
                </c:pt>
                <c:pt idx="34">
                  <c:v>664</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5"/>
                <c:pt idx="0">
                  <c:v>44242</c:v>
                </c:pt>
                <c:pt idx="1">
                  <c:v>44249</c:v>
                </c:pt>
                <c:pt idx="2">
                  <c:v>44256</c:v>
                </c:pt>
                <c:pt idx="3">
                  <c:v>44263</c:v>
                </c:pt>
                <c:pt idx="4">
                  <c:v>44270</c:v>
                </c:pt>
                <c:pt idx="5">
                  <c:v>44277</c:v>
                </c:pt>
                <c:pt idx="6">
                  <c:v>44284</c:v>
                </c:pt>
                <c:pt idx="7">
                  <c:v>44291</c:v>
                </c:pt>
                <c:pt idx="8">
                  <c:v>44298</c:v>
                </c:pt>
                <c:pt idx="9">
                  <c:v>44305</c:v>
                </c:pt>
                <c:pt idx="10">
                  <c:v>44312</c:v>
                </c:pt>
                <c:pt idx="11">
                  <c:v>44319</c:v>
                </c:pt>
                <c:pt idx="12">
                  <c:v>44326</c:v>
                </c:pt>
                <c:pt idx="13">
                  <c:v>44333</c:v>
                </c:pt>
                <c:pt idx="14">
                  <c:v>44340</c:v>
                </c:pt>
                <c:pt idx="15">
                  <c:v>44347</c:v>
                </c:pt>
                <c:pt idx="16">
                  <c:v>44354</c:v>
                </c:pt>
                <c:pt idx="17">
                  <c:v>44361</c:v>
                </c:pt>
                <c:pt idx="18">
                  <c:v>44368</c:v>
                </c:pt>
                <c:pt idx="19">
                  <c:v>44375</c:v>
                </c:pt>
                <c:pt idx="20">
                  <c:v>44382</c:v>
                </c:pt>
                <c:pt idx="21">
                  <c:v>44389</c:v>
                </c:pt>
                <c:pt idx="22">
                  <c:v>44396</c:v>
                </c:pt>
                <c:pt idx="23">
                  <c:v>44403</c:v>
                </c:pt>
                <c:pt idx="24">
                  <c:v>44410</c:v>
                </c:pt>
                <c:pt idx="25">
                  <c:v>44417</c:v>
                </c:pt>
                <c:pt idx="26">
                  <c:v>44424</c:v>
                </c:pt>
                <c:pt idx="27">
                  <c:v>44431</c:v>
                </c:pt>
                <c:pt idx="28">
                  <c:v>44438</c:v>
                </c:pt>
                <c:pt idx="29">
                  <c:v>44445</c:v>
                </c:pt>
                <c:pt idx="30">
                  <c:v>44452</c:v>
                </c:pt>
                <c:pt idx="31">
                  <c:v>44459</c:v>
                </c:pt>
                <c:pt idx="32">
                  <c:v>44466</c:v>
                </c:pt>
                <c:pt idx="33">
                  <c:v>44473</c:v>
                </c:pt>
                <c:pt idx="34">
                  <c:v>44480</c:v>
                </c:pt>
              </c:numCache>
            </c:numRef>
          </c:cat>
          <c:val>
            <c:numRef>
              <c:f>[0]!D_Adj_Lower</c:f>
              <c:numCache>
                <c:formatCode>#,##0</c:formatCode>
                <c:ptCount val="35"/>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5"/>
                <c:pt idx="0">
                  <c:v>44242</c:v>
                </c:pt>
                <c:pt idx="1">
                  <c:v>44249</c:v>
                </c:pt>
                <c:pt idx="2">
                  <c:v>44256</c:v>
                </c:pt>
                <c:pt idx="3">
                  <c:v>44263</c:v>
                </c:pt>
                <c:pt idx="4">
                  <c:v>44270</c:v>
                </c:pt>
                <c:pt idx="5">
                  <c:v>44277</c:v>
                </c:pt>
                <c:pt idx="6">
                  <c:v>44284</c:v>
                </c:pt>
                <c:pt idx="7">
                  <c:v>44291</c:v>
                </c:pt>
                <c:pt idx="8">
                  <c:v>44298</c:v>
                </c:pt>
                <c:pt idx="9">
                  <c:v>44305</c:v>
                </c:pt>
                <c:pt idx="10">
                  <c:v>44312</c:v>
                </c:pt>
                <c:pt idx="11">
                  <c:v>44319</c:v>
                </c:pt>
                <c:pt idx="12">
                  <c:v>44326</c:v>
                </c:pt>
                <c:pt idx="13">
                  <c:v>44333</c:v>
                </c:pt>
                <c:pt idx="14">
                  <c:v>44340</c:v>
                </c:pt>
                <c:pt idx="15">
                  <c:v>44347</c:v>
                </c:pt>
                <c:pt idx="16">
                  <c:v>44354</c:v>
                </c:pt>
                <c:pt idx="17">
                  <c:v>44361</c:v>
                </c:pt>
                <c:pt idx="18">
                  <c:v>44368</c:v>
                </c:pt>
                <c:pt idx="19">
                  <c:v>44375</c:v>
                </c:pt>
                <c:pt idx="20">
                  <c:v>44382</c:v>
                </c:pt>
                <c:pt idx="21">
                  <c:v>44389</c:v>
                </c:pt>
                <c:pt idx="22">
                  <c:v>44396</c:v>
                </c:pt>
                <c:pt idx="23">
                  <c:v>44403</c:v>
                </c:pt>
                <c:pt idx="24">
                  <c:v>44410</c:v>
                </c:pt>
                <c:pt idx="25">
                  <c:v>44417</c:v>
                </c:pt>
                <c:pt idx="26">
                  <c:v>44424</c:v>
                </c:pt>
                <c:pt idx="27">
                  <c:v>44431</c:v>
                </c:pt>
                <c:pt idx="28">
                  <c:v>44438</c:v>
                </c:pt>
                <c:pt idx="29">
                  <c:v>44445</c:v>
                </c:pt>
                <c:pt idx="30">
                  <c:v>44452</c:v>
                </c:pt>
                <c:pt idx="31">
                  <c:v>44459</c:v>
                </c:pt>
                <c:pt idx="32">
                  <c:v>44466</c:v>
                </c:pt>
                <c:pt idx="33">
                  <c:v>44473</c:v>
                </c:pt>
                <c:pt idx="34">
                  <c:v>44480</c:v>
                </c:pt>
              </c:numCache>
            </c:numRef>
          </c:cat>
          <c:val>
            <c:numRef>
              <c:f>[0]!D_Adj_Upper</c:f>
              <c:numCache>
                <c:formatCode>#,##0</c:formatCode>
                <c:ptCount val="35"/>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3"/>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Mar</c:v>
                  </c:pt>
                  <c:pt idx="1">
                    <c:v>Apr</c:v>
                  </c:pt>
                  <c:pt idx="5">
                    <c:v>May</c:v>
                  </c:pt>
                  <c:pt idx="10">
                    <c:v>Jun</c:v>
                  </c:pt>
                  <c:pt idx="14">
                    <c:v>Jul</c:v>
                  </c:pt>
                  <c:pt idx="18">
                    <c:v>Aug</c:v>
                  </c:pt>
                  <c:pt idx="23">
                    <c:v>Sep</c:v>
                  </c:pt>
                  <c:pt idx="27">
                    <c:v>Oct</c:v>
                  </c:pt>
                  <c:pt idx="32">
                    <c:v>Nov</c:v>
                  </c:pt>
                  <c:pt idx="36">
                    <c:v>Dec</c:v>
                  </c:pt>
                  <c:pt idx="40">
                    <c:v>Jan</c:v>
                  </c:pt>
                  <c:pt idx="45">
                    <c:v>Feb</c:v>
                  </c:pt>
                  <c:pt idx="49">
                    <c:v>Mar</c:v>
                  </c:pt>
                  <c:pt idx="53">
                    <c:v>Apr</c:v>
                  </c:pt>
                  <c:pt idx="57">
                    <c:v>May</c:v>
                  </c:pt>
                  <c:pt idx="62">
                    <c:v>Jun</c:v>
                  </c:pt>
                  <c:pt idx="66">
                    <c:v>Jul</c:v>
                  </c:pt>
                  <c:pt idx="71">
                    <c:v>Aug</c:v>
                  </c:pt>
                  <c:pt idx="75">
                    <c:v>Sep</c:v>
                  </c:pt>
                  <c:pt idx="79">
                    <c:v>Oct</c:v>
                  </c:pt>
                  <c:pt idx="84">
                    <c:v>Nov</c:v>
                  </c:pt>
                  <c:pt idx="88">
                    <c:v>Dec</c:v>
                  </c:pt>
                  <c:pt idx="92">
                    <c:v>Jan</c:v>
                  </c:pt>
                  <c:pt idx="97">
                    <c:v>Feb</c:v>
                  </c:pt>
                  <c:pt idx="101">
                    <c:v>Mar</c:v>
                  </c:pt>
                  <c:pt idx="105">
                    <c:v>Apr</c:v>
                  </c:pt>
                  <c:pt idx="110">
                    <c:v>May</c:v>
                  </c:pt>
                  <c:pt idx="114">
                    <c:v>Jun</c:v>
                  </c:pt>
                  <c:pt idx="118">
                    <c:v>Jul</c:v>
                  </c:pt>
                  <c:pt idx="123">
                    <c:v>Aug</c:v>
                  </c:pt>
                  <c:pt idx="127">
                    <c:v>Sep</c:v>
                  </c:pt>
                  <c:pt idx="131">
                    <c:v>Oct</c:v>
                  </c:pt>
                  <c:pt idx="136">
                    <c:v>Nov</c:v>
                  </c:pt>
                  <c:pt idx="140">
                    <c:v>Dec</c:v>
                  </c:pt>
                  <c:pt idx="145">
                    <c:v>Jan</c:v>
                  </c:pt>
                  <c:pt idx="149">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 </c:v>
                  </c:pt>
                  <c:pt idx="145">
                    <c:v>2019</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43584</c:v>
                </c:pt>
                <c:pt idx="1">
                  <c:v>43591</c:v>
                </c:pt>
                <c:pt idx="2">
                  <c:v>43598</c:v>
                </c:pt>
                <c:pt idx="3">
                  <c:v>43605</c:v>
                </c:pt>
                <c:pt idx="4">
                  <c:v>43612</c:v>
                </c:pt>
                <c:pt idx="5">
                  <c:v>43619</c:v>
                </c:pt>
                <c:pt idx="6">
                  <c:v>43626</c:v>
                </c:pt>
                <c:pt idx="7">
                  <c:v>43633</c:v>
                </c:pt>
                <c:pt idx="8">
                  <c:v>43640</c:v>
                </c:pt>
                <c:pt idx="9">
                  <c:v>43647</c:v>
                </c:pt>
                <c:pt idx="10">
                  <c:v>43654</c:v>
                </c:pt>
                <c:pt idx="11">
                  <c:v>43661</c:v>
                </c:pt>
                <c:pt idx="12">
                  <c:v>43668</c:v>
                </c:pt>
                <c:pt idx="13">
                  <c:v>43675</c:v>
                </c:pt>
                <c:pt idx="14">
                  <c:v>43682</c:v>
                </c:pt>
                <c:pt idx="15">
                  <c:v>43689</c:v>
                </c:pt>
                <c:pt idx="16">
                  <c:v>43696</c:v>
                </c:pt>
                <c:pt idx="17">
                  <c:v>43703</c:v>
                </c:pt>
                <c:pt idx="18">
                  <c:v>43710</c:v>
                </c:pt>
                <c:pt idx="19">
                  <c:v>43717</c:v>
                </c:pt>
                <c:pt idx="20">
                  <c:v>43724</c:v>
                </c:pt>
                <c:pt idx="21">
                  <c:v>43731</c:v>
                </c:pt>
                <c:pt idx="22">
                  <c:v>43738</c:v>
                </c:pt>
                <c:pt idx="23">
                  <c:v>43745</c:v>
                </c:pt>
                <c:pt idx="24">
                  <c:v>43752</c:v>
                </c:pt>
                <c:pt idx="25">
                  <c:v>43759</c:v>
                </c:pt>
                <c:pt idx="26">
                  <c:v>43766</c:v>
                </c:pt>
                <c:pt idx="27">
                  <c:v>43773</c:v>
                </c:pt>
                <c:pt idx="28">
                  <c:v>43780</c:v>
                </c:pt>
                <c:pt idx="29">
                  <c:v>43787</c:v>
                </c:pt>
                <c:pt idx="30">
                  <c:v>43794</c:v>
                </c:pt>
                <c:pt idx="31">
                  <c:v>43801</c:v>
                </c:pt>
                <c:pt idx="32">
                  <c:v>43808</c:v>
                </c:pt>
                <c:pt idx="33">
                  <c:v>43815</c:v>
                </c:pt>
                <c:pt idx="34">
                  <c:v>43822</c:v>
                </c:pt>
                <c:pt idx="35">
                  <c:v>43829</c:v>
                </c:pt>
                <c:pt idx="36">
                  <c:v>43836</c:v>
                </c:pt>
                <c:pt idx="37">
                  <c:v>43843</c:v>
                </c:pt>
                <c:pt idx="38">
                  <c:v>43850</c:v>
                </c:pt>
                <c:pt idx="39">
                  <c:v>43857</c:v>
                </c:pt>
                <c:pt idx="40">
                  <c:v>43864</c:v>
                </c:pt>
                <c:pt idx="41">
                  <c:v>43871</c:v>
                </c:pt>
                <c:pt idx="42">
                  <c:v>43878</c:v>
                </c:pt>
                <c:pt idx="43">
                  <c:v>43885</c:v>
                </c:pt>
                <c:pt idx="44">
                  <c:v>43892</c:v>
                </c:pt>
                <c:pt idx="45">
                  <c:v>43899</c:v>
                </c:pt>
                <c:pt idx="46">
                  <c:v>43906</c:v>
                </c:pt>
                <c:pt idx="47">
                  <c:v>43913</c:v>
                </c:pt>
                <c:pt idx="48">
                  <c:v>43920</c:v>
                </c:pt>
                <c:pt idx="49">
                  <c:v>43927</c:v>
                </c:pt>
                <c:pt idx="50">
                  <c:v>43934</c:v>
                </c:pt>
                <c:pt idx="51">
                  <c:v>43941</c:v>
                </c:pt>
              </c:numCache>
            </c:numRef>
          </c:cat>
          <c:val>
            <c:numRef>
              <c:f>[0]!Cap_Chart_Core_Range</c:f>
              <c:numCache>
                <c:formatCode>#,##0</c:formatCode>
                <c:ptCount val="52"/>
                <c:pt idx="0">
                  <c:v>4.6383881230116648</c:v>
                </c:pt>
                <c:pt idx="1">
                  <c:v>4.6383881230116648</c:v>
                </c:pt>
                <c:pt idx="2">
                  <c:v>4.6383881230116648</c:v>
                </c:pt>
                <c:pt idx="3">
                  <c:v>4.6383881230116648</c:v>
                </c:pt>
                <c:pt idx="4">
                  <c:v>4.6383881230116648</c:v>
                </c:pt>
                <c:pt idx="5">
                  <c:v>18.364256848880391</c:v>
                </c:pt>
                <c:pt idx="6">
                  <c:v>18.364256848880391</c:v>
                </c:pt>
                <c:pt idx="7">
                  <c:v>18.364256848880391</c:v>
                </c:pt>
                <c:pt idx="8">
                  <c:v>18.364256848880391</c:v>
                </c:pt>
                <c:pt idx="9">
                  <c:v>18.364256848880391</c:v>
                </c:pt>
                <c:pt idx="10">
                  <c:v>18.364256848880391</c:v>
                </c:pt>
                <c:pt idx="11">
                  <c:v>18.364256848880391</c:v>
                </c:pt>
                <c:pt idx="12">
                  <c:v>18.364256848880391</c:v>
                </c:pt>
                <c:pt idx="13">
                  <c:v>18.364256848880391</c:v>
                </c:pt>
                <c:pt idx="14">
                  <c:v>13.725868725868725</c:v>
                </c:pt>
                <c:pt idx="15">
                  <c:v>13.725868725868725</c:v>
                </c:pt>
                <c:pt idx="16">
                  <c:v>13.725868725868725</c:v>
                </c:pt>
                <c:pt idx="17">
                  <c:v>13.725868725868725</c:v>
                </c:pt>
                <c:pt idx="18">
                  <c:v>13.725868725868725</c:v>
                </c:pt>
                <c:pt idx="19">
                  <c:v>13.725868725868725</c:v>
                </c:pt>
                <c:pt idx="20">
                  <c:v>4.6383881230116648</c:v>
                </c:pt>
                <c:pt idx="21">
                  <c:v>4.6383881230116648</c:v>
                </c:pt>
                <c:pt idx="22">
                  <c:v>4.6383881230116648</c:v>
                </c:pt>
                <c:pt idx="23">
                  <c:v>4.6383881230116648</c:v>
                </c:pt>
                <c:pt idx="24">
                  <c:v>18.364256848880391</c:v>
                </c:pt>
                <c:pt idx="25">
                  <c:v>18.364256848880391</c:v>
                </c:pt>
                <c:pt idx="26">
                  <c:v>18.364256848880391</c:v>
                </c:pt>
                <c:pt idx="27">
                  <c:v>18.364256848880391</c:v>
                </c:pt>
                <c:pt idx="28">
                  <c:v>18.364256848880391</c:v>
                </c:pt>
                <c:pt idx="29">
                  <c:v>18.364256848880391</c:v>
                </c:pt>
                <c:pt idx="30">
                  <c:v>18.364256848880391</c:v>
                </c:pt>
                <c:pt idx="31">
                  <c:v>18.364256848880391</c:v>
                </c:pt>
                <c:pt idx="32">
                  <c:v>18.364256848880391</c:v>
                </c:pt>
                <c:pt idx="33">
                  <c:v>7.9937888198757765</c:v>
                </c:pt>
                <c:pt idx="34">
                  <c:v>7.9937888198757765</c:v>
                </c:pt>
                <c:pt idx="35">
                  <c:v>7.9937888198757765</c:v>
                </c:pt>
                <c:pt idx="36">
                  <c:v>7.9937888198757765</c:v>
                </c:pt>
                <c:pt idx="37">
                  <c:v>7.9937888198757765</c:v>
                </c:pt>
                <c:pt idx="38">
                  <c:v>18.364256848880391</c:v>
                </c:pt>
                <c:pt idx="39">
                  <c:v>18.364256848880391</c:v>
                </c:pt>
                <c:pt idx="40">
                  <c:v>4.6383881230116648</c:v>
                </c:pt>
                <c:pt idx="41">
                  <c:v>18.364256848880391</c:v>
                </c:pt>
                <c:pt idx="42">
                  <c:v>18.364256848880391</c:v>
                </c:pt>
                <c:pt idx="43">
                  <c:v>18.364256848880391</c:v>
                </c:pt>
                <c:pt idx="44">
                  <c:v>18.364256848880391</c:v>
                </c:pt>
                <c:pt idx="45">
                  <c:v>18.364256848880391</c:v>
                </c:pt>
                <c:pt idx="46">
                  <c:v>18.364256848880391</c:v>
                </c:pt>
                <c:pt idx="47">
                  <c:v>18.364256848880391</c:v>
                </c:pt>
                <c:pt idx="48">
                  <c:v>18.364256848880391</c:v>
                </c:pt>
                <c:pt idx="49">
                  <c:v>18.364256848880391</c:v>
                </c:pt>
                <c:pt idx="50">
                  <c:v>18.364256848880391</c:v>
                </c:pt>
                <c:pt idx="51">
                  <c:v>18.364256848880391</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43584</c:v>
                </c:pt>
                <c:pt idx="1">
                  <c:v>43591</c:v>
                </c:pt>
                <c:pt idx="2">
                  <c:v>43598</c:v>
                </c:pt>
                <c:pt idx="3">
                  <c:v>43605</c:v>
                </c:pt>
                <c:pt idx="4">
                  <c:v>43612</c:v>
                </c:pt>
                <c:pt idx="5">
                  <c:v>43619</c:v>
                </c:pt>
                <c:pt idx="6">
                  <c:v>43626</c:v>
                </c:pt>
                <c:pt idx="7">
                  <c:v>43633</c:v>
                </c:pt>
                <c:pt idx="8">
                  <c:v>43640</c:v>
                </c:pt>
                <c:pt idx="9">
                  <c:v>43647</c:v>
                </c:pt>
                <c:pt idx="10">
                  <c:v>43654</c:v>
                </c:pt>
                <c:pt idx="11">
                  <c:v>43661</c:v>
                </c:pt>
                <c:pt idx="12">
                  <c:v>43668</c:v>
                </c:pt>
                <c:pt idx="13">
                  <c:v>43675</c:v>
                </c:pt>
                <c:pt idx="14">
                  <c:v>43682</c:v>
                </c:pt>
                <c:pt idx="15">
                  <c:v>43689</c:v>
                </c:pt>
                <c:pt idx="16">
                  <c:v>43696</c:v>
                </c:pt>
                <c:pt idx="17">
                  <c:v>43703</c:v>
                </c:pt>
                <c:pt idx="18">
                  <c:v>43710</c:v>
                </c:pt>
                <c:pt idx="19">
                  <c:v>43717</c:v>
                </c:pt>
                <c:pt idx="20">
                  <c:v>43724</c:v>
                </c:pt>
                <c:pt idx="21">
                  <c:v>43731</c:v>
                </c:pt>
                <c:pt idx="22">
                  <c:v>43738</c:v>
                </c:pt>
                <c:pt idx="23">
                  <c:v>43745</c:v>
                </c:pt>
                <c:pt idx="24">
                  <c:v>43752</c:v>
                </c:pt>
                <c:pt idx="25">
                  <c:v>43759</c:v>
                </c:pt>
                <c:pt idx="26">
                  <c:v>43766</c:v>
                </c:pt>
                <c:pt idx="27">
                  <c:v>43773</c:v>
                </c:pt>
                <c:pt idx="28">
                  <c:v>43780</c:v>
                </c:pt>
                <c:pt idx="29">
                  <c:v>43787</c:v>
                </c:pt>
                <c:pt idx="30">
                  <c:v>43794</c:v>
                </c:pt>
                <c:pt idx="31">
                  <c:v>43801</c:v>
                </c:pt>
                <c:pt idx="32">
                  <c:v>43808</c:v>
                </c:pt>
                <c:pt idx="33">
                  <c:v>43815</c:v>
                </c:pt>
                <c:pt idx="34">
                  <c:v>43822</c:v>
                </c:pt>
                <c:pt idx="35">
                  <c:v>43829</c:v>
                </c:pt>
                <c:pt idx="36">
                  <c:v>43836</c:v>
                </c:pt>
                <c:pt idx="37">
                  <c:v>43843</c:v>
                </c:pt>
                <c:pt idx="38">
                  <c:v>43850</c:v>
                </c:pt>
                <c:pt idx="39">
                  <c:v>43857</c:v>
                </c:pt>
                <c:pt idx="40">
                  <c:v>43864</c:v>
                </c:pt>
                <c:pt idx="41">
                  <c:v>43871</c:v>
                </c:pt>
                <c:pt idx="42">
                  <c:v>43878</c:v>
                </c:pt>
                <c:pt idx="43">
                  <c:v>43885</c:v>
                </c:pt>
                <c:pt idx="44">
                  <c:v>43892</c:v>
                </c:pt>
                <c:pt idx="45">
                  <c:v>43899</c:v>
                </c:pt>
                <c:pt idx="46">
                  <c:v>43906</c:v>
                </c:pt>
                <c:pt idx="47">
                  <c:v>43913</c:v>
                </c:pt>
                <c:pt idx="48">
                  <c:v>43920</c:v>
                </c:pt>
                <c:pt idx="49">
                  <c:v>43927</c:v>
                </c:pt>
                <c:pt idx="50">
                  <c:v>43934</c:v>
                </c:pt>
                <c:pt idx="51">
                  <c:v>43941</c:v>
                </c:pt>
              </c:numCache>
            </c:numRef>
          </c:cat>
          <c:val>
            <c:numRef>
              <c:f>[0]!Cap_Chart_Adhoc_Range</c:f>
              <c:numCache>
                <c:formatCode>#,##0</c:formatCode>
                <c:ptCount val="52"/>
                <c:pt idx="0">
                  <c:v>0</c:v>
                </c:pt>
                <c:pt idx="1">
                  <c:v>4</c:v>
                </c:pt>
                <c:pt idx="2">
                  <c:v>0</c:v>
                </c:pt>
                <c:pt idx="3">
                  <c:v>4</c:v>
                </c:pt>
                <c:pt idx="4">
                  <c:v>0</c:v>
                </c:pt>
                <c:pt idx="5">
                  <c:v>4</c:v>
                </c:pt>
                <c:pt idx="6">
                  <c:v>4</c:v>
                </c:pt>
                <c:pt idx="7">
                  <c:v>0</c:v>
                </c:pt>
                <c:pt idx="8">
                  <c:v>3.6923076923076925</c:v>
                </c:pt>
                <c:pt idx="9">
                  <c:v>7.6923076923076925</c:v>
                </c:pt>
                <c:pt idx="10">
                  <c:v>4</c:v>
                </c:pt>
                <c:pt idx="11">
                  <c:v>0</c:v>
                </c:pt>
                <c:pt idx="12">
                  <c:v>0</c:v>
                </c:pt>
                <c:pt idx="13">
                  <c:v>7.6923076923076925</c:v>
                </c:pt>
                <c:pt idx="14">
                  <c:v>0</c:v>
                </c:pt>
                <c:pt idx="15">
                  <c:v>0</c:v>
                </c:pt>
                <c:pt idx="16">
                  <c:v>0</c:v>
                </c:pt>
                <c:pt idx="17">
                  <c:v>0</c:v>
                </c:pt>
                <c:pt idx="18">
                  <c:v>0</c:v>
                </c:pt>
                <c:pt idx="19">
                  <c:v>0</c:v>
                </c:pt>
                <c:pt idx="20">
                  <c:v>0</c:v>
                </c:pt>
                <c:pt idx="21">
                  <c:v>0</c:v>
                </c:pt>
                <c:pt idx="22">
                  <c:v>0</c:v>
                </c:pt>
                <c:pt idx="23">
                  <c:v>0</c:v>
                </c:pt>
                <c:pt idx="24">
                  <c:v>0</c:v>
                </c:pt>
                <c:pt idx="25">
                  <c:v>3.6923076923076925</c:v>
                </c:pt>
                <c:pt idx="26">
                  <c:v>3.6923076923076925</c:v>
                </c:pt>
                <c:pt idx="27">
                  <c:v>7.6923076923076925</c:v>
                </c:pt>
                <c:pt idx="28">
                  <c:v>7.6923076923076925</c:v>
                </c:pt>
                <c:pt idx="29">
                  <c:v>3.6923076923076925</c:v>
                </c:pt>
                <c:pt idx="30">
                  <c:v>3.6923076923076925</c:v>
                </c:pt>
                <c:pt idx="31">
                  <c:v>3.6923076923076925</c:v>
                </c:pt>
                <c:pt idx="32">
                  <c:v>3.6923076923076925</c:v>
                </c:pt>
                <c:pt idx="33">
                  <c:v>0</c:v>
                </c:pt>
                <c:pt idx="34">
                  <c:v>0</c:v>
                </c:pt>
                <c:pt idx="35">
                  <c:v>0</c:v>
                </c:pt>
                <c:pt idx="36">
                  <c:v>4</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14.261623907226106</c:v>
                </c:pt>
                <c:pt idx="1">
                  <c:v>14.261623907226106</c:v>
                </c:pt>
                <c:pt idx="2">
                  <c:v>14.261623907226106</c:v>
                </c:pt>
                <c:pt idx="3">
                  <c:v>14.261623907226106</c:v>
                </c:pt>
                <c:pt idx="4">
                  <c:v>14.261623907226106</c:v>
                </c:pt>
                <c:pt idx="5">
                  <c:v>14.261623907226106</c:v>
                </c:pt>
                <c:pt idx="6">
                  <c:v>14.261623907226106</c:v>
                </c:pt>
                <c:pt idx="7">
                  <c:v>14.261623907226106</c:v>
                </c:pt>
                <c:pt idx="8">
                  <c:v>14.261623907226106</c:v>
                </c:pt>
                <c:pt idx="9">
                  <c:v>14.261623907226106</c:v>
                </c:pt>
                <c:pt idx="10">
                  <c:v>14.261623907226106</c:v>
                </c:pt>
                <c:pt idx="11">
                  <c:v>14.261623907226106</c:v>
                </c:pt>
                <c:pt idx="12">
                  <c:v>14.261623907226106</c:v>
                </c:pt>
                <c:pt idx="13">
                  <c:v>14.261623907226106</c:v>
                </c:pt>
                <c:pt idx="14">
                  <c:v>14.261623907226106</c:v>
                </c:pt>
                <c:pt idx="15">
                  <c:v>14.261623907226106</c:v>
                </c:pt>
                <c:pt idx="16">
                  <c:v>14.261623907226106</c:v>
                </c:pt>
                <c:pt idx="17">
                  <c:v>14.261623907226106</c:v>
                </c:pt>
                <c:pt idx="18">
                  <c:v>14.261623907226106</c:v>
                </c:pt>
                <c:pt idx="19">
                  <c:v>14.261623907226106</c:v>
                </c:pt>
                <c:pt idx="20">
                  <c:v>14.261623907226106</c:v>
                </c:pt>
                <c:pt idx="21">
                  <c:v>14.261623907226106</c:v>
                </c:pt>
                <c:pt idx="22">
                  <c:v>14.261623907226106</c:v>
                </c:pt>
                <c:pt idx="23">
                  <c:v>14.261623907226106</c:v>
                </c:pt>
                <c:pt idx="24">
                  <c:v>14.261623907226106</c:v>
                </c:pt>
                <c:pt idx="25">
                  <c:v>14.261623907226106</c:v>
                </c:pt>
                <c:pt idx="26">
                  <c:v>14.261623907226106</c:v>
                </c:pt>
                <c:pt idx="27">
                  <c:v>14.261623907226106</c:v>
                </c:pt>
                <c:pt idx="28">
                  <c:v>14.261623907226106</c:v>
                </c:pt>
                <c:pt idx="29">
                  <c:v>14.261623907226106</c:v>
                </c:pt>
                <c:pt idx="30">
                  <c:v>14.261623907226106</c:v>
                </c:pt>
                <c:pt idx="31">
                  <c:v>14.261623907226106</c:v>
                </c:pt>
                <c:pt idx="32">
                  <c:v>14.261623907226106</c:v>
                </c:pt>
                <c:pt idx="33">
                  <c:v>14.261623907226106</c:v>
                </c:pt>
                <c:pt idx="34">
                  <c:v>14.261623907226106</c:v>
                </c:pt>
                <c:pt idx="35">
                  <c:v>14.261623907226106</c:v>
                </c:pt>
                <c:pt idx="36">
                  <c:v>14.261623907226106</c:v>
                </c:pt>
                <c:pt idx="37">
                  <c:v>14.261623907226106</c:v>
                </c:pt>
                <c:pt idx="38">
                  <c:v>14.261623907226106</c:v>
                </c:pt>
                <c:pt idx="39">
                  <c:v>14.261623907226106</c:v>
                </c:pt>
                <c:pt idx="40">
                  <c:v>14.261623907226106</c:v>
                </c:pt>
                <c:pt idx="41">
                  <c:v>14.261623907226106</c:v>
                </c:pt>
                <c:pt idx="42">
                  <c:v>14.261623907226106</c:v>
                </c:pt>
                <c:pt idx="43">
                  <c:v>14.261623907226106</c:v>
                </c:pt>
                <c:pt idx="44">
                  <c:v>14.261623907226106</c:v>
                </c:pt>
                <c:pt idx="45">
                  <c:v>14.261623907226106</c:v>
                </c:pt>
                <c:pt idx="46">
                  <c:v>14.261623907226106</c:v>
                </c:pt>
                <c:pt idx="47">
                  <c:v>14.261623907226106</c:v>
                </c:pt>
                <c:pt idx="48">
                  <c:v>14.261623907226106</c:v>
                </c:pt>
                <c:pt idx="49">
                  <c:v>14.261623907226106</c:v>
                </c:pt>
                <c:pt idx="50">
                  <c:v>14.261623907226106</c:v>
                </c:pt>
                <c:pt idx="51">
                  <c:v>14.261623907226106</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2.909216118881119</c:v>
                </c:pt>
                <c:pt idx="1">
                  <c:v>2.909216118881119</c:v>
                </c:pt>
                <c:pt idx="2">
                  <c:v>2.909216118881119</c:v>
                </c:pt>
                <c:pt idx="3">
                  <c:v>2.909216118881119</c:v>
                </c:pt>
                <c:pt idx="4">
                  <c:v>2.909216118881119</c:v>
                </c:pt>
                <c:pt idx="5">
                  <c:v>2.909216118881119</c:v>
                </c:pt>
                <c:pt idx="6">
                  <c:v>2.909216118881119</c:v>
                </c:pt>
                <c:pt idx="7">
                  <c:v>2.909216118881119</c:v>
                </c:pt>
                <c:pt idx="8">
                  <c:v>2.909216118881119</c:v>
                </c:pt>
                <c:pt idx="9">
                  <c:v>2.909216118881119</c:v>
                </c:pt>
                <c:pt idx="10">
                  <c:v>2.909216118881119</c:v>
                </c:pt>
                <c:pt idx="11">
                  <c:v>2.909216118881119</c:v>
                </c:pt>
                <c:pt idx="12">
                  <c:v>2.909216118881119</c:v>
                </c:pt>
                <c:pt idx="13">
                  <c:v>2.909216118881119</c:v>
                </c:pt>
                <c:pt idx="14">
                  <c:v>2.909216118881119</c:v>
                </c:pt>
                <c:pt idx="15">
                  <c:v>2.909216118881119</c:v>
                </c:pt>
                <c:pt idx="16">
                  <c:v>2.909216118881119</c:v>
                </c:pt>
                <c:pt idx="17">
                  <c:v>2.909216118881119</c:v>
                </c:pt>
                <c:pt idx="18">
                  <c:v>2.909216118881119</c:v>
                </c:pt>
                <c:pt idx="19">
                  <c:v>2.909216118881119</c:v>
                </c:pt>
                <c:pt idx="20">
                  <c:v>2.909216118881119</c:v>
                </c:pt>
                <c:pt idx="21">
                  <c:v>2.909216118881119</c:v>
                </c:pt>
                <c:pt idx="22">
                  <c:v>2.909216118881119</c:v>
                </c:pt>
                <c:pt idx="23">
                  <c:v>2.909216118881119</c:v>
                </c:pt>
                <c:pt idx="24">
                  <c:v>2.909216118881119</c:v>
                </c:pt>
                <c:pt idx="25">
                  <c:v>2.909216118881119</c:v>
                </c:pt>
                <c:pt idx="26">
                  <c:v>2.909216118881119</c:v>
                </c:pt>
                <c:pt idx="27">
                  <c:v>2.909216118881119</c:v>
                </c:pt>
                <c:pt idx="28">
                  <c:v>2.909216118881119</c:v>
                </c:pt>
                <c:pt idx="29">
                  <c:v>2.909216118881119</c:v>
                </c:pt>
                <c:pt idx="30">
                  <c:v>2.909216118881119</c:v>
                </c:pt>
                <c:pt idx="31">
                  <c:v>2.909216118881119</c:v>
                </c:pt>
                <c:pt idx="32">
                  <c:v>2.909216118881119</c:v>
                </c:pt>
                <c:pt idx="33">
                  <c:v>2.909216118881119</c:v>
                </c:pt>
                <c:pt idx="34">
                  <c:v>2.909216118881119</c:v>
                </c:pt>
                <c:pt idx="35">
                  <c:v>2.909216118881119</c:v>
                </c:pt>
                <c:pt idx="36">
                  <c:v>2.909216118881119</c:v>
                </c:pt>
                <c:pt idx="37">
                  <c:v>2.909216118881119</c:v>
                </c:pt>
                <c:pt idx="38">
                  <c:v>2.909216118881119</c:v>
                </c:pt>
                <c:pt idx="39">
                  <c:v>2.909216118881119</c:v>
                </c:pt>
                <c:pt idx="40">
                  <c:v>2.909216118881119</c:v>
                </c:pt>
                <c:pt idx="41">
                  <c:v>2.909216118881119</c:v>
                </c:pt>
                <c:pt idx="42">
                  <c:v>2.909216118881119</c:v>
                </c:pt>
                <c:pt idx="43">
                  <c:v>2.909216118881119</c:v>
                </c:pt>
                <c:pt idx="44">
                  <c:v>2.909216118881119</c:v>
                </c:pt>
                <c:pt idx="45">
                  <c:v>2.909216118881119</c:v>
                </c:pt>
                <c:pt idx="46">
                  <c:v>2.909216118881119</c:v>
                </c:pt>
                <c:pt idx="47">
                  <c:v>2.909216118881119</c:v>
                </c:pt>
                <c:pt idx="48">
                  <c:v>2.909216118881119</c:v>
                </c:pt>
                <c:pt idx="49">
                  <c:v>2.909216118881119</c:v>
                </c:pt>
                <c:pt idx="50">
                  <c:v>2.909216118881119</c:v>
                </c:pt>
                <c:pt idx="51">
                  <c:v>2.909216118881119</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14.261623907226118</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2.9092161188811172</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10.392307692307693</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1.5210449927431062</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42.562452931683694</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4.4802582033351257</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60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[0]!Summary_Blank</c:f>
              <c:numCache>
                <c:formatCode>#,##0</c:formatCode>
                <c:ptCount val="52"/>
                <c:pt idx="0">
                  <c:v>14.261623907226106</c:v>
                </c:pt>
                <c:pt idx="1">
                  <c:v>14.261623907226106</c:v>
                </c:pt>
                <c:pt idx="2">
                  <c:v>14.261623907226106</c:v>
                </c:pt>
                <c:pt idx="3">
                  <c:v>14.261623907226106</c:v>
                </c:pt>
                <c:pt idx="4">
                  <c:v>14.261623907226106</c:v>
                </c:pt>
                <c:pt idx="5">
                  <c:v>14.261623907226106</c:v>
                </c:pt>
                <c:pt idx="6">
                  <c:v>14.261623907226106</c:v>
                </c:pt>
                <c:pt idx="7">
                  <c:v>14.261623907226106</c:v>
                </c:pt>
                <c:pt idx="8">
                  <c:v>14.261623907226106</c:v>
                </c:pt>
                <c:pt idx="9">
                  <c:v>14.261623907226106</c:v>
                </c:pt>
                <c:pt idx="10">
                  <c:v>14.261623907226106</c:v>
                </c:pt>
                <c:pt idx="11">
                  <c:v>14.261623907226106</c:v>
                </c:pt>
                <c:pt idx="12">
                  <c:v>14.261623907226106</c:v>
                </c:pt>
                <c:pt idx="13">
                  <c:v>14.261623907226106</c:v>
                </c:pt>
                <c:pt idx="14">
                  <c:v>14.261623907226106</c:v>
                </c:pt>
                <c:pt idx="15">
                  <c:v>14.261623907226106</c:v>
                </c:pt>
                <c:pt idx="16">
                  <c:v>14.261623907226106</c:v>
                </c:pt>
                <c:pt idx="17">
                  <c:v>14.261623907226106</c:v>
                </c:pt>
                <c:pt idx="18">
                  <c:v>14.261623907226106</c:v>
                </c:pt>
                <c:pt idx="19">
                  <c:v>14.261623907226106</c:v>
                </c:pt>
                <c:pt idx="20">
                  <c:v>14.261623907226106</c:v>
                </c:pt>
                <c:pt idx="21">
                  <c:v>14.261623907226106</c:v>
                </c:pt>
                <c:pt idx="22">
                  <c:v>14.261623907226106</c:v>
                </c:pt>
                <c:pt idx="23">
                  <c:v>14.261623907226106</c:v>
                </c:pt>
                <c:pt idx="24">
                  <c:v>14.261623907226106</c:v>
                </c:pt>
                <c:pt idx="25">
                  <c:v>14.261623907226106</c:v>
                </c:pt>
                <c:pt idx="26">
                  <c:v>14.261623907226106</c:v>
                </c:pt>
                <c:pt idx="27">
                  <c:v>14.261623907226106</c:v>
                </c:pt>
                <c:pt idx="28">
                  <c:v>14.261623907226106</c:v>
                </c:pt>
                <c:pt idx="29">
                  <c:v>14.261623907226106</c:v>
                </c:pt>
                <c:pt idx="30">
                  <c:v>14.261623907226106</c:v>
                </c:pt>
                <c:pt idx="31">
                  <c:v>14.261623907226106</c:v>
                </c:pt>
                <c:pt idx="32">
                  <c:v>14.261623907226106</c:v>
                </c:pt>
                <c:pt idx="33">
                  <c:v>14.261623907226106</c:v>
                </c:pt>
                <c:pt idx="34">
                  <c:v>14.261623907226106</c:v>
                </c:pt>
                <c:pt idx="35">
                  <c:v>14.261623907226106</c:v>
                </c:pt>
                <c:pt idx="36">
                  <c:v>14.261623907226106</c:v>
                </c:pt>
                <c:pt idx="37">
                  <c:v>14.261623907226106</c:v>
                </c:pt>
                <c:pt idx="38">
                  <c:v>14.261623907226106</c:v>
                </c:pt>
                <c:pt idx="39">
                  <c:v>14.261623907226106</c:v>
                </c:pt>
                <c:pt idx="40">
                  <c:v>14.261623907226106</c:v>
                </c:pt>
                <c:pt idx="41">
                  <c:v>14.261623907226106</c:v>
                </c:pt>
                <c:pt idx="42">
                  <c:v>14.261623907226106</c:v>
                </c:pt>
                <c:pt idx="43">
                  <c:v>14.261623907226106</c:v>
                </c:pt>
                <c:pt idx="44">
                  <c:v>14.261623907226106</c:v>
                </c:pt>
                <c:pt idx="45">
                  <c:v>14.261623907226106</c:v>
                </c:pt>
                <c:pt idx="46">
                  <c:v>14.261623907226106</c:v>
                </c:pt>
                <c:pt idx="47">
                  <c:v>14.261623907226106</c:v>
                </c:pt>
                <c:pt idx="48">
                  <c:v>14.261623907226106</c:v>
                </c:pt>
                <c:pt idx="49">
                  <c:v>14.261623907226106</c:v>
                </c:pt>
                <c:pt idx="50">
                  <c:v>14.261623907226106</c:v>
                </c:pt>
                <c:pt idx="51">
                  <c:v>14.261623907226106</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[0]!Summary_Req</c:f>
              <c:numCache>
                <c:formatCode>#,##0</c:formatCode>
                <c:ptCount val="52"/>
                <c:pt idx="0">
                  <c:v>2.909216118881119</c:v>
                </c:pt>
                <c:pt idx="1">
                  <c:v>2.909216118881119</c:v>
                </c:pt>
                <c:pt idx="2">
                  <c:v>2.909216118881119</c:v>
                </c:pt>
                <c:pt idx="3">
                  <c:v>2.909216118881119</c:v>
                </c:pt>
                <c:pt idx="4">
                  <c:v>2.909216118881119</c:v>
                </c:pt>
                <c:pt idx="5">
                  <c:v>2.909216118881119</c:v>
                </c:pt>
                <c:pt idx="6">
                  <c:v>2.909216118881119</c:v>
                </c:pt>
                <c:pt idx="7">
                  <c:v>2.909216118881119</c:v>
                </c:pt>
                <c:pt idx="8">
                  <c:v>2.909216118881119</c:v>
                </c:pt>
                <c:pt idx="9">
                  <c:v>2.909216118881119</c:v>
                </c:pt>
                <c:pt idx="10">
                  <c:v>2.909216118881119</c:v>
                </c:pt>
                <c:pt idx="11">
                  <c:v>2.909216118881119</c:v>
                </c:pt>
                <c:pt idx="12">
                  <c:v>2.909216118881119</c:v>
                </c:pt>
                <c:pt idx="13">
                  <c:v>2.909216118881119</c:v>
                </c:pt>
                <c:pt idx="14">
                  <c:v>2.909216118881119</c:v>
                </c:pt>
                <c:pt idx="15">
                  <c:v>2.909216118881119</c:v>
                </c:pt>
                <c:pt idx="16">
                  <c:v>2.909216118881119</c:v>
                </c:pt>
                <c:pt idx="17">
                  <c:v>2.909216118881119</c:v>
                </c:pt>
                <c:pt idx="18">
                  <c:v>2.909216118881119</c:v>
                </c:pt>
                <c:pt idx="19">
                  <c:v>2.909216118881119</c:v>
                </c:pt>
                <c:pt idx="20">
                  <c:v>2.909216118881119</c:v>
                </c:pt>
                <c:pt idx="21">
                  <c:v>2.909216118881119</c:v>
                </c:pt>
                <c:pt idx="22">
                  <c:v>2.909216118881119</c:v>
                </c:pt>
                <c:pt idx="23">
                  <c:v>2.909216118881119</c:v>
                </c:pt>
                <c:pt idx="24">
                  <c:v>2.909216118881119</c:v>
                </c:pt>
                <c:pt idx="25">
                  <c:v>2.909216118881119</c:v>
                </c:pt>
                <c:pt idx="26">
                  <c:v>2.909216118881119</c:v>
                </c:pt>
                <c:pt idx="27">
                  <c:v>2.909216118881119</c:v>
                </c:pt>
                <c:pt idx="28">
                  <c:v>2.909216118881119</c:v>
                </c:pt>
                <c:pt idx="29">
                  <c:v>2.909216118881119</c:v>
                </c:pt>
                <c:pt idx="30">
                  <c:v>2.909216118881119</c:v>
                </c:pt>
                <c:pt idx="31">
                  <c:v>2.909216118881119</c:v>
                </c:pt>
                <c:pt idx="32">
                  <c:v>2.909216118881119</c:v>
                </c:pt>
                <c:pt idx="33">
                  <c:v>2.909216118881119</c:v>
                </c:pt>
                <c:pt idx="34">
                  <c:v>2.909216118881119</c:v>
                </c:pt>
                <c:pt idx="35">
                  <c:v>2.909216118881119</c:v>
                </c:pt>
                <c:pt idx="36">
                  <c:v>2.909216118881119</c:v>
                </c:pt>
                <c:pt idx="37">
                  <c:v>2.909216118881119</c:v>
                </c:pt>
                <c:pt idx="38">
                  <c:v>2.909216118881119</c:v>
                </c:pt>
                <c:pt idx="39">
                  <c:v>2.909216118881119</c:v>
                </c:pt>
                <c:pt idx="40">
                  <c:v>2.909216118881119</c:v>
                </c:pt>
                <c:pt idx="41">
                  <c:v>2.909216118881119</c:v>
                </c:pt>
                <c:pt idx="42">
                  <c:v>2.909216118881119</c:v>
                </c:pt>
                <c:pt idx="43">
                  <c:v>2.909216118881119</c:v>
                </c:pt>
                <c:pt idx="44">
                  <c:v>2.909216118881119</c:v>
                </c:pt>
                <c:pt idx="45">
                  <c:v>2.909216118881119</c:v>
                </c:pt>
                <c:pt idx="46">
                  <c:v>2.909216118881119</c:v>
                </c:pt>
                <c:pt idx="47">
                  <c:v>2.909216118881119</c:v>
                </c:pt>
                <c:pt idx="48">
                  <c:v>2.909216118881119</c:v>
                </c:pt>
                <c:pt idx="49">
                  <c:v>2.909216118881119</c:v>
                </c:pt>
                <c:pt idx="50">
                  <c:v>2.909216118881119</c:v>
                </c:pt>
                <c:pt idx="51">
                  <c:v>2.909216118881119</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0.83838812301166499</c:v>
                </c:pt>
                <c:pt idx="1">
                  <c:v>0.83838812301166499</c:v>
                </c:pt>
                <c:pt idx="2">
                  <c:v>0.83838812301166499</c:v>
                </c:pt>
                <c:pt idx="3">
                  <c:v>0.83838812301166499</c:v>
                </c:pt>
                <c:pt idx="4">
                  <c:v>0.83838812301166499</c:v>
                </c:pt>
                <c:pt idx="5">
                  <c:v>14.56425684888039</c:v>
                </c:pt>
                <c:pt idx="6">
                  <c:v>14.56425684888039</c:v>
                </c:pt>
                <c:pt idx="7">
                  <c:v>14.56425684888039</c:v>
                </c:pt>
                <c:pt idx="8">
                  <c:v>14.56425684888039</c:v>
                </c:pt>
                <c:pt idx="9">
                  <c:v>14.56425684888039</c:v>
                </c:pt>
                <c:pt idx="10">
                  <c:v>14.56425684888039</c:v>
                </c:pt>
                <c:pt idx="11">
                  <c:v>14.56425684888039</c:v>
                </c:pt>
                <c:pt idx="12">
                  <c:v>14.56425684888039</c:v>
                </c:pt>
                <c:pt idx="13">
                  <c:v>14.56425684888039</c:v>
                </c:pt>
                <c:pt idx="14">
                  <c:v>9.9258687258687246</c:v>
                </c:pt>
                <c:pt idx="15">
                  <c:v>9.9258687258687246</c:v>
                </c:pt>
                <c:pt idx="16">
                  <c:v>9.9258687258687246</c:v>
                </c:pt>
                <c:pt idx="17">
                  <c:v>9.9258687258687246</c:v>
                </c:pt>
                <c:pt idx="18">
                  <c:v>9.9258687258687246</c:v>
                </c:pt>
                <c:pt idx="19">
                  <c:v>9.9258687258687246</c:v>
                </c:pt>
                <c:pt idx="20">
                  <c:v>0.83838812301166499</c:v>
                </c:pt>
                <c:pt idx="21">
                  <c:v>0.83838812301166499</c:v>
                </c:pt>
                <c:pt idx="22">
                  <c:v>0.83838812301166499</c:v>
                </c:pt>
                <c:pt idx="23">
                  <c:v>0.83838812301166499</c:v>
                </c:pt>
                <c:pt idx="24">
                  <c:v>14.56425684888039</c:v>
                </c:pt>
                <c:pt idx="25">
                  <c:v>14.56425684888039</c:v>
                </c:pt>
                <c:pt idx="26">
                  <c:v>14.56425684888039</c:v>
                </c:pt>
                <c:pt idx="27">
                  <c:v>14.56425684888039</c:v>
                </c:pt>
                <c:pt idx="28">
                  <c:v>14.56425684888039</c:v>
                </c:pt>
                <c:pt idx="29">
                  <c:v>14.56425684888039</c:v>
                </c:pt>
                <c:pt idx="30">
                  <c:v>14.56425684888039</c:v>
                </c:pt>
                <c:pt idx="31">
                  <c:v>14.56425684888039</c:v>
                </c:pt>
                <c:pt idx="32">
                  <c:v>14.56425684888039</c:v>
                </c:pt>
                <c:pt idx="33">
                  <c:v>4.1937888198757767</c:v>
                </c:pt>
                <c:pt idx="34">
                  <c:v>4.1937888198757767</c:v>
                </c:pt>
                <c:pt idx="35">
                  <c:v>4.1937888198757767</c:v>
                </c:pt>
                <c:pt idx="36">
                  <c:v>4.1937888198757767</c:v>
                </c:pt>
                <c:pt idx="37">
                  <c:v>4.1937888198757767</c:v>
                </c:pt>
                <c:pt idx="38">
                  <c:v>14.56425684888039</c:v>
                </c:pt>
                <c:pt idx="39">
                  <c:v>14.56425684888039</c:v>
                </c:pt>
                <c:pt idx="40">
                  <c:v>0.83838812301166499</c:v>
                </c:pt>
                <c:pt idx="41">
                  <c:v>14.56425684888039</c:v>
                </c:pt>
                <c:pt idx="42">
                  <c:v>14.56425684888039</c:v>
                </c:pt>
                <c:pt idx="43">
                  <c:v>14.56425684888039</c:v>
                </c:pt>
                <c:pt idx="44">
                  <c:v>14.56425684888039</c:v>
                </c:pt>
                <c:pt idx="45">
                  <c:v>14.56425684888039</c:v>
                </c:pt>
                <c:pt idx="46">
                  <c:v>14.56425684888039</c:v>
                </c:pt>
                <c:pt idx="47">
                  <c:v>14.56425684888039</c:v>
                </c:pt>
                <c:pt idx="48">
                  <c:v>14.56425684888039</c:v>
                </c:pt>
                <c:pt idx="49">
                  <c:v>14.56425684888039</c:v>
                </c:pt>
                <c:pt idx="50">
                  <c:v>14.56425684888039</c:v>
                </c:pt>
                <c:pt idx="51">
                  <c:v>14.56425684888039</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4</c:v>
                </c:pt>
                <c:pt idx="2">
                  <c:v>0</c:v>
                </c:pt>
                <c:pt idx="3">
                  <c:v>4</c:v>
                </c:pt>
                <c:pt idx="4">
                  <c:v>0</c:v>
                </c:pt>
                <c:pt idx="5">
                  <c:v>4</c:v>
                </c:pt>
                <c:pt idx="6">
                  <c:v>4</c:v>
                </c:pt>
                <c:pt idx="7">
                  <c:v>0</c:v>
                </c:pt>
                <c:pt idx="8">
                  <c:v>3.6923076923076925</c:v>
                </c:pt>
                <c:pt idx="9">
                  <c:v>7.6923076923076925</c:v>
                </c:pt>
                <c:pt idx="10">
                  <c:v>4</c:v>
                </c:pt>
                <c:pt idx="11">
                  <c:v>0</c:v>
                </c:pt>
                <c:pt idx="12">
                  <c:v>0</c:v>
                </c:pt>
                <c:pt idx="13">
                  <c:v>7.6923076923076925</c:v>
                </c:pt>
                <c:pt idx="14">
                  <c:v>0</c:v>
                </c:pt>
                <c:pt idx="15">
                  <c:v>0</c:v>
                </c:pt>
                <c:pt idx="16">
                  <c:v>0</c:v>
                </c:pt>
                <c:pt idx="17">
                  <c:v>0</c:v>
                </c:pt>
                <c:pt idx="18">
                  <c:v>0</c:v>
                </c:pt>
                <c:pt idx="19">
                  <c:v>0</c:v>
                </c:pt>
                <c:pt idx="20">
                  <c:v>0</c:v>
                </c:pt>
                <c:pt idx="21">
                  <c:v>0</c:v>
                </c:pt>
                <c:pt idx="22">
                  <c:v>0</c:v>
                </c:pt>
                <c:pt idx="23">
                  <c:v>0</c:v>
                </c:pt>
                <c:pt idx="24">
                  <c:v>0</c:v>
                </c:pt>
                <c:pt idx="25">
                  <c:v>3.6923076923076925</c:v>
                </c:pt>
                <c:pt idx="26">
                  <c:v>3.6923076923076925</c:v>
                </c:pt>
                <c:pt idx="27">
                  <c:v>7.6923076923076925</c:v>
                </c:pt>
                <c:pt idx="28">
                  <c:v>7.6923076923076925</c:v>
                </c:pt>
                <c:pt idx="29">
                  <c:v>3.6923076923076925</c:v>
                </c:pt>
                <c:pt idx="30">
                  <c:v>3.6923076923076925</c:v>
                </c:pt>
                <c:pt idx="31">
                  <c:v>3.6923076923076925</c:v>
                </c:pt>
                <c:pt idx="32">
                  <c:v>3.6923076923076925</c:v>
                </c:pt>
                <c:pt idx="33">
                  <c:v>0</c:v>
                </c:pt>
                <c:pt idx="34">
                  <c:v>0</c:v>
                </c:pt>
                <c:pt idx="35">
                  <c:v>0</c:v>
                </c:pt>
                <c:pt idx="36">
                  <c:v>4</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'WL PI Backing (hide)'!$AA$13:$AA$64</c:f>
              <c:numCache>
                <c:formatCode>General</c:formatCode>
                <c:ptCount val="52"/>
                <c:pt idx="0">
                  <c:v>42.562452931683694</c:v>
                </c:pt>
                <c:pt idx="1">
                  <c:v>42.562452931683694</c:v>
                </c:pt>
                <c:pt idx="2">
                  <c:v>42.562452931683694</c:v>
                </c:pt>
                <c:pt idx="3">
                  <c:v>42.562452931683694</c:v>
                </c:pt>
                <c:pt idx="4">
                  <c:v>42.562452931683694</c:v>
                </c:pt>
                <c:pt idx="5">
                  <c:v>42.562452931683694</c:v>
                </c:pt>
                <c:pt idx="6">
                  <c:v>42.562452931683694</c:v>
                </c:pt>
                <c:pt idx="7">
                  <c:v>42.562452931683694</c:v>
                </c:pt>
                <c:pt idx="8">
                  <c:v>42.562452931683694</c:v>
                </c:pt>
                <c:pt idx="9">
                  <c:v>42.562452931683694</c:v>
                </c:pt>
                <c:pt idx="10">
                  <c:v>42.562452931683694</c:v>
                </c:pt>
                <c:pt idx="11">
                  <c:v>42.562452931683694</c:v>
                </c:pt>
                <c:pt idx="12">
                  <c:v>42.562452931683694</c:v>
                </c:pt>
                <c:pt idx="13">
                  <c:v>42.562452931683694</c:v>
                </c:pt>
                <c:pt idx="14">
                  <c:v>42.562452931683694</c:v>
                </c:pt>
                <c:pt idx="15">
                  <c:v>42.562452931683694</c:v>
                </c:pt>
                <c:pt idx="16">
                  <c:v>42.562452931683694</c:v>
                </c:pt>
                <c:pt idx="17">
                  <c:v>42.562452931683694</c:v>
                </c:pt>
                <c:pt idx="18">
                  <c:v>42.562452931683694</c:v>
                </c:pt>
                <c:pt idx="19">
                  <c:v>42.562452931683694</c:v>
                </c:pt>
                <c:pt idx="20">
                  <c:v>42.562452931683694</c:v>
                </c:pt>
                <c:pt idx="21">
                  <c:v>42.562452931683694</c:v>
                </c:pt>
                <c:pt idx="22">
                  <c:v>42.562452931683694</c:v>
                </c:pt>
                <c:pt idx="23">
                  <c:v>42.562452931683694</c:v>
                </c:pt>
                <c:pt idx="24">
                  <c:v>42.562452931683694</c:v>
                </c:pt>
                <c:pt idx="25">
                  <c:v>42.562452931683694</c:v>
                </c:pt>
                <c:pt idx="26">
                  <c:v>42.562452931683694</c:v>
                </c:pt>
                <c:pt idx="27">
                  <c:v>42.562452931683694</c:v>
                </c:pt>
                <c:pt idx="28">
                  <c:v>42.562452931683694</c:v>
                </c:pt>
                <c:pt idx="29">
                  <c:v>42.562452931683694</c:v>
                </c:pt>
                <c:pt idx="30">
                  <c:v>42.562452931683694</c:v>
                </c:pt>
                <c:pt idx="31">
                  <c:v>42.562452931683694</c:v>
                </c:pt>
                <c:pt idx="32">
                  <c:v>42.562452931683694</c:v>
                </c:pt>
                <c:pt idx="33">
                  <c:v>42.562452931683694</c:v>
                </c:pt>
                <c:pt idx="34">
                  <c:v>42.562452931683694</c:v>
                </c:pt>
                <c:pt idx="35">
                  <c:v>42.562452931683694</c:v>
                </c:pt>
                <c:pt idx="36">
                  <c:v>42.562452931683694</c:v>
                </c:pt>
                <c:pt idx="37">
                  <c:v>42.562452931683694</c:v>
                </c:pt>
                <c:pt idx="38">
                  <c:v>42.562452931683694</c:v>
                </c:pt>
                <c:pt idx="39">
                  <c:v>42.562452931683694</c:v>
                </c:pt>
                <c:pt idx="40">
                  <c:v>42.562452931683694</c:v>
                </c:pt>
                <c:pt idx="41">
                  <c:v>42.562452931683694</c:v>
                </c:pt>
                <c:pt idx="42">
                  <c:v>42.562452931683694</c:v>
                </c:pt>
                <c:pt idx="43">
                  <c:v>42.562452931683694</c:v>
                </c:pt>
                <c:pt idx="44">
                  <c:v>42.562452931683694</c:v>
                </c:pt>
                <c:pt idx="45">
                  <c:v>42.562452931683694</c:v>
                </c:pt>
                <c:pt idx="46">
                  <c:v>42.562452931683694</c:v>
                </c:pt>
                <c:pt idx="47">
                  <c:v>42.562452931683694</c:v>
                </c:pt>
                <c:pt idx="48">
                  <c:v>42.562452931683694</c:v>
                </c:pt>
                <c:pt idx="49">
                  <c:v>42.562452931683694</c:v>
                </c:pt>
                <c:pt idx="50">
                  <c:v>42.562452931683694</c:v>
                </c:pt>
                <c:pt idx="51">
                  <c:v>42.562452931683694</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0"/>
                <c:lvl>
                  <c:pt idx="0">
                    <c:v>Apr</c:v>
                  </c:pt>
                  <c:pt idx="1">
                    <c:v>May</c:v>
                  </c:pt>
                  <c:pt idx="5">
                    <c:v>Jun</c:v>
                  </c:pt>
                  <c:pt idx="9">
                    <c:v>Jul</c:v>
                  </c:pt>
                  <c:pt idx="14">
                    <c:v>Aug</c:v>
                  </c:pt>
                  <c:pt idx="18">
                    <c:v>Sep</c:v>
                  </c:pt>
                  <c:pt idx="23">
                    <c:v>Oct</c:v>
                  </c:pt>
                  <c:pt idx="27">
                    <c:v>Nov</c:v>
                  </c:pt>
                  <c:pt idx="31">
                    <c:v>Dec</c:v>
                  </c:pt>
                  <c:pt idx="36">
                    <c:v>Jan</c:v>
                  </c:pt>
                  <c:pt idx="40">
                    <c:v>Feb</c:v>
                  </c:pt>
                  <c:pt idx="44">
                    <c:v>Mar</c:v>
                  </c:pt>
                  <c:pt idx="49">
                    <c:v>Apr</c:v>
                  </c:pt>
                </c:lvl>
                <c:lvl>
                  <c:pt idx="0">
                    <c:v>2019</c:v>
                  </c:pt>
                  <c:pt idx="36">
                    <c:v>2020</c:v>
                  </c:pt>
                </c:lvl>
              </c:multiLvlStrCache>
            </c:multiLvlStrRef>
          </c:cat>
          <c:val>
            <c:numRef>
              <c:f>'WL PI Backing (hide)'!$AC$13:$AC$64</c:f>
              <c:numCache>
                <c:formatCode>General</c:formatCode>
                <c:ptCount val="52"/>
                <c:pt idx="0">
                  <c:v>4.4802582033351257</c:v>
                </c:pt>
                <c:pt idx="1">
                  <c:v>4.4802582033351257</c:v>
                </c:pt>
                <c:pt idx="2">
                  <c:v>4.4802582033351257</c:v>
                </c:pt>
                <c:pt idx="3">
                  <c:v>4.4802582033351257</c:v>
                </c:pt>
                <c:pt idx="4">
                  <c:v>4.4802582033351257</c:v>
                </c:pt>
                <c:pt idx="5">
                  <c:v>4.4802582033351257</c:v>
                </c:pt>
                <c:pt idx="6">
                  <c:v>4.4802582033351257</c:v>
                </c:pt>
                <c:pt idx="7">
                  <c:v>4.4802582033351257</c:v>
                </c:pt>
                <c:pt idx="8">
                  <c:v>4.4802582033351257</c:v>
                </c:pt>
                <c:pt idx="9">
                  <c:v>4.4802582033351257</c:v>
                </c:pt>
                <c:pt idx="10">
                  <c:v>4.4802582033351257</c:v>
                </c:pt>
                <c:pt idx="11">
                  <c:v>4.4802582033351257</c:v>
                </c:pt>
                <c:pt idx="12">
                  <c:v>4.4802582033351257</c:v>
                </c:pt>
                <c:pt idx="13">
                  <c:v>4.4802582033351257</c:v>
                </c:pt>
                <c:pt idx="14">
                  <c:v>4.4802582033351257</c:v>
                </c:pt>
                <c:pt idx="15">
                  <c:v>4.4802582033351257</c:v>
                </c:pt>
                <c:pt idx="16">
                  <c:v>4.4802582033351257</c:v>
                </c:pt>
                <c:pt idx="17">
                  <c:v>4.4802582033351257</c:v>
                </c:pt>
                <c:pt idx="18">
                  <c:v>4.4802582033351257</c:v>
                </c:pt>
                <c:pt idx="19">
                  <c:v>4.4802582033351257</c:v>
                </c:pt>
                <c:pt idx="20">
                  <c:v>4.4802582033351257</c:v>
                </c:pt>
                <c:pt idx="21">
                  <c:v>4.4802582033351257</c:v>
                </c:pt>
                <c:pt idx="22">
                  <c:v>4.4802582033351257</c:v>
                </c:pt>
                <c:pt idx="23">
                  <c:v>4.4802582033351257</c:v>
                </c:pt>
                <c:pt idx="24">
                  <c:v>4.4802582033351257</c:v>
                </c:pt>
                <c:pt idx="25">
                  <c:v>4.4802582033351257</c:v>
                </c:pt>
                <c:pt idx="26">
                  <c:v>4.4802582033351257</c:v>
                </c:pt>
                <c:pt idx="27">
                  <c:v>4.4802582033351257</c:v>
                </c:pt>
                <c:pt idx="28">
                  <c:v>4.4802582033351257</c:v>
                </c:pt>
                <c:pt idx="29">
                  <c:v>4.4802582033351257</c:v>
                </c:pt>
                <c:pt idx="30">
                  <c:v>4.4802582033351257</c:v>
                </c:pt>
                <c:pt idx="31">
                  <c:v>4.4802582033351257</c:v>
                </c:pt>
                <c:pt idx="32">
                  <c:v>4.4802582033351257</c:v>
                </c:pt>
                <c:pt idx="33">
                  <c:v>4.4802582033351257</c:v>
                </c:pt>
                <c:pt idx="34">
                  <c:v>4.4802582033351257</c:v>
                </c:pt>
                <c:pt idx="35">
                  <c:v>4.4802582033351257</c:v>
                </c:pt>
                <c:pt idx="36">
                  <c:v>4.4802582033351257</c:v>
                </c:pt>
                <c:pt idx="37">
                  <c:v>4.4802582033351257</c:v>
                </c:pt>
                <c:pt idx="38">
                  <c:v>4.4802582033351257</c:v>
                </c:pt>
                <c:pt idx="39">
                  <c:v>4.4802582033351257</c:v>
                </c:pt>
                <c:pt idx="40">
                  <c:v>4.4802582033351257</c:v>
                </c:pt>
                <c:pt idx="41">
                  <c:v>4.4802582033351257</c:v>
                </c:pt>
                <c:pt idx="42">
                  <c:v>4.4802582033351257</c:v>
                </c:pt>
                <c:pt idx="43">
                  <c:v>4.4802582033351257</c:v>
                </c:pt>
                <c:pt idx="44">
                  <c:v>4.4802582033351257</c:v>
                </c:pt>
                <c:pt idx="45">
                  <c:v>4.4802582033351257</c:v>
                </c:pt>
                <c:pt idx="46">
                  <c:v>4.4802582033351257</c:v>
                </c:pt>
                <c:pt idx="47">
                  <c:v>4.4802582033351257</c:v>
                </c:pt>
                <c:pt idx="48">
                  <c:v>4.4802582033351257</c:v>
                </c:pt>
                <c:pt idx="49">
                  <c:v>4.4802582033351257</c:v>
                </c:pt>
                <c:pt idx="50">
                  <c:v>4.4802582033351257</c:v>
                </c:pt>
                <c:pt idx="51">
                  <c:v>4.4802582033351257</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44788</c:v>
                </c:pt>
                <c:pt idx="1">
                  <c:v>44795</c:v>
                </c:pt>
                <c:pt idx="2">
                  <c:v>44802</c:v>
                </c:pt>
                <c:pt idx="3">
                  <c:v>44809</c:v>
                </c:pt>
                <c:pt idx="4">
                  <c:v>44816</c:v>
                </c:pt>
                <c:pt idx="5">
                  <c:v>44823</c:v>
                </c:pt>
                <c:pt idx="6">
                  <c:v>44830</c:v>
                </c:pt>
                <c:pt idx="7">
                  <c:v>44837</c:v>
                </c:pt>
                <c:pt idx="8">
                  <c:v>44844</c:v>
                </c:pt>
                <c:pt idx="9">
                  <c:v>44851</c:v>
                </c:pt>
                <c:pt idx="10">
                  <c:v>44858</c:v>
                </c:pt>
                <c:pt idx="11">
                  <c:v>44865</c:v>
                </c:pt>
                <c:pt idx="12">
                  <c:v>44872</c:v>
                </c:pt>
                <c:pt idx="13">
                  <c:v>44879</c:v>
                </c:pt>
                <c:pt idx="14">
                  <c:v>44886</c:v>
                </c:pt>
                <c:pt idx="15">
                  <c:v>44893</c:v>
                </c:pt>
                <c:pt idx="16">
                  <c:v>44900</c:v>
                </c:pt>
                <c:pt idx="17">
                  <c:v>44907</c:v>
                </c:pt>
                <c:pt idx="18">
                  <c:v>44914</c:v>
                </c:pt>
                <c:pt idx="19">
                  <c:v>44921</c:v>
                </c:pt>
                <c:pt idx="20">
                  <c:v>44928</c:v>
                </c:pt>
                <c:pt idx="21">
                  <c:v>44935</c:v>
                </c:pt>
                <c:pt idx="22">
                  <c:v>44942</c:v>
                </c:pt>
                <c:pt idx="23">
                  <c:v>44949</c:v>
                </c:pt>
                <c:pt idx="24">
                  <c:v>44956</c:v>
                </c:pt>
                <c:pt idx="25">
                  <c:v>44963</c:v>
                </c:pt>
                <c:pt idx="26">
                  <c:v>44970</c:v>
                </c:pt>
                <c:pt idx="27">
                  <c:v>44977</c:v>
                </c:pt>
                <c:pt idx="28">
                  <c:v>44984</c:v>
                </c:pt>
                <c:pt idx="29">
                  <c:v>44991</c:v>
                </c:pt>
                <c:pt idx="30">
                  <c:v>44998</c:v>
                </c:pt>
                <c:pt idx="31">
                  <c:v>45005</c:v>
                </c:pt>
                <c:pt idx="32">
                  <c:v>45012</c:v>
                </c:pt>
                <c:pt idx="33">
                  <c:v>45019</c:v>
                </c:pt>
                <c:pt idx="34">
                  <c:v>45026</c:v>
                </c:pt>
                <c:pt idx="35">
                  <c:v>45033</c:v>
                </c:pt>
                <c:pt idx="36">
                  <c:v>45040</c:v>
                </c:pt>
                <c:pt idx="37">
                  <c:v>45047</c:v>
                </c:pt>
                <c:pt idx="38">
                  <c:v>45054</c:v>
                </c:pt>
                <c:pt idx="39">
                  <c:v>45061</c:v>
                </c:pt>
                <c:pt idx="40">
                  <c:v>45068</c:v>
                </c:pt>
                <c:pt idx="41">
                  <c:v>45075</c:v>
                </c:pt>
                <c:pt idx="42">
                  <c:v>45082</c:v>
                </c:pt>
                <c:pt idx="43">
                  <c:v>45089</c:v>
                </c:pt>
                <c:pt idx="44">
                  <c:v>45096</c:v>
                </c:pt>
                <c:pt idx="45">
                  <c:v>45103</c:v>
                </c:pt>
                <c:pt idx="46">
                  <c:v>45110</c:v>
                </c:pt>
                <c:pt idx="47">
                  <c:v>45117</c:v>
                </c:pt>
                <c:pt idx="48">
                  <c:v>45124</c:v>
                </c:pt>
                <c:pt idx="49">
                  <c:v>45131</c:v>
                </c:pt>
                <c:pt idx="50">
                  <c:v>45138</c:v>
                </c:pt>
                <c:pt idx="51">
                  <c:v>45145</c:v>
                </c:pt>
              </c:numCache>
            </c:numRef>
          </c:cat>
          <c:val>
            <c:numRef>
              <c:f>'Planning (hide)'!$AD$4:$AD$55</c:f>
              <c:numCache>
                <c:formatCode>General</c:formatCode>
                <c:ptCount val="52"/>
                <c:pt idx="0">
                  <c:v>14.261623907226106</c:v>
                </c:pt>
                <c:pt idx="1">
                  <c:v>14.261623907226106</c:v>
                </c:pt>
                <c:pt idx="2">
                  <c:v>14.261623907226106</c:v>
                </c:pt>
                <c:pt idx="3">
                  <c:v>14.261623907226106</c:v>
                </c:pt>
                <c:pt idx="4">
                  <c:v>14.261623907226106</c:v>
                </c:pt>
                <c:pt idx="5">
                  <c:v>14.261623907226106</c:v>
                </c:pt>
                <c:pt idx="6">
                  <c:v>14.261623907226106</c:v>
                </c:pt>
                <c:pt idx="7">
                  <c:v>14.261623907226106</c:v>
                </c:pt>
                <c:pt idx="8">
                  <c:v>14.261623907226106</c:v>
                </c:pt>
                <c:pt idx="9">
                  <c:v>14.261623907226106</c:v>
                </c:pt>
                <c:pt idx="10">
                  <c:v>14.261623907226106</c:v>
                </c:pt>
                <c:pt idx="11">
                  <c:v>14.261623907226106</c:v>
                </c:pt>
                <c:pt idx="12">
                  <c:v>14.261623907226106</c:v>
                </c:pt>
                <c:pt idx="13">
                  <c:v>14.261623907226106</c:v>
                </c:pt>
                <c:pt idx="14">
                  <c:v>14.261623907226106</c:v>
                </c:pt>
                <c:pt idx="15">
                  <c:v>14.261623907226106</c:v>
                </c:pt>
                <c:pt idx="16">
                  <c:v>14.261623907226106</c:v>
                </c:pt>
                <c:pt idx="17">
                  <c:v>14.261623907226106</c:v>
                </c:pt>
                <c:pt idx="18">
                  <c:v>14.261623907226106</c:v>
                </c:pt>
                <c:pt idx="19">
                  <c:v>14.261623907226106</c:v>
                </c:pt>
                <c:pt idx="20">
                  <c:v>14.261623907226106</c:v>
                </c:pt>
                <c:pt idx="21">
                  <c:v>14.261623907226106</c:v>
                </c:pt>
                <c:pt idx="22">
                  <c:v>14.261623907226106</c:v>
                </c:pt>
                <c:pt idx="23">
                  <c:v>14.261623907226106</c:v>
                </c:pt>
                <c:pt idx="24">
                  <c:v>14.261623907226106</c:v>
                </c:pt>
                <c:pt idx="25">
                  <c:v>14.261623907226106</c:v>
                </c:pt>
                <c:pt idx="26">
                  <c:v>14.261623907226106</c:v>
                </c:pt>
                <c:pt idx="27">
                  <c:v>14.261623907226106</c:v>
                </c:pt>
                <c:pt idx="28">
                  <c:v>14.261623907226106</c:v>
                </c:pt>
                <c:pt idx="29">
                  <c:v>14.261623907226106</c:v>
                </c:pt>
                <c:pt idx="30">
                  <c:v>14.261623907226106</c:v>
                </c:pt>
                <c:pt idx="31">
                  <c:v>14.261623907226106</c:v>
                </c:pt>
                <c:pt idx="32">
                  <c:v>14.261623907226106</c:v>
                </c:pt>
                <c:pt idx="33">
                  <c:v>14.261623907226106</c:v>
                </c:pt>
                <c:pt idx="34">
                  <c:v>14.261623907226106</c:v>
                </c:pt>
                <c:pt idx="35">
                  <c:v>14.261623907226106</c:v>
                </c:pt>
                <c:pt idx="36">
                  <c:v>14.261623907226106</c:v>
                </c:pt>
                <c:pt idx="37">
                  <c:v>14.261623907226106</c:v>
                </c:pt>
                <c:pt idx="38">
                  <c:v>14.261623907226106</c:v>
                </c:pt>
                <c:pt idx="39">
                  <c:v>14.261623907226106</c:v>
                </c:pt>
                <c:pt idx="40">
                  <c:v>14.261623907226106</c:v>
                </c:pt>
                <c:pt idx="41">
                  <c:v>14.261623907226106</c:v>
                </c:pt>
                <c:pt idx="42">
                  <c:v>14.261623907226106</c:v>
                </c:pt>
                <c:pt idx="43">
                  <c:v>14.261623907226106</c:v>
                </c:pt>
                <c:pt idx="44">
                  <c:v>14.261623907226106</c:v>
                </c:pt>
                <c:pt idx="45">
                  <c:v>14.261623907226106</c:v>
                </c:pt>
                <c:pt idx="46">
                  <c:v>14.261623907226106</c:v>
                </c:pt>
                <c:pt idx="47">
                  <c:v>14.261623907226106</c:v>
                </c:pt>
                <c:pt idx="48">
                  <c:v>14.261623907226106</c:v>
                </c:pt>
                <c:pt idx="49">
                  <c:v>14.261623907226106</c:v>
                </c:pt>
                <c:pt idx="50">
                  <c:v>14.261623907226106</c:v>
                </c:pt>
                <c:pt idx="51">
                  <c:v>14.261623907226106</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44788</c:v>
                </c:pt>
                <c:pt idx="1">
                  <c:v>44795</c:v>
                </c:pt>
                <c:pt idx="2">
                  <c:v>44802</c:v>
                </c:pt>
                <c:pt idx="3">
                  <c:v>44809</c:v>
                </c:pt>
                <c:pt idx="4">
                  <c:v>44816</c:v>
                </c:pt>
                <c:pt idx="5">
                  <c:v>44823</c:v>
                </c:pt>
                <c:pt idx="6">
                  <c:v>44830</c:v>
                </c:pt>
                <c:pt idx="7">
                  <c:v>44837</c:v>
                </c:pt>
                <c:pt idx="8">
                  <c:v>44844</c:v>
                </c:pt>
                <c:pt idx="9">
                  <c:v>44851</c:v>
                </c:pt>
                <c:pt idx="10">
                  <c:v>44858</c:v>
                </c:pt>
                <c:pt idx="11">
                  <c:v>44865</c:v>
                </c:pt>
                <c:pt idx="12">
                  <c:v>44872</c:v>
                </c:pt>
                <c:pt idx="13">
                  <c:v>44879</c:v>
                </c:pt>
                <c:pt idx="14">
                  <c:v>44886</c:v>
                </c:pt>
                <c:pt idx="15">
                  <c:v>44893</c:v>
                </c:pt>
                <c:pt idx="16">
                  <c:v>44900</c:v>
                </c:pt>
                <c:pt idx="17">
                  <c:v>44907</c:v>
                </c:pt>
                <c:pt idx="18">
                  <c:v>44914</c:v>
                </c:pt>
                <c:pt idx="19">
                  <c:v>44921</c:v>
                </c:pt>
                <c:pt idx="20">
                  <c:v>44928</c:v>
                </c:pt>
                <c:pt idx="21">
                  <c:v>44935</c:v>
                </c:pt>
                <c:pt idx="22">
                  <c:v>44942</c:v>
                </c:pt>
                <c:pt idx="23">
                  <c:v>44949</c:v>
                </c:pt>
                <c:pt idx="24">
                  <c:v>44956</c:v>
                </c:pt>
                <c:pt idx="25">
                  <c:v>44963</c:v>
                </c:pt>
                <c:pt idx="26">
                  <c:v>44970</c:v>
                </c:pt>
                <c:pt idx="27">
                  <c:v>44977</c:v>
                </c:pt>
                <c:pt idx="28">
                  <c:v>44984</c:v>
                </c:pt>
                <c:pt idx="29">
                  <c:v>44991</c:v>
                </c:pt>
                <c:pt idx="30">
                  <c:v>44998</c:v>
                </c:pt>
                <c:pt idx="31">
                  <c:v>45005</c:v>
                </c:pt>
                <c:pt idx="32">
                  <c:v>45012</c:v>
                </c:pt>
                <c:pt idx="33">
                  <c:v>45019</c:v>
                </c:pt>
                <c:pt idx="34">
                  <c:v>45026</c:v>
                </c:pt>
                <c:pt idx="35">
                  <c:v>45033</c:v>
                </c:pt>
                <c:pt idx="36">
                  <c:v>45040</c:v>
                </c:pt>
                <c:pt idx="37">
                  <c:v>45047</c:v>
                </c:pt>
                <c:pt idx="38">
                  <c:v>45054</c:v>
                </c:pt>
                <c:pt idx="39">
                  <c:v>45061</c:v>
                </c:pt>
                <c:pt idx="40">
                  <c:v>45068</c:v>
                </c:pt>
                <c:pt idx="41">
                  <c:v>45075</c:v>
                </c:pt>
                <c:pt idx="42">
                  <c:v>45082</c:v>
                </c:pt>
                <c:pt idx="43">
                  <c:v>45089</c:v>
                </c:pt>
                <c:pt idx="44">
                  <c:v>45096</c:v>
                </c:pt>
                <c:pt idx="45">
                  <c:v>45103</c:v>
                </c:pt>
                <c:pt idx="46">
                  <c:v>45110</c:v>
                </c:pt>
                <c:pt idx="47">
                  <c:v>45117</c:v>
                </c:pt>
                <c:pt idx="48">
                  <c:v>45124</c:v>
                </c:pt>
                <c:pt idx="49">
                  <c:v>45131</c:v>
                </c:pt>
                <c:pt idx="50">
                  <c:v>45138</c:v>
                </c:pt>
                <c:pt idx="51">
                  <c:v>45145</c:v>
                </c:pt>
              </c:numCache>
            </c:numRef>
          </c:cat>
          <c:val>
            <c:numRef>
              <c:f>'Planning (hide)'!$AE$4:$AE$55</c:f>
              <c:numCache>
                <c:formatCode>General</c:formatCode>
                <c:ptCount val="52"/>
                <c:pt idx="0">
                  <c:v>2.909216118881119</c:v>
                </c:pt>
                <c:pt idx="1">
                  <c:v>2.909216118881119</c:v>
                </c:pt>
                <c:pt idx="2">
                  <c:v>2.909216118881119</c:v>
                </c:pt>
                <c:pt idx="3">
                  <c:v>2.909216118881119</c:v>
                </c:pt>
                <c:pt idx="4">
                  <c:v>2.909216118881119</c:v>
                </c:pt>
                <c:pt idx="5">
                  <c:v>2.909216118881119</c:v>
                </c:pt>
                <c:pt idx="6">
                  <c:v>2.909216118881119</c:v>
                </c:pt>
                <c:pt idx="7">
                  <c:v>2.909216118881119</c:v>
                </c:pt>
                <c:pt idx="8">
                  <c:v>2.909216118881119</c:v>
                </c:pt>
                <c:pt idx="9">
                  <c:v>2.909216118881119</c:v>
                </c:pt>
                <c:pt idx="10">
                  <c:v>2.909216118881119</c:v>
                </c:pt>
                <c:pt idx="11">
                  <c:v>2.909216118881119</c:v>
                </c:pt>
                <c:pt idx="12">
                  <c:v>2.909216118881119</c:v>
                </c:pt>
                <c:pt idx="13">
                  <c:v>2.909216118881119</c:v>
                </c:pt>
                <c:pt idx="14">
                  <c:v>2.909216118881119</c:v>
                </c:pt>
                <c:pt idx="15">
                  <c:v>2.909216118881119</c:v>
                </c:pt>
                <c:pt idx="16">
                  <c:v>2.909216118881119</c:v>
                </c:pt>
                <c:pt idx="17">
                  <c:v>2.909216118881119</c:v>
                </c:pt>
                <c:pt idx="18">
                  <c:v>2.909216118881119</c:v>
                </c:pt>
                <c:pt idx="19">
                  <c:v>2.909216118881119</c:v>
                </c:pt>
                <c:pt idx="20">
                  <c:v>2.909216118881119</c:v>
                </c:pt>
                <c:pt idx="21">
                  <c:v>2.909216118881119</c:v>
                </c:pt>
                <c:pt idx="22">
                  <c:v>2.909216118881119</c:v>
                </c:pt>
                <c:pt idx="23">
                  <c:v>2.909216118881119</c:v>
                </c:pt>
                <c:pt idx="24">
                  <c:v>2.909216118881119</c:v>
                </c:pt>
                <c:pt idx="25">
                  <c:v>2.909216118881119</c:v>
                </c:pt>
                <c:pt idx="26">
                  <c:v>2.909216118881119</c:v>
                </c:pt>
                <c:pt idx="27">
                  <c:v>2.909216118881119</c:v>
                </c:pt>
                <c:pt idx="28">
                  <c:v>2.909216118881119</c:v>
                </c:pt>
                <c:pt idx="29">
                  <c:v>2.909216118881119</c:v>
                </c:pt>
                <c:pt idx="30">
                  <c:v>2.909216118881119</c:v>
                </c:pt>
                <c:pt idx="31">
                  <c:v>2.909216118881119</c:v>
                </c:pt>
                <c:pt idx="32">
                  <c:v>2.909216118881119</c:v>
                </c:pt>
                <c:pt idx="33">
                  <c:v>2.909216118881119</c:v>
                </c:pt>
                <c:pt idx="34">
                  <c:v>2.909216118881119</c:v>
                </c:pt>
                <c:pt idx="35">
                  <c:v>2.909216118881119</c:v>
                </c:pt>
                <c:pt idx="36">
                  <c:v>2.909216118881119</c:v>
                </c:pt>
                <c:pt idx="37">
                  <c:v>2.909216118881119</c:v>
                </c:pt>
                <c:pt idx="38">
                  <c:v>2.909216118881119</c:v>
                </c:pt>
                <c:pt idx="39">
                  <c:v>2.909216118881119</c:v>
                </c:pt>
                <c:pt idx="40">
                  <c:v>2.909216118881119</c:v>
                </c:pt>
                <c:pt idx="41">
                  <c:v>2.909216118881119</c:v>
                </c:pt>
                <c:pt idx="42">
                  <c:v>2.909216118881119</c:v>
                </c:pt>
                <c:pt idx="43">
                  <c:v>2.909216118881119</c:v>
                </c:pt>
                <c:pt idx="44">
                  <c:v>2.909216118881119</c:v>
                </c:pt>
                <c:pt idx="45">
                  <c:v>2.909216118881119</c:v>
                </c:pt>
                <c:pt idx="46">
                  <c:v>2.909216118881119</c:v>
                </c:pt>
                <c:pt idx="47">
                  <c:v>2.909216118881119</c:v>
                </c:pt>
                <c:pt idx="48">
                  <c:v>2.909216118881119</c:v>
                </c:pt>
                <c:pt idx="49">
                  <c:v>2.909216118881119</c:v>
                </c:pt>
                <c:pt idx="50">
                  <c:v>2.909216118881119</c:v>
                </c:pt>
                <c:pt idx="51">
                  <c:v>2.909216118881119</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44788</c:v>
                </c:pt>
                <c:pt idx="1">
                  <c:v>44795</c:v>
                </c:pt>
                <c:pt idx="2">
                  <c:v>44802</c:v>
                </c:pt>
                <c:pt idx="3">
                  <c:v>44809</c:v>
                </c:pt>
                <c:pt idx="4">
                  <c:v>44816</c:v>
                </c:pt>
                <c:pt idx="5">
                  <c:v>44823</c:v>
                </c:pt>
                <c:pt idx="6">
                  <c:v>44830</c:v>
                </c:pt>
                <c:pt idx="7">
                  <c:v>44837</c:v>
                </c:pt>
                <c:pt idx="8">
                  <c:v>44844</c:v>
                </c:pt>
                <c:pt idx="9">
                  <c:v>44851</c:v>
                </c:pt>
                <c:pt idx="10">
                  <c:v>44858</c:v>
                </c:pt>
                <c:pt idx="11">
                  <c:v>44865</c:v>
                </c:pt>
                <c:pt idx="12">
                  <c:v>44872</c:v>
                </c:pt>
                <c:pt idx="13">
                  <c:v>44879</c:v>
                </c:pt>
                <c:pt idx="14">
                  <c:v>44886</c:v>
                </c:pt>
                <c:pt idx="15">
                  <c:v>44893</c:v>
                </c:pt>
                <c:pt idx="16">
                  <c:v>44900</c:v>
                </c:pt>
                <c:pt idx="17">
                  <c:v>44907</c:v>
                </c:pt>
                <c:pt idx="18">
                  <c:v>44914</c:v>
                </c:pt>
                <c:pt idx="19">
                  <c:v>44921</c:v>
                </c:pt>
                <c:pt idx="20">
                  <c:v>44928</c:v>
                </c:pt>
                <c:pt idx="21">
                  <c:v>44935</c:v>
                </c:pt>
                <c:pt idx="22">
                  <c:v>44942</c:v>
                </c:pt>
                <c:pt idx="23">
                  <c:v>44949</c:v>
                </c:pt>
                <c:pt idx="24">
                  <c:v>44956</c:v>
                </c:pt>
                <c:pt idx="25">
                  <c:v>44963</c:v>
                </c:pt>
                <c:pt idx="26">
                  <c:v>44970</c:v>
                </c:pt>
                <c:pt idx="27">
                  <c:v>44977</c:v>
                </c:pt>
                <c:pt idx="28">
                  <c:v>44984</c:v>
                </c:pt>
                <c:pt idx="29">
                  <c:v>44991</c:v>
                </c:pt>
                <c:pt idx="30">
                  <c:v>44998</c:v>
                </c:pt>
                <c:pt idx="31">
                  <c:v>45005</c:v>
                </c:pt>
                <c:pt idx="32">
                  <c:v>45012</c:v>
                </c:pt>
                <c:pt idx="33">
                  <c:v>45019</c:v>
                </c:pt>
                <c:pt idx="34">
                  <c:v>45026</c:v>
                </c:pt>
                <c:pt idx="35">
                  <c:v>45033</c:v>
                </c:pt>
                <c:pt idx="36">
                  <c:v>45040</c:v>
                </c:pt>
                <c:pt idx="37">
                  <c:v>45047</c:v>
                </c:pt>
                <c:pt idx="38">
                  <c:v>45054</c:v>
                </c:pt>
                <c:pt idx="39">
                  <c:v>45061</c:v>
                </c:pt>
                <c:pt idx="40">
                  <c:v>45068</c:v>
                </c:pt>
                <c:pt idx="41">
                  <c:v>45075</c:v>
                </c:pt>
                <c:pt idx="42">
                  <c:v>45082</c:v>
                </c:pt>
                <c:pt idx="43">
                  <c:v>45089</c:v>
                </c:pt>
                <c:pt idx="44">
                  <c:v>45096</c:v>
                </c:pt>
                <c:pt idx="45">
                  <c:v>45103</c:v>
                </c:pt>
                <c:pt idx="46">
                  <c:v>45110</c:v>
                </c:pt>
                <c:pt idx="47">
                  <c:v>45117</c:v>
                </c:pt>
                <c:pt idx="48">
                  <c:v>45124</c:v>
                </c:pt>
                <c:pt idx="49">
                  <c:v>45131</c:v>
                </c:pt>
                <c:pt idx="50">
                  <c:v>45138</c:v>
                </c:pt>
                <c:pt idx="51">
                  <c:v>45145</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44788</c:v>
                </c:pt>
                <c:pt idx="1">
                  <c:v>44795</c:v>
                </c:pt>
                <c:pt idx="2">
                  <c:v>44802</c:v>
                </c:pt>
                <c:pt idx="3">
                  <c:v>44809</c:v>
                </c:pt>
                <c:pt idx="4">
                  <c:v>44816</c:v>
                </c:pt>
                <c:pt idx="5">
                  <c:v>44823</c:v>
                </c:pt>
                <c:pt idx="6">
                  <c:v>44830</c:v>
                </c:pt>
                <c:pt idx="7">
                  <c:v>44837</c:v>
                </c:pt>
                <c:pt idx="8">
                  <c:v>44844</c:v>
                </c:pt>
                <c:pt idx="9">
                  <c:v>44851</c:v>
                </c:pt>
                <c:pt idx="10">
                  <c:v>44858</c:v>
                </c:pt>
                <c:pt idx="11">
                  <c:v>44865</c:v>
                </c:pt>
                <c:pt idx="12">
                  <c:v>44872</c:v>
                </c:pt>
                <c:pt idx="13">
                  <c:v>44879</c:v>
                </c:pt>
                <c:pt idx="14">
                  <c:v>44886</c:v>
                </c:pt>
                <c:pt idx="15">
                  <c:v>44893</c:v>
                </c:pt>
                <c:pt idx="16">
                  <c:v>44900</c:v>
                </c:pt>
                <c:pt idx="17">
                  <c:v>44907</c:v>
                </c:pt>
                <c:pt idx="18">
                  <c:v>44914</c:v>
                </c:pt>
                <c:pt idx="19">
                  <c:v>44921</c:v>
                </c:pt>
                <c:pt idx="20">
                  <c:v>44928</c:v>
                </c:pt>
                <c:pt idx="21">
                  <c:v>44935</c:v>
                </c:pt>
                <c:pt idx="22">
                  <c:v>44942</c:v>
                </c:pt>
                <c:pt idx="23">
                  <c:v>44949</c:v>
                </c:pt>
                <c:pt idx="24">
                  <c:v>44956</c:v>
                </c:pt>
                <c:pt idx="25">
                  <c:v>44963</c:v>
                </c:pt>
                <c:pt idx="26">
                  <c:v>44970</c:v>
                </c:pt>
                <c:pt idx="27">
                  <c:v>44977</c:v>
                </c:pt>
                <c:pt idx="28">
                  <c:v>44984</c:v>
                </c:pt>
                <c:pt idx="29">
                  <c:v>44991</c:v>
                </c:pt>
                <c:pt idx="30">
                  <c:v>44998</c:v>
                </c:pt>
                <c:pt idx="31">
                  <c:v>45005</c:v>
                </c:pt>
                <c:pt idx="32">
                  <c:v>45012</c:v>
                </c:pt>
                <c:pt idx="33">
                  <c:v>45019</c:v>
                </c:pt>
                <c:pt idx="34">
                  <c:v>45026</c:v>
                </c:pt>
                <c:pt idx="35">
                  <c:v>45033</c:v>
                </c:pt>
                <c:pt idx="36">
                  <c:v>45040</c:v>
                </c:pt>
                <c:pt idx="37">
                  <c:v>45047</c:v>
                </c:pt>
                <c:pt idx="38">
                  <c:v>45054</c:v>
                </c:pt>
                <c:pt idx="39">
                  <c:v>45061</c:v>
                </c:pt>
                <c:pt idx="40">
                  <c:v>45068</c:v>
                </c:pt>
                <c:pt idx="41">
                  <c:v>45075</c:v>
                </c:pt>
                <c:pt idx="42">
                  <c:v>45082</c:v>
                </c:pt>
                <c:pt idx="43">
                  <c:v>45089</c:v>
                </c:pt>
                <c:pt idx="44">
                  <c:v>45096</c:v>
                </c:pt>
                <c:pt idx="45">
                  <c:v>45103</c:v>
                </c:pt>
                <c:pt idx="46">
                  <c:v>45110</c:v>
                </c:pt>
                <c:pt idx="47">
                  <c:v>45117</c:v>
                </c:pt>
                <c:pt idx="48">
                  <c:v>45124</c:v>
                </c:pt>
                <c:pt idx="49">
                  <c:v>45131</c:v>
                </c:pt>
                <c:pt idx="50">
                  <c:v>45138</c:v>
                </c:pt>
                <c:pt idx="51">
                  <c:v>45145</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9.9258687258687246</c:v>
                </c:pt>
                <c:pt idx="1">
                  <c:v>9.9258687258687246</c:v>
                </c:pt>
                <c:pt idx="2">
                  <c:v>9.9258687258687246</c:v>
                </c:pt>
                <c:pt idx="3">
                  <c:v>9.9258687258687246</c:v>
                </c:pt>
                <c:pt idx="4">
                  <c:v>9.9258687258687246</c:v>
                </c:pt>
                <c:pt idx="5">
                  <c:v>0.83838812301166499</c:v>
                </c:pt>
                <c:pt idx="6">
                  <c:v>0.83838812301166499</c:v>
                </c:pt>
                <c:pt idx="7">
                  <c:v>0.83838812301166499</c:v>
                </c:pt>
                <c:pt idx="8">
                  <c:v>0.83838812301166499</c:v>
                </c:pt>
                <c:pt idx="9">
                  <c:v>14.56425684888039</c:v>
                </c:pt>
                <c:pt idx="10">
                  <c:v>18.256564541188084</c:v>
                </c:pt>
                <c:pt idx="11">
                  <c:v>18.256564541188084</c:v>
                </c:pt>
                <c:pt idx="12">
                  <c:v>22.256564541188084</c:v>
                </c:pt>
                <c:pt idx="13">
                  <c:v>22.256564541188084</c:v>
                </c:pt>
                <c:pt idx="14">
                  <c:v>18.256564541188084</c:v>
                </c:pt>
                <c:pt idx="15">
                  <c:v>18.256564541188084</c:v>
                </c:pt>
                <c:pt idx="16">
                  <c:v>18.256564541188084</c:v>
                </c:pt>
                <c:pt idx="17">
                  <c:v>18.256564541188084</c:v>
                </c:pt>
                <c:pt idx="18">
                  <c:v>4.1937888198757767</c:v>
                </c:pt>
                <c:pt idx="19">
                  <c:v>4.1937888198757767</c:v>
                </c:pt>
                <c:pt idx="20">
                  <c:v>4.1937888198757767</c:v>
                </c:pt>
                <c:pt idx="21">
                  <c:v>8.1937888198757776</c:v>
                </c:pt>
                <c:pt idx="22">
                  <c:v>4.1937888198757767</c:v>
                </c:pt>
                <c:pt idx="23">
                  <c:v>14.56425684888039</c:v>
                </c:pt>
                <c:pt idx="24">
                  <c:v>14.56425684888039</c:v>
                </c:pt>
                <c:pt idx="25">
                  <c:v>0.83838812301166499</c:v>
                </c:pt>
                <c:pt idx="26">
                  <c:v>14.56425684888039</c:v>
                </c:pt>
                <c:pt idx="27">
                  <c:v>14.56425684888039</c:v>
                </c:pt>
                <c:pt idx="28">
                  <c:v>14.56425684888039</c:v>
                </c:pt>
                <c:pt idx="29">
                  <c:v>14.56425684888039</c:v>
                </c:pt>
                <c:pt idx="30">
                  <c:v>14.56425684888039</c:v>
                </c:pt>
                <c:pt idx="31">
                  <c:v>14.56425684888039</c:v>
                </c:pt>
                <c:pt idx="32">
                  <c:v>14.56425684888039</c:v>
                </c:pt>
                <c:pt idx="33">
                  <c:v>14.56425684888039</c:v>
                </c:pt>
                <c:pt idx="34">
                  <c:v>14.56425684888039</c:v>
                </c:pt>
                <c:pt idx="35">
                  <c:v>14.56425684888039</c:v>
                </c:pt>
                <c:pt idx="36">
                  <c:v>14.56425684888039</c:v>
                </c:pt>
                <c:pt idx="37">
                  <c:v>0.83838812301166499</c:v>
                </c:pt>
                <c:pt idx="38">
                  <c:v>4.838388123011665</c:v>
                </c:pt>
                <c:pt idx="39">
                  <c:v>0.83838812301166499</c:v>
                </c:pt>
                <c:pt idx="40">
                  <c:v>4.838388123011665</c:v>
                </c:pt>
                <c:pt idx="41">
                  <c:v>0.83838812301166499</c:v>
                </c:pt>
                <c:pt idx="42">
                  <c:v>18.56425684888039</c:v>
                </c:pt>
                <c:pt idx="43">
                  <c:v>18.56425684888039</c:v>
                </c:pt>
                <c:pt idx="44">
                  <c:v>14.56425684888039</c:v>
                </c:pt>
                <c:pt idx="45">
                  <c:v>18.256564541188084</c:v>
                </c:pt>
                <c:pt idx="46">
                  <c:v>22.256564541188084</c:v>
                </c:pt>
                <c:pt idx="47">
                  <c:v>18.56425684888039</c:v>
                </c:pt>
                <c:pt idx="48">
                  <c:v>14.56425684888039</c:v>
                </c:pt>
                <c:pt idx="49">
                  <c:v>14.56425684888039</c:v>
                </c:pt>
                <c:pt idx="50">
                  <c:v>22.256564541188084</c:v>
                </c:pt>
                <c:pt idx="51">
                  <c:v>9.9258687258687246</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98"/>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firstButton="1" fmlaLink="'Capacity calculation (hide)'!$E$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firstButton="1" fmlaLink="'Capacity calculation (hide)'!$E$1" lockText="1" noThreeD="1"/>
</file>

<file path=xl/ctrlProps/ctrlProp25.xml><?xml version="1.0" encoding="utf-8"?>
<formControlPr xmlns="http://schemas.microsoft.com/office/spreadsheetml/2009/9/main" objectType="Radio" checked="Checked"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400050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180975</xdr:rowOff>
        </xdr:from>
        <xdr:to>
          <xdr:col>2</xdr:col>
          <xdr:colOff>0</xdr:colOff>
          <xdr:row>5</xdr:row>
          <xdr:rowOff>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866775</xdr:colOff>
          <xdr:row>3</xdr:row>
          <xdr:rowOff>171450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866775</xdr:colOff>
          <xdr:row>4</xdr:row>
          <xdr:rowOff>171450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95250</xdr:rowOff>
        </xdr:from>
        <xdr:to>
          <xdr:col>3</xdr:col>
          <xdr:colOff>247650</xdr:colOff>
          <xdr:row>13</xdr:row>
          <xdr:rowOff>95250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95250</xdr:rowOff>
        </xdr:from>
        <xdr:to>
          <xdr:col>3</xdr:col>
          <xdr:colOff>142875</xdr:colOff>
          <xdr:row>6</xdr:row>
          <xdr:rowOff>171450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1428750</xdr:colOff>
          <xdr:row>15</xdr:row>
          <xdr:rowOff>533400</xdr:rowOff>
        </xdr:from>
        <xdr:to>
          <xdr:col>2</xdr:col>
          <xdr:colOff>1123950</xdr:colOff>
          <xdr:row>16</xdr:row>
          <xdr:rowOff>171450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5</xdr:row>
          <xdr:rowOff>171450</xdr:rowOff>
        </xdr:from>
        <xdr:to>
          <xdr:col>2</xdr:col>
          <xdr:colOff>866775</xdr:colOff>
          <xdr:row>7</xdr:row>
          <xdr:rowOff>28575</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819150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12</xdr:col>
          <xdr:colOff>238125</xdr:colOff>
          <xdr:row>2</xdr:row>
          <xdr:rowOff>104775</xdr:rowOff>
        </xdr:from>
        <xdr:to>
          <xdr:col>13</xdr:col>
          <xdr:colOff>1352550</xdr:colOff>
          <xdr:row>5</xdr:row>
          <xdr:rowOff>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5</xdr:row>
          <xdr:rowOff>38100</xdr:rowOff>
        </xdr:from>
        <xdr:to>
          <xdr:col>13</xdr:col>
          <xdr:colOff>1352550</xdr:colOff>
          <xdr:row>7</xdr:row>
          <xdr:rowOff>95250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7</xdr:row>
          <xdr:rowOff>171450</xdr:rowOff>
        </xdr:from>
        <xdr:to>
          <xdr:col>13</xdr:col>
          <xdr:colOff>1352550</xdr:colOff>
          <xdr:row>12</xdr:row>
          <xdr:rowOff>66675</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180333</xdr:colOff>
      <xdr:row>22</xdr:row>
      <xdr:rowOff>332740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5</xdr:row>
          <xdr:rowOff>171450</xdr:rowOff>
        </xdr:from>
        <xdr:to>
          <xdr:col>2</xdr:col>
          <xdr:colOff>552450</xdr:colOff>
          <xdr:row>7</xdr:row>
          <xdr:rowOff>28575</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370840</xdr:colOff>
      <xdr:row>2</xdr:row>
      <xdr:rowOff>48260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2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2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2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2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2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28575</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2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981075</xdr:colOff>
          <xdr:row>3</xdr:row>
          <xdr:rowOff>0</xdr:rowOff>
        </xdr:from>
        <xdr:to>
          <xdr:col>6</xdr:col>
          <xdr:colOff>0</xdr:colOff>
          <xdr:row>4</xdr:row>
          <xdr:rowOff>28575</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2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2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200-000010000000}"/>
            </a:ext>
          </a:extLst>
        </xdr:cNvPr>
        <xdr:cNvGrpSpPr/>
      </xdr:nvGrpSpPr>
      <xdr:grpSpPr>
        <a:xfrm>
          <a:off x="6350" y="152400"/>
          <a:ext cx="11195050" cy="5895975"/>
          <a:chOff x="6350" y="152400"/>
          <a:chExt cx="11156950" cy="5734050"/>
        </a:xfrm>
      </xdr:grpSpPr>
      <xdr:sp macro="" textlink="">
        <xdr:nvSpPr>
          <xdr:cNvPr id="14" name="TextBox 13" hidden="1">
            <a:extLst>
              <a:ext uri="{FF2B5EF4-FFF2-40B4-BE49-F238E27FC236}">
                <a16:creationId xmlns:a16="http://schemas.microsoft.com/office/drawing/2014/main" id="{00000000-0008-0000-12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2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6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17</xdr:row>
      <xdr:rowOff>87779</xdr:rowOff>
    </xdr:to>
    <xdr:graphicFrame macro="">
      <xdr:nvGraphicFramePr>
        <xdr:cNvPr id="4" name="Req_Cap_Overall" hidden="1">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12</xdr:col>
      <xdr:colOff>449618</xdr:colOff>
      <xdr:row>54</xdr:row>
      <xdr:rowOff>6986</xdr:rowOff>
    </xdr:to>
    <xdr:graphicFrame macro="">
      <xdr:nvGraphicFramePr>
        <xdr:cNvPr id="5" name="WL_Chart">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17</xdr:col>
      <xdr:colOff>666614</xdr:colOff>
      <xdr:row>18</xdr:row>
      <xdr:rowOff>0</xdr:rowOff>
    </xdr:to>
    <xdr:graphicFrame macro="">
      <xdr:nvGraphicFramePr>
        <xdr:cNvPr id="6" name="Req_Cap_Time">
          <a:extLst>
            <a:ext uri="{FF2B5EF4-FFF2-40B4-BE49-F238E27FC236}">
              <a16:creationId xmlns:a16="http://schemas.microsoft.com/office/drawing/2014/main" id="{00000000-0008-0000-1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7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142875</xdr:rowOff>
        </xdr:from>
        <xdr:to>
          <xdr:col>4</xdr:col>
          <xdr:colOff>285750</xdr:colOff>
          <xdr:row>45</xdr:row>
          <xdr:rowOff>19050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700-000010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602615</xdr:colOff>
      <xdr:row>42</xdr:row>
      <xdr:rowOff>45085</xdr:rowOff>
    </xdr:to>
    <xdr:pic macro="[0]!Sheet17.Summary_help2_click">
      <xdr:nvPicPr>
        <xdr:cNvPr id="9" name="Picture 8" hidden="1">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7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28575</xdr:colOff>
          <xdr:row>14</xdr:row>
          <xdr:rowOff>19050</xdr:rowOff>
        </xdr:from>
        <xdr:to>
          <xdr:col>2</xdr:col>
          <xdr:colOff>0</xdr:colOff>
          <xdr:row>14</xdr:row>
          <xdr:rowOff>419100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700-000012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14</xdr:row>
          <xdr:rowOff>19050</xdr:rowOff>
        </xdr:from>
        <xdr:to>
          <xdr:col>2</xdr:col>
          <xdr:colOff>952500</xdr:colOff>
          <xdr:row>14</xdr:row>
          <xdr:rowOff>419100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700-000013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209550</xdr:rowOff>
        </xdr:from>
        <xdr:to>
          <xdr:col>2</xdr:col>
          <xdr:colOff>0</xdr:colOff>
          <xdr:row>16</xdr:row>
          <xdr:rowOff>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700-000014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57150</xdr:rowOff>
        </xdr:from>
        <xdr:to>
          <xdr:col>60</xdr:col>
          <xdr:colOff>19050</xdr:colOff>
          <xdr:row>4</xdr:row>
          <xdr:rowOff>104775</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142875</xdr:rowOff>
        </xdr:from>
        <xdr:to>
          <xdr:col>60</xdr:col>
          <xdr:colOff>19050</xdr:colOff>
          <xdr:row>8</xdr:row>
          <xdr:rowOff>28575</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133350</xdr:rowOff>
        </xdr:from>
        <xdr:to>
          <xdr:col>60</xdr:col>
          <xdr:colOff>28575</xdr:colOff>
          <xdr:row>11</xdr:row>
          <xdr:rowOff>19050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1.xml"/><Relationship Id="rId1" Type="http://schemas.openxmlformats.org/officeDocument/2006/relationships/printerSettings" Target="../printerSettings/printerSettings19.bin"/><Relationship Id="rId6" Type="http://schemas.openxmlformats.org/officeDocument/2006/relationships/comments" Target="../comments11.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omments" Target="../comments12.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5.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omments" Target="../comments14.xml"/></Relationships>
</file>

<file path=xl/worksheets/_rels/sheet24.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7.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4.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8.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40"/>
  <sheetViews>
    <sheetView showGridLines="0" workbookViewId="0">
      <selection activeCell="D4" sqref="D4"/>
    </sheetView>
  </sheetViews>
  <sheetFormatPr defaultRowHeight="14.25" x14ac:dyDescent="0.2"/>
  <cols>
    <col min="1" max="1" width="9.625" bestFit="1" customWidth="1"/>
    <col min="2" max="2" width="9.75" bestFit="1" customWidth="1"/>
    <col min="3" max="3" width="20.125" customWidth="1"/>
    <col min="4" max="4" width="74.25" customWidth="1"/>
    <col min="5" max="5" width="35.25" customWidth="1"/>
  </cols>
  <sheetData>
    <row r="2" spans="1:5" ht="15" x14ac:dyDescent="0.25">
      <c r="A2" s="285" t="s">
        <v>0</v>
      </c>
      <c r="B2" s="285" t="s">
        <v>1</v>
      </c>
      <c r="C2" s="285" t="s">
        <v>2</v>
      </c>
      <c r="D2" s="285" t="s">
        <v>3</v>
      </c>
      <c r="E2" s="285" t="s">
        <v>11</v>
      </c>
    </row>
    <row r="3" spans="1:5" s="67" customFormat="1" ht="114" x14ac:dyDescent="0.2">
      <c r="A3" s="289">
        <v>3.5</v>
      </c>
      <c r="B3" s="290">
        <v>44753</v>
      </c>
      <c r="C3" s="289" t="s">
        <v>5</v>
      </c>
      <c r="D3" s="292" t="s">
        <v>1299</v>
      </c>
      <c r="E3" s="289"/>
    </row>
    <row r="4" spans="1:5" s="67" customFormat="1" ht="171.75" x14ac:dyDescent="0.25">
      <c r="A4" s="289" t="s">
        <v>1287</v>
      </c>
      <c r="B4" s="290">
        <v>44145</v>
      </c>
      <c r="C4" s="289" t="s">
        <v>276</v>
      </c>
      <c r="D4" s="292" t="s">
        <v>1298</v>
      </c>
      <c r="E4" s="285"/>
    </row>
    <row r="5" spans="1:5" s="67" customFormat="1" ht="42.75" x14ac:dyDescent="0.2">
      <c r="A5" s="292" t="s">
        <v>1274</v>
      </c>
      <c r="B5" s="378">
        <v>44061</v>
      </c>
      <c r="C5" s="292" t="s">
        <v>1270</v>
      </c>
      <c r="D5" s="292" t="s">
        <v>1273</v>
      </c>
      <c r="E5" s="292"/>
    </row>
    <row r="6" spans="1:5" s="67" customFormat="1" ht="57" x14ac:dyDescent="0.2">
      <c r="A6" s="289" t="s">
        <v>1272</v>
      </c>
      <c r="B6" s="290">
        <v>44057</v>
      </c>
      <c r="C6" s="292" t="s">
        <v>1270</v>
      </c>
      <c r="D6" s="292" t="s">
        <v>1271</v>
      </c>
      <c r="E6" s="289"/>
    </row>
    <row r="7" spans="1:5" s="67" customFormat="1" ht="57" x14ac:dyDescent="0.2">
      <c r="A7" s="289" t="s">
        <v>1240</v>
      </c>
      <c r="B7" s="290">
        <v>44027</v>
      </c>
      <c r="C7" s="289" t="s">
        <v>5</v>
      </c>
      <c r="D7" s="292" t="s">
        <v>1241</v>
      </c>
      <c r="E7" s="289"/>
    </row>
    <row r="8" spans="1:5" s="67" customFormat="1" ht="156.75" x14ac:dyDescent="0.2">
      <c r="A8" s="289" t="s">
        <v>1233</v>
      </c>
      <c r="B8" s="290">
        <v>44025</v>
      </c>
      <c r="C8" s="289" t="s">
        <v>5</v>
      </c>
      <c r="D8" s="292" t="s">
        <v>1239</v>
      </c>
      <c r="E8" s="292"/>
    </row>
    <row r="9" spans="1:5" s="67" customFormat="1" ht="71.25" x14ac:dyDescent="0.2">
      <c r="A9" s="289" t="s">
        <v>1232</v>
      </c>
      <c r="B9" s="290">
        <v>43997</v>
      </c>
      <c r="C9" s="289" t="s">
        <v>5</v>
      </c>
      <c r="D9" s="292" t="s">
        <v>1234</v>
      </c>
      <c r="E9" s="289"/>
    </row>
    <row r="10" spans="1:5" s="67" customFormat="1" ht="156.75" x14ac:dyDescent="0.2">
      <c r="A10" s="289">
        <v>3.4</v>
      </c>
      <c r="B10" s="290">
        <v>43993</v>
      </c>
      <c r="C10" s="289" t="s">
        <v>5</v>
      </c>
      <c r="D10" s="292" t="s">
        <v>1230</v>
      </c>
      <c r="E10" s="292"/>
    </row>
    <row r="11" spans="1:5" s="67" customFormat="1" ht="142.5" x14ac:dyDescent="0.2">
      <c r="A11" s="289">
        <v>3.3</v>
      </c>
      <c r="B11" s="290">
        <v>43980</v>
      </c>
      <c r="C11" s="289" t="s">
        <v>5</v>
      </c>
      <c r="D11" s="292" t="s">
        <v>1228</v>
      </c>
      <c r="E11" s="289"/>
    </row>
    <row r="12" spans="1:5" s="67" customFormat="1" ht="42.75" x14ac:dyDescent="0.2">
      <c r="A12" s="333">
        <v>3.2</v>
      </c>
      <c r="B12" s="290">
        <v>43965</v>
      </c>
      <c r="C12" s="289" t="s">
        <v>5</v>
      </c>
      <c r="D12" s="292" t="s">
        <v>1211</v>
      </c>
      <c r="E12" s="292"/>
    </row>
    <row r="13" spans="1:5" s="67" customFormat="1" ht="42.75" x14ac:dyDescent="0.2">
      <c r="A13" s="333">
        <v>3.1</v>
      </c>
      <c r="B13" s="290">
        <v>43964</v>
      </c>
      <c r="C13" s="289" t="s">
        <v>5</v>
      </c>
      <c r="D13" s="292" t="s">
        <v>1206</v>
      </c>
      <c r="E13" s="292"/>
    </row>
    <row r="14" spans="1:5" s="67" customFormat="1" ht="99.75" x14ac:dyDescent="0.2">
      <c r="A14" s="333">
        <v>3</v>
      </c>
      <c r="B14" s="290">
        <v>43963</v>
      </c>
      <c r="C14" s="289" t="s">
        <v>5</v>
      </c>
      <c r="D14" s="292" t="s">
        <v>1202</v>
      </c>
      <c r="E14" s="292" t="s">
        <v>1203</v>
      </c>
    </row>
    <row r="15" spans="1:5" s="67" customFormat="1" ht="72" x14ac:dyDescent="0.25">
      <c r="A15" s="289">
        <v>2.13</v>
      </c>
      <c r="B15" s="290">
        <v>43903</v>
      </c>
      <c r="C15" s="289" t="s">
        <v>5</v>
      </c>
      <c r="D15" s="292" t="s">
        <v>1174</v>
      </c>
      <c r="E15" s="285"/>
    </row>
    <row r="16" spans="1:5" s="67" customFormat="1" ht="29.25" x14ac:dyDescent="0.25">
      <c r="A16" s="289">
        <v>2.12</v>
      </c>
      <c r="B16" s="290">
        <v>43887</v>
      </c>
      <c r="C16" s="289" t="s">
        <v>276</v>
      </c>
      <c r="D16" s="292" t="s">
        <v>1175</v>
      </c>
      <c r="E16" s="285"/>
    </row>
    <row r="17" spans="1:5" s="67" customFormat="1" ht="57" x14ac:dyDescent="0.2">
      <c r="A17" s="289">
        <v>2.11</v>
      </c>
      <c r="B17" s="290">
        <v>43846</v>
      </c>
      <c r="C17" s="292" t="s">
        <v>1166</v>
      </c>
      <c r="D17" s="292" t="s">
        <v>1173</v>
      </c>
      <c r="E17" s="292" t="s">
        <v>1171</v>
      </c>
    </row>
    <row r="18" spans="1:5" s="67" customFormat="1" ht="43.5" x14ac:dyDescent="0.25">
      <c r="A18" s="327">
        <v>2.1</v>
      </c>
      <c r="B18" s="290">
        <v>43756</v>
      </c>
      <c r="C18" s="289" t="s">
        <v>276</v>
      </c>
      <c r="D18" s="292" t="s">
        <v>1170</v>
      </c>
      <c r="E18" s="285"/>
    </row>
    <row r="19" spans="1:5" s="67" customFormat="1" ht="57.75" x14ac:dyDescent="0.25">
      <c r="A19" s="289">
        <v>2.02</v>
      </c>
      <c r="B19" s="290">
        <v>43718</v>
      </c>
      <c r="C19" s="289" t="s">
        <v>5</v>
      </c>
      <c r="D19" s="292" t="s">
        <v>1169</v>
      </c>
      <c r="E19" s="285"/>
    </row>
    <row r="20" spans="1:5" s="67" customFormat="1" ht="57.75" x14ac:dyDescent="0.25">
      <c r="A20" s="289">
        <v>2.0099999999999998</v>
      </c>
      <c r="B20" s="290">
        <v>43693</v>
      </c>
      <c r="C20" s="289" t="s">
        <v>1108</v>
      </c>
      <c r="D20" s="292" t="s">
        <v>1168</v>
      </c>
      <c r="E20" s="285"/>
    </row>
    <row r="21" spans="1:5" s="67" customFormat="1" ht="100.5" x14ac:dyDescent="0.25">
      <c r="A21" s="323">
        <v>2</v>
      </c>
      <c r="B21" s="313">
        <v>43665</v>
      </c>
      <c r="C21" s="292" t="s">
        <v>1166</v>
      </c>
      <c r="D21" s="292" t="s">
        <v>1167</v>
      </c>
      <c r="E21" s="285"/>
    </row>
    <row r="22" spans="1:5" s="67" customFormat="1" ht="257.25" x14ac:dyDescent="0.25">
      <c r="A22" s="285">
        <v>1.05</v>
      </c>
      <c r="B22" s="313">
        <v>43570</v>
      </c>
      <c r="C22" s="292" t="s">
        <v>1165</v>
      </c>
      <c r="D22" s="292" t="s">
        <v>1160</v>
      </c>
      <c r="E22" s="315" t="s">
        <v>1159</v>
      </c>
    </row>
    <row r="23" spans="1:5" s="67" customFormat="1" ht="85.5" x14ac:dyDescent="0.2">
      <c r="A23" s="289">
        <v>1.04</v>
      </c>
      <c r="B23" s="290">
        <v>43516</v>
      </c>
      <c r="C23" s="289" t="s">
        <v>1108</v>
      </c>
      <c r="D23" s="292" t="s">
        <v>1111</v>
      </c>
      <c r="E23" s="292"/>
    </row>
    <row r="24" spans="1:5" s="67" customFormat="1" ht="128.25" x14ac:dyDescent="0.2">
      <c r="A24" s="289" t="s">
        <v>1107</v>
      </c>
      <c r="B24" s="290">
        <v>43486</v>
      </c>
      <c r="C24" s="289" t="s">
        <v>1108</v>
      </c>
      <c r="D24" s="292" t="s">
        <v>1109</v>
      </c>
      <c r="E24" s="292" t="s">
        <v>1110</v>
      </c>
    </row>
    <row r="25" spans="1:5" s="291" customFormat="1" ht="171" x14ac:dyDescent="0.2">
      <c r="A25" s="289" t="s">
        <v>1107</v>
      </c>
      <c r="B25" s="290">
        <v>43395</v>
      </c>
      <c r="C25" s="289" t="s">
        <v>5</v>
      </c>
      <c r="D25" s="292" t="s">
        <v>1106</v>
      </c>
      <c r="E25" s="292" t="s">
        <v>1105</v>
      </c>
    </row>
    <row r="26" spans="1:5" s="291" customFormat="1" ht="171" x14ac:dyDescent="0.2">
      <c r="A26" s="289">
        <v>1.03</v>
      </c>
      <c r="B26" s="290">
        <v>43319</v>
      </c>
      <c r="C26" s="289" t="s">
        <v>5</v>
      </c>
      <c r="D26" s="292" t="s">
        <v>1104</v>
      </c>
      <c r="E26" s="289"/>
    </row>
    <row r="27" spans="1:5" ht="409.5" x14ac:dyDescent="0.2">
      <c r="A27" s="286">
        <v>1.02</v>
      </c>
      <c r="B27" s="287">
        <v>43292</v>
      </c>
      <c r="C27" s="286" t="s">
        <v>5</v>
      </c>
      <c r="D27" s="288" t="s">
        <v>1103</v>
      </c>
      <c r="E27" s="288" t="s">
        <v>944</v>
      </c>
    </row>
    <row r="28" spans="1:5" ht="42.75" x14ac:dyDescent="0.2">
      <c r="A28" s="286" t="s">
        <v>932</v>
      </c>
      <c r="B28" s="287">
        <v>43291</v>
      </c>
      <c r="C28" s="286" t="s">
        <v>5</v>
      </c>
      <c r="D28" s="288" t="s">
        <v>933</v>
      </c>
      <c r="E28" s="286"/>
    </row>
    <row r="29" spans="1:5" ht="156.75" x14ac:dyDescent="0.2">
      <c r="A29" s="286" t="s">
        <v>880</v>
      </c>
      <c r="B29" s="287">
        <v>43255</v>
      </c>
      <c r="C29" s="286" t="s">
        <v>5</v>
      </c>
      <c r="D29" s="288" t="s">
        <v>881</v>
      </c>
      <c r="E29" s="286"/>
    </row>
    <row r="30" spans="1:5" ht="42.75" x14ac:dyDescent="0.2">
      <c r="A30" s="286" t="s">
        <v>873</v>
      </c>
      <c r="B30" s="287">
        <v>43247</v>
      </c>
      <c r="C30" s="286" t="s">
        <v>5</v>
      </c>
      <c r="D30" s="288" t="s">
        <v>874</v>
      </c>
      <c r="E30" s="286"/>
    </row>
    <row r="31" spans="1:5" ht="142.5" x14ac:dyDescent="0.2">
      <c r="A31" s="286">
        <v>0.4</v>
      </c>
      <c r="B31" s="287">
        <v>43229</v>
      </c>
      <c r="C31" s="286" t="s">
        <v>5</v>
      </c>
      <c r="D31" s="288" t="s">
        <v>491</v>
      </c>
      <c r="E31" s="288" t="s">
        <v>492</v>
      </c>
    </row>
    <row r="32" spans="1:5" ht="114" x14ac:dyDescent="0.2">
      <c r="A32" s="286" t="s">
        <v>324</v>
      </c>
      <c r="B32" s="287">
        <v>43206</v>
      </c>
      <c r="C32" s="286" t="s">
        <v>5</v>
      </c>
      <c r="D32" s="288" t="s">
        <v>325</v>
      </c>
      <c r="E32" s="288" t="s">
        <v>339</v>
      </c>
    </row>
    <row r="33" spans="1:5" ht="57" x14ac:dyDescent="0.2">
      <c r="A33" s="286" t="s">
        <v>300</v>
      </c>
      <c r="B33" s="287">
        <v>43185</v>
      </c>
      <c r="C33" s="286" t="s">
        <v>5</v>
      </c>
      <c r="D33" s="286"/>
      <c r="E33" s="288" t="s">
        <v>301</v>
      </c>
    </row>
    <row r="34" spans="1:5" ht="71.25" x14ac:dyDescent="0.2">
      <c r="A34" s="286" t="s">
        <v>298</v>
      </c>
      <c r="B34" s="287">
        <v>43178</v>
      </c>
      <c r="C34" s="286" t="s">
        <v>276</v>
      </c>
      <c r="D34" s="288" t="s">
        <v>299</v>
      </c>
      <c r="E34" s="286"/>
    </row>
    <row r="35" spans="1:5" ht="128.25" x14ac:dyDescent="0.2">
      <c r="A35" s="286" t="s">
        <v>288</v>
      </c>
      <c r="B35" s="287">
        <v>43172</v>
      </c>
      <c r="C35" s="286" t="s">
        <v>5</v>
      </c>
      <c r="D35" s="288" t="s">
        <v>289</v>
      </c>
      <c r="E35" s="288" t="s">
        <v>291</v>
      </c>
    </row>
    <row r="36" spans="1:5" ht="57" x14ac:dyDescent="0.2">
      <c r="A36" s="286" t="s">
        <v>275</v>
      </c>
      <c r="B36" s="287">
        <v>43167</v>
      </c>
      <c r="C36" s="286" t="s">
        <v>276</v>
      </c>
      <c r="D36" s="286" t="s">
        <v>277</v>
      </c>
      <c r="E36" s="288" t="s">
        <v>282</v>
      </c>
    </row>
    <row r="37" spans="1:5" x14ac:dyDescent="0.2">
      <c r="A37" s="286"/>
      <c r="B37" s="287">
        <v>43147</v>
      </c>
      <c r="C37" s="286" t="s">
        <v>5</v>
      </c>
      <c r="D37" s="286" t="s">
        <v>127</v>
      </c>
      <c r="E37" s="286"/>
    </row>
    <row r="38" spans="1:5" ht="99.75" x14ac:dyDescent="0.2">
      <c r="A38" s="286" t="s">
        <v>9</v>
      </c>
      <c r="B38" s="287">
        <v>43130</v>
      </c>
      <c r="C38" s="286" t="s">
        <v>5</v>
      </c>
      <c r="D38" s="288" t="s">
        <v>10</v>
      </c>
      <c r="E38" s="288" t="s">
        <v>12</v>
      </c>
    </row>
    <row r="39" spans="1:5" x14ac:dyDescent="0.2">
      <c r="A39" s="286" t="s">
        <v>7</v>
      </c>
      <c r="B39" s="287">
        <v>43068</v>
      </c>
      <c r="C39" s="286" t="s">
        <v>5</v>
      </c>
      <c r="D39" s="286" t="s">
        <v>8</v>
      </c>
      <c r="E39" s="286"/>
    </row>
    <row r="40" spans="1:5" x14ac:dyDescent="0.2">
      <c r="A40" s="286" t="s">
        <v>4</v>
      </c>
      <c r="B40" s="287">
        <v>42852</v>
      </c>
      <c r="C40" s="286" t="s">
        <v>5</v>
      </c>
      <c r="D40" s="286" t="s">
        <v>6</v>
      </c>
      <c r="E40" s="286"/>
    </row>
  </sheetData>
  <sheetProtection algorithmName="SHA-512" hashValue="JYlmZukeFHhlclmUzgnKQ38ED+h35vsrdyHHKegx5FkGz5Ikja13YdLYLeK7W4pbfrddiC1sZySzy1FDekzVQw==" saltValue="hjaeIx8mDBG1AYZgxxG+6A==" spinCount="100000" sheet="1" objects="1" scenarios="1"/>
  <sortState xmlns:xlrd2="http://schemas.microsoft.com/office/spreadsheetml/2017/richdata2" ref="A23:E36">
    <sortCondition descending="1" ref="B23:B36"/>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4.25" x14ac:dyDescent="0.2"/>
  <cols>
    <col min="1" max="1" width="5.625" style="67" hidden="1" customWidth="1"/>
    <col min="2" max="2" width="27.5" customWidth="1"/>
    <col min="3" max="3" width="7.625" customWidth="1"/>
    <col min="4" max="4" width="23.25" customWidth="1"/>
  </cols>
  <sheetData>
    <row r="1" spans="1:18" x14ac:dyDescent="0.2">
      <c r="B1" t="s">
        <v>523</v>
      </c>
    </row>
    <row r="3" spans="1:18" x14ac:dyDescent="0.2">
      <c r="B3" t="s">
        <v>524</v>
      </c>
    </row>
    <row r="4" spans="1:18" x14ac:dyDescent="0.2">
      <c r="B4" t="s">
        <v>525</v>
      </c>
    </row>
    <row r="7" spans="1:18" ht="15" x14ac:dyDescent="0.25">
      <c r="B7" s="2" t="s">
        <v>947</v>
      </c>
      <c r="K7" s="2" t="s">
        <v>1102</v>
      </c>
    </row>
    <row r="9" spans="1:18" ht="15" x14ac:dyDescent="0.25">
      <c r="A9" s="67">
        <f>COUNTA(B10:B1048576)</f>
        <v>236</v>
      </c>
      <c r="B9" s="2" t="s">
        <v>526</v>
      </c>
      <c r="C9" s="2"/>
      <c r="D9" s="2" t="s">
        <v>527</v>
      </c>
      <c r="K9" s="2" t="s">
        <v>1100</v>
      </c>
      <c r="R9" s="2" t="s">
        <v>1101</v>
      </c>
    </row>
    <row r="10" spans="1:18" x14ac:dyDescent="0.2">
      <c r="A10" s="67">
        <f>COUNTA(D10:D1048576)</f>
        <v>79</v>
      </c>
      <c r="B10" s="67" t="s">
        <v>557</v>
      </c>
      <c r="D10" s="67" t="s">
        <v>827</v>
      </c>
      <c r="K10" t="s">
        <v>948</v>
      </c>
      <c r="R10" t="s">
        <v>827</v>
      </c>
    </row>
    <row r="11" spans="1:18" x14ac:dyDescent="0.2">
      <c r="B11" s="67" t="s">
        <v>558</v>
      </c>
      <c r="D11" s="67" t="s">
        <v>853</v>
      </c>
      <c r="K11" t="s">
        <v>949</v>
      </c>
      <c r="R11" t="s">
        <v>853</v>
      </c>
    </row>
    <row r="12" spans="1:18" x14ac:dyDescent="0.2">
      <c r="B12" s="67" t="s">
        <v>559</v>
      </c>
      <c r="D12" s="67" t="s">
        <v>811</v>
      </c>
      <c r="K12" t="s">
        <v>950</v>
      </c>
      <c r="R12" t="s">
        <v>811</v>
      </c>
    </row>
    <row r="13" spans="1:18" x14ac:dyDescent="0.2">
      <c r="B13" s="67" t="s">
        <v>560</v>
      </c>
      <c r="D13" s="67" t="s">
        <v>819</v>
      </c>
      <c r="K13" t="s">
        <v>951</v>
      </c>
      <c r="R13" t="s">
        <v>819</v>
      </c>
    </row>
    <row r="14" spans="1:18" x14ac:dyDescent="0.2">
      <c r="B14" s="67" t="s">
        <v>561</v>
      </c>
      <c r="D14" s="67" t="s">
        <v>861</v>
      </c>
      <c r="K14" t="s">
        <v>952</v>
      </c>
      <c r="R14" t="s">
        <v>861</v>
      </c>
    </row>
    <row r="15" spans="1:18" x14ac:dyDescent="0.2">
      <c r="B15" s="67" t="s">
        <v>562</v>
      </c>
      <c r="D15" s="67" t="s">
        <v>824</v>
      </c>
      <c r="K15" t="s">
        <v>953</v>
      </c>
      <c r="R15" t="s">
        <v>824</v>
      </c>
    </row>
    <row r="16" spans="1:18" x14ac:dyDescent="0.2">
      <c r="B16" s="67" t="s">
        <v>563</v>
      </c>
      <c r="D16" s="67" t="s">
        <v>809</v>
      </c>
      <c r="K16" t="s">
        <v>954</v>
      </c>
      <c r="R16" t="s">
        <v>809</v>
      </c>
    </row>
    <row r="17" spans="2:18" x14ac:dyDescent="0.2">
      <c r="B17" s="67" t="s">
        <v>564</v>
      </c>
      <c r="D17" s="67" t="s">
        <v>862</v>
      </c>
      <c r="K17" t="s">
        <v>955</v>
      </c>
      <c r="R17" t="s">
        <v>862</v>
      </c>
    </row>
    <row r="18" spans="2:18" x14ac:dyDescent="0.2">
      <c r="B18" s="67" t="s">
        <v>565</v>
      </c>
      <c r="D18" s="67" t="s">
        <v>854</v>
      </c>
      <c r="K18" t="s">
        <v>956</v>
      </c>
      <c r="R18" t="s">
        <v>854</v>
      </c>
    </row>
    <row r="19" spans="2:18" x14ac:dyDescent="0.2">
      <c r="B19" s="67" t="s">
        <v>566</v>
      </c>
      <c r="D19" s="67" t="s">
        <v>820</v>
      </c>
      <c r="K19" t="s">
        <v>957</v>
      </c>
      <c r="R19" t="s">
        <v>820</v>
      </c>
    </row>
    <row r="20" spans="2:18" x14ac:dyDescent="0.2">
      <c r="B20" s="67" t="s">
        <v>567</v>
      </c>
      <c r="D20" s="67" t="s">
        <v>816</v>
      </c>
      <c r="K20" t="s">
        <v>958</v>
      </c>
      <c r="R20" t="s">
        <v>816</v>
      </c>
    </row>
    <row r="21" spans="2:18" x14ac:dyDescent="0.2">
      <c r="B21" s="67" t="s">
        <v>568</v>
      </c>
      <c r="D21" s="67" t="s">
        <v>821</v>
      </c>
      <c r="K21" t="s">
        <v>959</v>
      </c>
      <c r="R21" t="s">
        <v>821</v>
      </c>
    </row>
    <row r="22" spans="2:18" x14ac:dyDescent="0.2">
      <c r="B22" s="67" t="s">
        <v>569</v>
      </c>
      <c r="D22" s="67" t="s">
        <v>837</v>
      </c>
      <c r="K22" t="s">
        <v>960</v>
      </c>
      <c r="R22" t="s">
        <v>837</v>
      </c>
    </row>
    <row r="23" spans="2:18" x14ac:dyDescent="0.2">
      <c r="B23" s="67" t="s">
        <v>570</v>
      </c>
      <c r="D23" s="67" t="s">
        <v>858</v>
      </c>
      <c r="K23" t="s">
        <v>961</v>
      </c>
      <c r="R23" t="s">
        <v>858</v>
      </c>
    </row>
    <row r="24" spans="2:18" x14ac:dyDescent="0.2">
      <c r="B24" s="67" t="s">
        <v>571</v>
      </c>
      <c r="D24" s="67" t="s">
        <v>818</v>
      </c>
      <c r="K24" t="s">
        <v>962</v>
      </c>
      <c r="R24" t="s">
        <v>818</v>
      </c>
    </row>
    <row r="25" spans="2:18" x14ac:dyDescent="0.2">
      <c r="B25" s="67" t="s">
        <v>572</v>
      </c>
      <c r="D25" s="67" t="s">
        <v>817</v>
      </c>
      <c r="K25" t="s">
        <v>963</v>
      </c>
      <c r="R25" t="s">
        <v>817</v>
      </c>
    </row>
    <row r="26" spans="2:18" x14ac:dyDescent="0.2">
      <c r="B26" s="67" t="s">
        <v>573</v>
      </c>
      <c r="D26" s="67" t="s">
        <v>871</v>
      </c>
      <c r="K26" t="s">
        <v>964</v>
      </c>
      <c r="R26" t="s">
        <v>871</v>
      </c>
    </row>
    <row r="27" spans="2:18" x14ac:dyDescent="0.2">
      <c r="B27" s="67" t="s">
        <v>574</v>
      </c>
      <c r="D27" s="67" t="s">
        <v>869</v>
      </c>
      <c r="K27" t="s">
        <v>965</v>
      </c>
      <c r="R27" t="s">
        <v>869</v>
      </c>
    </row>
    <row r="28" spans="2:18" x14ac:dyDescent="0.2">
      <c r="B28" s="67" t="s">
        <v>575</v>
      </c>
      <c r="D28" s="67" t="s">
        <v>848</v>
      </c>
      <c r="K28" t="s">
        <v>966</v>
      </c>
      <c r="R28" t="s">
        <v>848</v>
      </c>
    </row>
    <row r="29" spans="2:18" x14ac:dyDescent="0.2">
      <c r="B29" s="67" t="s">
        <v>576</v>
      </c>
      <c r="D29" s="67" t="s">
        <v>812</v>
      </c>
      <c r="K29" t="s">
        <v>967</v>
      </c>
      <c r="R29" t="s">
        <v>812</v>
      </c>
    </row>
    <row r="30" spans="2:18" x14ac:dyDescent="0.2">
      <c r="B30" s="67" t="s">
        <v>577</v>
      </c>
      <c r="D30" s="67" t="s">
        <v>842</v>
      </c>
      <c r="K30" t="s">
        <v>968</v>
      </c>
      <c r="R30" t="s">
        <v>842</v>
      </c>
    </row>
    <row r="31" spans="2:18" x14ac:dyDescent="0.2">
      <c r="B31" s="67" t="s">
        <v>578</v>
      </c>
      <c r="D31" s="67" t="s">
        <v>828</v>
      </c>
      <c r="K31" t="s">
        <v>969</v>
      </c>
      <c r="R31" t="s">
        <v>828</v>
      </c>
    </row>
    <row r="32" spans="2:18" x14ac:dyDescent="0.2">
      <c r="B32" s="67" t="s">
        <v>579</v>
      </c>
      <c r="D32" s="67" t="s">
        <v>815</v>
      </c>
      <c r="K32" t="s">
        <v>970</v>
      </c>
      <c r="R32" t="s">
        <v>815</v>
      </c>
    </row>
    <row r="33" spans="2:18" x14ac:dyDescent="0.2">
      <c r="B33" s="67" t="s">
        <v>580</v>
      </c>
      <c r="D33" s="67" t="s">
        <v>803</v>
      </c>
      <c r="K33" t="s">
        <v>971</v>
      </c>
      <c r="R33" t="s">
        <v>803</v>
      </c>
    </row>
    <row r="34" spans="2:18" x14ac:dyDescent="0.2">
      <c r="B34" s="67" t="s">
        <v>581</v>
      </c>
      <c r="D34" s="67" t="s">
        <v>796</v>
      </c>
      <c r="K34" t="s">
        <v>972</v>
      </c>
      <c r="R34" t="s">
        <v>796</v>
      </c>
    </row>
    <row r="35" spans="2:18" x14ac:dyDescent="0.2">
      <c r="B35" s="67" t="s">
        <v>582</v>
      </c>
      <c r="D35" s="67" t="s">
        <v>855</v>
      </c>
      <c r="K35" t="s">
        <v>973</v>
      </c>
      <c r="R35" t="s">
        <v>855</v>
      </c>
    </row>
    <row r="36" spans="2:18" x14ac:dyDescent="0.2">
      <c r="B36" s="67" t="s">
        <v>583</v>
      </c>
      <c r="D36" s="67" t="s">
        <v>814</v>
      </c>
      <c r="K36" t="s">
        <v>974</v>
      </c>
      <c r="R36" t="s">
        <v>814</v>
      </c>
    </row>
    <row r="37" spans="2:18" x14ac:dyDescent="0.2">
      <c r="B37" s="67" t="s">
        <v>584</v>
      </c>
      <c r="D37" s="67" t="s">
        <v>851</v>
      </c>
      <c r="K37" t="s">
        <v>975</v>
      </c>
      <c r="R37" t="s">
        <v>851</v>
      </c>
    </row>
    <row r="38" spans="2:18" x14ac:dyDescent="0.2">
      <c r="B38" s="67" t="s">
        <v>585</v>
      </c>
      <c r="D38" s="67" t="s">
        <v>850</v>
      </c>
      <c r="K38" t="s">
        <v>976</v>
      </c>
      <c r="R38" t="s">
        <v>850</v>
      </c>
    </row>
    <row r="39" spans="2:18" x14ac:dyDescent="0.2">
      <c r="B39" s="67" t="s">
        <v>586</v>
      </c>
      <c r="D39" s="67" t="s">
        <v>813</v>
      </c>
      <c r="K39" t="s">
        <v>977</v>
      </c>
      <c r="R39" t="s">
        <v>813</v>
      </c>
    </row>
    <row r="40" spans="2:18" x14ac:dyDescent="0.2">
      <c r="B40" s="67" t="s">
        <v>587</v>
      </c>
      <c r="D40" t="s">
        <v>860</v>
      </c>
      <c r="K40" t="s">
        <v>978</v>
      </c>
      <c r="R40" t="s">
        <v>860</v>
      </c>
    </row>
    <row r="41" spans="2:18" x14ac:dyDescent="0.2">
      <c r="B41" s="67" t="s">
        <v>588</v>
      </c>
      <c r="D41" t="s">
        <v>793</v>
      </c>
      <c r="K41" t="s">
        <v>979</v>
      </c>
      <c r="R41" t="s">
        <v>793</v>
      </c>
    </row>
    <row r="42" spans="2:18" x14ac:dyDescent="0.2">
      <c r="B42" s="67" t="s">
        <v>589</v>
      </c>
      <c r="D42" t="s">
        <v>832</v>
      </c>
      <c r="K42" t="s">
        <v>980</v>
      </c>
      <c r="R42" t="s">
        <v>832</v>
      </c>
    </row>
    <row r="43" spans="2:18" x14ac:dyDescent="0.2">
      <c r="B43" s="67" t="s">
        <v>590</v>
      </c>
      <c r="D43" t="s">
        <v>841</v>
      </c>
      <c r="K43" t="s">
        <v>981</v>
      </c>
      <c r="R43" t="s">
        <v>841</v>
      </c>
    </row>
    <row r="44" spans="2:18" x14ac:dyDescent="0.2">
      <c r="B44" s="67" t="s">
        <v>591</v>
      </c>
      <c r="D44" t="s">
        <v>847</v>
      </c>
      <c r="K44" t="s">
        <v>982</v>
      </c>
      <c r="R44" t="s">
        <v>847</v>
      </c>
    </row>
    <row r="45" spans="2:18" x14ac:dyDescent="0.2">
      <c r="B45" s="67" t="s">
        <v>592</v>
      </c>
      <c r="D45" t="s">
        <v>863</v>
      </c>
      <c r="K45" t="s">
        <v>983</v>
      </c>
      <c r="R45" t="s">
        <v>863</v>
      </c>
    </row>
    <row r="46" spans="2:18" x14ac:dyDescent="0.2">
      <c r="B46" s="67" t="s">
        <v>593</v>
      </c>
      <c r="D46" t="s">
        <v>864</v>
      </c>
      <c r="K46" t="s">
        <v>984</v>
      </c>
      <c r="R46" t="s">
        <v>864</v>
      </c>
    </row>
    <row r="47" spans="2:18" x14ac:dyDescent="0.2">
      <c r="B47" s="67" t="s">
        <v>594</v>
      </c>
      <c r="D47" t="s">
        <v>865</v>
      </c>
      <c r="K47" t="s">
        <v>985</v>
      </c>
      <c r="R47" t="s">
        <v>865</v>
      </c>
    </row>
    <row r="48" spans="2:18" x14ac:dyDescent="0.2">
      <c r="B48" s="67" t="s">
        <v>595</v>
      </c>
      <c r="D48" t="s">
        <v>830</v>
      </c>
      <c r="K48" t="s">
        <v>986</v>
      </c>
      <c r="R48" t="s">
        <v>830</v>
      </c>
    </row>
    <row r="49" spans="2:18" x14ac:dyDescent="0.2">
      <c r="B49" s="67" t="s">
        <v>596</v>
      </c>
      <c r="D49" t="s">
        <v>852</v>
      </c>
      <c r="K49" t="s">
        <v>987</v>
      </c>
      <c r="R49" t="s">
        <v>852</v>
      </c>
    </row>
    <row r="50" spans="2:18" x14ac:dyDescent="0.2">
      <c r="B50" s="67" t="s">
        <v>597</v>
      </c>
      <c r="D50" t="s">
        <v>867</v>
      </c>
      <c r="K50" t="s">
        <v>988</v>
      </c>
      <c r="R50" t="s">
        <v>867</v>
      </c>
    </row>
    <row r="51" spans="2:18" x14ac:dyDescent="0.2">
      <c r="B51" s="67" t="s">
        <v>598</v>
      </c>
      <c r="D51" t="s">
        <v>866</v>
      </c>
      <c r="K51" t="s">
        <v>989</v>
      </c>
      <c r="R51" t="s">
        <v>866</v>
      </c>
    </row>
    <row r="52" spans="2:18" x14ac:dyDescent="0.2">
      <c r="B52" s="67" t="s">
        <v>599</v>
      </c>
      <c r="D52" t="s">
        <v>834</v>
      </c>
      <c r="K52" t="s">
        <v>990</v>
      </c>
      <c r="R52" t="s">
        <v>834</v>
      </c>
    </row>
    <row r="53" spans="2:18" x14ac:dyDescent="0.2">
      <c r="B53" s="67" t="s">
        <v>600</v>
      </c>
      <c r="D53" t="s">
        <v>844</v>
      </c>
      <c r="K53" t="s">
        <v>991</v>
      </c>
      <c r="R53" t="s">
        <v>844</v>
      </c>
    </row>
    <row r="54" spans="2:18" x14ac:dyDescent="0.2">
      <c r="B54" s="67" t="s">
        <v>601</v>
      </c>
      <c r="D54" t="s">
        <v>868</v>
      </c>
      <c r="K54" t="s">
        <v>992</v>
      </c>
      <c r="R54" t="s">
        <v>868</v>
      </c>
    </row>
    <row r="55" spans="2:18" x14ac:dyDescent="0.2">
      <c r="B55" s="67" t="s">
        <v>602</v>
      </c>
      <c r="D55" t="s">
        <v>849</v>
      </c>
      <c r="K55" t="s">
        <v>993</v>
      </c>
      <c r="R55" t="s">
        <v>849</v>
      </c>
    </row>
    <row r="56" spans="2:18" x14ac:dyDescent="0.2">
      <c r="B56" s="67" t="s">
        <v>603</v>
      </c>
      <c r="D56" t="s">
        <v>833</v>
      </c>
      <c r="K56" t="s">
        <v>994</v>
      </c>
      <c r="R56" t="s">
        <v>833</v>
      </c>
    </row>
    <row r="57" spans="2:18" x14ac:dyDescent="0.2">
      <c r="B57" s="67" t="s">
        <v>604</v>
      </c>
      <c r="D57" t="s">
        <v>836</v>
      </c>
      <c r="K57" t="s">
        <v>995</v>
      </c>
      <c r="R57" t="s">
        <v>836</v>
      </c>
    </row>
    <row r="58" spans="2:18" x14ac:dyDescent="0.2">
      <c r="B58" s="67" t="s">
        <v>605</v>
      </c>
      <c r="D58" t="s">
        <v>807</v>
      </c>
      <c r="K58" t="s">
        <v>996</v>
      </c>
      <c r="R58" t="s">
        <v>807</v>
      </c>
    </row>
    <row r="59" spans="2:18" x14ac:dyDescent="0.2">
      <c r="B59" s="67" t="s">
        <v>606</v>
      </c>
      <c r="D59" t="s">
        <v>835</v>
      </c>
      <c r="K59" t="s">
        <v>997</v>
      </c>
      <c r="R59" t="s">
        <v>835</v>
      </c>
    </row>
    <row r="60" spans="2:18" x14ac:dyDescent="0.2">
      <c r="B60" s="67" t="s">
        <v>607</v>
      </c>
      <c r="D60" t="s">
        <v>846</v>
      </c>
      <c r="K60" t="s">
        <v>998</v>
      </c>
      <c r="R60" t="s">
        <v>846</v>
      </c>
    </row>
    <row r="61" spans="2:18" x14ac:dyDescent="0.2">
      <c r="B61" s="67" t="s">
        <v>608</v>
      </c>
      <c r="D61" t="s">
        <v>845</v>
      </c>
      <c r="K61" t="s">
        <v>999</v>
      </c>
      <c r="R61" t="s">
        <v>845</v>
      </c>
    </row>
    <row r="62" spans="2:18" x14ac:dyDescent="0.2">
      <c r="B62" s="67" t="s">
        <v>609</v>
      </c>
      <c r="D62" t="s">
        <v>870</v>
      </c>
      <c r="K62" t="s">
        <v>1000</v>
      </c>
      <c r="R62" t="s">
        <v>870</v>
      </c>
    </row>
    <row r="63" spans="2:18" x14ac:dyDescent="0.2">
      <c r="B63" s="67" t="s">
        <v>610</v>
      </c>
      <c r="D63" t="s">
        <v>857</v>
      </c>
      <c r="K63" t="s">
        <v>1001</v>
      </c>
      <c r="R63" t="s">
        <v>857</v>
      </c>
    </row>
    <row r="64" spans="2:18" x14ac:dyDescent="0.2">
      <c r="B64" s="67" t="s">
        <v>611</v>
      </c>
      <c r="D64" t="s">
        <v>797</v>
      </c>
      <c r="K64" t="s">
        <v>1002</v>
      </c>
      <c r="R64" t="s">
        <v>797</v>
      </c>
    </row>
    <row r="65" spans="2:18" x14ac:dyDescent="0.2">
      <c r="B65" s="67" t="s">
        <v>612</v>
      </c>
      <c r="D65" t="s">
        <v>802</v>
      </c>
      <c r="K65" t="s">
        <v>1003</v>
      </c>
      <c r="R65" t="s">
        <v>802</v>
      </c>
    </row>
    <row r="66" spans="2:18" x14ac:dyDescent="0.2">
      <c r="B66" s="67" t="s">
        <v>613</v>
      </c>
      <c r="D66" t="s">
        <v>798</v>
      </c>
      <c r="K66" t="s">
        <v>1004</v>
      </c>
      <c r="R66" t="s">
        <v>798</v>
      </c>
    </row>
    <row r="67" spans="2:18" x14ac:dyDescent="0.2">
      <c r="B67" s="67" t="s">
        <v>614</v>
      </c>
      <c r="D67" t="s">
        <v>801</v>
      </c>
      <c r="K67" t="s">
        <v>1005</v>
      </c>
      <c r="R67" t="s">
        <v>801</v>
      </c>
    </row>
    <row r="68" spans="2:18" x14ac:dyDescent="0.2">
      <c r="B68" s="67" t="s">
        <v>615</v>
      </c>
      <c r="D68" t="s">
        <v>825</v>
      </c>
      <c r="K68" t="s">
        <v>1006</v>
      </c>
      <c r="R68" t="s">
        <v>825</v>
      </c>
    </row>
    <row r="69" spans="2:18" x14ac:dyDescent="0.2">
      <c r="B69" s="67" t="s">
        <v>616</v>
      </c>
      <c r="D69" t="s">
        <v>800</v>
      </c>
      <c r="K69" t="s">
        <v>1007</v>
      </c>
      <c r="R69" t="s">
        <v>800</v>
      </c>
    </row>
    <row r="70" spans="2:18" x14ac:dyDescent="0.2">
      <c r="B70" s="67" t="s">
        <v>617</v>
      </c>
      <c r="D70" t="s">
        <v>840</v>
      </c>
      <c r="K70" t="s">
        <v>1008</v>
      </c>
      <c r="R70" t="s">
        <v>840</v>
      </c>
    </row>
    <row r="71" spans="2:18" x14ac:dyDescent="0.2">
      <c r="B71" s="67" t="s">
        <v>618</v>
      </c>
      <c r="D71" t="s">
        <v>810</v>
      </c>
      <c r="K71" t="s">
        <v>1009</v>
      </c>
      <c r="R71" t="s">
        <v>810</v>
      </c>
    </row>
    <row r="72" spans="2:18" x14ac:dyDescent="0.2">
      <c r="B72" s="67" t="s">
        <v>619</v>
      </c>
      <c r="D72" t="s">
        <v>839</v>
      </c>
      <c r="K72" t="s">
        <v>1010</v>
      </c>
      <c r="R72" t="s">
        <v>839</v>
      </c>
    </row>
    <row r="73" spans="2:18" x14ac:dyDescent="0.2">
      <c r="B73" s="67" t="s">
        <v>620</v>
      </c>
      <c r="D73" t="s">
        <v>823</v>
      </c>
      <c r="K73" t="s">
        <v>1011</v>
      </c>
      <c r="R73" t="s">
        <v>823</v>
      </c>
    </row>
    <row r="74" spans="2:18" x14ac:dyDescent="0.2">
      <c r="B74" s="67" t="s">
        <v>621</v>
      </c>
      <c r="D74" t="s">
        <v>804</v>
      </c>
      <c r="K74" t="s">
        <v>1012</v>
      </c>
      <c r="R74" t="s">
        <v>804</v>
      </c>
    </row>
    <row r="75" spans="2:18" x14ac:dyDescent="0.2">
      <c r="B75" s="67" t="s">
        <v>622</v>
      </c>
      <c r="D75" t="s">
        <v>808</v>
      </c>
      <c r="K75" t="s">
        <v>1013</v>
      </c>
      <c r="R75" t="s">
        <v>808</v>
      </c>
    </row>
    <row r="76" spans="2:18" x14ac:dyDescent="0.2">
      <c r="B76" s="67" t="s">
        <v>623</v>
      </c>
      <c r="D76" t="s">
        <v>805</v>
      </c>
      <c r="K76" t="s">
        <v>1014</v>
      </c>
      <c r="R76" t="s">
        <v>805</v>
      </c>
    </row>
    <row r="77" spans="2:18" x14ac:dyDescent="0.2">
      <c r="B77" s="67" t="s">
        <v>624</v>
      </c>
      <c r="D77" t="s">
        <v>856</v>
      </c>
      <c r="K77" t="s">
        <v>1015</v>
      </c>
      <c r="R77" t="s">
        <v>856</v>
      </c>
    </row>
    <row r="78" spans="2:18" x14ac:dyDescent="0.2">
      <c r="B78" s="67" t="s">
        <v>625</v>
      </c>
      <c r="D78" t="s">
        <v>859</v>
      </c>
      <c r="K78" t="s">
        <v>1016</v>
      </c>
      <c r="R78" t="s">
        <v>859</v>
      </c>
    </row>
    <row r="79" spans="2:18" x14ac:dyDescent="0.2">
      <c r="B79" s="67" t="s">
        <v>626</v>
      </c>
      <c r="D79" t="s">
        <v>822</v>
      </c>
      <c r="K79" t="s">
        <v>1017</v>
      </c>
      <c r="R79" t="s">
        <v>822</v>
      </c>
    </row>
    <row r="80" spans="2:18" x14ac:dyDescent="0.2">
      <c r="B80" s="67" t="s">
        <v>627</v>
      </c>
      <c r="D80" t="s">
        <v>829</v>
      </c>
      <c r="K80" t="s">
        <v>1018</v>
      </c>
      <c r="R80" t="s">
        <v>829</v>
      </c>
    </row>
    <row r="81" spans="2:18" x14ac:dyDescent="0.2">
      <c r="B81" s="67" t="s">
        <v>628</v>
      </c>
      <c r="D81" t="s">
        <v>799</v>
      </c>
      <c r="K81" t="s">
        <v>1019</v>
      </c>
      <c r="R81" t="s">
        <v>799</v>
      </c>
    </row>
    <row r="82" spans="2:18" x14ac:dyDescent="0.2">
      <c r="B82" s="67" t="s">
        <v>629</v>
      </c>
      <c r="D82" t="s">
        <v>838</v>
      </c>
      <c r="K82" t="s">
        <v>1020</v>
      </c>
      <c r="R82" t="s">
        <v>838</v>
      </c>
    </row>
    <row r="83" spans="2:18" x14ac:dyDescent="0.2">
      <c r="B83" s="67" t="s">
        <v>630</v>
      </c>
      <c r="D83" t="s">
        <v>843</v>
      </c>
      <c r="K83" t="s">
        <v>1021</v>
      </c>
      <c r="R83" t="s">
        <v>843</v>
      </c>
    </row>
    <row r="84" spans="2:18" x14ac:dyDescent="0.2">
      <c r="B84" s="67" t="s">
        <v>631</v>
      </c>
      <c r="D84" t="s">
        <v>826</v>
      </c>
      <c r="K84" t="s">
        <v>1022</v>
      </c>
      <c r="R84" t="s">
        <v>826</v>
      </c>
    </row>
    <row r="85" spans="2:18" x14ac:dyDescent="0.2">
      <c r="B85" s="67" t="s">
        <v>632</v>
      </c>
      <c r="D85" t="s">
        <v>806</v>
      </c>
      <c r="K85" t="s">
        <v>1023</v>
      </c>
      <c r="R85" t="s">
        <v>806</v>
      </c>
    </row>
    <row r="86" spans="2:18" x14ac:dyDescent="0.2">
      <c r="B86" s="67" t="s">
        <v>633</v>
      </c>
      <c r="D86" t="s">
        <v>795</v>
      </c>
      <c r="K86" t="s">
        <v>1024</v>
      </c>
      <c r="R86" t="s">
        <v>795</v>
      </c>
    </row>
    <row r="87" spans="2:18" x14ac:dyDescent="0.2">
      <c r="B87" s="67" t="s">
        <v>634</v>
      </c>
      <c r="D87" t="s">
        <v>831</v>
      </c>
      <c r="K87" t="s">
        <v>1025</v>
      </c>
      <c r="R87" t="s">
        <v>831</v>
      </c>
    </row>
    <row r="88" spans="2:18" x14ac:dyDescent="0.2">
      <c r="B88" s="67" t="s">
        <v>635</v>
      </c>
      <c r="D88" t="s">
        <v>794</v>
      </c>
      <c r="K88" t="s">
        <v>1026</v>
      </c>
      <c r="R88" t="s">
        <v>794</v>
      </c>
    </row>
    <row r="89" spans="2:18" x14ac:dyDescent="0.2">
      <c r="B89" s="67" t="s">
        <v>636</v>
      </c>
      <c r="K89" t="s">
        <v>1027</v>
      </c>
    </row>
    <row r="90" spans="2:18" x14ac:dyDescent="0.2">
      <c r="B90" s="67" t="s">
        <v>637</v>
      </c>
      <c r="K90" t="s">
        <v>1028</v>
      </c>
    </row>
    <row r="91" spans="2:18" x14ac:dyDescent="0.2">
      <c r="B91" s="67" t="s">
        <v>638</v>
      </c>
      <c r="K91" t="s">
        <v>1029</v>
      </c>
    </row>
    <row r="92" spans="2:18" x14ac:dyDescent="0.2">
      <c r="B92" s="67" t="s">
        <v>639</v>
      </c>
      <c r="K92" t="s">
        <v>1030</v>
      </c>
    </row>
    <row r="93" spans="2:18" x14ac:dyDescent="0.2">
      <c r="B93" s="67" t="s">
        <v>640</v>
      </c>
      <c r="K93" t="s">
        <v>1031</v>
      </c>
    </row>
    <row r="94" spans="2:18" x14ac:dyDescent="0.2">
      <c r="B94" s="67" t="s">
        <v>641</v>
      </c>
      <c r="K94" t="s">
        <v>1032</v>
      </c>
    </row>
    <row r="95" spans="2:18" x14ac:dyDescent="0.2">
      <c r="B95" s="67" t="s">
        <v>642</v>
      </c>
      <c r="K95" t="s">
        <v>1033</v>
      </c>
    </row>
    <row r="96" spans="2:18" x14ac:dyDescent="0.2">
      <c r="B96" s="67" t="s">
        <v>643</v>
      </c>
      <c r="K96" t="s">
        <v>1034</v>
      </c>
    </row>
    <row r="97" spans="2:11" x14ac:dyDescent="0.2">
      <c r="B97" s="67" t="s">
        <v>644</v>
      </c>
      <c r="K97" t="s">
        <v>1035</v>
      </c>
    </row>
    <row r="98" spans="2:11" x14ac:dyDescent="0.2">
      <c r="B98" s="67" t="s">
        <v>645</v>
      </c>
      <c r="K98" t="s">
        <v>1036</v>
      </c>
    </row>
    <row r="99" spans="2:11" x14ac:dyDescent="0.2">
      <c r="B99" s="67" t="s">
        <v>646</v>
      </c>
      <c r="K99" t="s">
        <v>1037</v>
      </c>
    </row>
    <row r="100" spans="2:11" x14ac:dyDescent="0.2">
      <c r="B100" s="67" t="s">
        <v>647</v>
      </c>
      <c r="K100" t="s">
        <v>1038</v>
      </c>
    </row>
    <row r="101" spans="2:11" x14ac:dyDescent="0.2">
      <c r="B101" s="67" t="s">
        <v>648</v>
      </c>
      <c r="K101" t="s">
        <v>1039</v>
      </c>
    </row>
    <row r="102" spans="2:11" x14ac:dyDescent="0.2">
      <c r="B102" s="67" t="s">
        <v>649</v>
      </c>
      <c r="K102" t="s">
        <v>1040</v>
      </c>
    </row>
    <row r="103" spans="2:11" x14ac:dyDescent="0.2">
      <c r="B103" s="67" t="s">
        <v>650</v>
      </c>
      <c r="K103" t="s">
        <v>1041</v>
      </c>
    </row>
    <row r="104" spans="2:11" x14ac:dyDescent="0.2">
      <c r="B104" s="67" t="s">
        <v>651</v>
      </c>
      <c r="K104" t="s">
        <v>1042</v>
      </c>
    </row>
    <row r="105" spans="2:11" x14ac:dyDescent="0.2">
      <c r="B105" s="67" t="s">
        <v>652</v>
      </c>
      <c r="K105" t="s">
        <v>1043</v>
      </c>
    </row>
    <row r="106" spans="2:11" x14ac:dyDescent="0.2">
      <c r="B106" s="67" t="s">
        <v>653</v>
      </c>
      <c r="K106" t="s">
        <v>1044</v>
      </c>
    </row>
    <row r="107" spans="2:11" x14ac:dyDescent="0.2">
      <c r="B107" s="67" t="s">
        <v>654</v>
      </c>
      <c r="K107" t="s">
        <v>1045</v>
      </c>
    </row>
    <row r="108" spans="2:11" x14ac:dyDescent="0.2">
      <c r="B108" s="67" t="s">
        <v>655</v>
      </c>
      <c r="K108" t="s">
        <v>1046</v>
      </c>
    </row>
    <row r="109" spans="2:11" x14ac:dyDescent="0.2">
      <c r="B109" s="67" t="s">
        <v>656</v>
      </c>
      <c r="K109" t="s">
        <v>1047</v>
      </c>
    </row>
    <row r="110" spans="2:11" x14ac:dyDescent="0.2">
      <c r="B110" s="67" t="s">
        <v>657</v>
      </c>
      <c r="K110" t="s">
        <v>1048</v>
      </c>
    </row>
    <row r="111" spans="2:11" x14ac:dyDescent="0.2">
      <c r="B111" s="67" t="s">
        <v>658</v>
      </c>
      <c r="K111" t="s">
        <v>1049</v>
      </c>
    </row>
    <row r="112" spans="2:11" x14ac:dyDescent="0.2">
      <c r="B112" s="67" t="s">
        <v>659</v>
      </c>
      <c r="K112" t="s">
        <v>1050</v>
      </c>
    </row>
    <row r="113" spans="2:11" x14ac:dyDescent="0.2">
      <c r="B113" s="67" t="s">
        <v>660</v>
      </c>
      <c r="K113" t="s">
        <v>1051</v>
      </c>
    </row>
    <row r="114" spans="2:11" x14ac:dyDescent="0.2">
      <c r="B114" s="67" t="s">
        <v>661</v>
      </c>
      <c r="K114" t="s">
        <v>1052</v>
      </c>
    </row>
    <row r="115" spans="2:11" x14ac:dyDescent="0.2">
      <c r="B115" s="67" t="s">
        <v>662</v>
      </c>
      <c r="K115" t="s">
        <v>1053</v>
      </c>
    </row>
    <row r="116" spans="2:11" x14ac:dyDescent="0.2">
      <c r="B116" s="67" t="s">
        <v>663</v>
      </c>
      <c r="K116" t="s">
        <v>1054</v>
      </c>
    </row>
    <row r="117" spans="2:11" x14ac:dyDescent="0.2">
      <c r="B117" s="67" t="s">
        <v>664</v>
      </c>
      <c r="K117" t="s">
        <v>1055</v>
      </c>
    </row>
    <row r="118" spans="2:11" x14ac:dyDescent="0.2">
      <c r="B118" s="67" t="s">
        <v>665</v>
      </c>
      <c r="K118" t="s">
        <v>1056</v>
      </c>
    </row>
    <row r="119" spans="2:11" x14ac:dyDescent="0.2">
      <c r="B119" s="67" t="s">
        <v>666</v>
      </c>
      <c r="K119" t="s">
        <v>1057</v>
      </c>
    </row>
    <row r="120" spans="2:11" x14ac:dyDescent="0.2">
      <c r="B120" s="67" t="s">
        <v>667</v>
      </c>
      <c r="K120" t="s">
        <v>1058</v>
      </c>
    </row>
    <row r="121" spans="2:11" x14ac:dyDescent="0.2">
      <c r="B121" s="67" t="s">
        <v>668</v>
      </c>
      <c r="K121" t="s">
        <v>1059</v>
      </c>
    </row>
    <row r="122" spans="2:11" x14ac:dyDescent="0.2">
      <c r="B122" s="67" t="s">
        <v>669</v>
      </c>
      <c r="K122" t="s">
        <v>1060</v>
      </c>
    </row>
    <row r="123" spans="2:11" x14ac:dyDescent="0.2">
      <c r="B123" s="67" t="s">
        <v>670</v>
      </c>
      <c r="K123" t="s">
        <v>1061</v>
      </c>
    </row>
    <row r="124" spans="2:11" x14ac:dyDescent="0.2">
      <c r="B124" s="67" t="s">
        <v>671</v>
      </c>
      <c r="K124" t="s">
        <v>1062</v>
      </c>
    </row>
    <row r="125" spans="2:11" x14ac:dyDescent="0.2">
      <c r="B125" s="67" t="s">
        <v>672</v>
      </c>
      <c r="K125" t="s">
        <v>1063</v>
      </c>
    </row>
    <row r="126" spans="2:11" x14ac:dyDescent="0.2">
      <c r="B126" s="67" t="s">
        <v>673</v>
      </c>
      <c r="K126" t="s">
        <v>1064</v>
      </c>
    </row>
    <row r="127" spans="2:11" x14ac:dyDescent="0.2">
      <c r="B127" s="67" t="s">
        <v>674</v>
      </c>
      <c r="K127" t="s">
        <v>1065</v>
      </c>
    </row>
    <row r="128" spans="2:11" x14ac:dyDescent="0.2">
      <c r="B128" s="67" t="s">
        <v>675</v>
      </c>
      <c r="K128" t="s">
        <v>1066</v>
      </c>
    </row>
    <row r="129" spans="2:11" x14ac:dyDescent="0.2">
      <c r="B129" s="67" t="s">
        <v>676</v>
      </c>
      <c r="K129" t="s">
        <v>1067</v>
      </c>
    </row>
    <row r="130" spans="2:11" x14ac:dyDescent="0.2">
      <c r="B130" s="67" t="s">
        <v>677</v>
      </c>
      <c r="K130" t="s">
        <v>1068</v>
      </c>
    </row>
    <row r="131" spans="2:11" x14ac:dyDescent="0.2">
      <c r="B131" s="67" t="s">
        <v>678</v>
      </c>
      <c r="K131" t="s">
        <v>1069</v>
      </c>
    </row>
    <row r="132" spans="2:11" x14ac:dyDescent="0.2">
      <c r="B132" s="67" t="s">
        <v>679</v>
      </c>
      <c r="K132" t="s">
        <v>1070</v>
      </c>
    </row>
    <row r="133" spans="2:11" x14ac:dyDescent="0.2">
      <c r="B133" s="67" t="s">
        <v>680</v>
      </c>
      <c r="K133" t="s">
        <v>1071</v>
      </c>
    </row>
    <row r="134" spans="2:11" x14ac:dyDescent="0.2">
      <c r="B134" s="67" t="s">
        <v>681</v>
      </c>
      <c r="K134" t="s">
        <v>1072</v>
      </c>
    </row>
    <row r="135" spans="2:11" x14ac:dyDescent="0.2">
      <c r="B135" s="67" t="s">
        <v>682</v>
      </c>
      <c r="K135" t="s">
        <v>1073</v>
      </c>
    </row>
    <row r="136" spans="2:11" x14ac:dyDescent="0.2">
      <c r="B136" s="67" t="s">
        <v>683</v>
      </c>
      <c r="K136" t="s">
        <v>1074</v>
      </c>
    </row>
    <row r="137" spans="2:11" x14ac:dyDescent="0.2">
      <c r="B137" s="67" t="s">
        <v>684</v>
      </c>
      <c r="K137" t="s">
        <v>1075</v>
      </c>
    </row>
    <row r="138" spans="2:11" x14ac:dyDescent="0.2">
      <c r="B138" s="67" t="s">
        <v>685</v>
      </c>
      <c r="K138" t="s">
        <v>1076</v>
      </c>
    </row>
    <row r="139" spans="2:11" x14ac:dyDescent="0.2">
      <c r="B139" s="67" t="s">
        <v>686</v>
      </c>
      <c r="K139" t="s">
        <v>1077</v>
      </c>
    </row>
    <row r="140" spans="2:11" x14ac:dyDescent="0.2">
      <c r="B140" s="67" t="s">
        <v>687</v>
      </c>
      <c r="K140" t="s">
        <v>1078</v>
      </c>
    </row>
    <row r="141" spans="2:11" x14ac:dyDescent="0.2">
      <c r="B141" s="67" t="s">
        <v>688</v>
      </c>
      <c r="K141" t="s">
        <v>1079</v>
      </c>
    </row>
    <row r="142" spans="2:11" x14ac:dyDescent="0.2">
      <c r="B142" s="67" t="s">
        <v>689</v>
      </c>
      <c r="K142" t="s">
        <v>1080</v>
      </c>
    </row>
    <row r="143" spans="2:11" x14ac:dyDescent="0.2">
      <c r="B143" s="67" t="s">
        <v>690</v>
      </c>
      <c r="K143" t="s">
        <v>1081</v>
      </c>
    </row>
    <row r="144" spans="2:11" x14ac:dyDescent="0.2">
      <c r="B144" s="67" t="s">
        <v>691</v>
      </c>
      <c r="K144" t="s">
        <v>1082</v>
      </c>
    </row>
    <row r="145" spans="2:11" x14ac:dyDescent="0.2">
      <c r="B145" s="67" t="s">
        <v>692</v>
      </c>
      <c r="K145" t="s">
        <v>1083</v>
      </c>
    </row>
    <row r="146" spans="2:11" x14ac:dyDescent="0.2">
      <c r="B146" s="67" t="s">
        <v>693</v>
      </c>
      <c r="K146" t="s">
        <v>1084</v>
      </c>
    </row>
    <row r="147" spans="2:11" x14ac:dyDescent="0.2">
      <c r="B147" s="67" t="s">
        <v>694</v>
      </c>
      <c r="K147" t="s">
        <v>1085</v>
      </c>
    </row>
    <row r="148" spans="2:11" x14ac:dyDescent="0.2">
      <c r="B148" s="67" t="s">
        <v>695</v>
      </c>
      <c r="K148" t="s">
        <v>1086</v>
      </c>
    </row>
    <row r="149" spans="2:11" x14ac:dyDescent="0.2">
      <c r="B149" s="67" t="s">
        <v>696</v>
      </c>
      <c r="K149" t="s">
        <v>1087</v>
      </c>
    </row>
    <row r="150" spans="2:11" x14ac:dyDescent="0.2">
      <c r="B150" s="67" t="s">
        <v>697</v>
      </c>
      <c r="K150" t="s">
        <v>1088</v>
      </c>
    </row>
    <row r="151" spans="2:11" x14ac:dyDescent="0.2">
      <c r="B151" s="67" t="s">
        <v>698</v>
      </c>
      <c r="K151" t="s">
        <v>1089</v>
      </c>
    </row>
    <row r="152" spans="2:11" x14ac:dyDescent="0.2">
      <c r="B152" s="67" t="s">
        <v>699</v>
      </c>
      <c r="K152" t="s">
        <v>1090</v>
      </c>
    </row>
    <row r="153" spans="2:11" x14ac:dyDescent="0.2">
      <c r="B153" s="67" t="s">
        <v>700</v>
      </c>
      <c r="K153" t="s">
        <v>1091</v>
      </c>
    </row>
    <row r="154" spans="2:11" x14ac:dyDescent="0.2">
      <c r="B154" s="67" t="s">
        <v>701</v>
      </c>
      <c r="K154" t="s">
        <v>1092</v>
      </c>
    </row>
    <row r="155" spans="2:11" x14ac:dyDescent="0.2">
      <c r="B155" s="67" t="s">
        <v>702</v>
      </c>
      <c r="K155" t="s">
        <v>1093</v>
      </c>
    </row>
    <row r="156" spans="2:11" x14ac:dyDescent="0.2">
      <c r="B156" s="67" t="s">
        <v>703</v>
      </c>
      <c r="K156" t="s">
        <v>1094</v>
      </c>
    </row>
    <row r="157" spans="2:11" x14ac:dyDescent="0.2">
      <c r="B157" s="67" t="s">
        <v>704</v>
      </c>
      <c r="K157" t="s">
        <v>1095</v>
      </c>
    </row>
    <row r="158" spans="2:11" x14ac:dyDescent="0.2">
      <c r="B158" s="67" t="s">
        <v>705</v>
      </c>
      <c r="K158" t="s">
        <v>1096</v>
      </c>
    </row>
    <row r="159" spans="2:11" x14ac:dyDescent="0.2">
      <c r="B159" s="67" t="s">
        <v>706</v>
      </c>
      <c r="K159" t="s">
        <v>1097</v>
      </c>
    </row>
    <row r="160" spans="2:11" x14ac:dyDescent="0.2">
      <c r="B160" s="67" t="s">
        <v>707</v>
      </c>
      <c r="K160" t="s">
        <v>1098</v>
      </c>
    </row>
    <row r="161" spans="2:11" x14ac:dyDescent="0.2">
      <c r="B161" s="67" t="s">
        <v>708</v>
      </c>
      <c r="K161" t="s">
        <v>1099</v>
      </c>
    </row>
    <row r="162" spans="2:11" x14ac:dyDescent="0.2">
      <c r="B162" s="67" t="s">
        <v>709</v>
      </c>
    </row>
    <row r="163" spans="2:11" x14ac:dyDescent="0.2">
      <c r="B163" s="67" t="s">
        <v>710</v>
      </c>
    </row>
    <row r="164" spans="2:11" x14ac:dyDescent="0.2">
      <c r="B164" s="67" t="s">
        <v>711</v>
      </c>
    </row>
    <row r="165" spans="2:11" x14ac:dyDescent="0.2">
      <c r="B165" s="67" t="s">
        <v>712</v>
      </c>
    </row>
    <row r="166" spans="2:11" x14ac:dyDescent="0.2">
      <c r="B166" s="67" t="s">
        <v>713</v>
      </c>
    </row>
    <row r="167" spans="2:11" x14ac:dyDescent="0.2">
      <c r="B167" s="67" t="s">
        <v>714</v>
      </c>
    </row>
    <row r="168" spans="2:11" x14ac:dyDescent="0.2">
      <c r="B168" s="67" t="s">
        <v>715</v>
      </c>
    </row>
    <row r="169" spans="2:11" x14ac:dyDescent="0.2">
      <c r="B169" s="67" t="s">
        <v>716</v>
      </c>
    </row>
    <row r="170" spans="2:11" x14ac:dyDescent="0.2">
      <c r="B170" s="67" t="s">
        <v>717</v>
      </c>
    </row>
    <row r="171" spans="2:11" x14ac:dyDescent="0.2">
      <c r="B171" s="67" t="s">
        <v>718</v>
      </c>
    </row>
    <row r="172" spans="2:11" x14ac:dyDescent="0.2">
      <c r="B172" s="67" t="s">
        <v>719</v>
      </c>
    </row>
    <row r="173" spans="2:11" x14ac:dyDescent="0.2">
      <c r="B173" s="67" t="s">
        <v>720</v>
      </c>
    </row>
    <row r="174" spans="2:11" x14ac:dyDescent="0.2">
      <c r="B174" s="67" t="s">
        <v>721</v>
      </c>
    </row>
    <row r="175" spans="2:11" x14ac:dyDescent="0.2">
      <c r="B175" s="67" t="s">
        <v>722</v>
      </c>
    </row>
    <row r="176" spans="2:11" x14ac:dyDescent="0.2">
      <c r="B176" s="67" t="s">
        <v>723</v>
      </c>
    </row>
    <row r="177" spans="2:2" x14ac:dyDescent="0.2">
      <c r="B177" s="67" t="s">
        <v>724</v>
      </c>
    </row>
    <row r="178" spans="2:2" x14ac:dyDescent="0.2">
      <c r="B178" s="67" t="s">
        <v>725</v>
      </c>
    </row>
    <row r="179" spans="2:2" x14ac:dyDescent="0.2">
      <c r="B179" s="67" t="s">
        <v>726</v>
      </c>
    </row>
    <row r="180" spans="2:2" x14ac:dyDescent="0.2">
      <c r="B180" s="67" t="s">
        <v>727</v>
      </c>
    </row>
    <row r="181" spans="2:2" x14ac:dyDescent="0.2">
      <c r="B181" s="67" t="s">
        <v>728</v>
      </c>
    </row>
    <row r="182" spans="2:2" x14ac:dyDescent="0.2">
      <c r="B182" s="67" t="s">
        <v>729</v>
      </c>
    </row>
    <row r="183" spans="2:2" x14ac:dyDescent="0.2">
      <c r="B183" s="67" t="s">
        <v>730</v>
      </c>
    </row>
    <row r="184" spans="2:2" x14ac:dyDescent="0.2">
      <c r="B184" s="67" t="s">
        <v>731</v>
      </c>
    </row>
    <row r="185" spans="2:2" x14ac:dyDescent="0.2">
      <c r="B185" s="67" t="s">
        <v>732</v>
      </c>
    </row>
    <row r="186" spans="2:2" x14ac:dyDescent="0.2">
      <c r="B186" s="67" t="s">
        <v>733</v>
      </c>
    </row>
    <row r="187" spans="2:2" x14ac:dyDescent="0.2">
      <c r="B187" s="67" t="s">
        <v>734</v>
      </c>
    </row>
    <row r="188" spans="2:2" x14ac:dyDescent="0.2">
      <c r="B188" s="67" t="s">
        <v>735</v>
      </c>
    </row>
    <row r="189" spans="2:2" x14ac:dyDescent="0.2">
      <c r="B189" s="67" t="s">
        <v>736</v>
      </c>
    </row>
    <row r="190" spans="2:2" x14ac:dyDescent="0.2">
      <c r="B190" s="67" t="s">
        <v>737</v>
      </c>
    </row>
    <row r="191" spans="2:2" x14ac:dyDescent="0.2">
      <c r="B191" s="67" t="s">
        <v>738</v>
      </c>
    </row>
    <row r="192" spans="2:2" x14ac:dyDescent="0.2">
      <c r="B192" s="67" t="s">
        <v>739</v>
      </c>
    </row>
    <row r="193" spans="2:2" x14ac:dyDescent="0.2">
      <c r="B193" s="67" t="s">
        <v>740</v>
      </c>
    </row>
    <row r="194" spans="2:2" x14ac:dyDescent="0.2">
      <c r="B194" s="67" t="s">
        <v>741</v>
      </c>
    </row>
    <row r="195" spans="2:2" x14ac:dyDescent="0.2">
      <c r="B195" s="67" t="s">
        <v>742</v>
      </c>
    </row>
    <row r="196" spans="2:2" x14ac:dyDescent="0.2">
      <c r="B196" s="67" t="s">
        <v>743</v>
      </c>
    </row>
    <row r="197" spans="2:2" x14ac:dyDescent="0.2">
      <c r="B197" s="67" t="s">
        <v>744</v>
      </c>
    </row>
    <row r="198" spans="2:2" x14ac:dyDescent="0.2">
      <c r="B198" s="67" t="s">
        <v>745</v>
      </c>
    </row>
    <row r="199" spans="2:2" x14ac:dyDescent="0.2">
      <c r="B199" s="67" t="s">
        <v>746</v>
      </c>
    </row>
    <row r="200" spans="2:2" x14ac:dyDescent="0.2">
      <c r="B200" s="67" t="s">
        <v>747</v>
      </c>
    </row>
    <row r="201" spans="2:2" x14ac:dyDescent="0.2">
      <c r="B201" s="67" t="s">
        <v>748</v>
      </c>
    </row>
    <row r="202" spans="2:2" x14ac:dyDescent="0.2">
      <c r="B202" s="67" t="s">
        <v>749</v>
      </c>
    </row>
    <row r="203" spans="2:2" x14ac:dyDescent="0.2">
      <c r="B203" s="67" t="s">
        <v>750</v>
      </c>
    </row>
    <row r="204" spans="2:2" x14ac:dyDescent="0.2">
      <c r="B204" s="67" t="s">
        <v>751</v>
      </c>
    </row>
    <row r="205" spans="2:2" x14ac:dyDescent="0.2">
      <c r="B205" s="67" t="s">
        <v>752</v>
      </c>
    </row>
    <row r="206" spans="2:2" x14ac:dyDescent="0.2">
      <c r="B206" s="67" t="s">
        <v>753</v>
      </c>
    </row>
    <row r="207" spans="2:2" x14ac:dyDescent="0.2">
      <c r="B207" s="67" t="s">
        <v>754</v>
      </c>
    </row>
    <row r="208" spans="2:2" x14ac:dyDescent="0.2">
      <c r="B208" s="67" t="s">
        <v>755</v>
      </c>
    </row>
    <row r="209" spans="2:2" x14ac:dyDescent="0.2">
      <c r="B209" s="67" t="s">
        <v>756</v>
      </c>
    </row>
    <row r="210" spans="2:2" x14ac:dyDescent="0.2">
      <c r="B210" s="67" t="s">
        <v>757</v>
      </c>
    </row>
    <row r="211" spans="2:2" x14ac:dyDescent="0.2">
      <c r="B211" s="67" t="s">
        <v>758</v>
      </c>
    </row>
    <row r="212" spans="2:2" x14ac:dyDescent="0.2">
      <c r="B212" s="67" t="s">
        <v>759</v>
      </c>
    </row>
    <row r="213" spans="2:2" x14ac:dyDescent="0.2">
      <c r="B213" s="67" t="s">
        <v>760</v>
      </c>
    </row>
    <row r="214" spans="2:2" x14ac:dyDescent="0.2">
      <c r="B214" s="67" t="s">
        <v>761</v>
      </c>
    </row>
    <row r="215" spans="2:2" x14ac:dyDescent="0.2">
      <c r="B215" s="67" t="s">
        <v>762</v>
      </c>
    </row>
    <row r="216" spans="2:2" x14ac:dyDescent="0.2">
      <c r="B216" s="67" t="s">
        <v>763</v>
      </c>
    </row>
    <row r="217" spans="2:2" x14ac:dyDescent="0.2">
      <c r="B217" s="67" t="s">
        <v>764</v>
      </c>
    </row>
    <row r="218" spans="2:2" x14ac:dyDescent="0.2">
      <c r="B218" s="67" t="s">
        <v>765</v>
      </c>
    </row>
    <row r="219" spans="2:2" x14ac:dyDescent="0.2">
      <c r="B219" s="67" t="s">
        <v>766</v>
      </c>
    </row>
    <row r="220" spans="2:2" x14ac:dyDescent="0.2">
      <c r="B220" s="67" t="s">
        <v>767</v>
      </c>
    </row>
    <row r="221" spans="2:2" x14ac:dyDescent="0.2">
      <c r="B221" s="67" t="s">
        <v>768</v>
      </c>
    </row>
    <row r="222" spans="2:2" x14ac:dyDescent="0.2">
      <c r="B222" s="67" t="s">
        <v>769</v>
      </c>
    </row>
    <row r="223" spans="2:2" x14ac:dyDescent="0.2">
      <c r="B223" s="67" t="s">
        <v>770</v>
      </c>
    </row>
    <row r="224" spans="2:2" x14ac:dyDescent="0.2">
      <c r="B224" s="67" t="s">
        <v>771</v>
      </c>
    </row>
    <row r="225" spans="2:2" x14ac:dyDescent="0.2">
      <c r="B225" s="67" t="s">
        <v>772</v>
      </c>
    </row>
    <row r="226" spans="2:2" x14ac:dyDescent="0.2">
      <c r="B226" s="67" t="s">
        <v>773</v>
      </c>
    </row>
    <row r="227" spans="2:2" x14ac:dyDescent="0.2">
      <c r="B227" s="67" t="s">
        <v>774</v>
      </c>
    </row>
    <row r="228" spans="2:2" x14ac:dyDescent="0.2">
      <c r="B228" s="67" t="s">
        <v>775</v>
      </c>
    </row>
    <row r="229" spans="2:2" x14ac:dyDescent="0.2">
      <c r="B229" s="67" t="s">
        <v>776</v>
      </c>
    </row>
    <row r="230" spans="2:2" x14ac:dyDescent="0.2">
      <c r="B230" s="67" t="s">
        <v>777</v>
      </c>
    </row>
    <row r="231" spans="2:2" x14ac:dyDescent="0.2">
      <c r="B231" s="67" t="s">
        <v>778</v>
      </c>
    </row>
    <row r="232" spans="2:2" x14ac:dyDescent="0.2">
      <c r="B232" s="67" t="s">
        <v>779</v>
      </c>
    </row>
    <row r="233" spans="2:2" x14ac:dyDescent="0.2">
      <c r="B233" s="67" t="s">
        <v>780</v>
      </c>
    </row>
    <row r="234" spans="2:2" x14ac:dyDescent="0.2">
      <c r="B234" s="67" t="s">
        <v>781</v>
      </c>
    </row>
    <row r="235" spans="2:2" x14ac:dyDescent="0.2">
      <c r="B235" s="67" t="s">
        <v>782</v>
      </c>
    </row>
    <row r="236" spans="2:2" x14ac:dyDescent="0.2">
      <c r="B236" s="67" t="s">
        <v>783</v>
      </c>
    </row>
    <row r="237" spans="2:2" x14ac:dyDescent="0.2">
      <c r="B237" s="67" t="s">
        <v>784</v>
      </c>
    </row>
    <row r="238" spans="2:2" x14ac:dyDescent="0.2">
      <c r="B238" s="67" t="s">
        <v>785</v>
      </c>
    </row>
    <row r="239" spans="2:2" x14ac:dyDescent="0.2">
      <c r="B239" s="67" t="s">
        <v>786</v>
      </c>
    </row>
    <row r="240" spans="2:2" x14ac:dyDescent="0.2">
      <c r="B240" s="67" t="s">
        <v>787</v>
      </c>
    </row>
    <row r="241" spans="2:2" x14ac:dyDescent="0.2">
      <c r="B241" s="67" t="s">
        <v>788</v>
      </c>
    </row>
    <row r="242" spans="2:2" x14ac:dyDescent="0.2">
      <c r="B242" s="67" t="s">
        <v>789</v>
      </c>
    </row>
    <row r="243" spans="2:2" x14ac:dyDescent="0.2">
      <c r="B243" s="67" t="s">
        <v>790</v>
      </c>
    </row>
    <row r="244" spans="2:2" x14ac:dyDescent="0.2">
      <c r="B244" s="67" t="s">
        <v>791</v>
      </c>
    </row>
    <row r="245" spans="2:2" x14ac:dyDescent="0.2">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4.25" x14ac:dyDescent="0.2"/>
  <cols>
    <col min="6" max="6" width="11.25" bestFit="1" customWidth="1"/>
    <col min="11" max="11" width="28.25" customWidth="1"/>
    <col min="12" max="12" width="9.75" bestFit="1" customWidth="1"/>
    <col min="13" max="13" width="17.5" customWidth="1"/>
    <col min="16" max="16" width="10" bestFit="1" customWidth="1"/>
    <col min="17" max="17" width="11.25" bestFit="1" customWidth="1"/>
    <col min="19" max="19" width="12.25" bestFit="1" customWidth="1"/>
  </cols>
  <sheetData>
    <row r="1" spans="1:35" x14ac:dyDescent="0.2">
      <c r="A1" t="s">
        <v>26</v>
      </c>
      <c r="C1" t="s">
        <v>13</v>
      </c>
      <c r="E1" t="s">
        <v>14</v>
      </c>
      <c r="F1" t="s">
        <v>15</v>
      </c>
      <c r="H1" t="s">
        <v>16</v>
      </c>
      <c r="K1" t="s">
        <v>1184</v>
      </c>
      <c r="S1" t="s">
        <v>17</v>
      </c>
      <c r="V1" t="s">
        <v>18</v>
      </c>
      <c r="Y1" t="s">
        <v>207</v>
      </c>
      <c r="AE1" t="s">
        <v>297</v>
      </c>
      <c r="AI1" t="s">
        <v>327</v>
      </c>
    </row>
    <row r="2" spans="1:35" x14ac:dyDescent="0.2">
      <c r="A2">
        <v>0</v>
      </c>
      <c r="E2" t="s">
        <v>19</v>
      </c>
      <c r="F2">
        <v>1</v>
      </c>
      <c r="H2">
        <v>65</v>
      </c>
      <c r="I2">
        <v>0.65</v>
      </c>
      <c r="K2" s="317">
        <v>43892</v>
      </c>
      <c r="L2" s="317"/>
      <c r="M2" s="317"/>
      <c r="S2" s="7">
        <f>IF(Demand!$C$6="","",Demand!$C$6)</f>
        <v>42461</v>
      </c>
      <c r="V2">
        <v>1</v>
      </c>
      <c r="Y2" t="s">
        <v>210</v>
      </c>
      <c r="Z2" t="s">
        <v>208</v>
      </c>
      <c r="AA2" t="s">
        <v>209</v>
      </c>
      <c r="AE2" t="s">
        <v>57</v>
      </c>
      <c r="AI2" t="str">
        <f ca="1">"Baseline: "&amp;TEXT(MAX('SPC background (hide)'!$I$5:$I$11),"#")&amp;" wks"</f>
        <v>Baseline: 52 wks</v>
      </c>
    </row>
    <row r="3" spans="1:35" x14ac:dyDescent="0.2">
      <c r="A3">
        <v>1</v>
      </c>
      <c r="C3" t="s">
        <v>20</v>
      </c>
      <c r="E3" t="s">
        <v>21</v>
      </c>
      <c r="F3">
        <v>2</v>
      </c>
      <c r="H3">
        <v>70</v>
      </c>
      <c r="I3">
        <v>0.7</v>
      </c>
      <c r="K3" s="317">
        <f>K2+7</f>
        <v>43899</v>
      </c>
      <c r="S3" s="7">
        <f>IF($S$2="","",S2+7)</f>
        <v>42468</v>
      </c>
      <c r="V3">
        <v>1.5</v>
      </c>
      <c r="Y3" t="s">
        <v>32</v>
      </c>
      <c r="Z3" t="str">
        <f>Setup!C27</f>
        <v>Test name 1</v>
      </c>
      <c r="AA3" t="str">
        <f>IF(Z3="",Y3,Z3)</f>
        <v>Test name 1</v>
      </c>
      <c r="AE3" t="str">
        <f>IF(Capacity!B17="","",ROW(A1)&amp;". "&amp;Capacity!B17)</f>
        <v>1. Core Clinic 1</v>
      </c>
      <c r="AF3" s="67"/>
      <c r="AI3">
        <v>20</v>
      </c>
    </row>
    <row r="4" spans="1:35" x14ac:dyDescent="0.2">
      <c r="A4">
        <v>2</v>
      </c>
      <c r="C4" t="s">
        <v>22</v>
      </c>
      <c r="E4" t="s">
        <v>23</v>
      </c>
      <c r="F4">
        <v>3</v>
      </c>
      <c r="H4">
        <v>75</v>
      </c>
      <c r="I4">
        <v>0.75</v>
      </c>
      <c r="K4" s="317">
        <f t="shared" ref="K4:K54" si="0">K3+7</f>
        <v>43906</v>
      </c>
      <c r="S4" s="7">
        <f t="shared" ref="S4:S53" si="1">IF($S$2="","",S3+7)</f>
        <v>42475</v>
      </c>
      <c r="V4">
        <v>2</v>
      </c>
      <c r="Y4" t="s">
        <v>34</v>
      </c>
      <c r="Z4" t="str">
        <f>Setup!C28</f>
        <v>Test name 2</v>
      </c>
      <c r="AA4" t="str">
        <f t="shared" ref="AA4:AA12" si="2">IF(Z4="",Y4,Z4)</f>
        <v>Test name 2</v>
      </c>
      <c r="AE4" s="67" t="str">
        <f>IF(Capacity!B18="","",ROW(A2)&amp;". "&amp;Capacity!B18)</f>
        <v>2. Core Clinic 2</v>
      </c>
      <c r="AF4" s="67"/>
      <c r="AI4">
        <v>21</v>
      </c>
    </row>
    <row r="5" spans="1:35" x14ac:dyDescent="0.2">
      <c r="A5">
        <v>3</v>
      </c>
      <c r="H5">
        <v>80</v>
      </c>
      <c r="I5">
        <v>0.8</v>
      </c>
      <c r="K5" s="317">
        <f t="shared" si="0"/>
        <v>43913</v>
      </c>
      <c r="S5" s="7">
        <f t="shared" si="1"/>
        <v>42482</v>
      </c>
      <c r="V5">
        <v>2.5</v>
      </c>
      <c r="Y5" t="s">
        <v>36</v>
      </c>
      <c r="Z5" t="str">
        <f>Setup!C29</f>
        <v>Modality 3</v>
      </c>
      <c r="AA5" t="str">
        <f t="shared" si="2"/>
        <v>Modality 3</v>
      </c>
      <c r="AE5" s="67" t="str">
        <f>IF(Capacity!B19="","",ROW(A3)&amp;". "&amp;Capacity!B19)</f>
        <v>3. Core Clinic 3</v>
      </c>
      <c r="AF5" s="67"/>
      <c r="AI5" s="67">
        <v>22</v>
      </c>
    </row>
    <row r="6" spans="1:35" x14ac:dyDescent="0.2">
      <c r="A6">
        <v>4</v>
      </c>
      <c r="C6" t="s">
        <v>22</v>
      </c>
      <c r="E6" t="s">
        <v>19</v>
      </c>
      <c r="I6">
        <v>0.85</v>
      </c>
      <c r="K6" s="317">
        <f t="shared" si="0"/>
        <v>43920</v>
      </c>
      <c r="S6" s="7">
        <f t="shared" si="1"/>
        <v>42489</v>
      </c>
      <c r="V6">
        <v>3</v>
      </c>
      <c r="Y6" t="s">
        <v>38</v>
      </c>
      <c r="Z6" t="str">
        <f>Setup!C30</f>
        <v>Modality 4</v>
      </c>
      <c r="AA6" t="str">
        <f t="shared" si="2"/>
        <v>Modality 4</v>
      </c>
      <c r="AE6" s="67" t="str">
        <f>IF(Capacity!B20="","",ROW(A4)&amp;". "&amp;Capacity!B20)</f>
        <v>4. Core Clinic 4</v>
      </c>
      <c r="AF6" s="67"/>
      <c r="AI6" s="67">
        <v>23</v>
      </c>
    </row>
    <row r="7" spans="1:35" x14ac:dyDescent="0.2">
      <c r="A7">
        <v>5</v>
      </c>
      <c r="C7" t="s">
        <v>20</v>
      </c>
      <c r="E7" t="s">
        <v>23</v>
      </c>
      <c r="K7" s="317">
        <f t="shared" si="0"/>
        <v>43927</v>
      </c>
      <c r="S7" s="7">
        <f t="shared" si="1"/>
        <v>42496</v>
      </c>
      <c r="V7">
        <v>3.5</v>
      </c>
      <c r="Y7" t="s">
        <v>40</v>
      </c>
      <c r="Z7" t="str">
        <f>Setup!C31</f>
        <v>Modality 5</v>
      </c>
      <c r="AA7" t="str">
        <f t="shared" si="2"/>
        <v>Modality 5</v>
      </c>
      <c r="AE7" s="67" t="str">
        <f>IF(Capacity!B21="","",ROW(A5)&amp;". "&amp;Capacity!B21)</f>
        <v/>
      </c>
      <c r="AF7" s="67"/>
      <c r="AI7" s="67">
        <v>24</v>
      </c>
    </row>
    <row r="8" spans="1:35" x14ac:dyDescent="0.2">
      <c r="A8">
        <v>6</v>
      </c>
      <c r="K8" s="317">
        <f t="shared" si="0"/>
        <v>43934</v>
      </c>
      <c r="S8" s="7">
        <f t="shared" si="1"/>
        <v>42503</v>
      </c>
      <c r="V8">
        <v>4</v>
      </c>
      <c r="Y8" t="s">
        <v>42</v>
      </c>
      <c r="Z8" t="str">
        <f>Setup!C32</f>
        <v>Modality 6</v>
      </c>
      <c r="AA8" t="str">
        <f t="shared" si="2"/>
        <v>Modality 6</v>
      </c>
      <c r="AE8" s="67" t="str">
        <f>IF(Capacity!B22="","",ROW(A6)&amp;". "&amp;Capacity!B22)</f>
        <v/>
      </c>
      <c r="AF8" s="67"/>
      <c r="AI8" s="67">
        <v>25</v>
      </c>
    </row>
    <row r="9" spans="1:35" x14ac:dyDescent="0.2">
      <c r="A9">
        <v>7</v>
      </c>
      <c r="E9" t="s">
        <v>19</v>
      </c>
      <c r="H9" t="s">
        <v>137</v>
      </c>
      <c r="I9">
        <f>VLOOKUP(Setup!I19,'Control sheet (hide)'!H2:I5,2,0)</f>
        <v>0.65</v>
      </c>
      <c r="K9" s="317">
        <f t="shared" si="0"/>
        <v>43941</v>
      </c>
      <c r="S9" s="7">
        <f t="shared" si="1"/>
        <v>42510</v>
      </c>
      <c r="V9">
        <v>4.5</v>
      </c>
      <c r="Y9" t="s">
        <v>44</v>
      </c>
      <c r="Z9" t="str">
        <f>Setup!C33</f>
        <v>Modality 7</v>
      </c>
      <c r="AA9" t="str">
        <f t="shared" si="2"/>
        <v>Modality 7</v>
      </c>
      <c r="AE9" s="67" t="str">
        <f>IF(Capacity!B23="","",ROW(A7)&amp;". "&amp;Capacity!B23)</f>
        <v/>
      </c>
      <c r="AF9" s="67"/>
      <c r="AI9" s="67">
        <v>26</v>
      </c>
    </row>
    <row r="10" spans="1:35" x14ac:dyDescent="0.2">
      <c r="A10">
        <v>8</v>
      </c>
      <c r="E10" t="s">
        <v>21</v>
      </c>
      <c r="H10" t="s">
        <v>138</v>
      </c>
      <c r="I10">
        <f>I6</f>
        <v>0.85</v>
      </c>
      <c r="K10" s="317">
        <f t="shared" si="0"/>
        <v>43948</v>
      </c>
      <c r="S10" s="7">
        <f t="shared" si="1"/>
        <v>42517</v>
      </c>
      <c r="V10">
        <v>5</v>
      </c>
      <c r="Y10" t="s">
        <v>46</v>
      </c>
      <c r="Z10" t="str">
        <f>Setup!C34</f>
        <v>Modality 8</v>
      </c>
      <c r="AA10" t="str">
        <f t="shared" si="2"/>
        <v>Modality 8</v>
      </c>
      <c r="AE10" s="67" t="str">
        <f>IF(Capacity!B24="","",ROW(A8)&amp;". "&amp;Capacity!B24)</f>
        <v/>
      </c>
      <c r="AF10" s="67"/>
      <c r="AI10" s="67">
        <v>27</v>
      </c>
    </row>
    <row r="11" spans="1:35" x14ac:dyDescent="0.2">
      <c r="A11">
        <v>9</v>
      </c>
      <c r="C11" t="s">
        <v>1178</v>
      </c>
      <c r="K11" s="317">
        <f t="shared" si="0"/>
        <v>43955</v>
      </c>
      <c r="S11" s="7">
        <f t="shared" si="1"/>
        <v>42524</v>
      </c>
      <c r="V11">
        <v>5.5</v>
      </c>
      <c r="Y11" t="s">
        <v>48</v>
      </c>
      <c r="Z11" t="str">
        <f>Setup!C35</f>
        <v>Modality 9</v>
      </c>
      <c r="AA11" t="str">
        <f t="shared" si="2"/>
        <v>Modality 9</v>
      </c>
      <c r="AE11" s="67" t="str">
        <f>IF(Capacity!B25="","",ROW(A9)&amp;". "&amp;Capacity!B25)</f>
        <v/>
      </c>
      <c r="AF11" s="67"/>
      <c r="AI11" s="67">
        <v>28</v>
      </c>
    </row>
    <row r="12" spans="1:35" x14ac:dyDescent="0.2">
      <c r="A12">
        <v>10</v>
      </c>
      <c r="K12" s="317">
        <f t="shared" si="0"/>
        <v>43962</v>
      </c>
      <c r="S12" s="7">
        <f t="shared" si="1"/>
        <v>42531</v>
      </c>
      <c r="V12">
        <v>6</v>
      </c>
      <c r="Y12" t="s">
        <v>50</v>
      </c>
      <c r="Z12" t="str">
        <f>Setup!C36</f>
        <v>Modality 10</v>
      </c>
      <c r="AA12" t="str">
        <f t="shared" si="2"/>
        <v>Modality 10</v>
      </c>
      <c r="AE12" s="67" t="str">
        <f>IF(Capacity!B26="","",ROW(A10)&amp;". "&amp;Capacity!B26)</f>
        <v/>
      </c>
      <c r="AF12" s="67"/>
      <c r="AI12" s="67">
        <v>29</v>
      </c>
    </row>
    <row r="13" spans="1:35" x14ac:dyDescent="0.2">
      <c r="A13">
        <v>11</v>
      </c>
      <c r="E13" t="s">
        <v>24</v>
      </c>
      <c r="H13" t="s">
        <v>875</v>
      </c>
      <c r="K13" s="317">
        <f t="shared" si="0"/>
        <v>43969</v>
      </c>
      <c r="S13" s="7">
        <f t="shared" si="1"/>
        <v>42538</v>
      </c>
      <c r="V13">
        <v>6.5</v>
      </c>
      <c r="AA13" t="s">
        <v>211</v>
      </c>
      <c r="AE13" s="67" t="str">
        <f>IF(Capacity!B27="","",ROW(A11)&amp;". "&amp;Capacity!B27)</f>
        <v/>
      </c>
      <c r="AF13" s="67"/>
      <c r="AI13" s="67">
        <v>30</v>
      </c>
    </row>
    <row r="14" spans="1:35" x14ac:dyDescent="0.2">
      <c r="A14">
        <v>12</v>
      </c>
      <c r="E14" t="s">
        <v>25</v>
      </c>
      <c r="H14" t="s">
        <v>876</v>
      </c>
      <c r="K14" s="317">
        <f t="shared" si="0"/>
        <v>43976</v>
      </c>
      <c r="S14" s="7">
        <f t="shared" si="1"/>
        <v>42545</v>
      </c>
      <c r="V14">
        <v>7</v>
      </c>
      <c r="AE14" s="67" t="str">
        <f>IF(Capacity!B28="","",ROW(A12)&amp;". "&amp;Capacity!B28)</f>
        <v/>
      </c>
      <c r="AF14" s="67"/>
      <c r="AI14" s="67">
        <v>31</v>
      </c>
    </row>
    <row r="15" spans="1:35" x14ac:dyDescent="0.2">
      <c r="A15">
        <v>13</v>
      </c>
      <c r="K15" s="317">
        <f t="shared" si="0"/>
        <v>43983</v>
      </c>
      <c r="S15" s="7">
        <f t="shared" si="1"/>
        <v>42552</v>
      </c>
      <c r="V15">
        <v>7.5</v>
      </c>
      <c r="AE15" s="67" t="str">
        <f>IF(Capacity!B29="","",ROW(A13)&amp;". "&amp;Capacity!B29)</f>
        <v/>
      </c>
      <c r="AF15" s="67"/>
      <c r="AI15" s="67">
        <v>32</v>
      </c>
    </row>
    <row r="16" spans="1:35" x14ac:dyDescent="0.2">
      <c r="A16">
        <v>14</v>
      </c>
      <c r="E16" t="s">
        <v>88</v>
      </c>
      <c r="K16" s="317">
        <f t="shared" si="0"/>
        <v>43990</v>
      </c>
      <c r="S16" s="7">
        <f t="shared" si="1"/>
        <v>42559</v>
      </c>
      <c r="V16">
        <v>8</v>
      </c>
      <c r="AE16" s="67" t="str">
        <f>IF(Capacity!B30="","",ROW(A14)&amp;". "&amp;Capacity!B30)</f>
        <v/>
      </c>
      <c r="AF16" s="67"/>
      <c r="AI16" s="67">
        <v>33</v>
      </c>
    </row>
    <row r="17" spans="1:35" x14ac:dyDescent="0.2">
      <c r="A17">
        <v>15</v>
      </c>
      <c r="E17" t="s">
        <v>87</v>
      </c>
      <c r="K17" s="317">
        <f t="shared" si="0"/>
        <v>43997</v>
      </c>
      <c r="S17" s="7">
        <f t="shared" si="1"/>
        <v>42566</v>
      </c>
      <c r="V17">
        <v>8.5</v>
      </c>
      <c r="AE17" s="67" t="str">
        <f>IF(Capacity!B31="","",ROW(A15)&amp;". "&amp;Capacity!B31)</f>
        <v/>
      </c>
      <c r="AF17" s="67"/>
      <c r="AI17" s="67">
        <v>34</v>
      </c>
    </row>
    <row r="18" spans="1:35" x14ac:dyDescent="0.2">
      <c r="A18">
        <v>16</v>
      </c>
      <c r="K18" s="317">
        <f t="shared" si="0"/>
        <v>44004</v>
      </c>
      <c r="S18" s="7">
        <f t="shared" si="1"/>
        <v>42573</v>
      </c>
      <c r="V18">
        <v>9</v>
      </c>
      <c r="AE18" s="67" t="str">
        <f>IF(Capacity!B32="","",ROW(A16)&amp;". "&amp;Capacity!B32)</f>
        <v/>
      </c>
      <c r="AF18" s="67"/>
      <c r="AI18" s="67">
        <v>35</v>
      </c>
    </row>
    <row r="19" spans="1:35" x14ac:dyDescent="0.2">
      <c r="A19">
        <v>17</v>
      </c>
      <c r="E19" t="s">
        <v>402</v>
      </c>
      <c r="K19" s="317">
        <f t="shared" si="0"/>
        <v>44011</v>
      </c>
      <c r="S19" s="7">
        <f t="shared" si="1"/>
        <v>42580</v>
      </c>
      <c r="V19">
        <v>9.5</v>
      </c>
      <c r="AE19" s="67" t="str">
        <f>IF(Capacity!B33="","",ROW(A17)&amp;". "&amp;Capacity!B33)</f>
        <v/>
      </c>
      <c r="AF19" s="67"/>
      <c r="AI19" s="67">
        <v>36</v>
      </c>
    </row>
    <row r="20" spans="1:35" x14ac:dyDescent="0.2">
      <c r="A20">
        <v>18</v>
      </c>
      <c r="E20" t="s">
        <v>401</v>
      </c>
      <c r="K20" s="317">
        <f t="shared" si="0"/>
        <v>44018</v>
      </c>
      <c r="S20" s="7">
        <f t="shared" si="1"/>
        <v>42587</v>
      </c>
      <c r="V20">
        <v>10</v>
      </c>
      <c r="AE20" s="67" t="str">
        <f>IF(Capacity!B34="","",ROW(A18)&amp;". "&amp;Capacity!B34)</f>
        <v/>
      </c>
      <c r="AF20" s="67"/>
      <c r="AI20" s="67">
        <v>37</v>
      </c>
    </row>
    <row r="21" spans="1:35" x14ac:dyDescent="0.2">
      <c r="A21">
        <v>19</v>
      </c>
      <c r="K21" s="317">
        <f t="shared" si="0"/>
        <v>44025</v>
      </c>
      <c r="S21" s="7">
        <f t="shared" si="1"/>
        <v>42594</v>
      </c>
      <c r="V21">
        <v>10.5</v>
      </c>
      <c r="AE21" s="67" t="str">
        <f>IF(Capacity!B35="","",ROW(A19)&amp;". "&amp;Capacity!B35)</f>
        <v/>
      </c>
      <c r="AF21" s="67"/>
      <c r="AI21" s="67">
        <v>38</v>
      </c>
    </row>
    <row r="22" spans="1:35" x14ac:dyDescent="0.2">
      <c r="A22">
        <v>20</v>
      </c>
      <c r="E22" t="s">
        <v>24</v>
      </c>
      <c r="K22" s="317">
        <f t="shared" si="0"/>
        <v>44032</v>
      </c>
      <c r="S22" s="7">
        <f t="shared" si="1"/>
        <v>42601</v>
      </c>
      <c r="V22">
        <v>11</v>
      </c>
      <c r="AE22" s="67" t="str">
        <f>IF(Capacity!B36="","",ROW(A20)&amp;". "&amp;Capacity!B36)</f>
        <v/>
      </c>
      <c r="AF22" s="67"/>
      <c r="AI22" s="67">
        <v>39</v>
      </c>
    </row>
    <row r="23" spans="1:35" x14ac:dyDescent="0.2">
      <c r="A23">
        <v>21</v>
      </c>
      <c r="E23" t="s">
        <v>421</v>
      </c>
      <c r="K23" s="317">
        <f t="shared" si="0"/>
        <v>44039</v>
      </c>
      <c r="S23" s="7">
        <f t="shared" si="1"/>
        <v>42608</v>
      </c>
      <c r="V23">
        <v>11.5</v>
      </c>
      <c r="AE23" s="67" t="str">
        <f>IF(Capacity!B37="","",ROW(A21)&amp;". "&amp;Capacity!B37)</f>
        <v/>
      </c>
      <c r="AF23" s="67"/>
      <c r="AI23" s="67">
        <v>40</v>
      </c>
    </row>
    <row r="24" spans="1:35" x14ac:dyDescent="0.2">
      <c r="A24">
        <v>22</v>
      </c>
      <c r="H24" t="s">
        <v>249</v>
      </c>
      <c r="K24" s="317">
        <f t="shared" si="0"/>
        <v>44046</v>
      </c>
      <c r="S24" s="7">
        <f t="shared" si="1"/>
        <v>42615</v>
      </c>
      <c r="V24">
        <v>12</v>
      </c>
      <c r="AE24" s="67" t="str">
        <f>IF(Capacity!B38="","",ROW(A22)&amp;". "&amp;Capacity!B38)</f>
        <v/>
      </c>
      <c r="AF24" s="67"/>
      <c r="AI24" s="67">
        <v>41</v>
      </c>
    </row>
    <row r="25" spans="1:35" x14ac:dyDescent="0.2">
      <c r="A25">
        <v>23</v>
      </c>
      <c r="E25" t="s">
        <v>480</v>
      </c>
      <c r="H25" t="s">
        <v>1229</v>
      </c>
      <c r="K25" s="317">
        <f t="shared" si="0"/>
        <v>44053</v>
      </c>
      <c r="S25" s="7">
        <f t="shared" si="1"/>
        <v>42622</v>
      </c>
      <c r="AE25" s="67" t="str">
        <f>IF(Capacity!B39="","",ROW(A23)&amp;". "&amp;Capacity!B39)</f>
        <v/>
      </c>
      <c r="AF25" s="67"/>
      <c r="AI25" s="67">
        <v>42</v>
      </c>
    </row>
    <row r="26" spans="1:35" x14ac:dyDescent="0.2">
      <c r="A26">
        <v>24</v>
      </c>
      <c r="E26" t="s">
        <v>481</v>
      </c>
      <c r="K26" s="317">
        <f t="shared" si="0"/>
        <v>44060</v>
      </c>
      <c r="S26" s="7">
        <f t="shared" si="1"/>
        <v>42629</v>
      </c>
      <c r="AE26" s="67" t="str">
        <f>IF(Capacity!B40="","",ROW(A24)&amp;". "&amp;Capacity!B40)</f>
        <v/>
      </c>
      <c r="AF26" s="67"/>
      <c r="AI26" s="67">
        <v>43</v>
      </c>
    </row>
    <row r="27" spans="1:35" x14ac:dyDescent="0.2">
      <c r="A27">
        <v>25</v>
      </c>
      <c r="K27" s="317">
        <f t="shared" si="0"/>
        <v>44067</v>
      </c>
      <c r="S27" s="7">
        <f t="shared" si="1"/>
        <v>42636</v>
      </c>
      <c r="AE27" s="67" t="str">
        <f>IF(Capacity!B41="","",ROW(A25)&amp;". "&amp;Capacity!B41)</f>
        <v/>
      </c>
      <c r="AF27" s="67"/>
      <c r="AI27" s="67">
        <v>44</v>
      </c>
    </row>
    <row r="28" spans="1:35" x14ac:dyDescent="0.2">
      <c r="A28">
        <v>26</v>
      </c>
      <c r="K28" s="317">
        <f t="shared" si="0"/>
        <v>44074</v>
      </c>
      <c r="S28" s="7">
        <f t="shared" si="1"/>
        <v>42643</v>
      </c>
      <c r="AE28" s="67" t="str">
        <f>IF(Capacity!B42="","",ROW(A26)&amp;". "&amp;Capacity!B42)</f>
        <v/>
      </c>
      <c r="AF28" s="67"/>
      <c r="AI28" s="67">
        <v>45</v>
      </c>
    </row>
    <row r="29" spans="1:35" x14ac:dyDescent="0.2">
      <c r="A29">
        <v>27</v>
      </c>
      <c r="C29" t="s">
        <v>194</v>
      </c>
      <c r="E29" t="s">
        <v>482</v>
      </c>
      <c r="K29" s="317">
        <f t="shared" si="0"/>
        <v>44081</v>
      </c>
      <c r="S29" s="7">
        <f t="shared" si="1"/>
        <v>42650</v>
      </c>
      <c r="AE29" s="67" t="str">
        <f>IF(Capacity!B43="","",ROW(A27)&amp;". "&amp;Capacity!B43)</f>
        <v/>
      </c>
      <c r="AF29" s="67"/>
      <c r="AI29" s="67">
        <v>46</v>
      </c>
    </row>
    <row r="30" spans="1:35" x14ac:dyDescent="0.2">
      <c r="A30">
        <v>28</v>
      </c>
      <c r="C30" t="s">
        <v>192</v>
      </c>
      <c r="K30" s="317">
        <f t="shared" si="0"/>
        <v>44088</v>
      </c>
      <c r="S30" s="7">
        <f t="shared" si="1"/>
        <v>42657</v>
      </c>
      <c r="AE30" s="67" t="str">
        <f>IF(Capacity!B44="","",ROW(A28)&amp;". "&amp;Capacity!B44)</f>
        <v/>
      </c>
      <c r="AF30" s="67"/>
      <c r="AI30" s="67">
        <v>47</v>
      </c>
    </row>
    <row r="31" spans="1:35" x14ac:dyDescent="0.2">
      <c r="A31">
        <v>29</v>
      </c>
      <c r="C31" t="s">
        <v>193</v>
      </c>
      <c r="K31" s="317">
        <f t="shared" si="0"/>
        <v>44095</v>
      </c>
      <c r="S31" s="7">
        <f t="shared" si="1"/>
        <v>42664</v>
      </c>
      <c r="AE31" s="67" t="str">
        <f>IF(Capacity!B45="","",ROW(A29)&amp;". "&amp;Capacity!B45)</f>
        <v/>
      </c>
      <c r="AF31" s="67"/>
      <c r="AI31" s="67">
        <v>48</v>
      </c>
    </row>
    <row r="32" spans="1:35" x14ac:dyDescent="0.2">
      <c r="A32">
        <v>30</v>
      </c>
      <c r="K32" s="317">
        <f t="shared" si="0"/>
        <v>44102</v>
      </c>
      <c r="S32" s="7">
        <f t="shared" si="1"/>
        <v>42671</v>
      </c>
      <c r="AE32" s="67" t="str">
        <f>IF(Capacity!B46="","",ROW(A30)&amp;". "&amp;Capacity!B46)</f>
        <v/>
      </c>
      <c r="AF32" s="67"/>
      <c r="AI32" s="67">
        <v>49</v>
      </c>
    </row>
    <row r="33" spans="1:35" x14ac:dyDescent="0.2">
      <c r="A33">
        <v>31</v>
      </c>
      <c r="K33" s="317">
        <f t="shared" si="0"/>
        <v>44109</v>
      </c>
      <c r="S33" s="7">
        <f t="shared" si="1"/>
        <v>42678</v>
      </c>
      <c r="AE33" s="67" t="str">
        <f>IF(Capacity!B47="","",ROW(A31)&amp;". "&amp;Capacity!B47)</f>
        <v/>
      </c>
      <c r="AF33" s="67"/>
      <c r="AI33" s="67">
        <v>50</v>
      </c>
    </row>
    <row r="34" spans="1:35" x14ac:dyDescent="0.2">
      <c r="A34">
        <v>32</v>
      </c>
      <c r="C34" t="s">
        <v>24</v>
      </c>
      <c r="K34" s="317">
        <f t="shared" si="0"/>
        <v>44116</v>
      </c>
      <c r="S34" s="7">
        <f t="shared" si="1"/>
        <v>42685</v>
      </c>
      <c r="AE34" s="67" t="str">
        <f>IF(Capacity!B48="","",ROW(A32)&amp;". "&amp;Capacity!B48)</f>
        <v/>
      </c>
      <c r="AF34" s="67"/>
      <c r="AI34" s="67">
        <v>51</v>
      </c>
    </row>
    <row r="35" spans="1:35" x14ac:dyDescent="0.2">
      <c r="A35">
        <v>33</v>
      </c>
      <c r="C35" t="s">
        <v>102</v>
      </c>
      <c r="K35" s="317">
        <f t="shared" si="0"/>
        <v>44123</v>
      </c>
      <c r="S35" s="7">
        <f t="shared" si="1"/>
        <v>42692</v>
      </c>
      <c r="AE35" s="67" t="str">
        <f>IF(Capacity!B49="","",ROW(A33)&amp;". "&amp;Capacity!B49)</f>
        <v/>
      </c>
      <c r="AF35" s="67"/>
      <c r="AI35" s="67">
        <v>52</v>
      </c>
    </row>
    <row r="36" spans="1:35" x14ac:dyDescent="0.2">
      <c r="A36">
        <v>34</v>
      </c>
      <c r="K36" s="317">
        <f t="shared" si="0"/>
        <v>44130</v>
      </c>
      <c r="S36" s="7">
        <f t="shared" si="1"/>
        <v>42699</v>
      </c>
      <c r="AE36" s="67" t="str">
        <f>IF(Capacity!B50="","",ROW(A34)&amp;". "&amp;Capacity!B50)</f>
        <v/>
      </c>
      <c r="AF36" s="67"/>
    </row>
    <row r="37" spans="1:35" x14ac:dyDescent="0.2">
      <c r="A37">
        <v>35</v>
      </c>
      <c r="K37" s="317">
        <f t="shared" si="0"/>
        <v>44137</v>
      </c>
      <c r="S37" s="7">
        <f t="shared" si="1"/>
        <v>42706</v>
      </c>
      <c r="AE37" s="67" t="str">
        <f>IF(Capacity!B51="","",ROW(A35)&amp;". "&amp;Capacity!B51)</f>
        <v/>
      </c>
      <c r="AF37" s="67"/>
    </row>
    <row r="38" spans="1:35" x14ac:dyDescent="0.2">
      <c r="A38">
        <v>36</v>
      </c>
      <c r="K38" s="317">
        <f t="shared" si="0"/>
        <v>44144</v>
      </c>
      <c r="S38" s="7">
        <f t="shared" si="1"/>
        <v>42713</v>
      </c>
      <c r="AE38" s="67" t="str">
        <f>IF(Capacity!B52="","",ROW(A36)&amp;". "&amp;Capacity!B52)</f>
        <v/>
      </c>
      <c r="AF38" s="67"/>
    </row>
    <row r="39" spans="1:35" x14ac:dyDescent="0.2">
      <c r="A39">
        <v>37</v>
      </c>
      <c r="K39" s="317">
        <f t="shared" si="0"/>
        <v>44151</v>
      </c>
      <c r="S39" s="7">
        <f t="shared" si="1"/>
        <v>42720</v>
      </c>
      <c r="AE39" s="67" t="str">
        <f>IF(Capacity!B53="","",ROW(A37)&amp;". "&amp;Capacity!B53)</f>
        <v/>
      </c>
      <c r="AF39" s="67"/>
    </row>
    <row r="40" spans="1:35" x14ac:dyDescent="0.2">
      <c r="A40">
        <v>38</v>
      </c>
      <c r="K40" s="317">
        <f t="shared" si="0"/>
        <v>44158</v>
      </c>
      <c r="S40" s="7">
        <f t="shared" si="1"/>
        <v>42727</v>
      </c>
      <c r="AE40" s="67" t="str">
        <f>IF(Capacity!B54="","",ROW(A38)&amp;". "&amp;Capacity!B54)</f>
        <v/>
      </c>
      <c r="AF40" s="67"/>
    </row>
    <row r="41" spans="1:35" x14ac:dyDescent="0.2">
      <c r="A41">
        <v>39</v>
      </c>
      <c r="K41" s="317">
        <f t="shared" si="0"/>
        <v>44165</v>
      </c>
      <c r="S41" s="7">
        <f t="shared" si="1"/>
        <v>42734</v>
      </c>
      <c r="AE41" s="67" t="str">
        <f>IF(Capacity!B55="","",ROW(A39)&amp;". "&amp;Capacity!B55)</f>
        <v/>
      </c>
      <c r="AF41" s="67"/>
    </row>
    <row r="42" spans="1:35" x14ac:dyDescent="0.2">
      <c r="A42">
        <v>40</v>
      </c>
      <c r="K42" s="317">
        <f t="shared" si="0"/>
        <v>44172</v>
      </c>
      <c r="S42" s="7">
        <f t="shared" si="1"/>
        <v>42741</v>
      </c>
      <c r="AE42" s="67" t="str">
        <f>IF(Capacity!B56="","",ROW(A40)&amp;". "&amp;Capacity!B56)</f>
        <v/>
      </c>
      <c r="AF42" s="67"/>
    </row>
    <row r="43" spans="1:35" x14ac:dyDescent="0.2">
      <c r="A43">
        <v>41</v>
      </c>
      <c r="K43" s="317">
        <f t="shared" si="0"/>
        <v>44179</v>
      </c>
      <c r="S43" s="7">
        <f t="shared" si="1"/>
        <v>42748</v>
      </c>
      <c r="AE43" s="67" t="str">
        <f>IF(Capacity!B57="","",ROW(A41)&amp;". "&amp;Capacity!B57)</f>
        <v/>
      </c>
      <c r="AF43" s="67"/>
    </row>
    <row r="44" spans="1:35" x14ac:dyDescent="0.2">
      <c r="A44">
        <v>42</v>
      </c>
      <c r="K44" s="317">
        <f t="shared" si="0"/>
        <v>44186</v>
      </c>
      <c r="S44" s="7">
        <f t="shared" si="1"/>
        <v>42755</v>
      </c>
      <c r="AE44" s="67" t="str">
        <f>IF(Capacity!B58="","",ROW(A42)&amp;". "&amp;Capacity!B58)</f>
        <v/>
      </c>
      <c r="AF44" s="67"/>
    </row>
    <row r="45" spans="1:35" x14ac:dyDescent="0.2">
      <c r="A45">
        <v>43</v>
      </c>
      <c r="K45" s="317">
        <f t="shared" si="0"/>
        <v>44193</v>
      </c>
      <c r="S45" s="7">
        <f t="shared" si="1"/>
        <v>42762</v>
      </c>
      <c r="AE45" s="67" t="str">
        <f>IF(Capacity!B59="","",ROW(A43)&amp;". "&amp;Capacity!B59)</f>
        <v/>
      </c>
      <c r="AF45" s="67"/>
    </row>
    <row r="46" spans="1:35" x14ac:dyDescent="0.2">
      <c r="A46">
        <v>44</v>
      </c>
      <c r="K46" s="317">
        <f t="shared" si="0"/>
        <v>44200</v>
      </c>
      <c r="S46" s="7">
        <f t="shared" si="1"/>
        <v>42769</v>
      </c>
      <c r="AE46" s="67" t="str">
        <f>IF(Capacity!B60="","",ROW(A44)&amp;". "&amp;Capacity!B60)</f>
        <v/>
      </c>
      <c r="AF46" s="67"/>
    </row>
    <row r="47" spans="1:35" x14ac:dyDescent="0.2">
      <c r="A47">
        <v>45</v>
      </c>
      <c r="K47" s="317">
        <f t="shared" si="0"/>
        <v>44207</v>
      </c>
      <c r="S47" s="7">
        <f t="shared" si="1"/>
        <v>42776</v>
      </c>
      <c r="AE47" s="67" t="str">
        <f>IF(Capacity!B61="","",ROW(A45)&amp;". "&amp;Capacity!B61)</f>
        <v/>
      </c>
      <c r="AF47" s="67"/>
    </row>
    <row r="48" spans="1:35" x14ac:dyDescent="0.2">
      <c r="A48">
        <v>46</v>
      </c>
      <c r="K48" s="317">
        <f t="shared" si="0"/>
        <v>44214</v>
      </c>
      <c r="S48" s="7">
        <f t="shared" si="1"/>
        <v>42783</v>
      </c>
      <c r="AE48" s="67" t="str">
        <f>IF(Capacity!B62="","",ROW(A46)&amp;". "&amp;Capacity!B62)</f>
        <v/>
      </c>
      <c r="AF48" s="67"/>
    </row>
    <row r="49" spans="1:32" x14ac:dyDescent="0.2">
      <c r="A49">
        <v>47</v>
      </c>
      <c r="K49" s="317">
        <f t="shared" si="0"/>
        <v>44221</v>
      </c>
      <c r="S49" s="7">
        <f t="shared" si="1"/>
        <v>42790</v>
      </c>
      <c r="AE49" s="67" t="str">
        <f>IF(Capacity!B63="","",ROW(A47)&amp;". "&amp;Capacity!B63)</f>
        <v/>
      </c>
      <c r="AF49" s="67"/>
    </row>
    <row r="50" spans="1:32" x14ac:dyDescent="0.2">
      <c r="A50">
        <v>48</v>
      </c>
      <c r="K50" s="317">
        <f t="shared" si="0"/>
        <v>44228</v>
      </c>
      <c r="S50" s="7">
        <f t="shared" si="1"/>
        <v>42797</v>
      </c>
      <c r="AE50" s="67" t="str">
        <f>IF(Capacity!B64="","",ROW(A48)&amp;". "&amp;Capacity!B64)</f>
        <v/>
      </c>
      <c r="AF50" s="67"/>
    </row>
    <row r="51" spans="1:32" x14ac:dyDescent="0.2">
      <c r="A51">
        <v>49</v>
      </c>
      <c r="K51" s="317">
        <f t="shared" si="0"/>
        <v>44235</v>
      </c>
      <c r="S51" s="7">
        <f t="shared" si="1"/>
        <v>42804</v>
      </c>
      <c r="AE51" s="67" t="str">
        <f>IF(Capacity!B65="","",ROW(A49)&amp;". "&amp;Capacity!B65)</f>
        <v/>
      </c>
      <c r="AF51" s="67"/>
    </row>
    <row r="52" spans="1:32" x14ac:dyDescent="0.2">
      <c r="A52">
        <v>50</v>
      </c>
      <c r="K52" s="317">
        <f t="shared" si="0"/>
        <v>44242</v>
      </c>
      <c r="S52" s="7">
        <f t="shared" si="1"/>
        <v>42811</v>
      </c>
      <c r="AE52" s="67" t="str">
        <f>IF(Capacity!B66="","",ROW(A50)&amp;". "&amp;Capacity!B66)</f>
        <v/>
      </c>
      <c r="AF52" s="67"/>
    </row>
    <row r="53" spans="1:32" x14ac:dyDescent="0.2">
      <c r="A53">
        <v>51</v>
      </c>
      <c r="K53" s="317">
        <f t="shared" si="0"/>
        <v>44249</v>
      </c>
      <c r="S53" s="7">
        <f t="shared" si="1"/>
        <v>42818</v>
      </c>
      <c r="AE53" s="67" t="str">
        <f>IF(Capacity!B67="","",ROW(A51)&amp;". "&amp;Capacity!B67)</f>
        <v/>
      </c>
      <c r="AF53" s="67"/>
    </row>
    <row r="54" spans="1:32" x14ac:dyDescent="0.2">
      <c r="A54">
        <v>52</v>
      </c>
      <c r="K54" s="317">
        <f t="shared" si="0"/>
        <v>44256</v>
      </c>
      <c r="AE54" s="67" t="str">
        <f>IF(Capacity!B68="","",ROW(A52)&amp;". "&amp;Capacity!B68)</f>
        <v/>
      </c>
      <c r="AF54" s="67"/>
    </row>
    <row r="55" spans="1:32" x14ac:dyDescent="0.2">
      <c r="A55">
        <v>53</v>
      </c>
      <c r="AE55" s="67" t="str">
        <f>IF(Capacity!B69="","",ROW(A53)&amp;". "&amp;Capacity!B69)</f>
        <v/>
      </c>
      <c r="AF55" s="67"/>
    </row>
    <row r="56" spans="1:32" x14ac:dyDescent="0.2">
      <c r="A56">
        <v>54</v>
      </c>
      <c r="AE56" s="67" t="str">
        <f>IF(Capacity!B70="","",ROW(A54)&amp;". "&amp;Capacity!B70)</f>
        <v/>
      </c>
      <c r="AF56" s="67"/>
    </row>
    <row r="57" spans="1:32" x14ac:dyDescent="0.2">
      <c r="A57">
        <v>55</v>
      </c>
      <c r="AE57" s="67" t="str">
        <f>IF(Capacity!B71="","",ROW(A55)&amp;". "&amp;Capacity!B71)</f>
        <v/>
      </c>
      <c r="AF57" s="67"/>
    </row>
    <row r="58" spans="1:32" x14ac:dyDescent="0.2">
      <c r="A58">
        <v>56</v>
      </c>
      <c r="AE58" s="67" t="str">
        <f>IF(Capacity!B72="","",ROW(A56)&amp;". "&amp;Capacity!B72)</f>
        <v/>
      </c>
      <c r="AF58" s="67"/>
    </row>
    <row r="59" spans="1:32" x14ac:dyDescent="0.2">
      <c r="A59">
        <v>57</v>
      </c>
      <c r="AE59" s="67" t="str">
        <f>IF(Capacity!B73="","",ROW(A57)&amp;". "&amp;Capacity!B73)</f>
        <v/>
      </c>
      <c r="AF59" s="67"/>
    </row>
    <row r="60" spans="1:32" x14ac:dyDescent="0.2">
      <c r="A60">
        <v>58</v>
      </c>
      <c r="AE60" s="67" t="str">
        <f>IF(Capacity!B74="","",ROW(A58)&amp;". "&amp;Capacity!B74)</f>
        <v/>
      </c>
      <c r="AF60" s="67"/>
    </row>
    <row r="61" spans="1:32" x14ac:dyDescent="0.2">
      <c r="A61">
        <v>59</v>
      </c>
      <c r="AE61" s="67" t="str">
        <f>IF(Capacity!B75="","",ROW(A59)&amp;". "&amp;Capacity!B75)</f>
        <v/>
      </c>
      <c r="AF61" s="67"/>
    </row>
    <row r="62" spans="1:32" x14ac:dyDescent="0.2">
      <c r="A62">
        <v>60</v>
      </c>
      <c r="AE62" s="67" t="str">
        <f>IF(Capacity!B76="","",ROW(A60)&amp;". "&amp;Capacity!B76)</f>
        <v/>
      </c>
      <c r="AF62" s="67"/>
    </row>
    <row r="63" spans="1:32" x14ac:dyDescent="0.2">
      <c r="A63">
        <v>61</v>
      </c>
      <c r="AE63" s="67" t="str">
        <f>IF(Capacity!B77="","",ROW(A61)&amp;". "&amp;Capacity!B77)</f>
        <v/>
      </c>
      <c r="AF63" s="67"/>
    </row>
    <row r="64" spans="1:32" x14ac:dyDescent="0.2">
      <c r="A64">
        <v>62</v>
      </c>
      <c r="AE64" s="67" t="str">
        <f>IF(Capacity!B78="","",ROW(A62)&amp;". "&amp;Capacity!B78)</f>
        <v/>
      </c>
      <c r="AF64" s="67"/>
    </row>
    <row r="65" spans="1:32" x14ac:dyDescent="0.2">
      <c r="A65">
        <v>63</v>
      </c>
      <c r="AE65" s="67" t="str">
        <f>IF(Capacity!B79="","",ROW(A63)&amp;". "&amp;Capacity!B79)</f>
        <v/>
      </c>
      <c r="AF65" s="67"/>
    </row>
    <row r="66" spans="1:32" x14ac:dyDescent="0.2">
      <c r="A66">
        <v>64</v>
      </c>
      <c r="AE66" s="67" t="str">
        <f>IF(Capacity!B80="","",ROW(A64)&amp;". "&amp;Capacity!B80)</f>
        <v/>
      </c>
      <c r="AF66" s="67"/>
    </row>
    <row r="67" spans="1:32" x14ac:dyDescent="0.2">
      <c r="A67">
        <v>65</v>
      </c>
      <c r="AE67" s="67" t="str">
        <f>IF(Capacity!B81="","",ROW(A65)&amp;". "&amp;Capacity!B81)</f>
        <v/>
      </c>
      <c r="AF67" s="67"/>
    </row>
    <row r="68" spans="1:32" x14ac:dyDescent="0.2">
      <c r="A68">
        <v>66</v>
      </c>
      <c r="AE68" s="67" t="str">
        <f>IF(Capacity!B82="","",ROW(A66)&amp;". "&amp;Capacity!B82)</f>
        <v/>
      </c>
      <c r="AF68" s="67"/>
    </row>
    <row r="69" spans="1:32" x14ac:dyDescent="0.2">
      <c r="A69">
        <v>67</v>
      </c>
      <c r="AE69" s="67" t="str">
        <f>IF(Capacity!B83="","",ROW(A67)&amp;". "&amp;Capacity!B83)</f>
        <v/>
      </c>
      <c r="AF69" s="67"/>
    </row>
    <row r="70" spans="1:32" x14ac:dyDescent="0.2">
      <c r="A70">
        <v>68</v>
      </c>
      <c r="AE70" s="67" t="str">
        <f>IF(Capacity!B84="","",ROW(A68)&amp;". "&amp;Capacity!B84)</f>
        <v/>
      </c>
      <c r="AF70" s="67"/>
    </row>
    <row r="71" spans="1:32" x14ac:dyDescent="0.2">
      <c r="A71">
        <v>69</v>
      </c>
      <c r="AE71" s="67" t="str">
        <f>IF(Capacity!B85="","",ROW(A69)&amp;". "&amp;Capacity!B85)</f>
        <v/>
      </c>
      <c r="AF71" s="67"/>
    </row>
    <row r="72" spans="1:32" x14ac:dyDescent="0.2">
      <c r="A72">
        <v>70</v>
      </c>
      <c r="AE72" s="67" t="str">
        <f>IF(Capacity!B86="","",ROW(A70)&amp;". "&amp;Capacity!B86)</f>
        <v/>
      </c>
      <c r="AF72" s="67"/>
    </row>
    <row r="73" spans="1:32" x14ac:dyDescent="0.2">
      <c r="A73">
        <v>71</v>
      </c>
      <c r="AE73" s="67" t="str">
        <f>IF(Capacity!B87="","",ROW(A71)&amp;". "&amp;Capacity!B87)</f>
        <v/>
      </c>
      <c r="AF73" s="67"/>
    </row>
    <row r="74" spans="1:32" x14ac:dyDescent="0.2">
      <c r="A74">
        <v>72</v>
      </c>
      <c r="AE74" s="67" t="str">
        <f>IF(Capacity!B88="","",ROW(A72)&amp;". "&amp;Capacity!B88)</f>
        <v/>
      </c>
      <c r="AF74" s="67"/>
    </row>
    <row r="75" spans="1:32" x14ac:dyDescent="0.2">
      <c r="A75">
        <v>73</v>
      </c>
      <c r="AE75" s="67" t="str">
        <f>IF(Capacity!B89="","",ROW(A73)&amp;". "&amp;Capacity!B89)</f>
        <v/>
      </c>
      <c r="AF75" s="67"/>
    </row>
    <row r="76" spans="1:32" x14ac:dyDescent="0.2">
      <c r="A76">
        <v>74</v>
      </c>
      <c r="AE76" s="67" t="str">
        <f>IF(Capacity!B90="","",ROW(A74)&amp;". "&amp;Capacity!B90)</f>
        <v/>
      </c>
      <c r="AF76" s="67"/>
    </row>
    <row r="77" spans="1:32" x14ac:dyDescent="0.2">
      <c r="A77">
        <v>75</v>
      </c>
      <c r="AE77" s="67" t="str">
        <f>IF(Capacity!B91="","",ROW(A75)&amp;". "&amp;Capacity!B91)</f>
        <v/>
      </c>
      <c r="AF77" s="67"/>
    </row>
    <row r="78" spans="1:32" x14ac:dyDescent="0.2">
      <c r="A78">
        <v>76</v>
      </c>
      <c r="AE78" s="67" t="str">
        <f>IF(Capacity!B92="","",ROW(A76)&amp;". "&amp;Capacity!B92)</f>
        <v/>
      </c>
      <c r="AF78" s="67"/>
    </row>
    <row r="79" spans="1:32" x14ac:dyDescent="0.2">
      <c r="A79">
        <v>77</v>
      </c>
      <c r="AE79" s="67" t="str">
        <f>IF(Capacity!B93="","",ROW(A77)&amp;". "&amp;Capacity!B93)</f>
        <v/>
      </c>
      <c r="AF79" s="67"/>
    </row>
    <row r="80" spans="1:32" x14ac:dyDescent="0.2">
      <c r="A80">
        <v>78</v>
      </c>
      <c r="AE80" s="67" t="str">
        <f>IF(Capacity!B94="","",ROW(A78)&amp;". "&amp;Capacity!B94)</f>
        <v/>
      </c>
      <c r="AF80" s="67"/>
    </row>
    <row r="81" spans="1:32" x14ac:dyDescent="0.2">
      <c r="A81">
        <v>79</v>
      </c>
      <c r="AE81" s="67" t="str">
        <f>IF(Capacity!B95="","",ROW(A79)&amp;". "&amp;Capacity!B95)</f>
        <v/>
      </c>
      <c r="AF81" s="67"/>
    </row>
    <row r="82" spans="1:32" x14ac:dyDescent="0.2">
      <c r="A82">
        <v>80</v>
      </c>
      <c r="AE82" s="67" t="str">
        <f>IF(Capacity!B96="","",ROW(A80)&amp;". "&amp;Capacity!B96)</f>
        <v/>
      </c>
      <c r="AF82" s="67"/>
    </row>
    <row r="83" spans="1:32" x14ac:dyDescent="0.2">
      <c r="A83">
        <v>81</v>
      </c>
      <c r="AE83" s="67" t="str">
        <f>IF(Capacity!B97="","",ROW(A81)&amp;". "&amp;Capacity!B97)</f>
        <v/>
      </c>
      <c r="AF83" s="67"/>
    </row>
    <row r="84" spans="1:32" x14ac:dyDescent="0.2">
      <c r="A84">
        <v>82</v>
      </c>
      <c r="AE84" s="67" t="str">
        <f>IF(Capacity!B98="","",ROW(A82)&amp;". "&amp;Capacity!B98)</f>
        <v/>
      </c>
      <c r="AF84" s="67"/>
    </row>
    <row r="85" spans="1:32" x14ac:dyDescent="0.2">
      <c r="A85">
        <v>83</v>
      </c>
      <c r="AE85" s="67" t="str">
        <f>IF(Capacity!B99="","",ROW(A83)&amp;". "&amp;Capacity!B99)</f>
        <v/>
      </c>
      <c r="AF85" s="67"/>
    </row>
    <row r="86" spans="1:32" x14ac:dyDescent="0.2">
      <c r="A86">
        <v>84</v>
      </c>
      <c r="AE86" s="67" t="str">
        <f>IF(Capacity!B100="","",ROW(A84)&amp;". "&amp;Capacity!B100)</f>
        <v/>
      </c>
      <c r="AF86" s="67"/>
    </row>
    <row r="87" spans="1:32" x14ac:dyDescent="0.2">
      <c r="A87">
        <v>85</v>
      </c>
      <c r="AE87" s="67" t="str">
        <f>IF(Capacity!B101="","",ROW(A85)&amp;". "&amp;Capacity!B101)</f>
        <v/>
      </c>
      <c r="AF87" s="67"/>
    </row>
    <row r="88" spans="1:32" x14ac:dyDescent="0.2">
      <c r="A88">
        <v>86</v>
      </c>
      <c r="AE88" s="67" t="str">
        <f>IF(Capacity!B102="","",ROW(A86)&amp;". "&amp;Capacity!B102)</f>
        <v/>
      </c>
      <c r="AF88" s="67"/>
    </row>
    <row r="89" spans="1:32" x14ac:dyDescent="0.2">
      <c r="A89">
        <v>87</v>
      </c>
      <c r="AE89" s="67" t="str">
        <f>IF(Capacity!B103="","",ROW(A87)&amp;". "&amp;Capacity!B103)</f>
        <v/>
      </c>
      <c r="AF89" s="67"/>
    </row>
    <row r="90" spans="1:32" x14ac:dyDescent="0.2">
      <c r="A90">
        <v>88</v>
      </c>
      <c r="AE90" s="67" t="str">
        <f>IF(Capacity!B104="","",ROW(A88)&amp;". "&amp;Capacity!B104)</f>
        <v/>
      </c>
      <c r="AF90" s="67"/>
    </row>
    <row r="91" spans="1:32" x14ac:dyDescent="0.2">
      <c r="A91">
        <v>89</v>
      </c>
      <c r="AE91" s="67" t="str">
        <f>IF(Capacity!B105="","",ROW(A89)&amp;". "&amp;Capacity!B105)</f>
        <v/>
      </c>
      <c r="AF91" s="67"/>
    </row>
    <row r="92" spans="1:32" x14ac:dyDescent="0.2">
      <c r="A92">
        <v>90</v>
      </c>
      <c r="AE92" s="67" t="str">
        <f>IF(Capacity!B106="","",ROW(A90)&amp;". "&amp;Capacity!B106)</f>
        <v/>
      </c>
      <c r="AF92" s="67"/>
    </row>
    <row r="93" spans="1:32" x14ac:dyDescent="0.2">
      <c r="A93">
        <v>91</v>
      </c>
      <c r="AE93" s="67" t="str">
        <f>IF(Capacity!B107="","",ROW(A91)&amp;". "&amp;Capacity!B107)</f>
        <v/>
      </c>
      <c r="AF93" s="67"/>
    </row>
    <row r="94" spans="1:32" x14ac:dyDescent="0.2">
      <c r="A94">
        <v>92</v>
      </c>
      <c r="AE94" s="67" t="str">
        <f>IF(Capacity!B108="","",ROW(A92)&amp;". "&amp;Capacity!B108)</f>
        <v/>
      </c>
      <c r="AF94" s="67"/>
    </row>
    <row r="95" spans="1:32" x14ac:dyDescent="0.2">
      <c r="A95">
        <v>93</v>
      </c>
      <c r="AE95" s="67" t="str">
        <f>IF(Capacity!B109="","",ROW(A93)&amp;". "&amp;Capacity!B109)</f>
        <v/>
      </c>
      <c r="AF95" s="67"/>
    </row>
    <row r="96" spans="1:32" x14ac:dyDescent="0.2">
      <c r="A96">
        <v>94</v>
      </c>
      <c r="AE96" s="67" t="str">
        <f>IF(Capacity!B110="","",ROW(A94)&amp;". "&amp;Capacity!B110)</f>
        <v/>
      </c>
      <c r="AF96" s="67"/>
    </row>
    <row r="97" spans="1:32" x14ac:dyDescent="0.2">
      <c r="A97">
        <v>95</v>
      </c>
      <c r="AE97" s="67" t="str">
        <f>IF(Capacity!B111="","",ROW(A95)&amp;". "&amp;Capacity!B111)</f>
        <v/>
      </c>
      <c r="AF97" s="67"/>
    </row>
    <row r="98" spans="1:32" x14ac:dyDescent="0.2">
      <c r="A98">
        <v>96</v>
      </c>
      <c r="AE98" s="67" t="str">
        <f>IF(Capacity!B112="","",ROW(A96)&amp;". "&amp;Capacity!B112)</f>
        <v/>
      </c>
      <c r="AF98" s="67"/>
    </row>
    <row r="99" spans="1:32" x14ac:dyDescent="0.2">
      <c r="A99">
        <v>97</v>
      </c>
      <c r="AE99" s="67" t="str">
        <f>IF(Capacity!B113="","",ROW(A97)&amp;". "&amp;Capacity!B113)</f>
        <v/>
      </c>
      <c r="AF99" s="67"/>
    </row>
    <row r="100" spans="1:32" x14ac:dyDescent="0.2">
      <c r="A100">
        <v>98</v>
      </c>
      <c r="AE100" s="67" t="str">
        <f>IF(Capacity!B114="","",ROW(A98)&amp;". "&amp;Capacity!B114)</f>
        <v/>
      </c>
      <c r="AF100" s="67"/>
    </row>
    <row r="101" spans="1:32" x14ac:dyDescent="0.2">
      <c r="A101">
        <v>99</v>
      </c>
      <c r="AE101" s="67" t="str">
        <f>IF(Capacity!B115="","",ROW(A99)&amp;". "&amp;Capacity!B115)</f>
        <v/>
      </c>
      <c r="AF101" s="67"/>
    </row>
    <row r="102" spans="1:32" x14ac:dyDescent="0.2">
      <c r="A102">
        <v>100</v>
      </c>
      <c r="AE102" s="67" t="str">
        <f>IF(Capacity!B116="","",ROW(A100)&amp;". "&amp;Capacity!B116)</f>
        <v/>
      </c>
      <c r="AF102" s="67"/>
    </row>
    <row r="103" spans="1:32" x14ac:dyDescent="0.2">
      <c r="A103">
        <v>101</v>
      </c>
      <c r="AE103" s="67" t="e">
        <f>IF(Capacity!#REF!="","",ROW(A101)&amp;". "&amp;Capacity!#REF!)</f>
        <v>#REF!</v>
      </c>
      <c r="AF103" s="67"/>
    </row>
    <row r="104" spans="1:32" x14ac:dyDescent="0.2">
      <c r="A104">
        <v>102</v>
      </c>
      <c r="AE104" s="67" t="e">
        <f>IF(Capacity!#REF!="","",ROW(A102)&amp;". "&amp;Capacity!#REF!)</f>
        <v>#REF!</v>
      </c>
      <c r="AF104" s="67"/>
    </row>
    <row r="105" spans="1:32" x14ac:dyDescent="0.2">
      <c r="A105">
        <v>103</v>
      </c>
    </row>
    <row r="106" spans="1:32" x14ac:dyDescent="0.2">
      <c r="A106">
        <v>104</v>
      </c>
    </row>
    <row r="107" spans="1:32" x14ac:dyDescent="0.2">
      <c r="A107">
        <v>105</v>
      </c>
    </row>
    <row r="108" spans="1:32" x14ac:dyDescent="0.2">
      <c r="A108">
        <v>106</v>
      </c>
    </row>
    <row r="109" spans="1:32" x14ac:dyDescent="0.2">
      <c r="A109">
        <v>107</v>
      </c>
    </row>
    <row r="110" spans="1:32" x14ac:dyDescent="0.2">
      <c r="A110">
        <v>108</v>
      </c>
    </row>
    <row r="111" spans="1:32" x14ac:dyDescent="0.2">
      <c r="A111">
        <v>109</v>
      </c>
    </row>
    <row r="112" spans="1:32" x14ac:dyDescent="0.2">
      <c r="A112">
        <v>110</v>
      </c>
    </row>
    <row r="113" spans="1:1" x14ac:dyDescent="0.2">
      <c r="A113">
        <v>111</v>
      </c>
    </row>
    <row r="114" spans="1:1" x14ac:dyDescent="0.2">
      <c r="A114">
        <v>112</v>
      </c>
    </row>
    <row r="115" spans="1:1" x14ac:dyDescent="0.2">
      <c r="A115">
        <v>113</v>
      </c>
    </row>
    <row r="116" spans="1:1" x14ac:dyDescent="0.2">
      <c r="A116">
        <v>114</v>
      </c>
    </row>
    <row r="117" spans="1:1" x14ac:dyDescent="0.2">
      <c r="A117">
        <v>115</v>
      </c>
    </row>
    <row r="118" spans="1:1" x14ac:dyDescent="0.2">
      <c r="A118">
        <v>116</v>
      </c>
    </row>
    <row r="119" spans="1:1" x14ac:dyDescent="0.2">
      <c r="A119">
        <v>117</v>
      </c>
    </row>
    <row r="120" spans="1:1" x14ac:dyDescent="0.2">
      <c r="A120">
        <v>118</v>
      </c>
    </row>
    <row r="121" spans="1:1" x14ac:dyDescent="0.2">
      <c r="A121">
        <v>119</v>
      </c>
    </row>
    <row r="122" spans="1:1" x14ac:dyDescent="0.2">
      <c r="A122">
        <v>120</v>
      </c>
    </row>
    <row r="123" spans="1:1" x14ac:dyDescent="0.2">
      <c r="A123">
        <v>121</v>
      </c>
    </row>
    <row r="124" spans="1:1" x14ac:dyDescent="0.2">
      <c r="A124">
        <v>122</v>
      </c>
    </row>
    <row r="125" spans="1:1" x14ac:dyDescent="0.2">
      <c r="A125">
        <v>123</v>
      </c>
    </row>
    <row r="126" spans="1:1" x14ac:dyDescent="0.2">
      <c r="A126">
        <v>124</v>
      </c>
    </row>
    <row r="127" spans="1:1" x14ac:dyDescent="0.2">
      <c r="A127">
        <v>125</v>
      </c>
    </row>
    <row r="128" spans="1:1" x14ac:dyDescent="0.2">
      <c r="A128">
        <v>126</v>
      </c>
    </row>
    <row r="129" spans="1:1" x14ac:dyDescent="0.2">
      <c r="A129">
        <v>127</v>
      </c>
    </row>
    <row r="130" spans="1:1" x14ac:dyDescent="0.2">
      <c r="A130">
        <v>128</v>
      </c>
    </row>
    <row r="131" spans="1:1" x14ac:dyDescent="0.2">
      <c r="A131">
        <v>129</v>
      </c>
    </row>
    <row r="132" spans="1:1" x14ac:dyDescent="0.2">
      <c r="A132">
        <v>130</v>
      </c>
    </row>
    <row r="133" spans="1:1" x14ac:dyDescent="0.2">
      <c r="A133">
        <v>131</v>
      </c>
    </row>
    <row r="134" spans="1:1" x14ac:dyDescent="0.2">
      <c r="A134">
        <v>132</v>
      </c>
    </row>
    <row r="135" spans="1:1" x14ac:dyDescent="0.2">
      <c r="A135">
        <v>133</v>
      </c>
    </row>
    <row r="136" spans="1:1" x14ac:dyDescent="0.2">
      <c r="A136">
        <v>134</v>
      </c>
    </row>
    <row r="137" spans="1:1" x14ac:dyDescent="0.2">
      <c r="A137">
        <v>135</v>
      </c>
    </row>
    <row r="138" spans="1:1" x14ac:dyDescent="0.2">
      <c r="A138">
        <v>136</v>
      </c>
    </row>
    <row r="139" spans="1:1" x14ac:dyDescent="0.2">
      <c r="A139">
        <v>137</v>
      </c>
    </row>
    <row r="140" spans="1:1" x14ac:dyDescent="0.2">
      <c r="A140">
        <v>138</v>
      </c>
    </row>
    <row r="141" spans="1:1" x14ac:dyDescent="0.2">
      <c r="A141">
        <v>139</v>
      </c>
    </row>
    <row r="142" spans="1:1" x14ac:dyDescent="0.2">
      <c r="A142">
        <v>140</v>
      </c>
    </row>
    <row r="143" spans="1:1" x14ac:dyDescent="0.2">
      <c r="A143">
        <v>141</v>
      </c>
    </row>
    <row r="144" spans="1:1" x14ac:dyDescent="0.2">
      <c r="A144">
        <v>142</v>
      </c>
    </row>
    <row r="145" spans="1:1" x14ac:dyDescent="0.2">
      <c r="A145">
        <v>143</v>
      </c>
    </row>
    <row r="146" spans="1:1" x14ac:dyDescent="0.2">
      <c r="A146">
        <v>144</v>
      </c>
    </row>
    <row r="147" spans="1:1" x14ac:dyDescent="0.2">
      <c r="A147">
        <v>145</v>
      </c>
    </row>
    <row r="148" spans="1:1" x14ac:dyDescent="0.2">
      <c r="A148">
        <v>146</v>
      </c>
    </row>
    <row r="149" spans="1:1" x14ac:dyDescent="0.2">
      <c r="A149">
        <v>147</v>
      </c>
    </row>
    <row r="150" spans="1:1" x14ac:dyDescent="0.2">
      <c r="A150">
        <v>148</v>
      </c>
    </row>
    <row r="151" spans="1:1" x14ac:dyDescent="0.2">
      <c r="A151">
        <v>149</v>
      </c>
    </row>
    <row r="152" spans="1:1" x14ac:dyDescent="0.2">
      <c r="A152">
        <v>150</v>
      </c>
    </row>
    <row r="153" spans="1:1" x14ac:dyDescent="0.2">
      <c r="A153">
        <v>151</v>
      </c>
    </row>
    <row r="154" spans="1:1" x14ac:dyDescent="0.2">
      <c r="A154">
        <v>152</v>
      </c>
    </row>
    <row r="155" spans="1:1" x14ac:dyDescent="0.2">
      <c r="A155">
        <v>153</v>
      </c>
    </row>
    <row r="156" spans="1:1" x14ac:dyDescent="0.2">
      <c r="A156">
        <v>154</v>
      </c>
    </row>
    <row r="157" spans="1:1" x14ac:dyDescent="0.2">
      <c r="A157">
        <v>155</v>
      </c>
    </row>
    <row r="158" spans="1:1" x14ac:dyDescent="0.2">
      <c r="A158">
        <v>156</v>
      </c>
    </row>
    <row r="159" spans="1:1" x14ac:dyDescent="0.2">
      <c r="A159">
        <v>157</v>
      </c>
    </row>
    <row r="160" spans="1:1" x14ac:dyDescent="0.2">
      <c r="A160">
        <v>158</v>
      </c>
    </row>
    <row r="161" spans="1:1" x14ac:dyDescent="0.2">
      <c r="A161">
        <v>159</v>
      </c>
    </row>
    <row r="162" spans="1:1" x14ac:dyDescent="0.2">
      <c r="A162">
        <v>160</v>
      </c>
    </row>
    <row r="163" spans="1:1" x14ac:dyDescent="0.2">
      <c r="A163">
        <v>161</v>
      </c>
    </row>
    <row r="164" spans="1:1" x14ac:dyDescent="0.2">
      <c r="A164">
        <v>162</v>
      </c>
    </row>
    <row r="165" spans="1:1" x14ac:dyDescent="0.2">
      <c r="A165">
        <v>163</v>
      </c>
    </row>
    <row r="166" spans="1:1" x14ac:dyDescent="0.2">
      <c r="A166">
        <v>164</v>
      </c>
    </row>
    <row r="167" spans="1:1" x14ac:dyDescent="0.2">
      <c r="A167">
        <v>165</v>
      </c>
    </row>
    <row r="168" spans="1:1" x14ac:dyDescent="0.2">
      <c r="A168">
        <v>166</v>
      </c>
    </row>
    <row r="169" spans="1:1" x14ac:dyDescent="0.2">
      <c r="A169">
        <v>167</v>
      </c>
    </row>
    <row r="170" spans="1:1" x14ac:dyDescent="0.2">
      <c r="A170">
        <v>168</v>
      </c>
    </row>
    <row r="171" spans="1:1" x14ac:dyDescent="0.2">
      <c r="A171">
        <v>169</v>
      </c>
    </row>
    <row r="172" spans="1:1" x14ac:dyDescent="0.2">
      <c r="A172">
        <v>170</v>
      </c>
    </row>
    <row r="173" spans="1:1" x14ac:dyDescent="0.2">
      <c r="A173">
        <v>171</v>
      </c>
    </row>
    <row r="174" spans="1:1" x14ac:dyDescent="0.2">
      <c r="A174">
        <v>172</v>
      </c>
    </row>
    <row r="175" spans="1:1" x14ac:dyDescent="0.2">
      <c r="A175">
        <v>173</v>
      </c>
    </row>
    <row r="176" spans="1:1" x14ac:dyDescent="0.2">
      <c r="A176">
        <v>174</v>
      </c>
    </row>
    <row r="177" spans="1:1" x14ac:dyDescent="0.2">
      <c r="A177">
        <v>175</v>
      </c>
    </row>
    <row r="178" spans="1:1" x14ac:dyDescent="0.2">
      <c r="A178">
        <v>176</v>
      </c>
    </row>
    <row r="179" spans="1:1" x14ac:dyDescent="0.2">
      <c r="A179">
        <v>177</v>
      </c>
    </row>
    <row r="180" spans="1:1" x14ac:dyDescent="0.2">
      <c r="A180">
        <v>178</v>
      </c>
    </row>
    <row r="181" spans="1:1" x14ac:dyDescent="0.2">
      <c r="A181">
        <v>179</v>
      </c>
    </row>
    <row r="182" spans="1:1" x14ac:dyDescent="0.2">
      <c r="A182">
        <v>180</v>
      </c>
    </row>
    <row r="183" spans="1:1" x14ac:dyDescent="0.2">
      <c r="A183">
        <v>181</v>
      </c>
    </row>
    <row r="184" spans="1:1" x14ac:dyDescent="0.2">
      <c r="A184">
        <v>182</v>
      </c>
    </row>
    <row r="185" spans="1:1" x14ac:dyDescent="0.2">
      <c r="A185">
        <v>183</v>
      </c>
    </row>
    <row r="186" spans="1:1" x14ac:dyDescent="0.2">
      <c r="A186">
        <v>184</v>
      </c>
    </row>
    <row r="187" spans="1:1" x14ac:dyDescent="0.2">
      <c r="A187">
        <v>185</v>
      </c>
    </row>
    <row r="188" spans="1:1" x14ac:dyDescent="0.2">
      <c r="A188">
        <v>186</v>
      </c>
    </row>
    <row r="189" spans="1:1" x14ac:dyDescent="0.2">
      <c r="A189">
        <v>187</v>
      </c>
    </row>
    <row r="190" spans="1:1" x14ac:dyDescent="0.2">
      <c r="A190">
        <v>188</v>
      </c>
    </row>
    <row r="191" spans="1:1" x14ac:dyDescent="0.2">
      <c r="A191">
        <v>189</v>
      </c>
    </row>
    <row r="192" spans="1:1" x14ac:dyDescent="0.2">
      <c r="A192">
        <v>190</v>
      </c>
    </row>
    <row r="193" spans="1:1" x14ac:dyDescent="0.2">
      <c r="A193">
        <v>191</v>
      </c>
    </row>
    <row r="194" spans="1:1" x14ac:dyDescent="0.2">
      <c r="A194">
        <v>192</v>
      </c>
    </row>
    <row r="195" spans="1:1" x14ac:dyDescent="0.2">
      <c r="A195">
        <v>193</v>
      </c>
    </row>
    <row r="196" spans="1:1" x14ac:dyDescent="0.2">
      <c r="A196">
        <v>194</v>
      </c>
    </row>
    <row r="197" spans="1:1" x14ac:dyDescent="0.2">
      <c r="A197">
        <v>195</v>
      </c>
    </row>
    <row r="198" spans="1:1" x14ac:dyDescent="0.2">
      <c r="A198">
        <v>196</v>
      </c>
    </row>
    <row r="199" spans="1:1" x14ac:dyDescent="0.2">
      <c r="A199">
        <v>197</v>
      </c>
    </row>
    <row r="200" spans="1:1" x14ac:dyDescent="0.2">
      <c r="A200">
        <v>198</v>
      </c>
    </row>
    <row r="201" spans="1:1" x14ac:dyDescent="0.2">
      <c r="A201">
        <v>199</v>
      </c>
    </row>
    <row r="202" spans="1:1" x14ac:dyDescent="0.2">
      <c r="A202">
        <v>200</v>
      </c>
    </row>
    <row r="203" spans="1:1" x14ac:dyDescent="0.2">
      <c r="A203">
        <v>201</v>
      </c>
    </row>
    <row r="204" spans="1:1" x14ac:dyDescent="0.2">
      <c r="A204">
        <v>202</v>
      </c>
    </row>
    <row r="205" spans="1:1" x14ac:dyDescent="0.2">
      <c r="A205">
        <v>203</v>
      </c>
    </row>
    <row r="206" spans="1:1" x14ac:dyDescent="0.2">
      <c r="A206">
        <v>204</v>
      </c>
    </row>
    <row r="207" spans="1:1" x14ac:dyDescent="0.2">
      <c r="A207">
        <v>205</v>
      </c>
    </row>
    <row r="208" spans="1:1" x14ac:dyDescent="0.2">
      <c r="A208">
        <v>206</v>
      </c>
    </row>
    <row r="209" spans="1:1" x14ac:dyDescent="0.2">
      <c r="A209">
        <v>207</v>
      </c>
    </row>
    <row r="210" spans="1:1" x14ac:dyDescent="0.2">
      <c r="A210">
        <v>208</v>
      </c>
    </row>
    <row r="211" spans="1:1" x14ac:dyDescent="0.2">
      <c r="A211">
        <v>209</v>
      </c>
    </row>
    <row r="212" spans="1:1" x14ac:dyDescent="0.2">
      <c r="A212">
        <v>210</v>
      </c>
    </row>
    <row r="213" spans="1:1" x14ac:dyDescent="0.2">
      <c r="A213">
        <v>211</v>
      </c>
    </row>
    <row r="214" spans="1:1" x14ac:dyDescent="0.2">
      <c r="A214">
        <v>212</v>
      </c>
    </row>
    <row r="215" spans="1:1" x14ac:dyDescent="0.2">
      <c r="A215">
        <v>213</v>
      </c>
    </row>
    <row r="216" spans="1:1" x14ac:dyDescent="0.2">
      <c r="A216">
        <v>214</v>
      </c>
    </row>
    <row r="217" spans="1:1" x14ac:dyDescent="0.2">
      <c r="A217">
        <v>215</v>
      </c>
    </row>
    <row r="218" spans="1:1" x14ac:dyDescent="0.2">
      <c r="A218">
        <v>216</v>
      </c>
    </row>
    <row r="219" spans="1:1" x14ac:dyDescent="0.2">
      <c r="A219">
        <v>217</v>
      </c>
    </row>
    <row r="220" spans="1:1" x14ac:dyDescent="0.2">
      <c r="A220">
        <v>218</v>
      </c>
    </row>
    <row r="221" spans="1:1" x14ac:dyDescent="0.2">
      <c r="A221">
        <v>219</v>
      </c>
    </row>
    <row r="222" spans="1:1" x14ac:dyDescent="0.2">
      <c r="A222">
        <v>220</v>
      </c>
    </row>
    <row r="223" spans="1:1" x14ac:dyDescent="0.2">
      <c r="A223">
        <v>221</v>
      </c>
    </row>
    <row r="224" spans="1:1" x14ac:dyDescent="0.2">
      <c r="A224">
        <v>222</v>
      </c>
    </row>
    <row r="225" spans="1:1" x14ac:dyDescent="0.2">
      <c r="A225">
        <v>223</v>
      </c>
    </row>
    <row r="226" spans="1:1" x14ac:dyDescent="0.2">
      <c r="A226">
        <v>224</v>
      </c>
    </row>
    <row r="227" spans="1:1" x14ac:dyDescent="0.2">
      <c r="A227">
        <v>225</v>
      </c>
    </row>
    <row r="228" spans="1:1" x14ac:dyDescent="0.2">
      <c r="A228">
        <v>226</v>
      </c>
    </row>
    <row r="229" spans="1:1" x14ac:dyDescent="0.2">
      <c r="A229">
        <v>227</v>
      </c>
    </row>
    <row r="230" spans="1:1" x14ac:dyDescent="0.2">
      <c r="A230">
        <v>228</v>
      </c>
    </row>
    <row r="231" spans="1:1" x14ac:dyDescent="0.2">
      <c r="A231">
        <v>229</v>
      </c>
    </row>
    <row r="232" spans="1:1" x14ac:dyDescent="0.2">
      <c r="A232">
        <v>230</v>
      </c>
    </row>
    <row r="233" spans="1:1" x14ac:dyDescent="0.2">
      <c r="A233">
        <v>231</v>
      </c>
    </row>
    <row r="234" spans="1:1" x14ac:dyDescent="0.2">
      <c r="A234">
        <v>232</v>
      </c>
    </row>
    <row r="235" spans="1:1" x14ac:dyDescent="0.2">
      <c r="A235">
        <v>233</v>
      </c>
    </row>
    <row r="236" spans="1:1" x14ac:dyDescent="0.2">
      <c r="A236">
        <v>234</v>
      </c>
    </row>
    <row r="237" spans="1:1" x14ac:dyDescent="0.2">
      <c r="A237">
        <v>235</v>
      </c>
    </row>
    <row r="238" spans="1:1" x14ac:dyDescent="0.2">
      <c r="A238">
        <v>236</v>
      </c>
    </row>
    <row r="239" spans="1:1" x14ac:dyDescent="0.2">
      <c r="A239">
        <v>237</v>
      </c>
    </row>
    <row r="240" spans="1:1" x14ac:dyDescent="0.2">
      <c r="A240">
        <v>238</v>
      </c>
    </row>
    <row r="241" spans="1:1" x14ac:dyDescent="0.2">
      <c r="A241">
        <v>239</v>
      </c>
    </row>
    <row r="242" spans="1:1" x14ac:dyDescent="0.2">
      <c r="A242">
        <v>240</v>
      </c>
    </row>
    <row r="243" spans="1:1" x14ac:dyDescent="0.2">
      <c r="A243">
        <v>241</v>
      </c>
    </row>
    <row r="244" spans="1:1" x14ac:dyDescent="0.2">
      <c r="A244">
        <v>242</v>
      </c>
    </row>
    <row r="245" spans="1:1" x14ac:dyDescent="0.2">
      <c r="A245">
        <v>243</v>
      </c>
    </row>
    <row r="246" spans="1:1" x14ac:dyDescent="0.2">
      <c r="A246">
        <v>244</v>
      </c>
    </row>
    <row r="247" spans="1:1" x14ac:dyDescent="0.2">
      <c r="A247">
        <v>245</v>
      </c>
    </row>
    <row r="248" spans="1:1" x14ac:dyDescent="0.2">
      <c r="A248">
        <v>246</v>
      </c>
    </row>
    <row r="249" spans="1:1" x14ac:dyDescent="0.2">
      <c r="A249">
        <v>247</v>
      </c>
    </row>
    <row r="250" spans="1:1" x14ac:dyDescent="0.2">
      <c r="A250">
        <v>248</v>
      </c>
    </row>
    <row r="251" spans="1:1" x14ac:dyDescent="0.2">
      <c r="A251">
        <v>249</v>
      </c>
    </row>
    <row r="252" spans="1:1" x14ac:dyDescent="0.2">
      <c r="A252">
        <v>250</v>
      </c>
    </row>
    <row r="253" spans="1:1" x14ac:dyDescent="0.2">
      <c r="A253">
        <v>251</v>
      </c>
    </row>
    <row r="254" spans="1:1" x14ac:dyDescent="0.2">
      <c r="A254">
        <v>252</v>
      </c>
    </row>
    <row r="255" spans="1:1" x14ac:dyDescent="0.2">
      <c r="A255">
        <v>253</v>
      </c>
    </row>
    <row r="256" spans="1:1" x14ac:dyDescent="0.2">
      <c r="A256">
        <v>254</v>
      </c>
    </row>
    <row r="257" spans="1:1" x14ac:dyDescent="0.2">
      <c r="A257">
        <v>255</v>
      </c>
    </row>
    <row r="258" spans="1:1" x14ac:dyDescent="0.2">
      <c r="A258">
        <v>256</v>
      </c>
    </row>
    <row r="259" spans="1:1" x14ac:dyDescent="0.2">
      <c r="A259">
        <v>257</v>
      </c>
    </row>
    <row r="260" spans="1:1" x14ac:dyDescent="0.2">
      <c r="A260">
        <v>258</v>
      </c>
    </row>
    <row r="261" spans="1:1" x14ac:dyDescent="0.2">
      <c r="A261">
        <v>259</v>
      </c>
    </row>
    <row r="262" spans="1:1" x14ac:dyDescent="0.2">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
    </sheetView>
  </sheetViews>
  <sheetFormatPr defaultRowHeight="14.25" x14ac:dyDescent="0.2"/>
  <cols>
    <col min="2" max="2" width="129.125" customWidth="1"/>
  </cols>
  <sheetData>
    <row r="2" spans="2:17" ht="15" x14ac:dyDescent="0.25">
      <c r="B2" s="284" t="str">
        <f>"Demand and capacity analysis notes for "&amp;Setup!C5&amp;", "&amp;Setup!C7</f>
        <v>Demand and capacity analysis notes for A. N. Other Trust, Test Service</v>
      </c>
    </row>
    <row r="4" spans="2:17" x14ac:dyDescent="0.2">
      <c r="B4" s="151"/>
      <c r="C4" s="67"/>
      <c r="D4" s="67"/>
      <c r="E4" s="67"/>
      <c r="F4" s="67"/>
      <c r="G4" s="67"/>
      <c r="H4" s="67"/>
      <c r="I4" s="67"/>
      <c r="J4" s="67"/>
      <c r="K4" s="67"/>
      <c r="L4" s="67"/>
      <c r="M4" s="67"/>
      <c r="N4" s="67"/>
      <c r="O4" s="67"/>
      <c r="P4" s="67"/>
      <c r="Q4" s="67"/>
    </row>
    <row r="5" spans="2:17" s="1" customFormat="1" ht="15" x14ac:dyDescent="0.2">
      <c r="B5" s="321"/>
    </row>
    <row r="6" spans="2:17" s="1" customFormat="1" x14ac:dyDescent="0.2">
      <c r="B6" s="318"/>
    </row>
    <row r="7" spans="2:17" s="1" customFormat="1" ht="15" x14ac:dyDescent="0.2">
      <c r="B7" s="322"/>
    </row>
    <row r="8" spans="2:17" s="1" customFormat="1" x14ac:dyDescent="0.2">
      <c r="B8" s="318"/>
    </row>
    <row r="9" spans="2:17" s="1" customFormat="1" x14ac:dyDescent="0.2">
      <c r="B9" s="318"/>
    </row>
    <row r="10" spans="2:17" s="1" customFormat="1" ht="15" x14ac:dyDescent="0.2">
      <c r="B10" s="322"/>
    </row>
    <row r="11" spans="2:17" s="1" customFormat="1" x14ac:dyDescent="0.2">
      <c r="B11" s="318"/>
    </row>
    <row r="12" spans="2:17" s="1" customFormat="1" x14ac:dyDescent="0.2">
      <c r="B12" s="318"/>
    </row>
    <row r="13" spans="2:17" s="1" customFormat="1" ht="15" x14ac:dyDescent="0.2">
      <c r="B13" s="322"/>
    </row>
    <row r="14" spans="2:17" s="1" customFormat="1" x14ac:dyDescent="0.2">
      <c r="B14" s="318"/>
    </row>
    <row r="15" spans="2:17" s="1" customFormat="1" x14ac:dyDescent="0.2">
      <c r="B15" s="318"/>
    </row>
    <row r="16" spans="2:17" s="1" customFormat="1" x14ac:dyDescent="0.2">
      <c r="B16" s="318"/>
    </row>
    <row r="17" spans="2:2" s="1" customFormat="1" x14ac:dyDescent="0.2">
      <c r="B17" s="318"/>
    </row>
    <row r="18" spans="2:2" s="1" customFormat="1" x14ac:dyDescent="0.2">
      <c r="B18" s="318"/>
    </row>
    <row r="19" spans="2:2" s="1" customFormat="1" x14ac:dyDescent="0.2">
      <c r="B19" s="318"/>
    </row>
    <row r="20" spans="2:2" s="1" customFormat="1" x14ac:dyDescent="0.2">
      <c r="B20" s="318"/>
    </row>
    <row r="21" spans="2:2" s="1" customFormat="1" x14ac:dyDescent="0.2">
      <c r="B21" s="318"/>
    </row>
    <row r="22" spans="2:2" s="1" customFormat="1" x14ac:dyDescent="0.2">
      <c r="B22" s="318"/>
    </row>
    <row r="23" spans="2:2" s="1" customFormat="1" x14ac:dyDescent="0.2">
      <c r="B23" s="318"/>
    </row>
    <row r="24" spans="2:2" s="1" customFormat="1" x14ac:dyDescent="0.2">
      <c r="B24" s="318"/>
    </row>
    <row r="25" spans="2:2" s="1" customFormat="1" x14ac:dyDescent="0.2">
      <c r="B25" s="318"/>
    </row>
    <row r="26" spans="2:2" s="1" customFormat="1" x14ac:dyDescent="0.2">
      <c r="B26" s="318"/>
    </row>
    <row r="27" spans="2:2" s="1" customFormat="1" x14ac:dyDescent="0.2">
      <c r="B27" s="318"/>
    </row>
    <row r="28" spans="2:2" s="1" customFormat="1" x14ac:dyDescent="0.2">
      <c r="B28" s="318"/>
    </row>
    <row r="29" spans="2:2" s="1" customFormat="1" x14ac:dyDescent="0.2">
      <c r="B29" s="318"/>
    </row>
    <row r="30" spans="2:2" s="1" customFormat="1" x14ac:dyDescent="0.2">
      <c r="B30" s="318"/>
    </row>
    <row r="31" spans="2:2" s="1" customFormat="1" x14ac:dyDescent="0.2">
      <c r="B31" s="318"/>
    </row>
    <row r="32" spans="2:2" s="1" customFormat="1" x14ac:dyDescent="0.2">
      <c r="B32" s="318"/>
    </row>
    <row r="33" spans="2:17" s="1" customFormat="1" x14ac:dyDescent="0.2">
      <c r="B33" s="318"/>
    </row>
    <row r="34" spans="2:17" s="1" customFormat="1" x14ac:dyDescent="0.2">
      <c r="B34" s="318"/>
    </row>
    <row r="35" spans="2:17" s="1" customFormat="1" x14ac:dyDescent="0.2">
      <c r="B35" s="318"/>
    </row>
    <row r="36" spans="2:17" s="1" customFormat="1" x14ac:dyDescent="0.2">
      <c r="B36" s="318"/>
    </row>
    <row r="37" spans="2:17" s="1" customFormat="1" x14ac:dyDescent="0.2">
      <c r="B37" s="318"/>
    </row>
    <row r="38" spans="2:17" s="1" customFormat="1" x14ac:dyDescent="0.2">
      <c r="B38" s="318"/>
    </row>
    <row r="39" spans="2:17" s="1" customFormat="1" x14ac:dyDescent="0.2">
      <c r="B39" s="318"/>
    </row>
    <row r="40" spans="2:17" s="1" customFormat="1" x14ac:dyDescent="0.2">
      <c r="B40" s="318"/>
    </row>
    <row r="41" spans="2:17" s="1" customFormat="1" x14ac:dyDescent="0.2">
      <c r="B41" s="318"/>
    </row>
    <row r="42" spans="2:17" s="1" customFormat="1" x14ac:dyDescent="0.2">
      <c r="B42" s="318"/>
    </row>
    <row r="43" spans="2:17" s="1" customFormat="1" x14ac:dyDescent="0.2">
      <c r="B43" s="318"/>
    </row>
    <row r="44" spans="2:17" x14ac:dyDescent="0.2">
      <c r="B44" s="318"/>
      <c r="C44" s="67"/>
      <c r="D44" s="67"/>
      <c r="E44" s="67"/>
      <c r="F44" s="67"/>
      <c r="G44" s="67"/>
      <c r="H44" s="67"/>
      <c r="I44" s="67"/>
      <c r="J44" s="67"/>
      <c r="K44" s="67"/>
      <c r="L44" s="67"/>
      <c r="M44" s="67"/>
      <c r="N44" s="67"/>
      <c r="O44" s="67"/>
      <c r="P44" s="67"/>
      <c r="Q44" s="67"/>
    </row>
    <row r="45" spans="2:17" x14ac:dyDescent="0.2">
      <c r="B45" s="318"/>
    </row>
    <row r="46" spans="2:17" x14ac:dyDescent="0.2">
      <c r="B46" s="318"/>
    </row>
    <row r="47" spans="2:17" x14ac:dyDescent="0.2">
      <c r="B47" s="318"/>
    </row>
    <row r="48" spans="2:17" x14ac:dyDescent="0.2">
      <c r="B48" s="318"/>
    </row>
    <row r="49" spans="2:2" x14ac:dyDescent="0.2">
      <c r="B49" s="318"/>
    </row>
    <row r="50" spans="2:2" x14ac:dyDescent="0.2">
      <c r="B50" s="318"/>
    </row>
    <row r="51" spans="2:2" x14ac:dyDescent="0.2">
      <c r="B51" s="318"/>
    </row>
    <row r="52" spans="2:2" x14ac:dyDescent="0.2">
      <c r="B52" s="318"/>
    </row>
    <row r="53" spans="2:2" x14ac:dyDescent="0.2">
      <c r="B53" s="318"/>
    </row>
    <row r="54" spans="2:2" x14ac:dyDescent="0.2">
      <c r="B54" s="318"/>
    </row>
    <row r="55" spans="2:2" x14ac:dyDescent="0.2">
      <c r="B55" s="318"/>
    </row>
    <row r="56" spans="2:2" x14ac:dyDescent="0.2">
      <c r="B56" s="318"/>
    </row>
    <row r="57" spans="2:2" x14ac:dyDescent="0.2">
      <c r="B57" s="316"/>
    </row>
    <row r="58" spans="2:2" x14ac:dyDescent="0.2">
      <c r="B58" s="316"/>
    </row>
    <row r="59" spans="2:2" x14ac:dyDescent="0.2">
      <c r="B59" s="316"/>
    </row>
    <row r="60" spans="2:2" x14ac:dyDescent="0.2">
      <c r="B60" s="316"/>
    </row>
    <row r="61" spans="2:2" x14ac:dyDescent="0.2">
      <c r="B61" s="316"/>
    </row>
    <row r="62" spans="2:2" x14ac:dyDescent="0.2">
      <c r="B62" s="316"/>
    </row>
    <row r="63" spans="2:2" x14ac:dyDescent="0.2">
      <c r="B63" s="316"/>
    </row>
    <row r="64" spans="2:2" x14ac:dyDescent="0.2">
      <c r="B64" s="316"/>
    </row>
    <row r="65" spans="2:2" x14ac:dyDescent="0.2">
      <c r="B65" s="316"/>
    </row>
    <row r="66" spans="2:2" x14ac:dyDescent="0.2">
      <c r="B66" s="316"/>
    </row>
    <row r="67" spans="2:2" x14ac:dyDescent="0.2">
      <c r="B67" s="316"/>
    </row>
    <row r="68" spans="2:2" x14ac:dyDescent="0.2">
      <c r="B68" s="316"/>
    </row>
    <row r="69" spans="2:2" x14ac:dyDescent="0.2">
      <c r="B69" s="316"/>
    </row>
    <row r="70" spans="2:2" x14ac:dyDescent="0.2">
      <c r="B70" s="316"/>
    </row>
    <row r="71" spans="2:2" x14ac:dyDescent="0.2">
      <c r="B71" s="316"/>
    </row>
    <row r="72" spans="2:2" x14ac:dyDescent="0.2">
      <c r="B72" s="316"/>
    </row>
    <row r="73" spans="2:2" x14ac:dyDescent="0.2">
      <c r="B73" s="316"/>
    </row>
    <row r="74" spans="2:2" x14ac:dyDescent="0.2">
      <c r="B74" s="316"/>
    </row>
    <row r="75" spans="2:2" x14ac:dyDescent="0.2">
      <c r="B75" s="316"/>
    </row>
    <row r="76" spans="2:2" x14ac:dyDescent="0.2">
      <c r="B76" s="316"/>
    </row>
    <row r="77" spans="2:2" x14ac:dyDescent="0.2">
      <c r="B77" s="316"/>
    </row>
    <row r="78" spans="2:2" x14ac:dyDescent="0.2">
      <c r="B78" s="316"/>
    </row>
    <row r="79" spans="2:2" x14ac:dyDescent="0.2">
      <c r="B79" s="316"/>
    </row>
    <row r="80" spans="2:2" x14ac:dyDescent="0.2">
      <c r="B80" s="316"/>
    </row>
    <row r="81" spans="2:2" x14ac:dyDescent="0.2">
      <c r="B81" s="316"/>
    </row>
    <row r="82" spans="2:2" x14ac:dyDescent="0.2">
      <c r="B82" s="316"/>
    </row>
    <row r="83" spans="2:2" x14ac:dyDescent="0.2">
      <c r="B83" s="316"/>
    </row>
    <row r="84" spans="2:2" x14ac:dyDescent="0.2">
      <c r="B84" s="316"/>
    </row>
    <row r="85" spans="2:2" x14ac:dyDescent="0.2">
      <c r="B85" s="316"/>
    </row>
    <row r="86" spans="2:2" x14ac:dyDescent="0.2">
      <c r="B86" s="316"/>
    </row>
    <row r="87" spans="2:2" x14ac:dyDescent="0.2">
      <c r="B87" s="316"/>
    </row>
    <row r="88" spans="2:2" x14ac:dyDescent="0.2">
      <c r="B88" s="316"/>
    </row>
    <row r="89" spans="2:2" x14ac:dyDescent="0.2">
      <c r="B89" s="316"/>
    </row>
    <row r="90" spans="2:2" x14ac:dyDescent="0.2">
      <c r="B90" s="316"/>
    </row>
    <row r="91" spans="2:2" x14ac:dyDescent="0.2">
      <c r="B91" s="316"/>
    </row>
    <row r="92" spans="2:2" x14ac:dyDescent="0.2">
      <c r="B92" s="316"/>
    </row>
    <row r="93" spans="2:2" x14ac:dyDescent="0.2">
      <c r="B93" s="316"/>
    </row>
    <row r="94" spans="2:2" x14ac:dyDescent="0.2">
      <c r="B94" s="316"/>
    </row>
    <row r="95" spans="2:2" x14ac:dyDescent="0.2">
      <c r="B95" s="316"/>
    </row>
    <row r="96" spans="2:2" x14ac:dyDescent="0.2">
      <c r="B96" s="316"/>
    </row>
    <row r="97" spans="2:2" x14ac:dyDescent="0.2">
      <c r="B97" s="316"/>
    </row>
    <row r="98" spans="2:2" x14ac:dyDescent="0.2">
      <c r="B98" s="316"/>
    </row>
    <row r="99" spans="2:2" x14ac:dyDescent="0.2">
      <c r="B99" s="316"/>
    </row>
    <row r="100" spans="2:2" x14ac:dyDescent="0.2">
      <c r="B100" s="316"/>
    </row>
    <row r="101" spans="2:2" x14ac:dyDescent="0.2">
      <c r="B101" s="316"/>
    </row>
    <row r="102" spans="2:2" x14ac:dyDescent="0.2">
      <c r="B102" s="316"/>
    </row>
    <row r="103" spans="2:2" x14ac:dyDescent="0.2">
      <c r="B103" s="316"/>
    </row>
    <row r="104" spans="2:2" x14ac:dyDescent="0.2">
      <c r="B104" s="316"/>
    </row>
    <row r="105" spans="2:2" x14ac:dyDescent="0.2">
      <c r="B105" s="316"/>
    </row>
    <row r="106" spans="2:2" x14ac:dyDescent="0.2">
      <c r="B106" s="316"/>
    </row>
    <row r="107" spans="2:2" x14ac:dyDescent="0.2">
      <c r="B107" s="316"/>
    </row>
    <row r="108" spans="2:2" x14ac:dyDescent="0.2">
      <c r="B108" s="316"/>
    </row>
    <row r="109" spans="2:2" x14ac:dyDescent="0.2">
      <c r="B109" s="319"/>
    </row>
    <row r="110" spans="2:2" x14ac:dyDescent="0.2">
      <c r="B110" s="319"/>
    </row>
    <row r="111" spans="2:2" x14ac:dyDescent="0.2">
      <c r="B111" s="319"/>
    </row>
    <row r="112" spans="2:2" x14ac:dyDescent="0.2">
      <c r="B112" s="319"/>
    </row>
    <row r="113" spans="2:2" x14ac:dyDescent="0.2">
      <c r="B113" s="319"/>
    </row>
    <row r="114" spans="2:2" x14ac:dyDescent="0.2">
      <c r="B114" s="319"/>
    </row>
    <row r="115" spans="2:2" x14ac:dyDescent="0.2">
      <c r="B115" s="319"/>
    </row>
    <row r="116" spans="2:2" x14ac:dyDescent="0.2">
      <c r="B116" s="319"/>
    </row>
    <row r="117" spans="2:2" x14ac:dyDescent="0.2">
      <c r="B117" s="319"/>
    </row>
    <row r="118" spans="2:2" x14ac:dyDescent="0.2">
      <c r="B118" s="319"/>
    </row>
    <row r="119" spans="2:2" x14ac:dyDescent="0.2">
      <c r="B119" s="319"/>
    </row>
    <row r="120" spans="2:2" x14ac:dyDescent="0.2">
      <c r="B120" s="319"/>
    </row>
    <row r="121" spans="2:2" x14ac:dyDescent="0.2">
      <c r="B121" s="319"/>
    </row>
    <row r="122" spans="2:2" x14ac:dyDescent="0.2">
      <c r="B122" s="319"/>
    </row>
    <row r="123" spans="2:2" x14ac:dyDescent="0.2">
      <c r="B123" s="319"/>
    </row>
    <row r="124" spans="2:2" x14ac:dyDescent="0.2">
      <c r="B124" s="319"/>
    </row>
    <row r="125" spans="2:2" x14ac:dyDescent="0.2">
      <c r="B125" s="319"/>
    </row>
    <row r="126" spans="2:2" x14ac:dyDescent="0.2">
      <c r="B126" s="319"/>
    </row>
    <row r="127" spans="2:2" x14ac:dyDescent="0.2">
      <c r="B127" s="319"/>
    </row>
    <row r="128" spans="2:2" x14ac:dyDescent="0.2">
      <c r="B128" s="319"/>
    </row>
    <row r="129" spans="2:2" x14ac:dyDescent="0.2">
      <c r="B129" s="319"/>
    </row>
    <row r="130" spans="2:2" x14ac:dyDescent="0.2">
      <c r="B130" s="319"/>
    </row>
    <row r="131" spans="2:2" x14ac:dyDescent="0.2">
      <c r="B131" s="319"/>
    </row>
    <row r="132" spans="2:2" x14ac:dyDescent="0.2">
      <c r="B132" s="319"/>
    </row>
    <row r="133" spans="2:2" x14ac:dyDescent="0.2">
      <c r="B133" s="319"/>
    </row>
    <row r="134" spans="2:2" x14ac:dyDescent="0.2">
      <c r="B134" s="319"/>
    </row>
    <row r="135" spans="2:2" x14ac:dyDescent="0.2">
      <c r="B135" s="319"/>
    </row>
    <row r="136" spans="2:2" x14ac:dyDescent="0.2">
      <c r="B136" s="319"/>
    </row>
    <row r="137" spans="2:2" x14ac:dyDescent="0.2">
      <c r="B137" s="319"/>
    </row>
    <row r="138" spans="2:2" x14ac:dyDescent="0.2">
      <c r="B138" s="319"/>
    </row>
    <row r="139" spans="2:2" x14ac:dyDescent="0.2">
      <c r="B139" s="319"/>
    </row>
    <row r="140" spans="2:2" x14ac:dyDescent="0.2">
      <c r="B140" s="319"/>
    </row>
    <row r="141" spans="2:2" x14ac:dyDescent="0.2">
      <c r="B141" s="319"/>
    </row>
    <row r="142" spans="2:2" x14ac:dyDescent="0.2">
      <c r="B142" s="319"/>
    </row>
    <row r="143" spans="2:2" x14ac:dyDescent="0.2">
      <c r="B143" s="319"/>
    </row>
    <row r="144" spans="2:2" x14ac:dyDescent="0.2">
      <c r="B144" s="319"/>
    </row>
    <row r="145" spans="2:2" x14ac:dyDescent="0.2">
      <c r="B145" s="319"/>
    </row>
    <row r="146" spans="2:2" x14ac:dyDescent="0.2">
      <c r="B146" s="319"/>
    </row>
    <row r="147" spans="2:2" x14ac:dyDescent="0.2">
      <c r="B147" s="319"/>
    </row>
    <row r="148" spans="2:2" x14ac:dyDescent="0.2">
      <c r="B148" s="319"/>
    </row>
    <row r="149" spans="2:2" x14ac:dyDescent="0.2">
      <c r="B149" s="319"/>
    </row>
    <row r="150" spans="2:2" x14ac:dyDescent="0.2">
      <c r="B150" s="319"/>
    </row>
    <row r="151" spans="2:2" x14ac:dyDescent="0.2">
      <c r="B151" s="319"/>
    </row>
    <row r="152" spans="2:2" x14ac:dyDescent="0.2">
      <c r="B152" s="319"/>
    </row>
    <row r="153" spans="2:2" x14ac:dyDescent="0.2">
      <c r="B153" s="319"/>
    </row>
    <row r="154" spans="2:2" x14ac:dyDescent="0.2">
      <c r="B154" s="319"/>
    </row>
    <row r="155" spans="2:2" x14ac:dyDescent="0.2">
      <c r="B155" s="319"/>
    </row>
    <row r="156" spans="2:2" x14ac:dyDescent="0.2">
      <c r="B156" s="319"/>
    </row>
    <row r="157" spans="2:2" x14ac:dyDescent="0.2">
      <c r="B157" s="319"/>
    </row>
    <row r="158" spans="2:2" x14ac:dyDescent="0.2">
      <c r="B158" s="319"/>
    </row>
    <row r="159" spans="2:2" x14ac:dyDescent="0.2">
      <c r="B159" s="319"/>
    </row>
    <row r="160" spans="2:2" x14ac:dyDescent="0.2">
      <c r="B160" s="319"/>
    </row>
    <row r="161" spans="2:2" x14ac:dyDescent="0.2">
      <c r="B161" s="319"/>
    </row>
    <row r="162" spans="2:2" x14ac:dyDescent="0.2">
      <c r="B162" s="319"/>
    </row>
    <row r="163" spans="2:2" x14ac:dyDescent="0.2">
      <c r="B163" s="319"/>
    </row>
    <row r="164" spans="2:2" x14ac:dyDescent="0.2">
      <c r="B164" s="319"/>
    </row>
    <row r="165" spans="2:2" x14ac:dyDescent="0.2">
      <c r="B165" s="319"/>
    </row>
    <row r="166" spans="2:2" x14ac:dyDescent="0.2">
      <c r="B166" s="319"/>
    </row>
    <row r="167" spans="2:2" x14ac:dyDescent="0.2">
      <c r="B167" s="319"/>
    </row>
    <row r="168" spans="2:2" x14ac:dyDescent="0.2">
      <c r="B168" s="319"/>
    </row>
    <row r="169" spans="2:2" x14ac:dyDescent="0.2">
      <c r="B169" s="319"/>
    </row>
    <row r="170" spans="2:2" x14ac:dyDescent="0.2">
      <c r="B170" s="319"/>
    </row>
    <row r="171" spans="2:2" x14ac:dyDescent="0.2">
      <c r="B171" s="319"/>
    </row>
    <row r="172" spans="2:2" x14ac:dyDescent="0.2">
      <c r="B172" s="319"/>
    </row>
    <row r="173" spans="2:2" x14ac:dyDescent="0.2">
      <c r="B173" s="319"/>
    </row>
    <row r="174" spans="2:2" x14ac:dyDescent="0.2">
      <c r="B174" s="319"/>
    </row>
    <row r="175" spans="2:2" x14ac:dyDescent="0.2">
      <c r="B175" s="319"/>
    </row>
    <row r="176" spans="2:2" x14ac:dyDescent="0.2">
      <c r="B176" s="319"/>
    </row>
    <row r="177" spans="2:2" x14ac:dyDescent="0.2">
      <c r="B177" s="319"/>
    </row>
    <row r="178" spans="2:2" x14ac:dyDescent="0.2">
      <c r="B178" s="319"/>
    </row>
    <row r="179" spans="2:2" x14ac:dyDescent="0.2">
      <c r="B179" s="319"/>
    </row>
    <row r="180" spans="2:2" x14ac:dyDescent="0.2">
      <c r="B180" s="319"/>
    </row>
    <row r="181" spans="2:2" x14ac:dyDescent="0.2">
      <c r="B181" s="319"/>
    </row>
    <row r="182" spans="2:2" x14ac:dyDescent="0.2">
      <c r="B182" s="319"/>
    </row>
    <row r="183" spans="2:2" x14ac:dyDescent="0.2">
      <c r="B183" s="319"/>
    </row>
    <row r="184" spans="2:2" x14ac:dyDescent="0.2">
      <c r="B184" s="319"/>
    </row>
    <row r="185" spans="2:2" x14ac:dyDescent="0.2">
      <c r="B185" s="319"/>
    </row>
    <row r="186" spans="2:2" x14ac:dyDescent="0.2">
      <c r="B186" s="319"/>
    </row>
    <row r="187" spans="2:2" x14ac:dyDescent="0.2">
      <c r="B187" s="319"/>
    </row>
    <row r="188" spans="2:2" x14ac:dyDescent="0.2">
      <c r="B188" s="319"/>
    </row>
    <row r="189" spans="2:2" x14ac:dyDescent="0.2">
      <c r="B189" s="319"/>
    </row>
    <row r="190" spans="2:2" x14ac:dyDescent="0.2">
      <c r="B190" s="319"/>
    </row>
    <row r="191" spans="2:2" x14ac:dyDescent="0.2">
      <c r="B191" s="319"/>
    </row>
    <row r="192" spans="2:2" x14ac:dyDescent="0.2">
      <c r="B192" s="319"/>
    </row>
    <row r="193" spans="2:2" x14ac:dyDescent="0.2">
      <c r="B193" s="319"/>
    </row>
    <row r="194" spans="2:2" x14ac:dyDescent="0.2">
      <c r="B194" s="319"/>
    </row>
    <row r="195" spans="2:2" x14ac:dyDescent="0.2">
      <c r="B195" s="319"/>
    </row>
    <row r="196" spans="2:2" x14ac:dyDescent="0.2">
      <c r="B196" s="319"/>
    </row>
    <row r="197" spans="2:2" x14ac:dyDescent="0.2">
      <c r="B197" s="319"/>
    </row>
    <row r="198" spans="2:2" x14ac:dyDescent="0.2">
      <c r="B198" s="319"/>
    </row>
    <row r="199" spans="2:2" x14ac:dyDescent="0.2">
      <c r="B199" s="319"/>
    </row>
    <row r="200" spans="2:2" x14ac:dyDescent="0.2">
      <c r="B200" s="319"/>
    </row>
    <row r="201" spans="2:2" x14ac:dyDescent="0.2">
      <c r="B201" s="319"/>
    </row>
    <row r="202" spans="2:2" x14ac:dyDescent="0.2">
      <c r="B202" s="319"/>
    </row>
    <row r="203" spans="2:2" x14ac:dyDescent="0.2">
      <c r="B203" s="319"/>
    </row>
    <row r="204" spans="2:2" x14ac:dyDescent="0.2">
      <c r="B204" s="319"/>
    </row>
    <row r="205" spans="2:2" x14ac:dyDescent="0.2">
      <c r="B205" s="319"/>
    </row>
    <row r="206" spans="2:2" x14ac:dyDescent="0.2">
      <c r="B206" s="319"/>
    </row>
    <row r="207" spans="2:2" x14ac:dyDescent="0.2">
      <c r="B207" s="319"/>
    </row>
    <row r="208" spans="2:2" x14ac:dyDescent="0.2">
      <c r="B208" s="319"/>
    </row>
    <row r="209" spans="2:2" x14ac:dyDescent="0.2">
      <c r="B209" s="319"/>
    </row>
    <row r="210" spans="2:2" x14ac:dyDescent="0.2">
      <c r="B210" s="319"/>
    </row>
    <row r="211" spans="2:2" x14ac:dyDescent="0.2">
      <c r="B211" s="319"/>
    </row>
    <row r="212" spans="2:2" x14ac:dyDescent="0.2">
      <c r="B212" s="319"/>
    </row>
    <row r="213" spans="2:2" x14ac:dyDescent="0.2">
      <c r="B213" s="319"/>
    </row>
    <row r="214" spans="2:2" x14ac:dyDescent="0.2">
      <c r="B214" s="319"/>
    </row>
    <row r="215" spans="2:2" x14ac:dyDescent="0.2">
      <c r="B215" s="319"/>
    </row>
    <row r="216" spans="2:2" x14ac:dyDescent="0.2">
      <c r="B216" s="319"/>
    </row>
    <row r="217" spans="2:2" x14ac:dyDescent="0.2">
      <c r="B217" s="319"/>
    </row>
    <row r="218" spans="2:2" x14ac:dyDescent="0.2">
      <c r="B218" s="319"/>
    </row>
    <row r="219" spans="2:2" x14ac:dyDescent="0.2">
      <c r="B219" s="319"/>
    </row>
    <row r="220" spans="2:2" x14ac:dyDescent="0.2">
      <c r="B220" s="319"/>
    </row>
    <row r="221" spans="2:2" x14ac:dyDescent="0.2">
      <c r="B221" s="319"/>
    </row>
    <row r="222" spans="2:2" x14ac:dyDescent="0.2">
      <c r="B222" s="319"/>
    </row>
    <row r="223" spans="2:2" x14ac:dyDescent="0.2">
      <c r="B223" s="319"/>
    </row>
    <row r="224" spans="2:2" x14ac:dyDescent="0.2">
      <c r="B224" s="319"/>
    </row>
    <row r="225" spans="2:2" x14ac:dyDescent="0.2">
      <c r="B225" s="319"/>
    </row>
    <row r="226" spans="2:2" x14ac:dyDescent="0.2">
      <c r="B226" s="319"/>
    </row>
    <row r="227" spans="2:2" x14ac:dyDescent="0.2">
      <c r="B227" s="319"/>
    </row>
    <row r="228" spans="2:2" x14ac:dyDescent="0.2">
      <c r="B228" s="319"/>
    </row>
    <row r="229" spans="2:2" x14ac:dyDescent="0.2">
      <c r="B229" s="319"/>
    </row>
    <row r="230" spans="2:2" x14ac:dyDescent="0.2">
      <c r="B230" s="319"/>
    </row>
    <row r="231" spans="2:2" x14ac:dyDescent="0.2">
      <c r="B231" s="319"/>
    </row>
    <row r="232" spans="2:2" x14ac:dyDescent="0.2">
      <c r="B232" s="319"/>
    </row>
    <row r="233" spans="2:2" x14ac:dyDescent="0.2">
      <c r="B233" s="319"/>
    </row>
    <row r="234" spans="2:2" x14ac:dyDescent="0.2">
      <c r="B234" s="319"/>
    </row>
    <row r="235" spans="2:2" x14ac:dyDescent="0.2">
      <c r="B235" s="319"/>
    </row>
    <row r="236" spans="2:2" x14ac:dyDescent="0.2">
      <c r="B236" s="319"/>
    </row>
    <row r="237" spans="2:2" x14ac:dyDescent="0.2">
      <c r="B237" s="319"/>
    </row>
    <row r="238" spans="2:2" x14ac:dyDescent="0.2">
      <c r="B238" s="319"/>
    </row>
    <row r="239" spans="2:2" x14ac:dyDescent="0.2">
      <c r="B239" s="319"/>
    </row>
    <row r="240" spans="2:2" x14ac:dyDescent="0.2">
      <c r="B240" s="319"/>
    </row>
    <row r="241" spans="2:2" x14ac:dyDescent="0.2">
      <c r="B241" s="319"/>
    </row>
    <row r="242" spans="2:2" x14ac:dyDescent="0.2">
      <c r="B242" s="319"/>
    </row>
    <row r="243" spans="2:2" x14ac:dyDescent="0.2">
      <c r="B243" s="319"/>
    </row>
    <row r="244" spans="2:2" x14ac:dyDescent="0.2">
      <c r="B244" s="319"/>
    </row>
    <row r="245" spans="2:2" x14ac:dyDescent="0.2">
      <c r="B245" s="319"/>
    </row>
    <row r="246" spans="2:2" x14ac:dyDescent="0.2">
      <c r="B246" s="319"/>
    </row>
    <row r="247" spans="2:2" x14ac:dyDescent="0.2">
      <c r="B247" s="319"/>
    </row>
    <row r="248" spans="2:2" x14ac:dyDescent="0.2">
      <c r="B248" s="319"/>
    </row>
    <row r="249" spans="2:2" x14ac:dyDescent="0.2">
      <c r="B249" s="319"/>
    </row>
    <row r="250" spans="2:2" x14ac:dyDescent="0.2">
      <c r="B250" s="319"/>
    </row>
    <row r="251" spans="2:2" x14ac:dyDescent="0.2">
      <c r="B251" s="319"/>
    </row>
    <row r="252" spans="2:2" x14ac:dyDescent="0.2">
      <c r="B252" s="319"/>
    </row>
    <row r="253" spans="2:2" x14ac:dyDescent="0.2">
      <c r="B253" s="319"/>
    </row>
    <row r="254" spans="2:2" x14ac:dyDescent="0.2">
      <c r="B254" s="319"/>
    </row>
    <row r="255" spans="2:2" x14ac:dyDescent="0.2">
      <c r="B255" s="319"/>
    </row>
    <row r="256" spans="2:2" x14ac:dyDescent="0.2">
      <c r="B256" s="319"/>
    </row>
    <row r="257" spans="2:2" x14ac:dyDescent="0.2">
      <c r="B257" s="319"/>
    </row>
    <row r="258" spans="2:2" x14ac:dyDescent="0.2">
      <c r="B258" s="319"/>
    </row>
    <row r="259" spans="2:2" x14ac:dyDescent="0.2">
      <c r="B259" s="319"/>
    </row>
    <row r="260" spans="2:2" x14ac:dyDescent="0.2">
      <c r="B260" s="319"/>
    </row>
    <row r="261" spans="2:2" x14ac:dyDescent="0.2">
      <c r="B261" s="319"/>
    </row>
    <row r="262" spans="2:2" x14ac:dyDescent="0.2">
      <c r="B262" s="319"/>
    </row>
    <row r="263" spans="2:2" x14ac:dyDescent="0.2">
      <c r="B263" s="319"/>
    </row>
    <row r="264" spans="2:2" x14ac:dyDescent="0.2">
      <c r="B264" s="319"/>
    </row>
    <row r="265" spans="2:2" x14ac:dyDescent="0.2">
      <c r="B265" s="319"/>
    </row>
    <row r="266" spans="2:2" x14ac:dyDescent="0.2">
      <c r="B266" s="319"/>
    </row>
    <row r="267" spans="2:2" x14ac:dyDescent="0.2">
      <c r="B267" s="319"/>
    </row>
    <row r="268" spans="2:2" x14ac:dyDescent="0.2">
      <c r="B268" s="319"/>
    </row>
    <row r="269" spans="2:2" x14ac:dyDescent="0.2">
      <c r="B269" s="319"/>
    </row>
    <row r="270" spans="2:2" x14ac:dyDescent="0.2">
      <c r="B270" s="319"/>
    </row>
    <row r="271" spans="2:2" x14ac:dyDescent="0.2">
      <c r="B271" s="319"/>
    </row>
    <row r="272" spans="2:2" x14ac:dyDescent="0.2">
      <c r="B272" s="319"/>
    </row>
    <row r="273" spans="2:2" x14ac:dyDescent="0.2">
      <c r="B273" s="319"/>
    </row>
    <row r="274" spans="2:2" x14ac:dyDescent="0.2">
      <c r="B274" s="319"/>
    </row>
    <row r="275" spans="2:2" x14ac:dyDescent="0.2">
      <c r="B275" s="319"/>
    </row>
    <row r="276" spans="2:2" x14ac:dyDescent="0.2">
      <c r="B276" s="319"/>
    </row>
    <row r="277" spans="2:2" x14ac:dyDescent="0.2">
      <c r="B277" s="319"/>
    </row>
    <row r="278" spans="2:2" x14ac:dyDescent="0.2">
      <c r="B278" s="319"/>
    </row>
    <row r="279" spans="2:2" x14ac:dyDescent="0.2">
      <c r="B279" s="319"/>
    </row>
    <row r="280" spans="2:2" x14ac:dyDescent="0.2">
      <c r="B280" s="319"/>
    </row>
    <row r="281" spans="2:2" x14ac:dyDescent="0.2">
      <c r="B281" s="319"/>
    </row>
    <row r="282" spans="2:2" x14ac:dyDescent="0.2">
      <c r="B282" s="319"/>
    </row>
    <row r="283" spans="2:2" x14ac:dyDescent="0.2">
      <c r="B283" s="319"/>
    </row>
    <row r="284" spans="2:2" x14ac:dyDescent="0.2">
      <c r="B284" s="319"/>
    </row>
    <row r="285" spans="2:2" x14ac:dyDescent="0.2">
      <c r="B285" s="319"/>
    </row>
    <row r="286" spans="2:2" x14ac:dyDescent="0.2">
      <c r="B286" s="319"/>
    </row>
    <row r="287" spans="2:2" x14ac:dyDescent="0.2">
      <c r="B287" s="319"/>
    </row>
    <row r="288" spans="2:2" x14ac:dyDescent="0.2">
      <c r="B288" s="319"/>
    </row>
    <row r="289" spans="2:2" x14ac:dyDescent="0.2">
      <c r="B289" s="319"/>
    </row>
    <row r="290" spans="2:2" x14ac:dyDescent="0.2">
      <c r="B290" s="319"/>
    </row>
    <row r="291" spans="2:2" x14ac:dyDescent="0.2">
      <c r="B291" s="319"/>
    </row>
    <row r="292" spans="2:2" x14ac:dyDescent="0.2">
      <c r="B292" s="319"/>
    </row>
    <row r="293" spans="2:2" x14ac:dyDescent="0.2">
      <c r="B293" s="319"/>
    </row>
    <row r="294" spans="2:2" x14ac:dyDescent="0.2">
      <c r="B294" s="319"/>
    </row>
    <row r="295" spans="2:2" x14ac:dyDescent="0.2">
      <c r="B295" s="319"/>
    </row>
    <row r="296" spans="2:2" x14ac:dyDescent="0.2">
      <c r="B296" s="319"/>
    </row>
    <row r="297" spans="2:2" x14ac:dyDescent="0.2">
      <c r="B297" s="319"/>
    </row>
    <row r="298" spans="2:2" x14ac:dyDescent="0.2">
      <c r="B298" s="319"/>
    </row>
    <row r="299" spans="2:2" x14ac:dyDescent="0.2">
      <c r="B299" s="319"/>
    </row>
    <row r="300" spans="2:2" x14ac:dyDescent="0.2">
      <c r="B300" s="319"/>
    </row>
    <row r="301" spans="2:2" x14ac:dyDescent="0.2">
      <c r="B301" s="319"/>
    </row>
    <row r="302" spans="2:2" x14ac:dyDescent="0.2">
      <c r="B302" s="319"/>
    </row>
    <row r="303" spans="2:2" x14ac:dyDescent="0.2">
      <c r="B303" s="319"/>
    </row>
    <row r="304" spans="2:2" x14ac:dyDescent="0.2">
      <c r="B304" s="319"/>
    </row>
    <row r="305" spans="2:2" x14ac:dyDescent="0.2">
      <c r="B305" s="319"/>
    </row>
    <row r="306" spans="2:2" x14ac:dyDescent="0.2">
      <c r="B306" s="319"/>
    </row>
    <row r="307" spans="2:2" x14ac:dyDescent="0.2">
      <c r="B307" s="319"/>
    </row>
    <row r="308" spans="2:2" x14ac:dyDescent="0.2">
      <c r="B308" s="319"/>
    </row>
    <row r="309" spans="2:2" x14ac:dyDescent="0.2">
      <c r="B309" s="319"/>
    </row>
    <row r="310" spans="2:2" x14ac:dyDescent="0.2">
      <c r="B310" s="319"/>
    </row>
    <row r="311" spans="2:2" x14ac:dyDescent="0.2">
      <c r="B311" s="319"/>
    </row>
    <row r="312" spans="2:2" x14ac:dyDescent="0.2">
      <c r="B312" s="319"/>
    </row>
    <row r="313" spans="2:2" x14ac:dyDescent="0.2">
      <c r="B313" s="319"/>
    </row>
    <row r="314" spans="2:2" x14ac:dyDescent="0.2">
      <c r="B314" s="319"/>
    </row>
    <row r="315" spans="2:2" x14ac:dyDescent="0.2">
      <c r="B315" s="319"/>
    </row>
    <row r="316" spans="2:2" x14ac:dyDescent="0.2">
      <c r="B316" s="319"/>
    </row>
    <row r="317" spans="2:2" x14ac:dyDescent="0.2">
      <c r="B317" s="319"/>
    </row>
    <row r="318" spans="2:2" x14ac:dyDescent="0.2">
      <c r="B318" s="319"/>
    </row>
    <row r="319" spans="2:2" x14ac:dyDescent="0.2">
      <c r="B319" s="319"/>
    </row>
    <row r="320" spans="2:2" x14ac:dyDescent="0.2">
      <c r="B320" s="319"/>
    </row>
    <row r="321" spans="2:2" x14ac:dyDescent="0.2">
      <c r="B321" s="319"/>
    </row>
    <row r="322" spans="2:2" x14ac:dyDescent="0.2">
      <c r="B322" s="319"/>
    </row>
    <row r="323" spans="2:2" x14ac:dyDescent="0.2">
      <c r="B323" s="319"/>
    </row>
    <row r="324" spans="2:2" x14ac:dyDescent="0.2">
      <c r="B324" s="319"/>
    </row>
    <row r="325" spans="2:2" x14ac:dyDescent="0.2">
      <c r="B325" s="319"/>
    </row>
    <row r="326" spans="2:2" x14ac:dyDescent="0.2">
      <c r="B326" s="319"/>
    </row>
    <row r="327" spans="2:2" x14ac:dyDescent="0.2">
      <c r="B327" s="319"/>
    </row>
    <row r="328" spans="2:2" x14ac:dyDescent="0.2">
      <c r="B328" s="319"/>
    </row>
    <row r="329" spans="2:2" x14ac:dyDescent="0.2">
      <c r="B329" s="319"/>
    </row>
    <row r="330" spans="2:2" x14ac:dyDescent="0.2">
      <c r="B330" s="319"/>
    </row>
    <row r="331" spans="2:2" x14ac:dyDescent="0.2">
      <c r="B331" s="319"/>
    </row>
    <row r="332" spans="2:2" x14ac:dyDescent="0.2">
      <c r="B332" s="319"/>
    </row>
    <row r="333" spans="2:2" x14ac:dyDescent="0.2">
      <c r="B333" s="319"/>
    </row>
    <row r="334" spans="2:2" x14ac:dyDescent="0.2">
      <c r="B334" s="319"/>
    </row>
    <row r="335" spans="2:2" x14ac:dyDescent="0.2">
      <c r="B335" s="319"/>
    </row>
    <row r="336" spans="2:2" x14ac:dyDescent="0.2">
      <c r="B336" s="319"/>
    </row>
    <row r="337" spans="2:2" x14ac:dyDescent="0.2">
      <c r="B337" s="319"/>
    </row>
    <row r="338" spans="2:2" x14ac:dyDescent="0.2">
      <c r="B338" s="319"/>
    </row>
    <row r="339" spans="2:2" x14ac:dyDescent="0.2">
      <c r="B339" s="319"/>
    </row>
    <row r="340" spans="2:2" x14ac:dyDescent="0.2">
      <c r="B340" s="319"/>
    </row>
    <row r="341" spans="2:2" x14ac:dyDescent="0.2">
      <c r="B341" s="319"/>
    </row>
    <row r="342" spans="2:2" x14ac:dyDescent="0.2">
      <c r="B342" s="319"/>
    </row>
    <row r="343" spans="2:2" x14ac:dyDescent="0.2">
      <c r="B343" s="319"/>
    </row>
    <row r="344" spans="2:2" x14ac:dyDescent="0.2">
      <c r="B344" s="319"/>
    </row>
    <row r="345" spans="2:2" x14ac:dyDescent="0.2">
      <c r="B345" s="319"/>
    </row>
    <row r="346" spans="2:2" x14ac:dyDescent="0.2">
      <c r="B346" s="319"/>
    </row>
    <row r="347" spans="2:2" x14ac:dyDescent="0.2">
      <c r="B347" s="319"/>
    </row>
    <row r="348" spans="2:2" x14ac:dyDescent="0.2">
      <c r="B348" s="319"/>
    </row>
    <row r="349" spans="2:2" x14ac:dyDescent="0.2">
      <c r="B349" s="319"/>
    </row>
    <row r="350" spans="2:2" x14ac:dyDescent="0.2">
      <c r="B350" s="319"/>
    </row>
    <row r="351" spans="2:2" x14ac:dyDescent="0.2">
      <c r="B351" s="319"/>
    </row>
    <row r="352" spans="2:2" x14ac:dyDescent="0.2">
      <c r="B352" s="319"/>
    </row>
    <row r="353" spans="2:2" x14ac:dyDescent="0.2">
      <c r="B353" s="319"/>
    </row>
    <row r="354" spans="2:2" x14ac:dyDescent="0.2">
      <c r="B354" s="319"/>
    </row>
    <row r="355" spans="2:2" x14ac:dyDescent="0.2">
      <c r="B355" s="319"/>
    </row>
    <row r="356" spans="2:2" x14ac:dyDescent="0.2">
      <c r="B356" s="319"/>
    </row>
    <row r="357" spans="2:2" x14ac:dyDescent="0.2">
      <c r="B357" s="319"/>
    </row>
    <row r="358" spans="2:2" x14ac:dyDescent="0.2">
      <c r="B358" s="319"/>
    </row>
    <row r="359" spans="2:2" x14ac:dyDescent="0.2">
      <c r="B359" s="319"/>
    </row>
    <row r="360" spans="2:2" x14ac:dyDescent="0.2">
      <c r="B360" s="319"/>
    </row>
    <row r="361" spans="2:2" x14ac:dyDescent="0.2">
      <c r="B361" s="319"/>
    </row>
    <row r="362" spans="2:2" x14ac:dyDescent="0.2">
      <c r="B362" s="319"/>
    </row>
    <row r="363" spans="2:2" x14ac:dyDescent="0.2">
      <c r="B363" s="319"/>
    </row>
    <row r="364" spans="2:2" x14ac:dyDescent="0.2">
      <c r="B364" s="319"/>
    </row>
    <row r="365" spans="2:2" x14ac:dyDescent="0.2">
      <c r="B365" s="319"/>
    </row>
    <row r="366" spans="2:2" x14ac:dyDescent="0.2">
      <c r="B366" s="319"/>
    </row>
    <row r="367" spans="2:2" x14ac:dyDescent="0.2">
      <c r="B367" s="319"/>
    </row>
    <row r="368" spans="2:2" x14ac:dyDescent="0.2">
      <c r="B368" s="319"/>
    </row>
    <row r="369" spans="2:2" x14ac:dyDescent="0.2">
      <c r="B369" s="319"/>
    </row>
    <row r="370" spans="2:2" x14ac:dyDescent="0.2">
      <c r="B370" s="319"/>
    </row>
    <row r="371" spans="2:2" x14ac:dyDescent="0.2">
      <c r="B371" s="319"/>
    </row>
    <row r="372" spans="2:2" x14ac:dyDescent="0.2">
      <c r="B372" s="319"/>
    </row>
    <row r="373" spans="2:2" x14ac:dyDescent="0.2">
      <c r="B373" s="319"/>
    </row>
    <row r="374" spans="2:2" x14ac:dyDescent="0.2">
      <c r="B374" s="319"/>
    </row>
    <row r="375" spans="2:2" x14ac:dyDescent="0.2">
      <c r="B375" s="319"/>
    </row>
    <row r="376" spans="2:2" x14ac:dyDescent="0.2">
      <c r="B376" s="319"/>
    </row>
    <row r="377" spans="2:2" x14ac:dyDescent="0.2">
      <c r="B377" s="319"/>
    </row>
    <row r="378" spans="2:2" x14ac:dyDescent="0.2">
      <c r="B378" s="319"/>
    </row>
    <row r="379" spans="2:2" x14ac:dyDescent="0.2">
      <c r="B379" s="319"/>
    </row>
    <row r="380" spans="2:2" x14ac:dyDescent="0.2">
      <c r="B380" s="319"/>
    </row>
    <row r="381" spans="2:2" x14ac:dyDescent="0.2">
      <c r="B381" s="319"/>
    </row>
    <row r="382" spans="2:2" x14ac:dyDescent="0.2">
      <c r="B382" s="319"/>
    </row>
    <row r="383" spans="2:2" x14ac:dyDescent="0.2">
      <c r="B383" s="319"/>
    </row>
    <row r="384" spans="2:2" x14ac:dyDescent="0.2">
      <c r="B384" s="319"/>
    </row>
    <row r="385" spans="2:2" x14ac:dyDescent="0.2">
      <c r="B385" s="319"/>
    </row>
    <row r="386" spans="2:2" x14ac:dyDescent="0.2">
      <c r="B386" s="319"/>
    </row>
    <row r="387" spans="2:2" x14ac:dyDescent="0.2">
      <c r="B387" s="319"/>
    </row>
    <row r="388" spans="2:2" x14ac:dyDescent="0.2">
      <c r="B388" s="319"/>
    </row>
    <row r="389" spans="2:2" x14ac:dyDescent="0.2">
      <c r="B389" s="319"/>
    </row>
    <row r="390" spans="2:2" x14ac:dyDescent="0.2">
      <c r="B390" s="319"/>
    </row>
    <row r="391" spans="2:2" x14ac:dyDescent="0.2">
      <c r="B391" s="319"/>
    </row>
    <row r="392" spans="2:2" x14ac:dyDescent="0.2">
      <c r="B392" s="319"/>
    </row>
    <row r="393" spans="2:2" x14ac:dyDescent="0.2">
      <c r="B393" s="319"/>
    </row>
    <row r="394" spans="2:2" x14ac:dyDescent="0.2">
      <c r="B394" s="319"/>
    </row>
    <row r="395" spans="2:2" x14ac:dyDescent="0.2">
      <c r="B395" s="319"/>
    </row>
    <row r="396" spans="2:2" x14ac:dyDescent="0.2">
      <c r="B396" s="319"/>
    </row>
    <row r="397" spans="2:2" x14ac:dyDescent="0.2">
      <c r="B397" s="319"/>
    </row>
    <row r="398" spans="2:2" x14ac:dyDescent="0.2">
      <c r="B398" s="319"/>
    </row>
    <row r="399" spans="2:2" x14ac:dyDescent="0.2">
      <c r="B399" s="319"/>
    </row>
    <row r="400" spans="2:2" x14ac:dyDescent="0.2">
      <c r="B400" s="319"/>
    </row>
    <row r="401" spans="2:2" x14ac:dyDescent="0.2">
      <c r="B401" s="319"/>
    </row>
    <row r="402" spans="2:2" x14ac:dyDescent="0.2">
      <c r="B402" s="319"/>
    </row>
    <row r="403" spans="2:2" x14ac:dyDescent="0.2">
      <c r="B403" s="319"/>
    </row>
    <row r="404" spans="2:2" x14ac:dyDescent="0.2">
      <c r="B404" s="319"/>
    </row>
    <row r="405" spans="2:2" x14ac:dyDescent="0.2">
      <c r="B405" s="319"/>
    </row>
    <row r="406" spans="2:2" x14ac:dyDescent="0.2">
      <c r="B406" s="319"/>
    </row>
    <row r="407" spans="2:2" x14ac:dyDescent="0.2">
      <c r="B407" s="319"/>
    </row>
    <row r="408" spans="2:2" x14ac:dyDescent="0.2">
      <c r="B408" s="319"/>
    </row>
    <row r="409" spans="2:2" x14ac:dyDescent="0.2">
      <c r="B409" s="319"/>
    </row>
    <row r="410" spans="2:2" x14ac:dyDescent="0.2">
      <c r="B410" s="319"/>
    </row>
    <row r="411" spans="2:2" x14ac:dyDescent="0.2">
      <c r="B411" s="319"/>
    </row>
    <row r="412" spans="2:2" x14ac:dyDescent="0.2">
      <c r="B412" s="319"/>
    </row>
    <row r="413" spans="2:2" x14ac:dyDescent="0.2">
      <c r="B413" s="319"/>
    </row>
    <row r="414" spans="2:2" x14ac:dyDescent="0.2">
      <c r="B414" s="319"/>
    </row>
    <row r="415" spans="2:2" x14ac:dyDescent="0.2">
      <c r="B415" s="319"/>
    </row>
    <row r="416" spans="2:2" x14ac:dyDescent="0.2">
      <c r="B416" s="319"/>
    </row>
    <row r="417" spans="2:2" x14ac:dyDescent="0.2">
      <c r="B417" s="319"/>
    </row>
    <row r="418" spans="2:2" x14ac:dyDescent="0.2">
      <c r="B418" s="319"/>
    </row>
    <row r="419" spans="2:2" x14ac:dyDescent="0.2">
      <c r="B419" s="319"/>
    </row>
    <row r="420" spans="2:2" x14ac:dyDescent="0.2">
      <c r="B420" s="319"/>
    </row>
    <row r="421" spans="2:2" x14ac:dyDescent="0.2">
      <c r="B421" s="319"/>
    </row>
    <row r="422" spans="2:2" x14ac:dyDescent="0.2">
      <c r="B422" s="319"/>
    </row>
    <row r="423" spans="2:2" x14ac:dyDescent="0.2">
      <c r="B423" s="319"/>
    </row>
    <row r="424" spans="2:2" x14ac:dyDescent="0.2">
      <c r="B424" s="319"/>
    </row>
    <row r="425" spans="2:2" x14ac:dyDescent="0.2">
      <c r="B425" s="319"/>
    </row>
    <row r="426" spans="2:2" x14ac:dyDescent="0.2">
      <c r="B426" s="319"/>
    </row>
    <row r="427" spans="2:2" x14ac:dyDescent="0.2">
      <c r="B427" s="319"/>
    </row>
    <row r="428" spans="2:2" x14ac:dyDescent="0.2">
      <c r="B428" s="319"/>
    </row>
    <row r="429" spans="2:2" x14ac:dyDescent="0.2">
      <c r="B429" s="319"/>
    </row>
    <row r="430" spans="2:2" x14ac:dyDescent="0.2">
      <c r="B430" s="152"/>
    </row>
    <row r="431" spans="2:2" x14ac:dyDescent="0.2">
      <c r="B431" s="152"/>
    </row>
    <row r="432" spans="2:2" x14ac:dyDescent="0.2">
      <c r="B432" s="152"/>
    </row>
    <row r="433" spans="2:2" x14ac:dyDescent="0.2">
      <c r="B433" s="152"/>
    </row>
    <row r="434" spans="2:2" x14ac:dyDescent="0.2">
      <c r="B434" s="152"/>
    </row>
    <row r="435" spans="2:2" x14ac:dyDescent="0.2">
      <c r="B435" s="152"/>
    </row>
    <row r="436" spans="2:2" x14ac:dyDescent="0.2">
      <c r="B436" s="152"/>
    </row>
    <row r="437" spans="2:2" x14ac:dyDescent="0.2">
      <c r="B437" s="152"/>
    </row>
    <row r="438" spans="2:2" x14ac:dyDescent="0.2">
      <c r="B438" s="152"/>
    </row>
    <row r="439" spans="2:2" x14ac:dyDescent="0.2">
      <c r="B439" s="152"/>
    </row>
    <row r="440" spans="2:2" x14ac:dyDescent="0.2">
      <c r="B440" s="152"/>
    </row>
    <row r="441" spans="2:2" x14ac:dyDescent="0.2">
      <c r="B441" s="152"/>
    </row>
    <row r="442" spans="2:2" x14ac:dyDescent="0.2">
      <c r="B442" s="152"/>
    </row>
    <row r="443" spans="2:2" x14ac:dyDescent="0.2">
      <c r="B443" s="152"/>
    </row>
    <row r="444" spans="2:2" x14ac:dyDescent="0.2">
      <c r="B444" s="152"/>
    </row>
    <row r="445" spans="2:2" x14ac:dyDescent="0.2">
      <c r="B445" s="152"/>
    </row>
    <row r="446" spans="2:2" x14ac:dyDescent="0.2">
      <c r="B446" s="152"/>
    </row>
    <row r="447" spans="2:2" x14ac:dyDescent="0.2">
      <c r="B447" s="152"/>
    </row>
    <row r="448" spans="2:2" x14ac:dyDescent="0.2">
      <c r="B448" s="152"/>
    </row>
    <row r="449" spans="2:2" x14ac:dyDescent="0.2">
      <c r="B449" s="152"/>
    </row>
    <row r="450" spans="2:2" x14ac:dyDescent="0.2">
      <c r="B450" s="152"/>
    </row>
    <row r="451" spans="2:2" x14ac:dyDescent="0.2">
      <c r="B451" s="152"/>
    </row>
    <row r="452" spans="2:2" x14ac:dyDescent="0.2">
      <c r="B452" s="152"/>
    </row>
    <row r="453" spans="2:2" x14ac:dyDescent="0.2">
      <c r="B453" s="152"/>
    </row>
    <row r="454" spans="2:2" x14ac:dyDescent="0.2">
      <c r="B454" s="152"/>
    </row>
    <row r="455" spans="2:2" x14ac:dyDescent="0.2">
      <c r="B455" s="152"/>
    </row>
    <row r="456" spans="2:2" x14ac:dyDescent="0.2">
      <c r="B456" s="152"/>
    </row>
    <row r="457" spans="2:2" x14ac:dyDescent="0.2">
      <c r="B457" s="152"/>
    </row>
    <row r="458" spans="2:2" x14ac:dyDescent="0.2">
      <c r="B458" s="152"/>
    </row>
    <row r="459" spans="2:2" x14ac:dyDescent="0.2">
      <c r="B459" s="152"/>
    </row>
    <row r="460" spans="2:2" x14ac:dyDescent="0.2">
      <c r="B460" s="152"/>
    </row>
    <row r="461" spans="2:2" x14ac:dyDescent="0.2">
      <c r="B461" s="152"/>
    </row>
    <row r="462" spans="2:2" x14ac:dyDescent="0.2">
      <c r="B462" s="152"/>
    </row>
    <row r="463" spans="2:2" x14ac:dyDescent="0.2">
      <c r="B463" s="152"/>
    </row>
    <row r="464" spans="2:2" x14ac:dyDescent="0.2">
      <c r="B464" s="152"/>
    </row>
    <row r="465" spans="2:2" x14ac:dyDescent="0.2">
      <c r="B465" s="152"/>
    </row>
    <row r="466" spans="2:2" x14ac:dyDescent="0.2">
      <c r="B466" s="152"/>
    </row>
    <row r="467" spans="2:2" x14ac:dyDescent="0.2">
      <c r="B467" s="152"/>
    </row>
    <row r="468" spans="2:2" x14ac:dyDescent="0.2">
      <c r="B468" s="152"/>
    </row>
    <row r="469" spans="2:2" x14ac:dyDescent="0.2">
      <c r="B469" s="152"/>
    </row>
    <row r="470" spans="2:2" x14ac:dyDescent="0.2">
      <c r="B470" s="152"/>
    </row>
    <row r="471" spans="2:2" x14ac:dyDescent="0.2">
      <c r="B471" s="152"/>
    </row>
    <row r="472" spans="2:2" x14ac:dyDescent="0.2">
      <c r="B472" s="152"/>
    </row>
    <row r="473" spans="2:2" x14ac:dyDescent="0.2">
      <c r="B473" s="152"/>
    </row>
    <row r="474" spans="2:2" x14ac:dyDescent="0.2">
      <c r="B474" s="152"/>
    </row>
    <row r="475" spans="2:2" x14ac:dyDescent="0.2">
      <c r="B475" s="152"/>
    </row>
    <row r="476" spans="2:2" x14ac:dyDescent="0.2">
      <c r="B476" s="152"/>
    </row>
    <row r="477" spans="2:2" x14ac:dyDescent="0.2">
      <c r="B477" s="152"/>
    </row>
    <row r="478" spans="2:2" x14ac:dyDescent="0.2">
      <c r="B478" s="152"/>
    </row>
    <row r="479" spans="2:2" x14ac:dyDescent="0.2">
      <c r="B479" s="152"/>
    </row>
    <row r="480" spans="2:2" x14ac:dyDescent="0.2">
      <c r="B480" s="152"/>
    </row>
    <row r="481" spans="2:2" x14ac:dyDescent="0.2">
      <c r="B481" s="152"/>
    </row>
    <row r="482" spans="2:2" x14ac:dyDescent="0.2">
      <c r="B482" s="152"/>
    </row>
    <row r="483" spans="2:2" x14ac:dyDescent="0.2">
      <c r="B483" s="152"/>
    </row>
    <row r="484" spans="2:2" x14ac:dyDescent="0.2">
      <c r="B484" s="152"/>
    </row>
    <row r="485" spans="2:2" x14ac:dyDescent="0.2">
      <c r="B485" s="152"/>
    </row>
    <row r="486" spans="2:2" x14ac:dyDescent="0.2">
      <c r="B486" s="152"/>
    </row>
    <row r="487" spans="2:2" x14ac:dyDescent="0.2">
      <c r="B487" s="152"/>
    </row>
    <row r="488" spans="2:2" x14ac:dyDescent="0.2">
      <c r="B488" s="152"/>
    </row>
    <row r="489" spans="2:2" x14ac:dyDescent="0.2">
      <c r="B489" s="152"/>
    </row>
    <row r="490" spans="2:2" x14ac:dyDescent="0.2">
      <c r="B490" s="152"/>
    </row>
    <row r="491" spans="2:2" x14ac:dyDescent="0.2">
      <c r="B491" s="152"/>
    </row>
    <row r="492" spans="2:2" x14ac:dyDescent="0.2">
      <c r="B492" s="152"/>
    </row>
    <row r="493" spans="2:2" x14ac:dyDescent="0.2">
      <c r="B493" s="152"/>
    </row>
    <row r="494" spans="2:2" x14ac:dyDescent="0.2">
      <c r="B494" s="152"/>
    </row>
    <row r="495" spans="2:2" x14ac:dyDescent="0.2">
      <c r="B495" s="152"/>
    </row>
    <row r="496" spans="2:2" x14ac:dyDescent="0.2">
      <c r="B496" s="152"/>
    </row>
    <row r="497" spans="2:2" x14ac:dyDescent="0.2">
      <c r="B497" s="152"/>
    </row>
    <row r="498" spans="2:2" x14ac:dyDescent="0.2">
      <c r="B498" s="152"/>
    </row>
    <row r="499" spans="2:2" x14ac:dyDescent="0.2">
      <c r="B499" s="152"/>
    </row>
    <row r="500" spans="2:2" x14ac:dyDescent="0.2">
      <c r="B500" s="152"/>
    </row>
    <row r="501" spans="2:2" x14ac:dyDescent="0.2">
      <c r="B501" s="152"/>
    </row>
    <row r="502" spans="2:2" x14ac:dyDescent="0.2">
      <c r="B502" s="152"/>
    </row>
    <row r="503" spans="2:2" x14ac:dyDescent="0.2">
      <c r="B503" s="152"/>
    </row>
    <row r="504" spans="2:2" x14ac:dyDescent="0.2">
      <c r="B504" s="152"/>
    </row>
    <row r="505" spans="2:2" x14ac:dyDescent="0.2">
      <c r="B505" s="152"/>
    </row>
    <row r="506" spans="2:2" x14ac:dyDescent="0.2">
      <c r="B506" s="152"/>
    </row>
    <row r="507" spans="2:2" x14ac:dyDescent="0.2">
      <c r="B507" s="152"/>
    </row>
    <row r="508" spans="2:2" x14ac:dyDescent="0.2">
      <c r="B508" s="152"/>
    </row>
    <row r="509" spans="2:2" x14ac:dyDescent="0.2">
      <c r="B509" s="152"/>
    </row>
    <row r="510" spans="2:2" x14ac:dyDescent="0.2">
      <c r="B510" s="152"/>
    </row>
    <row r="511" spans="2:2" x14ac:dyDescent="0.2">
      <c r="B511" s="152"/>
    </row>
    <row r="512" spans="2:2" x14ac:dyDescent="0.2">
      <c r="B512" s="152"/>
    </row>
    <row r="513" spans="2:2" x14ac:dyDescent="0.2">
      <c r="B513" s="152"/>
    </row>
    <row r="514" spans="2:2" x14ac:dyDescent="0.2">
      <c r="B514" s="152"/>
    </row>
    <row r="515" spans="2:2" x14ac:dyDescent="0.2">
      <c r="B515" s="152"/>
    </row>
    <row r="516" spans="2:2" x14ac:dyDescent="0.2">
      <c r="B516" s="152"/>
    </row>
    <row r="517" spans="2:2" x14ac:dyDescent="0.2">
      <c r="B517" s="152"/>
    </row>
    <row r="518" spans="2:2" x14ac:dyDescent="0.2">
      <c r="B518" s="152"/>
    </row>
    <row r="519" spans="2:2" x14ac:dyDescent="0.2">
      <c r="B519" s="152"/>
    </row>
    <row r="520" spans="2:2" x14ac:dyDescent="0.2">
      <c r="B520" s="152"/>
    </row>
    <row r="521" spans="2:2" x14ac:dyDescent="0.2">
      <c r="B521" s="152"/>
    </row>
    <row r="522" spans="2:2" x14ac:dyDescent="0.2">
      <c r="B522" s="152"/>
    </row>
    <row r="523" spans="2:2" x14ac:dyDescent="0.2">
      <c r="B523" s="152"/>
    </row>
    <row r="524" spans="2:2" x14ac:dyDescent="0.2">
      <c r="B524" s="152"/>
    </row>
    <row r="525" spans="2:2" x14ac:dyDescent="0.2">
      <c r="B525" s="152"/>
    </row>
    <row r="526" spans="2:2" x14ac:dyDescent="0.2">
      <c r="B526" s="152"/>
    </row>
    <row r="527" spans="2:2" x14ac:dyDescent="0.2">
      <c r="B527" s="152"/>
    </row>
    <row r="528" spans="2:2" x14ac:dyDescent="0.2">
      <c r="B528" s="152"/>
    </row>
    <row r="529" spans="2:2" x14ac:dyDescent="0.2">
      <c r="B529" s="152"/>
    </row>
    <row r="530" spans="2:2" x14ac:dyDescent="0.2">
      <c r="B530" s="152"/>
    </row>
    <row r="531" spans="2:2" x14ac:dyDescent="0.2">
      <c r="B531" s="152"/>
    </row>
    <row r="532" spans="2:2" x14ac:dyDescent="0.2">
      <c r="B532" s="152"/>
    </row>
    <row r="533" spans="2:2" x14ac:dyDescent="0.2">
      <c r="B533" s="152"/>
    </row>
    <row r="534" spans="2:2" x14ac:dyDescent="0.2">
      <c r="B534" s="152"/>
    </row>
    <row r="535" spans="2:2" x14ac:dyDescent="0.2">
      <c r="B535" s="152"/>
    </row>
    <row r="536" spans="2:2" x14ac:dyDescent="0.2">
      <c r="B536" s="152"/>
    </row>
    <row r="537" spans="2:2" x14ac:dyDescent="0.2">
      <c r="B537" s="152"/>
    </row>
    <row r="538" spans="2:2" x14ac:dyDescent="0.2">
      <c r="B538" s="152"/>
    </row>
    <row r="539" spans="2:2" x14ac:dyDescent="0.2">
      <c r="B539" s="152"/>
    </row>
    <row r="540" spans="2:2" x14ac:dyDescent="0.2">
      <c r="B540" s="152"/>
    </row>
    <row r="541" spans="2:2" x14ac:dyDescent="0.2">
      <c r="B541" s="152"/>
    </row>
    <row r="542" spans="2:2" x14ac:dyDescent="0.2">
      <c r="B542" s="152"/>
    </row>
    <row r="543" spans="2:2" x14ac:dyDescent="0.2">
      <c r="B543" s="152"/>
    </row>
    <row r="544" spans="2:2" x14ac:dyDescent="0.2">
      <c r="B544" s="152"/>
    </row>
    <row r="545" spans="2:2" x14ac:dyDescent="0.2">
      <c r="B545" s="152"/>
    </row>
    <row r="546" spans="2:2" x14ac:dyDescent="0.2">
      <c r="B546" s="152"/>
    </row>
    <row r="547" spans="2:2" x14ac:dyDescent="0.2">
      <c r="B547" s="152"/>
    </row>
    <row r="548" spans="2:2" x14ac:dyDescent="0.2">
      <c r="B548" s="152"/>
    </row>
    <row r="549" spans="2:2" x14ac:dyDescent="0.2">
      <c r="B549" s="152"/>
    </row>
    <row r="550" spans="2:2" x14ac:dyDescent="0.2">
      <c r="B550" s="152"/>
    </row>
    <row r="551" spans="2:2" x14ac:dyDescent="0.2">
      <c r="B551" s="152"/>
    </row>
    <row r="552" spans="2:2" x14ac:dyDescent="0.2">
      <c r="B552" s="152"/>
    </row>
    <row r="553" spans="2:2" x14ac:dyDescent="0.2">
      <c r="B553" s="152"/>
    </row>
    <row r="554" spans="2:2" x14ac:dyDescent="0.2">
      <c r="B554" s="152"/>
    </row>
    <row r="555" spans="2:2" x14ac:dyDescent="0.2">
      <c r="B555" s="152"/>
    </row>
    <row r="556" spans="2:2" x14ac:dyDescent="0.2">
      <c r="B556" s="152"/>
    </row>
    <row r="557" spans="2:2" x14ac:dyDescent="0.2">
      <c r="B557" s="152"/>
    </row>
    <row r="558" spans="2:2" x14ac:dyDescent="0.2">
      <c r="B558" s="152"/>
    </row>
    <row r="559" spans="2:2" x14ac:dyDescent="0.2">
      <c r="B559" s="152"/>
    </row>
    <row r="560" spans="2:2" x14ac:dyDescent="0.2">
      <c r="B560" s="152"/>
    </row>
    <row r="561" spans="2:2" x14ac:dyDescent="0.2">
      <c r="B561" s="152"/>
    </row>
    <row r="562" spans="2:2" x14ac:dyDescent="0.2">
      <c r="B562" s="152"/>
    </row>
    <row r="563" spans="2:2" x14ac:dyDescent="0.2">
      <c r="B563" s="152"/>
    </row>
    <row r="564" spans="2:2" x14ac:dyDescent="0.2">
      <c r="B564" s="152"/>
    </row>
    <row r="565" spans="2:2" x14ac:dyDescent="0.2">
      <c r="B565" s="152"/>
    </row>
    <row r="566" spans="2:2" x14ac:dyDescent="0.2">
      <c r="B566" s="152"/>
    </row>
    <row r="567" spans="2:2" x14ac:dyDescent="0.2">
      <c r="B567" s="152"/>
    </row>
    <row r="568" spans="2:2" x14ac:dyDescent="0.2">
      <c r="B568" s="152"/>
    </row>
    <row r="569" spans="2:2" x14ac:dyDescent="0.2">
      <c r="B569" s="152"/>
    </row>
    <row r="570" spans="2:2" x14ac:dyDescent="0.2">
      <c r="B570" s="152"/>
    </row>
    <row r="571" spans="2:2" x14ac:dyDescent="0.2">
      <c r="B571" s="152"/>
    </row>
    <row r="572" spans="2:2" x14ac:dyDescent="0.2">
      <c r="B572" s="152"/>
    </row>
    <row r="573" spans="2:2" x14ac:dyDescent="0.2">
      <c r="B573" s="152"/>
    </row>
    <row r="574" spans="2:2" x14ac:dyDescent="0.2">
      <c r="B574" s="152"/>
    </row>
    <row r="575" spans="2:2" x14ac:dyDescent="0.2">
      <c r="B575" s="152"/>
    </row>
    <row r="576" spans="2:2" x14ac:dyDescent="0.2">
      <c r="B576" s="152"/>
    </row>
    <row r="577" spans="2:2" x14ac:dyDescent="0.2">
      <c r="B577" s="152"/>
    </row>
    <row r="578" spans="2:2" x14ac:dyDescent="0.2">
      <c r="B578" s="152"/>
    </row>
    <row r="579" spans="2:2" x14ac:dyDescent="0.2">
      <c r="B579" s="152"/>
    </row>
    <row r="580" spans="2:2" x14ac:dyDescent="0.2">
      <c r="B580" s="152"/>
    </row>
    <row r="581" spans="2:2" x14ac:dyDescent="0.2">
      <c r="B581" s="152"/>
    </row>
    <row r="582" spans="2:2" x14ac:dyDescent="0.2">
      <c r="B582" s="152"/>
    </row>
    <row r="583" spans="2:2" x14ac:dyDescent="0.2">
      <c r="B583" s="152"/>
    </row>
    <row r="584" spans="2:2" x14ac:dyDescent="0.2">
      <c r="B584" s="152"/>
    </row>
    <row r="585" spans="2:2" x14ac:dyDescent="0.2">
      <c r="B585" s="152"/>
    </row>
    <row r="586" spans="2:2" x14ac:dyDescent="0.2">
      <c r="B586" s="152"/>
    </row>
    <row r="587" spans="2:2" x14ac:dyDescent="0.2">
      <c r="B587" s="152"/>
    </row>
    <row r="588" spans="2:2" x14ac:dyDescent="0.2">
      <c r="B588" s="152"/>
    </row>
    <row r="589" spans="2:2" x14ac:dyDescent="0.2">
      <c r="B589" s="152"/>
    </row>
    <row r="590" spans="2:2" x14ac:dyDescent="0.2">
      <c r="B590" s="152"/>
    </row>
    <row r="591" spans="2:2" x14ac:dyDescent="0.2">
      <c r="B591" s="152"/>
    </row>
    <row r="592" spans="2:2" x14ac:dyDescent="0.2">
      <c r="B592" s="152"/>
    </row>
    <row r="593" spans="2:2" x14ac:dyDescent="0.2">
      <c r="B593" s="152"/>
    </row>
    <row r="594" spans="2:2" x14ac:dyDescent="0.2">
      <c r="B594" s="152"/>
    </row>
    <row r="595" spans="2:2" x14ac:dyDescent="0.2">
      <c r="B595" s="152"/>
    </row>
    <row r="596" spans="2:2" x14ac:dyDescent="0.2">
      <c r="B596" s="152"/>
    </row>
    <row r="597" spans="2:2" x14ac:dyDescent="0.2">
      <c r="B597" s="152"/>
    </row>
    <row r="598" spans="2:2" x14ac:dyDescent="0.2">
      <c r="B598" s="152"/>
    </row>
    <row r="599" spans="2:2" x14ac:dyDescent="0.2">
      <c r="B599" s="152"/>
    </row>
    <row r="600" spans="2:2" x14ac:dyDescent="0.2">
      <c r="B600" s="152"/>
    </row>
    <row r="601" spans="2:2" x14ac:dyDescent="0.2">
      <c r="B601" s="152"/>
    </row>
    <row r="602" spans="2:2" x14ac:dyDescent="0.2">
      <c r="B602" s="152"/>
    </row>
    <row r="603" spans="2:2" x14ac:dyDescent="0.2">
      <c r="B603" s="152"/>
    </row>
    <row r="604" spans="2:2" x14ac:dyDescent="0.2">
      <c r="B604" s="152"/>
    </row>
    <row r="605" spans="2:2" x14ac:dyDescent="0.2">
      <c r="B605" s="152"/>
    </row>
    <row r="606" spans="2:2" x14ac:dyDescent="0.2">
      <c r="B606" s="152"/>
    </row>
    <row r="607" spans="2:2" x14ac:dyDescent="0.2">
      <c r="B607" s="152"/>
    </row>
    <row r="608" spans="2:2" x14ac:dyDescent="0.2">
      <c r="B608" s="152"/>
    </row>
    <row r="609" spans="2:2" x14ac:dyDescent="0.2">
      <c r="B609" s="152"/>
    </row>
    <row r="610" spans="2:2" x14ac:dyDescent="0.2">
      <c r="B610" s="152"/>
    </row>
    <row r="611" spans="2:2" x14ac:dyDescent="0.2">
      <c r="B611" s="152"/>
    </row>
    <row r="612" spans="2:2" x14ac:dyDescent="0.2">
      <c r="B612" s="152"/>
    </row>
    <row r="613" spans="2:2" x14ac:dyDescent="0.2">
      <c r="B613" s="152"/>
    </row>
    <row r="614" spans="2:2" x14ac:dyDescent="0.2">
      <c r="B614" s="152"/>
    </row>
    <row r="615" spans="2:2" x14ac:dyDescent="0.2">
      <c r="B615" s="152"/>
    </row>
    <row r="616" spans="2:2" x14ac:dyDescent="0.2">
      <c r="B616" s="152"/>
    </row>
    <row r="617" spans="2:2" x14ac:dyDescent="0.2">
      <c r="B617" s="152"/>
    </row>
    <row r="618" spans="2:2" x14ac:dyDescent="0.2">
      <c r="B618" s="152"/>
    </row>
    <row r="619" spans="2:2" x14ac:dyDescent="0.2">
      <c r="B619" s="152"/>
    </row>
    <row r="620" spans="2:2" x14ac:dyDescent="0.2">
      <c r="B620" s="152"/>
    </row>
    <row r="621" spans="2:2" x14ac:dyDescent="0.2">
      <c r="B621" s="152"/>
    </row>
    <row r="622" spans="2:2" x14ac:dyDescent="0.2">
      <c r="B622" s="152"/>
    </row>
    <row r="623" spans="2:2" x14ac:dyDescent="0.2">
      <c r="B623" s="152"/>
    </row>
    <row r="624" spans="2:2" x14ac:dyDescent="0.2">
      <c r="B624" s="152"/>
    </row>
    <row r="625" spans="2:2" x14ac:dyDescent="0.2">
      <c r="B625" s="152"/>
    </row>
    <row r="626" spans="2:2" x14ac:dyDescent="0.2">
      <c r="B626" s="152"/>
    </row>
    <row r="627" spans="2:2" x14ac:dyDescent="0.2">
      <c r="B627" s="152"/>
    </row>
    <row r="628" spans="2:2" x14ac:dyDescent="0.2">
      <c r="B628" s="152"/>
    </row>
    <row r="629" spans="2:2" x14ac:dyDescent="0.2">
      <c r="B629" s="152"/>
    </row>
    <row r="630" spans="2:2" x14ac:dyDescent="0.2">
      <c r="B630" s="152"/>
    </row>
    <row r="631" spans="2:2" x14ac:dyDescent="0.2">
      <c r="B631" s="152"/>
    </row>
    <row r="632" spans="2:2" x14ac:dyDescent="0.2">
      <c r="B632" s="152"/>
    </row>
    <row r="633" spans="2:2" x14ac:dyDescent="0.2">
      <c r="B633" s="152"/>
    </row>
    <row r="634" spans="2:2" x14ac:dyDescent="0.2">
      <c r="B634" s="152"/>
    </row>
    <row r="635" spans="2:2" x14ac:dyDescent="0.2">
      <c r="B635" s="152"/>
    </row>
    <row r="636" spans="2:2" x14ac:dyDescent="0.2">
      <c r="B636" s="152"/>
    </row>
    <row r="637" spans="2:2" x14ac:dyDescent="0.2">
      <c r="B637" s="152"/>
    </row>
    <row r="638" spans="2:2" x14ac:dyDescent="0.2">
      <c r="B638" s="152"/>
    </row>
    <row r="639" spans="2:2" x14ac:dyDescent="0.2">
      <c r="B639" s="152"/>
    </row>
    <row r="640" spans="2:2" x14ac:dyDescent="0.2">
      <c r="B640" s="152"/>
    </row>
    <row r="641" spans="2:2" x14ac:dyDescent="0.2">
      <c r="B641" s="152"/>
    </row>
    <row r="642" spans="2:2" x14ac:dyDescent="0.2">
      <c r="B642" s="152"/>
    </row>
    <row r="643" spans="2:2" x14ac:dyDescent="0.2">
      <c r="B643" s="152"/>
    </row>
    <row r="644" spans="2:2" x14ac:dyDescent="0.2">
      <c r="B644" s="152"/>
    </row>
    <row r="645" spans="2:2" x14ac:dyDescent="0.2">
      <c r="B645" s="152"/>
    </row>
    <row r="646" spans="2:2" x14ac:dyDescent="0.2">
      <c r="B646" s="152"/>
    </row>
    <row r="647" spans="2:2" x14ac:dyDescent="0.2">
      <c r="B647" s="152"/>
    </row>
    <row r="648" spans="2:2" x14ac:dyDescent="0.2">
      <c r="B648" s="152"/>
    </row>
    <row r="649" spans="2:2" x14ac:dyDescent="0.2">
      <c r="B649" s="152"/>
    </row>
    <row r="650" spans="2:2" x14ac:dyDescent="0.2">
      <c r="B650" s="152"/>
    </row>
    <row r="651" spans="2:2" x14ac:dyDescent="0.2">
      <c r="B651" s="152"/>
    </row>
    <row r="652" spans="2:2" x14ac:dyDescent="0.2">
      <c r="B652" s="152"/>
    </row>
    <row r="653" spans="2:2" x14ac:dyDescent="0.2">
      <c r="B653" s="152"/>
    </row>
    <row r="654" spans="2:2" x14ac:dyDescent="0.2">
      <c r="B654" s="152"/>
    </row>
    <row r="655" spans="2:2" x14ac:dyDescent="0.2">
      <c r="B655" s="152"/>
    </row>
    <row r="656" spans="2:2" x14ac:dyDescent="0.2">
      <c r="B656" s="152"/>
    </row>
    <row r="657" spans="2:2" x14ac:dyDescent="0.2">
      <c r="B657" s="152"/>
    </row>
    <row r="658" spans="2:2" x14ac:dyDescent="0.2">
      <c r="B658" s="152"/>
    </row>
    <row r="659" spans="2:2" x14ac:dyDescent="0.2">
      <c r="B659" s="152"/>
    </row>
    <row r="660" spans="2:2" x14ac:dyDescent="0.2">
      <c r="B660" s="152"/>
    </row>
    <row r="661" spans="2:2" x14ac:dyDescent="0.2">
      <c r="B661" s="152"/>
    </row>
    <row r="662" spans="2:2" x14ac:dyDescent="0.2">
      <c r="B662" s="152"/>
    </row>
    <row r="663" spans="2:2" x14ac:dyDescent="0.2">
      <c r="B663" s="152"/>
    </row>
    <row r="664" spans="2:2" x14ac:dyDescent="0.2">
      <c r="B664" s="152"/>
    </row>
    <row r="665" spans="2:2" x14ac:dyDescent="0.2">
      <c r="B665" s="152"/>
    </row>
    <row r="666" spans="2:2" x14ac:dyDescent="0.2">
      <c r="B666" s="152"/>
    </row>
    <row r="667" spans="2:2" x14ac:dyDescent="0.2">
      <c r="B667" s="152"/>
    </row>
    <row r="668" spans="2:2" x14ac:dyDescent="0.2">
      <c r="B668" s="152"/>
    </row>
    <row r="669" spans="2:2" x14ac:dyDescent="0.2">
      <c r="B669" s="152"/>
    </row>
    <row r="670" spans="2:2" x14ac:dyDescent="0.2">
      <c r="B670" s="152"/>
    </row>
    <row r="671" spans="2:2" x14ac:dyDescent="0.2">
      <c r="B671" s="152"/>
    </row>
    <row r="672" spans="2:2" x14ac:dyDescent="0.2">
      <c r="B672" s="152"/>
    </row>
    <row r="673" spans="2:2" x14ac:dyDescent="0.2">
      <c r="B673" s="152"/>
    </row>
    <row r="674" spans="2:2" x14ac:dyDescent="0.2">
      <c r="B674" s="152"/>
    </row>
    <row r="675" spans="2:2" x14ac:dyDescent="0.2">
      <c r="B675" s="152"/>
    </row>
    <row r="676" spans="2:2" x14ac:dyDescent="0.2">
      <c r="B676" s="152"/>
    </row>
    <row r="677" spans="2:2" x14ac:dyDescent="0.2">
      <c r="B677" s="152"/>
    </row>
    <row r="678" spans="2:2" x14ac:dyDescent="0.2">
      <c r="B678" s="152"/>
    </row>
    <row r="679" spans="2:2" x14ac:dyDescent="0.2">
      <c r="B679" s="152"/>
    </row>
    <row r="680" spans="2:2" x14ac:dyDescent="0.2">
      <c r="B680" s="152"/>
    </row>
    <row r="681" spans="2:2" x14ac:dyDescent="0.2">
      <c r="B681" s="152"/>
    </row>
    <row r="682" spans="2:2" x14ac:dyDescent="0.2">
      <c r="B682" s="152"/>
    </row>
    <row r="683" spans="2:2" x14ac:dyDescent="0.2">
      <c r="B683" s="152"/>
    </row>
    <row r="684" spans="2:2" x14ac:dyDescent="0.2">
      <c r="B684" s="152"/>
    </row>
    <row r="685" spans="2:2" x14ac:dyDescent="0.2">
      <c r="B685" s="152"/>
    </row>
    <row r="686" spans="2:2" x14ac:dyDescent="0.2">
      <c r="B686" s="152"/>
    </row>
    <row r="687" spans="2:2" x14ac:dyDescent="0.2">
      <c r="B687" s="152"/>
    </row>
    <row r="688" spans="2:2" x14ac:dyDescent="0.2">
      <c r="B688" s="152"/>
    </row>
    <row r="689" spans="2:2" x14ac:dyDescent="0.2">
      <c r="B689" s="152"/>
    </row>
    <row r="690" spans="2:2" x14ac:dyDescent="0.2">
      <c r="B690" s="152"/>
    </row>
    <row r="691" spans="2:2" x14ac:dyDescent="0.2">
      <c r="B691" s="152"/>
    </row>
    <row r="692" spans="2:2" x14ac:dyDescent="0.2">
      <c r="B692" s="152"/>
    </row>
    <row r="693" spans="2:2" x14ac:dyDescent="0.2">
      <c r="B693" s="152"/>
    </row>
    <row r="694" spans="2:2" x14ac:dyDescent="0.2">
      <c r="B694" s="152"/>
    </row>
    <row r="695" spans="2:2" x14ac:dyDescent="0.2">
      <c r="B695" s="152"/>
    </row>
    <row r="696" spans="2:2" x14ac:dyDescent="0.2">
      <c r="B696" s="152"/>
    </row>
    <row r="697" spans="2:2" x14ac:dyDescent="0.2">
      <c r="B697" s="152"/>
    </row>
    <row r="698" spans="2:2" x14ac:dyDescent="0.2">
      <c r="B698" s="152"/>
    </row>
    <row r="699" spans="2:2" x14ac:dyDescent="0.2">
      <c r="B699" s="152"/>
    </row>
    <row r="700" spans="2:2" x14ac:dyDescent="0.2">
      <c r="B700" s="152"/>
    </row>
    <row r="701" spans="2:2" x14ac:dyDescent="0.2">
      <c r="B701" s="152"/>
    </row>
    <row r="702" spans="2:2" x14ac:dyDescent="0.2">
      <c r="B702" s="152"/>
    </row>
    <row r="703" spans="2:2" x14ac:dyDescent="0.2">
      <c r="B703" s="152"/>
    </row>
    <row r="704" spans="2:2" x14ac:dyDescent="0.2">
      <c r="B704" s="152"/>
    </row>
    <row r="705" spans="2:2" x14ac:dyDescent="0.2">
      <c r="B705" s="152"/>
    </row>
    <row r="706" spans="2:2" x14ac:dyDescent="0.2">
      <c r="B706" s="152"/>
    </row>
    <row r="707" spans="2:2" x14ac:dyDescent="0.2">
      <c r="B707" s="152"/>
    </row>
    <row r="708" spans="2:2" x14ac:dyDescent="0.2">
      <c r="B708" s="152"/>
    </row>
    <row r="709" spans="2:2" x14ac:dyDescent="0.2">
      <c r="B709" s="152"/>
    </row>
    <row r="710" spans="2:2" x14ac:dyDescent="0.2">
      <c r="B710" s="152"/>
    </row>
    <row r="711" spans="2:2" x14ac:dyDescent="0.2">
      <c r="B711" s="152"/>
    </row>
    <row r="712" spans="2:2" x14ac:dyDescent="0.2">
      <c r="B712" s="152"/>
    </row>
    <row r="713" spans="2:2" x14ac:dyDescent="0.2">
      <c r="B713" s="152"/>
    </row>
    <row r="714" spans="2:2" x14ac:dyDescent="0.2">
      <c r="B714" s="152"/>
    </row>
    <row r="715" spans="2:2" x14ac:dyDescent="0.2">
      <c r="B715" s="152"/>
    </row>
    <row r="716" spans="2:2" x14ac:dyDescent="0.2">
      <c r="B716" s="152"/>
    </row>
    <row r="717" spans="2:2" x14ac:dyDescent="0.2">
      <c r="B717" s="152"/>
    </row>
    <row r="718" spans="2:2" x14ac:dyDescent="0.2">
      <c r="B718" s="152"/>
    </row>
    <row r="719" spans="2:2" x14ac:dyDescent="0.2">
      <c r="B719" s="152"/>
    </row>
    <row r="720" spans="2:2" x14ac:dyDescent="0.2">
      <c r="B720" s="152"/>
    </row>
    <row r="721" spans="2:2" x14ac:dyDescent="0.2">
      <c r="B721" s="152"/>
    </row>
    <row r="722" spans="2:2" x14ac:dyDescent="0.2">
      <c r="B722" s="152"/>
    </row>
    <row r="723" spans="2:2" x14ac:dyDescent="0.2">
      <c r="B723" s="152"/>
    </row>
    <row r="724" spans="2:2" x14ac:dyDescent="0.2">
      <c r="B724" s="152"/>
    </row>
    <row r="725" spans="2:2" x14ac:dyDescent="0.2">
      <c r="B725" s="152"/>
    </row>
    <row r="726" spans="2:2" x14ac:dyDescent="0.2">
      <c r="B726" s="152"/>
    </row>
    <row r="727" spans="2:2" x14ac:dyDescent="0.2">
      <c r="B727" s="152"/>
    </row>
    <row r="728" spans="2:2" x14ac:dyDescent="0.2">
      <c r="B728" s="152"/>
    </row>
    <row r="729" spans="2:2" x14ac:dyDescent="0.2">
      <c r="B729" s="152"/>
    </row>
    <row r="730" spans="2:2" x14ac:dyDescent="0.2">
      <c r="B730" s="152"/>
    </row>
    <row r="731" spans="2:2" x14ac:dyDescent="0.2">
      <c r="B731" s="152"/>
    </row>
    <row r="732" spans="2:2" x14ac:dyDescent="0.2">
      <c r="B732" s="152"/>
    </row>
    <row r="733" spans="2:2" x14ac:dyDescent="0.2">
      <c r="B733" s="152"/>
    </row>
    <row r="734" spans="2:2" x14ac:dyDescent="0.2">
      <c r="B734" s="152"/>
    </row>
    <row r="735" spans="2:2" x14ac:dyDescent="0.2">
      <c r="B735" s="152"/>
    </row>
    <row r="736" spans="2:2" x14ac:dyDescent="0.2">
      <c r="B736" s="152"/>
    </row>
    <row r="737" spans="2:2" x14ac:dyDescent="0.2">
      <c r="B737" s="152"/>
    </row>
    <row r="738" spans="2:2" x14ac:dyDescent="0.2">
      <c r="B738" s="152"/>
    </row>
    <row r="739" spans="2:2" x14ac:dyDescent="0.2">
      <c r="B739" s="152"/>
    </row>
    <row r="740" spans="2:2" x14ac:dyDescent="0.2">
      <c r="B740" s="152"/>
    </row>
    <row r="741" spans="2:2" x14ac:dyDescent="0.2">
      <c r="B741" s="152"/>
    </row>
    <row r="742" spans="2:2" x14ac:dyDescent="0.2">
      <c r="B742" s="152"/>
    </row>
    <row r="743" spans="2:2" x14ac:dyDescent="0.2">
      <c r="B743" s="152"/>
    </row>
    <row r="744" spans="2:2" x14ac:dyDescent="0.2">
      <c r="B744" s="152"/>
    </row>
    <row r="745" spans="2:2" x14ac:dyDescent="0.2">
      <c r="B745" s="152"/>
    </row>
    <row r="746" spans="2:2" x14ac:dyDescent="0.2">
      <c r="B746" s="152"/>
    </row>
    <row r="747" spans="2:2" x14ac:dyDescent="0.2">
      <c r="B747" s="152"/>
    </row>
    <row r="748" spans="2:2" x14ac:dyDescent="0.2">
      <c r="B748" s="152"/>
    </row>
    <row r="749" spans="2:2" x14ac:dyDescent="0.2">
      <c r="B749" s="152"/>
    </row>
    <row r="750" spans="2:2" x14ac:dyDescent="0.2">
      <c r="B750" s="152"/>
    </row>
    <row r="751" spans="2:2" x14ac:dyDescent="0.2">
      <c r="B751" s="152"/>
    </row>
    <row r="752" spans="2:2" x14ac:dyDescent="0.2">
      <c r="B752" s="152"/>
    </row>
    <row r="753" spans="2:2" x14ac:dyDescent="0.2">
      <c r="B753" s="152"/>
    </row>
    <row r="754" spans="2:2" x14ac:dyDescent="0.2">
      <c r="B754" s="152"/>
    </row>
    <row r="755" spans="2:2" x14ac:dyDescent="0.2">
      <c r="B755" s="152"/>
    </row>
    <row r="756" spans="2:2" x14ac:dyDescent="0.2">
      <c r="B756" s="152"/>
    </row>
    <row r="757" spans="2:2" x14ac:dyDescent="0.2">
      <c r="B757" s="152"/>
    </row>
    <row r="758" spans="2:2" x14ac:dyDescent="0.2">
      <c r="B758" s="152"/>
    </row>
    <row r="759" spans="2:2" x14ac:dyDescent="0.2">
      <c r="B759" s="152"/>
    </row>
    <row r="760" spans="2:2" x14ac:dyDescent="0.2">
      <c r="B760" s="152"/>
    </row>
    <row r="761" spans="2:2" x14ac:dyDescent="0.2">
      <c r="B761" s="152"/>
    </row>
    <row r="762" spans="2:2" x14ac:dyDescent="0.2">
      <c r="B762" s="152"/>
    </row>
    <row r="763" spans="2:2" x14ac:dyDescent="0.2">
      <c r="B763" s="152"/>
    </row>
    <row r="764" spans="2:2" x14ac:dyDescent="0.2">
      <c r="B764" s="152"/>
    </row>
    <row r="765" spans="2:2" x14ac:dyDescent="0.2">
      <c r="B765" s="152"/>
    </row>
    <row r="766" spans="2:2" x14ac:dyDescent="0.2">
      <c r="B766" s="152"/>
    </row>
    <row r="767" spans="2:2" x14ac:dyDescent="0.2">
      <c r="B767" s="152"/>
    </row>
    <row r="768" spans="2:2" x14ac:dyDescent="0.2">
      <c r="B768" s="152"/>
    </row>
    <row r="769" spans="2:2" x14ac:dyDescent="0.2">
      <c r="B769" s="152"/>
    </row>
    <row r="770" spans="2:2" x14ac:dyDescent="0.2">
      <c r="B770" s="152"/>
    </row>
    <row r="771" spans="2:2" x14ac:dyDescent="0.2">
      <c r="B771" s="152"/>
    </row>
    <row r="772" spans="2:2" x14ac:dyDescent="0.2">
      <c r="B772" s="152"/>
    </row>
    <row r="773" spans="2:2" x14ac:dyDescent="0.2">
      <c r="B773" s="152"/>
    </row>
    <row r="774" spans="2:2" x14ac:dyDescent="0.2">
      <c r="B774" s="152"/>
    </row>
    <row r="775" spans="2:2" x14ac:dyDescent="0.2">
      <c r="B775" s="152"/>
    </row>
    <row r="776" spans="2:2" x14ac:dyDescent="0.2">
      <c r="B776" s="152"/>
    </row>
    <row r="777" spans="2:2" x14ac:dyDescent="0.2">
      <c r="B777" s="152"/>
    </row>
    <row r="778" spans="2:2" x14ac:dyDescent="0.2">
      <c r="B778" s="152"/>
    </row>
    <row r="779" spans="2:2" x14ac:dyDescent="0.2">
      <c r="B779" s="152"/>
    </row>
    <row r="780" spans="2:2" x14ac:dyDescent="0.2">
      <c r="B780" s="152"/>
    </row>
    <row r="781" spans="2:2" x14ac:dyDescent="0.2">
      <c r="B781" s="152"/>
    </row>
    <row r="782" spans="2:2" x14ac:dyDescent="0.2">
      <c r="B782" s="152"/>
    </row>
    <row r="783" spans="2:2" x14ac:dyDescent="0.2">
      <c r="B783" s="152"/>
    </row>
    <row r="784" spans="2:2" x14ac:dyDescent="0.2">
      <c r="B784" s="152"/>
    </row>
    <row r="785" spans="2:2" x14ac:dyDescent="0.2">
      <c r="B785" s="152"/>
    </row>
    <row r="786" spans="2:2" x14ac:dyDescent="0.2">
      <c r="B786" s="152"/>
    </row>
    <row r="787" spans="2:2" x14ac:dyDescent="0.2">
      <c r="B787" s="152"/>
    </row>
    <row r="788" spans="2:2" x14ac:dyDescent="0.2">
      <c r="B788" s="152"/>
    </row>
    <row r="789" spans="2:2" x14ac:dyDescent="0.2">
      <c r="B789" s="152"/>
    </row>
    <row r="790" spans="2:2" x14ac:dyDescent="0.2">
      <c r="B790" s="152"/>
    </row>
    <row r="791" spans="2:2" x14ac:dyDescent="0.2">
      <c r="B791" s="152"/>
    </row>
    <row r="792" spans="2:2" x14ac:dyDescent="0.2">
      <c r="B792" s="152"/>
    </row>
    <row r="793" spans="2:2" x14ac:dyDescent="0.2">
      <c r="B793" s="152"/>
    </row>
    <row r="794" spans="2:2" x14ac:dyDescent="0.2">
      <c r="B794" s="152"/>
    </row>
    <row r="795" spans="2:2" x14ac:dyDescent="0.2">
      <c r="B795" s="152"/>
    </row>
    <row r="796" spans="2:2" x14ac:dyDescent="0.2">
      <c r="B796" s="152"/>
    </row>
    <row r="797" spans="2:2" x14ac:dyDescent="0.2">
      <c r="B797" s="152"/>
    </row>
    <row r="798" spans="2:2" x14ac:dyDescent="0.2">
      <c r="B798" s="152"/>
    </row>
    <row r="799" spans="2:2" x14ac:dyDescent="0.2">
      <c r="B799" s="152"/>
    </row>
    <row r="800" spans="2:2" x14ac:dyDescent="0.2">
      <c r="B800" s="152"/>
    </row>
    <row r="801" spans="2:2" x14ac:dyDescent="0.2">
      <c r="B801" s="152"/>
    </row>
    <row r="802" spans="2:2" x14ac:dyDescent="0.2">
      <c r="B802" s="152"/>
    </row>
    <row r="803" spans="2:2" x14ac:dyDescent="0.2">
      <c r="B803" s="152"/>
    </row>
    <row r="804" spans="2:2" x14ac:dyDescent="0.2">
      <c r="B804" s="152"/>
    </row>
    <row r="805" spans="2:2" x14ac:dyDescent="0.2">
      <c r="B805" s="152"/>
    </row>
    <row r="806" spans="2:2" x14ac:dyDescent="0.2">
      <c r="B806" s="152"/>
    </row>
    <row r="807" spans="2:2" x14ac:dyDescent="0.2">
      <c r="B807" s="152"/>
    </row>
    <row r="808" spans="2:2" x14ac:dyDescent="0.2">
      <c r="B808" s="152"/>
    </row>
    <row r="809" spans="2:2" x14ac:dyDescent="0.2">
      <c r="B809" s="152"/>
    </row>
    <row r="810" spans="2:2" x14ac:dyDescent="0.2">
      <c r="B810" s="152"/>
    </row>
    <row r="811" spans="2:2" x14ac:dyDescent="0.2">
      <c r="B811" s="152"/>
    </row>
    <row r="812" spans="2:2" x14ac:dyDescent="0.2">
      <c r="B812" s="152"/>
    </row>
    <row r="813" spans="2:2" x14ac:dyDescent="0.2">
      <c r="B813" s="152"/>
    </row>
    <row r="814" spans="2:2" x14ac:dyDescent="0.2">
      <c r="B814" s="152"/>
    </row>
    <row r="815" spans="2:2" x14ac:dyDescent="0.2">
      <c r="B815" s="152"/>
    </row>
    <row r="816" spans="2:2" x14ac:dyDescent="0.2">
      <c r="B816" s="152"/>
    </row>
    <row r="817" spans="2:2" x14ac:dyDescent="0.2">
      <c r="B817" s="152"/>
    </row>
    <row r="818" spans="2:2" x14ac:dyDescent="0.2">
      <c r="B818" s="152"/>
    </row>
    <row r="819" spans="2:2" x14ac:dyDescent="0.2">
      <c r="B819" s="152"/>
    </row>
    <row r="820" spans="2:2" x14ac:dyDescent="0.2">
      <c r="B820" s="152"/>
    </row>
    <row r="821" spans="2:2" x14ac:dyDescent="0.2">
      <c r="B821" s="152"/>
    </row>
    <row r="822" spans="2:2" x14ac:dyDescent="0.2">
      <c r="B822" s="152"/>
    </row>
    <row r="823" spans="2:2" x14ac:dyDescent="0.2">
      <c r="B823" s="152"/>
    </row>
    <row r="824" spans="2:2" x14ac:dyDescent="0.2">
      <c r="B824" s="152"/>
    </row>
    <row r="825" spans="2:2" x14ac:dyDescent="0.2">
      <c r="B825" s="152"/>
    </row>
    <row r="826" spans="2:2" x14ac:dyDescent="0.2">
      <c r="B826" s="152"/>
    </row>
    <row r="827" spans="2:2" x14ac:dyDescent="0.2">
      <c r="B827" s="152"/>
    </row>
    <row r="828" spans="2:2" x14ac:dyDescent="0.2">
      <c r="B828" s="152"/>
    </row>
    <row r="829" spans="2:2" x14ac:dyDescent="0.2">
      <c r="B829" s="152"/>
    </row>
    <row r="830" spans="2:2" x14ac:dyDescent="0.2">
      <c r="B830" s="152"/>
    </row>
    <row r="831" spans="2:2" x14ac:dyDescent="0.2">
      <c r="B831" s="152"/>
    </row>
    <row r="832" spans="2:2" x14ac:dyDescent="0.2">
      <c r="B832" s="152"/>
    </row>
    <row r="833" spans="2:2" x14ac:dyDescent="0.2">
      <c r="B833" s="152"/>
    </row>
    <row r="834" spans="2:2" x14ac:dyDescent="0.2">
      <c r="B834" s="152"/>
    </row>
    <row r="835" spans="2:2" x14ac:dyDescent="0.2">
      <c r="B835" s="152"/>
    </row>
    <row r="836" spans="2:2" x14ac:dyDescent="0.2">
      <c r="B836" s="152"/>
    </row>
    <row r="837" spans="2:2" x14ac:dyDescent="0.2">
      <c r="B837" s="152"/>
    </row>
    <row r="838" spans="2:2" x14ac:dyDescent="0.2">
      <c r="B838" s="152"/>
    </row>
    <row r="839" spans="2:2" x14ac:dyDescent="0.2">
      <c r="B839" s="152"/>
    </row>
    <row r="840" spans="2:2" x14ac:dyDescent="0.2">
      <c r="B840" s="152"/>
    </row>
    <row r="841" spans="2:2" x14ac:dyDescent="0.2">
      <c r="B841" s="152"/>
    </row>
    <row r="842" spans="2:2" x14ac:dyDescent="0.2">
      <c r="B842" s="152"/>
    </row>
    <row r="843" spans="2:2" x14ac:dyDescent="0.2">
      <c r="B843" s="152"/>
    </row>
    <row r="844" spans="2:2" x14ac:dyDescent="0.2">
      <c r="B844" s="152"/>
    </row>
    <row r="845" spans="2:2" x14ac:dyDescent="0.2">
      <c r="B845" s="152"/>
    </row>
    <row r="846" spans="2:2" x14ac:dyDescent="0.2">
      <c r="B846" s="152"/>
    </row>
    <row r="847" spans="2:2" x14ac:dyDescent="0.2">
      <c r="B847" s="152"/>
    </row>
    <row r="848" spans="2:2" x14ac:dyDescent="0.2">
      <c r="B848" s="152"/>
    </row>
    <row r="849" spans="2:2" x14ac:dyDescent="0.2">
      <c r="B849" s="152"/>
    </row>
    <row r="850" spans="2:2" x14ac:dyDescent="0.2">
      <c r="B850" s="152"/>
    </row>
    <row r="851" spans="2:2" x14ac:dyDescent="0.2">
      <c r="B851" s="152"/>
    </row>
    <row r="852" spans="2:2" x14ac:dyDescent="0.2">
      <c r="B852" s="152"/>
    </row>
    <row r="853" spans="2:2" x14ac:dyDescent="0.2">
      <c r="B853" s="152"/>
    </row>
    <row r="854" spans="2:2" x14ac:dyDescent="0.2">
      <c r="B854" s="152"/>
    </row>
    <row r="855" spans="2:2" x14ac:dyDescent="0.2">
      <c r="B855" s="152"/>
    </row>
    <row r="856" spans="2:2" x14ac:dyDescent="0.2">
      <c r="B856" s="152"/>
    </row>
    <row r="857" spans="2:2" x14ac:dyDescent="0.2">
      <c r="B857" s="152"/>
    </row>
    <row r="858" spans="2:2" x14ac:dyDescent="0.2">
      <c r="B858" s="152"/>
    </row>
    <row r="859" spans="2:2" x14ac:dyDescent="0.2">
      <c r="B859" s="152"/>
    </row>
    <row r="860" spans="2:2" x14ac:dyDescent="0.2">
      <c r="B860" s="152"/>
    </row>
    <row r="861" spans="2:2" x14ac:dyDescent="0.2">
      <c r="B861" s="152"/>
    </row>
    <row r="862" spans="2:2" x14ac:dyDescent="0.2">
      <c r="B862" s="152"/>
    </row>
    <row r="863" spans="2:2" x14ac:dyDescent="0.2">
      <c r="B863" s="152"/>
    </row>
    <row r="864" spans="2:2" x14ac:dyDescent="0.2">
      <c r="B864" s="152"/>
    </row>
    <row r="865" spans="2:2" x14ac:dyDescent="0.2">
      <c r="B865" s="152"/>
    </row>
    <row r="866" spans="2:2" x14ac:dyDescent="0.2">
      <c r="B866" s="152"/>
    </row>
    <row r="867" spans="2:2" x14ac:dyDescent="0.2">
      <c r="B867" s="152"/>
    </row>
    <row r="868" spans="2:2" x14ac:dyDescent="0.2">
      <c r="B868" s="152"/>
    </row>
    <row r="869" spans="2:2" x14ac:dyDescent="0.2">
      <c r="B869" s="152"/>
    </row>
    <row r="870" spans="2:2" x14ac:dyDescent="0.2">
      <c r="B870" s="152"/>
    </row>
    <row r="871" spans="2:2" x14ac:dyDescent="0.2">
      <c r="B871" s="152"/>
    </row>
    <row r="872" spans="2:2" x14ac:dyDescent="0.2">
      <c r="B872" s="152"/>
    </row>
    <row r="873" spans="2:2" x14ac:dyDescent="0.2">
      <c r="B873" s="152"/>
    </row>
    <row r="874" spans="2:2" x14ac:dyDescent="0.2">
      <c r="B874" s="152"/>
    </row>
    <row r="875" spans="2:2" x14ac:dyDescent="0.2">
      <c r="B875" s="152"/>
    </row>
    <row r="876" spans="2:2" x14ac:dyDescent="0.2">
      <c r="B876" s="152"/>
    </row>
    <row r="877" spans="2:2" x14ac:dyDescent="0.2">
      <c r="B877" s="152"/>
    </row>
    <row r="878" spans="2:2" x14ac:dyDescent="0.2">
      <c r="B878" s="152"/>
    </row>
    <row r="879" spans="2:2" x14ac:dyDescent="0.2">
      <c r="B879" s="152"/>
    </row>
    <row r="880" spans="2:2" x14ac:dyDescent="0.2">
      <c r="B880" s="152"/>
    </row>
    <row r="881" spans="2:2" x14ac:dyDescent="0.2">
      <c r="B881" s="152"/>
    </row>
    <row r="882" spans="2:2" x14ac:dyDescent="0.2">
      <c r="B882" s="152"/>
    </row>
    <row r="883" spans="2:2" x14ac:dyDescent="0.2">
      <c r="B883" s="152"/>
    </row>
    <row r="884" spans="2:2" x14ac:dyDescent="0.2">
      <c r="B884" s="152"/>
    </row>
    <row r="885" spans="2:2" x14ac:dyDescent="0.2">
      <c r="B885" s="152"/>
    </row>
    <row r="886" spans="2:2" x14ac:dyDescent="0.2">
      <c r="B886" s="152"/>
    </row>
    <row r="887" spans="2:2" x14ac:dyDescent="0.2">
      <c r="B887" s="152"/>
    </row>
    <row r="888" spans="2:2" x14ac:dyDescent="0.2">
      <c r="B888" s="152"/>
    </row>
    <row r="889" spans="2:2" x14ac:dyDescent="0.2">
      <c r="B889" s="152"/>
    </row>
    <row r="890" spans="2:2" x14ac:dyDescent="0.2">
      <c r="B890" s="152"/>
    </row>
    <row r="891" spans="2:2" x14ac:dyDescent="0.2">
      <c r="B891" s="152"/>
    </row>
    <row r="892" spans="2:2" x14ac:dyDescent="0.2">
      <c r="B892" s="152"/>
    </row>
    <row r="893" spans="2:2" x14ac:dyDescent="0.2">
      <c r="B893" s="152"/>
    </row>
    <row r="894" spans="2:2" x14ac:dyDescent="0.2">
      <c r="B894" s="152"/>
    </row>
    <row r="895" spans="2:2" x14ac:dyDescent="0.2">
      <c r="B895" s="152"/>
    </row>
    <row r="896" spans="2:2" x14ac:dyDescent="0.2">
      <c r="B896" s="152"/>
    </row>
    <row r="897" spans="2:2" x14ac:dyDescent="0.2">
      <c r="B897" s="152"/>
    </row>
    <row r="898" spans="2:2" x14ac:dyDescent="0.2">
      <c r="B898" s="152"/>
    </row>
    <row r="899" spans="2:2" x14ac:dyDescent="0.2">
      <c r="B899" s="152"/>
    </row>
    <row r="900" spans="2:2" x14ac:dyDescent="0.2">
      <c r="B900" s="152"/>
    </row>
    <row r="901" spans="2:2" x14ac:dyDescent="0.2">
      <c r="B901" s="152"/>
    </row>
    <row r="902" spans="2:2" x14ac:dyDescent="0.2">
      <c r="B902" s="152"/>
    </row>
    <row r="903" spans="2:2" x14ac:dyDescent="0.2">
      <c r="B903" s="152"/>
    </row>
    <row r="904" spans="2:2" x14ac:dyDescent="0.2">
      <c r="B904" s="152"/>
    </row>
    <row r="905" spans="2:2" x14ac:dyDescent="0.2">
      <c r="B905" s="152"/>
    </row>
    <row r="906" spans="2:2" x14ac:dyDescent="0.2">
      <c r="B906" s="152"/>
    </row>
    <row r="907" spans="2:2" x14ac:dyDescent="0.2">
      <c r="B907" s="152"/>
    </row>
    <row r="908" spans="2:2" x14ac:dyDescent="0.2">
      <c r="B908" s="152"/>
    </row>
    <row r="909" spans="2:2" x14ac:dyDescent="0.2">
      <c r="B909" s="152"/>
    </row>
    <row r="910" spans="2:2" x14ac:dyDescent="0.2">
      <c r="B910" s="152"/>
    </row>
    <row r="911" spans="2:2" x14ac:dyDescent="0.2">
      <c r="B911" s="152"/>
    </row>
    <row r="912" spans="2:2" x14ac:dyDescent="0.2">
      <c r="B912" s="152"/>
    </row>
    <row r="913" spans="2:2" x14ac:dyDescent="0.2">
      <c r="B913" s="152"/>
    </row>
    <row r="914" spans="2:2" x14ac:dyDescent="0.2">
      <c r="B914" s="152"/>
    </row>
    <row r="915" spans="2:2" x14ac:dyDescent="0.2">
      <c r="B915" s="152"/>
    </row>
    <row r="916" spans="2:2" x14ac:dyDescent="0.2">
      <c r="B916" s="152"/>
    </row>
    <row r="917" spans="2:2" x14ac:dyDescent="0.2">
      <c r="B917" s="152"/>
    </row>
    <row r="918" spans="2:2" x14ac:dyDescent="0.2">
      <c r="B918" s="152"/>
    </row>
    <row r="919" spans="2:2" x14ac:dyDescent="0.2">
      <c r="B919" s="152"/>
    </row>
    <row r="920" spans="2:2" x14ac:dyDescent="0.2">
      <c r="B920" s="152"/>
    </row>
    <row r="921" spans="2:2" x14ac:dyDescent="0.2">
      <c r="B921" s="152"/>
    </row>
    <row r="922" spans="2:2" x14ac:dyDescent="0.2">
      <c r="B922" s="152"/>
    </row>
    <row r="923" spans="2:2" x14ac:dyDescent="0.2">
      <c r="B923" s="152"/>
    </row>
    <row r="924" spans="2:2" x14ac:dyDescent="0.2">
      <c r="B924" s="152"/>
    </row>
    <row r="925" spans="2:2" x14ac:dyDescent="0.2">
      <c r="B925" s="152"/>
    </row>
    <row r="926" spans="2:2" x14ac:dyDescent="0.2">
      <c r="B926" s="152"/>
    </row>
    <row r="927" spans="2:2" x14ac:dyDescent="0.2">
      <c r="B927" s="152"/>
    </row>
    <row r="928" spans="2:2" x14ac:dyDescent="0.2">
      <c r="B928" s="152"/>
    </row>
    <row r="929" spans="2:2" x14ac:dyDescent="0.2">
      <c r="B929" s="152"/>
    </row>
    <row r="930" spans="2:2" x14ac:dyDescent="0.2">
      <c r="B930" s="152"/>
    </row>
    <row r="931" spans="2:2" x14ac:dyDescent="0.2">
      <c r="B931" s="152"/>
    </row>
    <row r="932" spans="2:2" x14ac:dyDescent="0.2">
      <c r="B932" s="152"/>
    </row>
    <row r="933" spans="2:2" x14ac:dyDescent="0.2">
      <c r="B933" s="152"/>
    </row>
    <row r="934" spans="2:2" x14ac:dyDescent="0.2">
      <c r="B934" s="152"/>
    </row>
    <row r="935" spans="2:2" x14ac:dyDescent="0.2">
      <c r="B935" s="152"/>
    </row>
    <row r="936" spans="2:2" x14ac:dyDescent="0.2">
      <c r="B936" s="152"/>
    </row>
    <row r="937" spans="2:2" x14ac:dyDescent="0.2">
      <c r="B937" s="152"/>
    </row>
    <row r="938" spans="2:2" x14ac:dyDescent="0.2">
      <c r="B938" s="152"/>
    </row>
    <row r="939" spans="2:2" x14ac:dyDescent="0.2">
      <c r="B939" s="152"/>
    </row>
    <row r="940" spans="2:2" x14ac:dyDescent="0.2">
      <c r="B940" s="152"/>
    </row>
    <row r="941" spans="2:2" x14ac:dyDescent="0.2">
      <c r="B941" s="152"/>
    </row>
    <row r="942" spans="2:2" x14ac:dyDescent="0.2">
      <c r="B942" s="152"/>
    </row>
    <row r="943" spans="2:2" x14ac:dyDescent="0.2">
      <c r="B943" s="152"/>
    </row>
    <row r="944" spans="2:2" x14ac:dyDescent="0.2">
      <c r="B944" s="152"/>
    </row>
    <row r="945" spans="2:2" x14ac:dyDescent="0.2">
      <c r="B945" s="152"/>
    </row>
    <row r="946" spans="2:2" x14ac:dyDescent="0.2">
      <c r="B946" s="152"/>
    </row>
    <row r="947" spans="2:2" x14ac:dyDescent="0.2">
      <c r="B947" s="152"/>
    </row>
    <row r="948" spans="2:2" x14ac:dyDescent="0.2">
      <c r="B948" s="152"/>
    </row>
    <row r="949" spans="2:2" x14ac:dyDescent="0.2">
      <c r="B949" s="152"/>
    </row>
    <row r="950" spans="2:2" x14ac:dyDescent="0.2">
      <c r="B950" s="152"/>
    </row>
    <row r="951" spans="2:2" x14ac:dyDescent="0.2">
      <c r="B951" s="152"/>
    </row>
    <row r="952" spans="2:2" x14ac:dyDescent="0.2">
      <c r="B952" s="152"/>
    </row>
    <row r="953" spans="2:2" x14ac:dyDescent="0.2">
      <c r="B953" s="152"/>
    </row>
    <row r="954" spans="2:2" x14ac:dyDescent="0.2">
      <c r="B954" s="152"/>
    </row>
    <row r="955" spans="2:2" x14ac:dyDescent="0.2">
      <c r="B955" s="152"/>
    </row>
    <row r="956" spans="2:2" x14ac:dyDescent="0.2">
      <c r="B956" s="152"/>
    </row>
    <row r="957" spans="2:2" x14ac:dyDescent="0.2">
      <c r="B957" s="152"/>
    </row>
    <row r="958" spans="2:2" x14ac:dyDescent="0.2">
      <c r="B958" s="152"/>
    </row>
    <row r="959" spans="2:2" x14ac:dyDescent="0.2">
      <c r="B959" s="152"/>
    </row>
    <row r="960" spans="2:2" x14ac:dyDescent="0.2">
      <c r="B960" s="152"/>
    </row>
    <row r="961" spans="2:2" x14ac:dyDescent="0.2">
      <c r="B961" s="152"/>
    </row>
    <row r="962" spans="2:2" x14ac:dyDescent="0.2">
      <c r="B962" s="152"/>
    </row>
    <row r="963" spans="2:2" x14ac:dyDescent="0.2">
      <c r="B963" s="152"/>
    </row>
    <row r="964" spans="2:2" x14ac:dyDescent="0.2">
      <c r="B964" s="152"/>
    </row>
    <row r="965" spans="2:2" x14ac:dyDescent="0.2">
      <c r="B965" s="152"/>
    </row>
    <row r="966" spans="2:2" x14ac:dyDescent="0.2">
      <c r="B966" s="152"/>
    </row>
    <row r="967" spans="2:2" x14ac:dyDescent="0.2">
      <c r="B967" s="152"/>
    </row>
    <row r="968" spans="2:2" x14ac:dyDescent="0.2">
      <c r="B968" s="152"/>
    </row>
    <row r="969" spans="2:2" x14ac:dyDescent="0.2">
      <c r="B969" s="152"/>
    </row>
    <row r="970" spans="2:2" x14ac:dyDescent="0.2">
      <c r="B970" s="152"/>
    </row>
    <row r="971" spans="2:2" x14ac:dyDescent="0.2">
      <c r="B971" s="152"/>
    </row>
    <row r="972" spans="2:2" x14ac:dyDescent="0.2">
      <c r="B972" s="152"/>
    </row>
    <row r="973" spans="2:2" x14ac:dyDescent="0.2">
      <c r="B973" s="152"/>
    </row>
    <row r="974" spans="2:2" x14ac:dyDescent="0.2">
      <c r="B974" s="152"/>
    </row>
    <row r="975" spans="2:2" x14ac:dyDescent="0.2">
      <c r="B975" s="152"/>
    </row>
    <row r="976" spans="2:2" x14ac:dyDescent="0.2">
      <c r="B976" s="152"/>
    </row>
    <row r="977" spans="2:2" x14ac:dyDescent="0.2">
      <c r="B977" s="152"/>
    </row>
    <row r="978" spans="2:2" x14ac:dyDescent="0.2">
      <c r="B978" s="152"/>
    </row>
    <row r="979" spans="2:2" x14ac:dyDescent="0.2">
      <c r="B979" s="152"/>
    </row>
    <row r="980" spans="2:2" x14ac:dyDescent="0.2">
      <c r="B980" s="152"/>
    </row>
    <row r="981" spans="2:2" x14ac:dyDescent="0.2">
      <c r="B981" s="152"/>
    </row>
    <row r="982" spans="2:2" x14ac:dyDescent="0.2">
      <c r="B982" s="152"/>
    </row>
    <row r="983" spans="2:2" x14ac:dyDescent="0.2">
      <c r="B983" s="152"/>
    </row>
    <row r="984" spans="2:2" x14ac:dyDescent="0.2">
      <c r="B984" s="152"/>
    </row>
    <row r="985" spans="2:2" x14ac:dyDescent="0.2">
      <c r="B985" s="152"/>
    </row>
    <row r="986" spans="2:2" x14ac:dyDescent="0.2">
      <c r="B986" s="152"/>
    </row>
    <row r="987" spans="2:2" x14ac:dyDescent="0.2">
      <c r="B987" s="152"/>
    </row>
    <row r="988" spans="2:2" x14ac:dyDescent="0.2">
      <c r="B988" s="152"/>
    </row>
    <row r="989" spans="2:2" x14ac:dyDescent="0.2">
      <c r="B989" s="152"/>
    </row>
    <row r="990" spans="2:2" x14ac:dyDescent="0.2">
      <c r="B990" s="152"/>
    </row>
    <row r="991" spans="2:2" x14ac:dyDescent="0.2">
      <c r="B991" s="152"/>
    </row>
    <row r="992" spans="2:2" x14ac:dyDescent="0.2">
      <c r="B992" s="152"/>
    </row>
    <row r="993" spans="2:2" x14ac:dyDescent="0.2">
      <c r="B993" s="152"/>
    </row>
    <row r="994" spans="2:2" x14ac:dyDescent="0.2">
      <c r="B994" s="152"/>
    </row>
    <row r="995" spans="2:2" x14ac:dyDescent="0.2">
      <c r="B995" s="152"/>
    </row>
    <row r="996" spans="2:2" x14ac:dyDescent="0.2">
      <c r="B996" s="152"/>
    </row>
    <row r="997" spans="2:2" x14ac:dyDescent="0.2">
      <c r="B997" s="152"/>
    </row>
    <row r="998" spans="2:2" x14ac:dyDescent="0.2">
      <c r="B998" s="152"/>
    </row>
    <row r="999" spans="2:2" x14ac:dyDescent="0.2">
      <c r="B999" s="152"/>
    </row>
    <row r="1000" spans="2:2" x14ac:dyDescent="0.2">
      <c r="B1000" s="152"/>
    </row>
    <row r="1001" spans="2:2" x14ac:dyDescent="0.2">
      <c r="B1001" s="152"/>
    </row>
    <row r="1002" spans="2:2" x14ac:dyDescent="0.2">
      <c r="B1002" s="152"/>
    </row>
    <row r="1003" spans="2:2" x14ac:dyDescent="0.2">
      <c r="B1003" s="152"/>
    </row>
  </sheetData>
  <sheetProtection algorithmName="SHA-512" hashValue="z+7sBnqm9pXfMaNjgpvCa+4DQ+G5GmPSfvCJ8MIy62oR/ZqdOyLDGNGewuHEJY+tSf9BzQvi51u87HoTDOLT7A==" saltValue="gE8Pa6la7CxK9uLKOei+Rg==" spinCount="100000" sheet="1" objects="1" scenarios="1"/>
  <conditionalFormatting sqref="B5:B7 B11:B12 B18:B108 B14:B16">
    <cfRule type="expression" dxfId="63" priority="7">
      <formula>IF(B5&lt;&gt;"",TRUE,FALSE)</formula>
    </cfRule>
  </conditionalFormatting>
  <conditionalFormatting sqref="B8">
    <cfRule type="expression" dxfId="62" priority="6">
      <formula>IF(B8&lt;&gt;"",TRUE,FALSE)</formula>
    </cfRule>
  </conditionalFormatting>
  <conditionalFormatting sqref="B17">
    <cfRule type="expression" dxfId="61" priority="4">
      <formula>IF(B17&lt;&gt;"",TRUE,FALSE)</formula>
    </cfRule>
  </conditionalFormatting>
  <conditionalFormatting sqref="B9">
    <cfRule type="expression" dxfId="60" priority="3">
      <formula>IF(B9&lt;&gt;"",TRUE,FALSE)</formula>
    </cfRule>
  </conditionalFormatting>
  <conditionalFormatting sqref="B10">
    <cfRule type="expression" dxfId="59" priority="2">
      <formula>IF(B10&lt;&gt;"",TRUE,FALSE)</formula>
    </cfRule>
  </conditionalFormatting>
  <conditionalFormatting sqref="B13">
    <cfRule type="expression" dxfId="58"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tabSelected="1" zoomScaleNormal="100" workbookViewId="0">
      <selection activeCell="A3" sqref="A3"/>
    </sheetView>
  </sheetViews>
  <sheetFormatPr defaultRowHeight="14.25" x14ac:dyDescent="0.2"/>
  <cols>
    <col min="57" max="57" width="0" hidden="1" customWidth="1"/>
  </cols>
  <sheetData>
    <row r="2" spans="1:9" ht="15" x14ac:dyDescent="0.25">
      <c r="A2" s="2" t="s">
        <v>879</v>
      </c>
    </row>
    <row r="3" spans="1:9" x14ac:dyDescent="0.2">
      <c r="A3" s="273" t="s">
        <v>1304</v>
      </c>
    </row>
    <row r="4" spans="1:9" x14ac:dyDescent="0.2">
      <c r="A4" s="8"/>
      <c r="B4" s="8"/>
      <c r="C4" s="8"/>
      <c r="D4" s="8"/>
      <c r="E4" s="8"/>
      <c r="F4" s="8"/>
      <c r="G4" s="8"/>
      <c r="H4" s="8"/>
      <c r="I4" s="8"/>
    </row>
    <row r="5" spans="1:9" ht="15" x14ac:dyDescent="0.25">
      <c r="A5" s="2" t="s">
        <v>27</v>
      </c>
      <c r="C5" s="401" t="s">
        <v>872</v>
      </c>
      <c r="D5" s="402"/>
      <c r="E5" s="402"/>
      <c r="F5" s="402"/>
      <c r="G5" s="403"/>
    </row>
    <row r="7" spans="1:9" ht="15" x14ac:dyDescent="0.25">
      <c r="A7" s="2" t="s">
        <v>28</v>
      </c>
      <c r="C7" s="401" t="s">
        <v>898</v>
      </c>
      <c r="D7" s="402"/>
      <c r="E7" s="402"/>
      <c r="F7" s="402"/>
      <c r="G7" s="403"/>
    </row>
    <row r="8" spans="1:9" x14ac:dyDescent="0.2">
      <c r="A8" s="8"/>
      <c r="B8" s="8"/>
      <c r="C8" s="8"/>
      <c r="D8" s="8"/>
      <c r="E8" s="8"/>
      <c r="F8" s="8"/>
      <c r="G8" s="8"/>
      <c r="H8" s="8"/>
      <c r="I8" s="8"/>
    </row>
    <row r="9" spans="1:9" x14ac:dyDescent="0.2">
      <c r="A9" s="3"/>
      <c r="B9" s="3"/>
      <c r="C9" s="3"/>
      <c r="D9" s="3"/>
      <c r="E9" s="3"/>
      <c r="F9" s="3"/>
      <c r="G9" s="3"/>
      <c r="H9" s="3"/>
      <c r="I9" s="3"/>
    </row>
    <row r="10" spans="1:9" ht="15" x14ac:dyDescent="0.25">
      <c r="A10" s="2" t="s">
        <v>51</v>
      </c>
      <c r="I10" s="4"/>
    </row>
    <row r="11" spans="1:9" x14ac:dyDescent="0.2">
      <c r="A11" s="404" t="s">
        <v>925</v>
      </c>
      <c r="B11" s="404"/>
      <c r="C11" s="404"/>
      <c r="D11" s="404"/>
      <c r="E11" s="404"/>
      <c r="F11" s="404"/>
      <c r="G11" s="404"/>
      <c r="H11" s="405"/>
      <c r="I11" s="209">
        <v>2</v>
      </c>
    </row>
    <row r="12" spans="1:9" x14ac:dyDescent="0.2">
      <c r="I12" s="4"/>
    </row>
    <row r="13" spans="1:9" ht="15" x14ac:dyDescent="0.25">
      <c r="A13" s="404" t="s">
        <v>424</v>
      </c>
      <c r="B13" s="404"/>
      <c r="C13" s="404"/>
      <c r="D13" s="404"/>
      <c r="E13" s="404"/>
      <c r="F13" s="404"/>
      <c r="G13" s="404"/>
      <c r="H13" s="405"/>
      <c r="I13" s="209" t="s">
        <v>20</v>
      </c>
    </row>
    <row r="14" spans="1:9" x14ac:dyDescent="0.2">
      <c r="I14" s="4"/>
    </row>
    <row r="15" spans="1:9" ht="15" x14ac:dyDescent="0.25">
      <c r="A15" s="404" t="s">
        <v>425</v>
      </c>
      <c r="B15" s="404"/>
      <c r="C15" s="404"/>
      <c r="D15" s="404"/>
      <c r="E15" s="404"/>
      <c r="F15" s="404"/>
      <c r="G15" s="404"/>
      <c r="H15" s="405"/>
      <c r="I15" s="209" t="s">
        <v>22</v>
      </c>
    </row>
    <row r="16" spans="1:9" x14ac:dyDescent="0.2">
      <c r="I16" s="4"/>
    </row>
    <row r="17" spans="1:9" x14ac:dyDescent="0.2">
      <c r="A17" s="404" t="s">
        <v>29</v>
      </c>
      <c r="B17" s="404"/>
      <c r="C17" s="404"/>
      <c r="D17" s="404"/>
      <c r="E17" s="404"/>
      <c r="F17" s="404"/>
      <c r="G17" s="404"/>
      <c r="H17" s="405"/>
      <c r="I17" s="209" t="s">
        <v>21</v>
      </c>
    </row>
    <row r="18" spans="1:9" x14ac:dyDescent="0.2">
      <c r="I18" s="4"/>
    </row>
    <row r="19" spans="1:9" x14ac:dyDescent="0.2">
      <c r="A19" s="404" t="s">
        <v>30</v>
      </c>
      <c r="B19" s="404"/>
      <c r="C19" s="404"/>
      <c r="D19" s="404"/>
      <c r="E19" s="404"/>
      <c r="F19" s="404"/>
      <c r="G19" s="404"/>
      <c r="H19" s="405"/>
      <c r="I19" s="209">
        <v>65</v>
      </c>
    </row>
    <row r="21" spans="1:9" x14ac:dyDescent="0.2">
      <c r="A21" t="s">
        <v>64</v>
      </c>
    </row>
    <row r="22" spans="1:9" x14ac:dyDescent="0.2">
      <c r="A22" s="141">
        <v>1</v>
      </c>
      <c r="B22" s="162" t="s">
        <v>58</v>
      </c>
    </row>
    <row r="23" spans="1:9" x14ac:dyDescent="0.2">
      <c r="A23" s="141">
        <v>2</v>
      </c>
      <c r="B23" s="162" t="s">
        <v>59</v>
      </c>
    </row>
    <row r="24" spans="1:9" x14ac:dyDescent="0.2">
      <c r="A24" s="141">
        <v>3</v>
      </c>
      <c r="B24" s="162" t="s">
        <v>60</v>
      </c>
    </row>
    <row r="26" spans="1:9" x14ac:dyDescent="0.2">
      <c r="G26" s="410" t="s">
        <v>926</v>
      </c>
      <c r="H26" s="411"/>
      <c r="I26" s="412"/>
    </row>
    <row r="27" spans="1:9" ht="19.5" customHeight="1" x14ac:dyDescent="0.2">
      <c r="A27" s="406" t="s">
        <v>31</v>
      </c>
      <c r="B27" s="407"/>
      <c r="C27" s="408" t="s">
        <v>1300</v>
      </c>
      <c r="D27" s="409"/>
      <c r="E27" s="409"/>
      <c r="F27" s="409"/>
      <c r="G27" s="413">
        <v>30</v>
      </c>
      <c r="H27" s="413"/>
      <c r="I27" s="413"/>
    </row>
    <row r="28" spans="1:9" ht="19.5" customHeight="1" x14ac:dyDescent="0.2">
      <c r="A28" s="406" t="s">
        <v>33</v>
      </c>
      <c r="B28" s="407"/>
      <c r="C28" s="408" t="s">
        <v>1301</v>
      </c>
      <c r="D28" s="409"/>
      <c r="E28" s="409"/>
      <c r="F28" s="409"/>
      <c r="G28" s="413">
        <v>30</v>
      </c>
      <c r="H28" s="413"/>
      <c r="I28" s="413"/>
    </row>
    <row r="29" spans="1:9" ht="19.5" hidden="1" customHeight="1" x14ac:dyDescent="0.2">
      <c r="A29" s="406" t="s">
        <v>35</v>
      </c>
      <c r="B29" s="407"/>
      <c r="C29" s="414" t="s">
        <v>36</v>
      </c>
      <c r="D29" s="415"/>
      <c r="E29" s="415"/>
      <c r="F29" s="416"/>
      <c r="G29" s="398">
        <v>20</v>
      </c>
      <c r="H29" s="399"/>
      <c r="I29" s="400"/>
    </row>
    <row r="30" spans="1:9" ht="19.5" hidden="1" customHeight="1" x14ac:dyDescent="0.2">
      <c r="A30" s="406" t="s">
        <v>37</v>
      </c>
      <c r="B30" s="407"/>
      <c r="C30" s="414" t="s">
        <v>38</v>
      </c>
      <c r="D30" s="415"/>
      <c r="E30" s="415"/>
      <c r="F30" s="416"/>
      <c r="G30" s="398">
        <v>0</v>
      </c>
      <c r="H30" s="399"/>
      <c r="I30" s="400"/>
    </row>
    <row r="31" spans="1:9" ht="19.5" hidden="1" customHeight="1" x14ac:dyDescent="0.2">
      <c r="A31" s="406" t="s">
        <v>39</v>
      </c>
      <c r="B31" s="407"/>
      <c r="C31" s="414" t="s">
        <v>40</v>
      </c>
      <c r="D31" s="415"/>
      <c r="E31" s="415"/>
      <c r="F31" s="416"/>
      <c r="G31" s="398">
        <v>0</v>
      </c>
      <c r="H31" s="399"/>
      <c r="I31" s="400"/>
    </row>
    <row r="32" spans="1:9" ht="19.5" hidden="1" customHeight="1" x14ac:dyDescent="0.2">
      <c r="A32" s="406" t="s">
        <v>41</v>
      </c>
      <c r="B32" s="407"/>
      <c r="C32" s="414" t="s">
        <v>42</v>
      </c>
      <c r="D32" s="415"/>
      <c r="E32" s="415"/>
      <c r="F32" s="416"/>
      <c r="G32" s="398">
        <v>0</v>
      </c>
      <c r="H32" s="399"/>
      <c r="I32" s="400"/>
    </row>
    <row r="33" spans="1:9" ht="19.5" hidden="1" customHeight="1" x14ac:dyDescent="0.2">
      <c r="A33" s="406" t="s">
        <v>43</v>
      </c>
      <c r="B33" s="407"/>
      <c r="C33" s="414" t="s">
        <v>44</v>
      </c>
      <c r="D33" s="415"/>
      <c r="E33" s="415"/>
      <c r="F33" s="416"/>
      <c r="G33" s="398">
        <v>0</v>
      </c>
      <c r="H33" s="399"/>
      <c r="I33" s="400"/>
    </row>
    <row r="34" spans="1:9" ht="19.5" hidden="1" customHeight="1" x14ac:dyDescent="0.2">
      <c r="A34" s="406" t="s">
        <v>45</v>
      </c>
      <c r="B34" s="407"/>
      <c r="C34" s="414" t="s">
        <v>46</v>
      </c>
      <c r="D34" s="415"/>
      <c r="E34" s="415"/>
      <c r="F34" s="416"/>
      <c r="G34" s="398">
        <v>0</v>
      </c>
      <c r="H34" s="399"/>
      <c r="I34" s="400"/>
    </row>
    <row r="35" spans="1:9" ht="19.5" hidden="1" customHeight="1" x14ac:dyDescent="0.2">
      <c r="A35" s="406" t="s">
        <v>47</v>
      </c>
      <c r="B35" s="407"/>
      <c r="C35" s="414" t="s">
        <v>48</v>
      </c>
      <c r="D35" s="415"/>
      <c r="E35" s="415"/>
      <c r="F35" s="416"/>
      <c r="G35" s="398">
        <v>0</v>
      </c>
      <c r="H35" s="399"/>
      <c r="I35" s="400"/>
    </row>
    <row r="36" spans="1:9" ht="19.5" hidden="1" customHeight="1" x14ac:dyDescent="0.2">
      <c r="A36" s="406" t="s">
        <v>49</v>
      </c>
      <c r="B36" s="407"/>
      <c r="C36" s="414" t="s">
        <v>50</v>
      </c>
      <c r="D36" s="415"/>
      <c r="E36" s="415"/>
      <c r="F36" s="416"/>
      <c r="G36" s="398">
        <v>0</v>
      </c>
      <c r="H36" s="399"/>
      <c r="I36" s="400"/>
    </row>
  </sheetData>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400050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zoomScaleNormal="100" workbookViewId="0">
      <pane xSplit="4" ySplit="12" topLeftCell="E13" activePane="bottomRight" state="frozenSplit"/>
      <selection activeCell="I45" sqref="I45"/>
      <selection pane="topRight" activeCell="I45" sqref="I45"/>
      <selection pane="bottomLeft" activeCell="I45" sqref="I45"/>
      <selection pane="bottomRight" activeCell="F12" sqref="F12"/>
    </sheetView>
  </sheetViews>
  <sheetFormatPr defaultRowHeight="14.25" x14ac:dyDescent="0.2"/>
  <cols>
    <col min="1" max="1" width="9" hidden="1" customWidth="1"/>
    <col min="2" max="2" width="15.5" customWidth="1"/>
    <col min="3" max="3" width="14.125" bestFit="1" customWidth="1"/>
    <col min="4" max="4" width="15.75" customWidth="1"/>
    <col min="5" max="7" width="10.625" customWidth="1"/>
    <col min="8" max="8" width="10.625" hidden="1" customWidth="1"/>
    <col min="9" max="12" width="10.625" customWidth="1"/>
    <col min="13" max="13" width="10.625" hidden="1" customWidth="1"/>
    <col min="14" max="14" width="10.625" customWidth="1"/>
    <col min="15" max="53" width="10.625" hidden="1" customWidth="1"/>
    <col min="54" max="54" width="9" hidden="1" customWidth="1"/>
    <col min="55" max="56" width="9.125" customWidth="1"/>
    <col min="59" max="59" width="9.75" bestFit="1" customWidth="1"/>
  </cols>
  <sheetData>
    <row r="1" spans="1:57" x14ac:dyDescent="0.2">
      <c r="A1" t="s">
        <v>53</v>
      </c>
    </row>
    <row r="2" spans="1:57" x14ac:dyDescent="0.2">
      <c r="B2" t="s">
        <v>103</v>
      </c>
    </row>
    <row r="3" spans="1:57" x14ac:dyDescent="0.2">
      <c r="A3" t="s">
        <v>55</v>
      </c>
      <c r="B3" t="s">
        <v>112</v>
      </c>
    </row>
    <row r="5" spans="1:57" x14ac:dyDescent="0.2">
      <c r="A5" t="s">
        <v>54</v>
      </c>
    </row>
    <row r="6" spans="1:57" x14ac:dyDescent="0.2">
      <c r="A6">
        <f ca="1">IF(LEFT($C$8,1)="H",MAX(A13:A272),MAX(MAX(A13:A272),52))</f>
        <v>151</v>
      </c>
      <c r="B6" t="s">
        <v>1204</v>
      </c>
      <c r="C6" s="330">
        <v>42461</v>
      </c>
      <c r="K6" s="72"/>
    </row>
    <row r="7" spans="1:57" ht="14.25" hidden="1" customHeight="1" x14ac:dyDescent="0.2">
      <c r="B7" t="s">
        <v>1176</v>
      </c>
      <c r="C7" s="162">
        <v>4</v>
      </c>
    </row>
    <row r="8" spans="1:57" x14ac:dyDescent="0.2">
      <c r="B8" t="s">
        <v>1177</v>
      </c>
      <c r="C8" s="332" t="s">
        <v>1294</v>
      </c>
    </row>
    <row r="9" spans="1:57" x14ac:dyDescent="0.2">
      <c r="B9" s="338" t="str">
        <f>IF(LEFT(C8,1)="M","Note: SPC Chart is disabled when using your own forecast.","")</f>
        <v/>
      </c>
    </row>
    <row r="10" spans="1:57" ht="13.9" customHeight="1" x14ac:dyDescent="0.2">
      <c r="B10" s="420" t="s">
        <v>128</v>
      </c>
      <c r="C10" s="420" t="s">
        <v>56</v>
      </c>
      <c r="D10" s="417" t="s">
        <v>1205</v>
      </c>
      <c r="E10" s="266" t="str">
        <f ca="1">OFFSET('Control sheet (hide)'!$AA$3,QUOTIENT(COLUMN(Demand!E9)-4,5),0,1,1)</f>
        <v>Test name 1</v>
      </c>
      <c r="F10" s="266"/>
      <c r="G10" s="266"/>
      <c r="H10" s="266"/>
      <c r="I10" s="266"/>
      <c r="J10" s="266" t="str">
        <f ca="1">OFFSET('Control sheet (hide)'!$AA$3,QUOTIENT(COLUMN(Demand!J9)-4,5),0,1,1)</f>
        <v>Test name 2</v>
      </c>
      <c r="K10" s="266"/>
      <c r="L10" s="266"/>
      <c r="M10" s="266"/>
      <c r="N10" s="266"/>
      <c r="O10" s="266" t="str">
        <f ca="1">OFFSET('Control sheet (hide)'!$AA$3,QUOTIENT(COLUMN(Demand!O9)-4,5),0,1,1)</f>
        <v>Modality 3</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417" t="str">
        <f>"Total"&amp;IF(Setup!$I$17&lt;&gt;"Patients","
(Patients)","")</f>
        <v>Total
(Patients)</v>
      </c>
      <c r="BD10" s="417" t="str">
        <f>"Total
("&amp;Setup!$I$17&amp;")"</f>
        <v>Total
(Minutes)</v>
      </c>
      <c r="BE10" s="417" t="s">
        <v>111</v>
      </c>
    </row>
    <row r="11" spans="1:57" ht="14.25" customHeight="1" x14ac:dyDescent="0.2">
      <c r="B11" s="420"/>
      <c r="C11" s="420"/>
      <c r="D11" s="417"/>
      <c r="E11" s="6" t="str">
        <f>IF(Setup!$I$17&lt;&gt;"Patients",Setup!$I$17&amp;":","")</f>
        <v>Minutes:</v>
      </c>
      <c r="F11" s="339">
        <v>30</v>
      </c>
      <c r="G11" s="6"/>
      <c r="H11" s="6"/>
      <c r="I11" s="6"/>
      <c r="J11" s="6" t="str">
        <f>IF(Setup!$I$17&lt;&gt;"Patients",Setup!$I$17&amp;":","")</f>
        <v>Minutes:</v>
      </c>
      <c r="K11" s="339">
        <v>40</v>
      </c>
      <c r="L11" s="6"/>
      <c r="M11" s="6"/>
      <c r="N11" s="6"/>
      <c r="O11" s="6" t="str">
        <f>IF(Setup!$I$17&lt;&gt;"Patients",Setup!$I$17&amp;":","")</f>
        <v>Minutes:</v>
      </c>
      <c r="P11" s="339">
        <v>1</v>
      </c>
      <c r="Q11" s="6"/>
      <c r="R11" s="6"/>
      <c r="S11" s="6"/>
      <c r="T11" s="6" t="str">
        <f>IF(Setup!$I$17&lt;&gt;"Patients",Setup!$I$17&amp;":","")</f>
        <v>Minutes:</v>
      </c>
      <c r="U11" s="339">
        <v>1</v>
      </c>
      <c r="V11" s="6"/>
      <c r="W11" s="6"/>
      <c r="X11" s="6"/>
      <c r="Y11" s="6" t="str">
        <f>IF(Setup!$I$17&lt;&gt;"Patients",Setup!$I$17&amp;":","")</f>
        <v>Minutes:</v>
      </c>
      <c r="Z11" s="339">
        <v>1</v>
      </c>
      <c r="AA11" s="6"/>
      <c r="AB11" s="6"/>
      <c r="AC11" s="6"/>
      <c r="AD11" s="6" t="str">
        <f>IF(Setup!$I$17&lt;&gt;"Patients",Setup!$I$17&amp;":","")</f>
        <v>Minutes:</v>
      </c>
      <c r="AE11" s="339">
        <v>1</v>
      </c>
      <c r="AF11" s="6"/>
      <c r="AG11" s="6"/>
      <c r="AH11" s="6"/>
      <c r="AI11" s="6" t="str">
        <f>IF(Setup!$I$17&lt;&gt;"Patients",Setup!$I$17&amp;":","")</f>
        <v>Minutes:</v>
      </c>
      <c r="AJ11" s="339">
        <v>1</v>
      </c>
      <c r="AK11" s="6"/>
      <c r="AL11" s="6"/>
      <c r="AM11" s="6"/>
      <c r="AN11" s="6" t="str">
        <f>IF(Setup!$I$17&lt;&gt;"Patients",Setup!$I$17&amp;":","")</f>
        <v>Minutes:</v>
      </c>
      <c r="AO11" s="339">
        <v>1</v>
      </c>
      <c r="AP11" s="6"/>
      <c r="AQ11" s="6"/>
      <c r="AR11" s="6"/>
      <c r="AS11" s="6" t="str">
        <f>IF(Setup!$I$17&lt;&gt;"Patients",Setup!$I$17&amp;":","")</f>
        <v>Minutes:</v>
      </c>
      <c r="AT11" s="339">
        <v>1</v>
      </c>
      <c r="AU11" s="6"/>
      <c r="AV11" s="6"/>
      <c r="AW11" s="6"/>
      <c r="AX11" s="6" t="str">
        <f>IF(Setup!$I$17&lt;&gt;"Patients",Setup!$I$17&amp;":","")</f>
        <v>Minutes:</v>
      </c>
      <c r="AY11" s="339">
        <v>1</v>
      </c>
      <c r="AZ11" s="6"/>
      <c r="BA11" s="6"/>
      <c r="BB11" s="6"/>
      <c r="BC11" s="417"/>
      <c r="BD11" s="417"/>
      <c r="BE11" s="417"/>
    </row>
    <row r="12" spans="1:57" ht="15" thickBot="1" x14ac:dyDescent="0.25">
      <c r="B12" s="420"/>
      <c r="C12" s="421"/>
      <c r="D12" s="419"/>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418"/>
      <c r="BD12" s="418"/>
      <c r="BE12" s="418"/>
    </row>
    <row r="13" spans="1:57" ht="15" x14ac:dyDescent="0.25">
      <c r="A13">
        <v>1</v>
      </c>
      <c r="B13" s="259">
        <f>IF(C6&lt;&gt;"",YEAR(D13),1)</f>
        <v>2016</v>
      </c>
      <c r="C13" s="260">
        <f>IF(C$6&lt;&gt;"",WEEKNUM($C$6, 21),1)</f>
        <v>13</v>
      </c>
      <c r="D13" s="392">
        <f>IF($C$6&lt;&gt;"",$C$6-WEEKDAY($C$6,3),"")</f>
        <v>42457</v>
      </c>
      <c r="E13" s="179"/>
      <c r="F13" s="180">
        <v>1</v>
      </c>
      <c r="G13" s="181">
        <v>0</v>
      </c>
      <c r="H13" s="182"/>
      <c r="I13" s="247">
        <f>IF(COUNTBLANK(E13:H13)=4,"",SUM(E13:G13)+IF(Setup!$I$15="No",0,H13))</f>
        <v>1</v>
      </c>
      <c r="J13" s="193"/>
      <c r="K13" s="194">
        <v>2</v>
      </c>
      <c r="L13" s="195">
        <v>7</v>
      </c>
      <c r="M13" s="196"/>
      <c r="N13" s="251">
        <f>IF(COUNTBLANK(J13:M13)=4,"",SUM(J13:L13)+IF(Setup!$I$15="No",0,M13))</f>
        <v>9</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f ca="1">IF('Demand background (hide)'!A4=Num_Modalities,"",SUM(Demand!I13, Demand!N13))</f>
        <v>10</v>
      </c>
      <c r="BD13" s="255">
        <f ca="1">IF(AND(A13&lt;=MaxRows,BE13&lt;&gt;"Yes"),'Demand background (hide)'!X4+IF(Setup!$I$15="Yes",'Demand background (hide)'!AJ4,0),"")</f>
        <v>390</v>
      </c>
      <c r="BE13" s="205"/>
    </row>
    <row r="14" spans="1:57" ht="15" x14ac:dyDescent="0.25">
      <c r="A14">
        <f t="shared" ref="A14:A76" ca="1" si="0">IF(BC14&lt;&gt;"",ROW(A2),"")</f>
        <v>2</v>
      </c>
      <c r="B14" s="259" t="str">
        <f t="shared" ref="B14:B77" ca="1" si="1">IF(A14&lt;=MaxRows,IF($C$6&lt;&gt;"",IF(YEAR(D14)&lt;&gt;YEAR(D13),YEAR(D14)," "),IF(C14&lt;&gt;1,"",OFFSET(B14,-C13,0,1,1)+1))," ")</f>
        <v xml:space="preserve"> </v>
      </c>
      <c r="C14" s="261">
        <f t="shared" ref="C14:C77" ca="1" si="2">IF(ROW(A2)&lt;=MaxRows,IF($C$6&lt;&gt;"",WEEKNUM(D14,21),IF(MOD((C13+1),52)&gt;0,MOD((C13+1),52),52)),"")</f>
        <v>14</v>
      </c>
      <c r="D14" s="393">
        <f t="shared" ref="D14:D77" ca="1" si="3">IF(OR(AND(ROW(A2)&lt;=MaxRows,$C$6&lt;&gt;""),AND(ROW(A14)&lt;=64,LEFT($C$8,1)&lt;&gt;"H")),D13+7,"")</f>
        <v>42464</v>
      </c>
      <c r="E14" s="183"/>
      <c r="F14" s="184">
        <v>5</v>
      </c>
      <c r="G14" s="185">
        <v>2</v>
      </c>
      <c r="H14" s="186"/>
      <c r="I14" s="248">
        <f>IF(COUNTBLANK(E14:H14)=4,"",SUM(E14:G14)+IF(Setup!$I$15="No",0,H14))</f>
        <v>7</v>
      </c>
      <c r="J14" s="197"/>
      <c r="K14" s="198">
        <v>3</v>
      </c>
      <c r="L14" s="199">
        <v>7</v>
      </c>
      <c r="M14" s="200"/>
      <c r="N14" s="252">
        <f>IF(COUNTBLANK(J14:M14)=4,"",SUM(J14:L14)+IF(Setup!$I$15="No",0,M14))</f>
        <v>10</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f ca="1">IF('Demand background (hide)'!A5=Num_Modalities,"",SUM(Demand!I14, Demand!N14))</f>
        <v>17</v>
      </c>
      <c r="BD14" s="256">
        <f ca="1">IF(AND(A14&lt;=MaxRows,BE14&lt;&gt;"Yes"),'Demand background (hide)'!X5+IF(Setup!$I$15="Yes",'Demand background (hide)'!AJ5,0),"")</f>
        <v>610</v>
      </c>
      <c r="BE14" s="206"/>
    </row>
    <row r="15" spans="1:57" ht="15" x14ac:dyDescent="0.25">
      <c r="A15">
        <f t="shared" ca="1" si="0"/>
        <v>3</v>
      </c>
      <c r="B15" s="259" t="str">
        <f t="shared" ca="1" si="1"/>
        <v xml:space="preserve"> </v>
      </c>
      <c r="C15" s="261">
        <f t="shared" ca="1" si="2"/>
        <v>15</v>
      </c>
      <c r="D15" s="393">
        <f t="shared" ca="1" si="3"/>
        <v>42471</v>
      </c>
      <c r="E15" s="183"/>
      <c r="F15" s="184">
        <v>0</v>
      </c>
      <c r="G15" s="185">
        <v>2</v>
      </c>
      <c r="H15" s="186"/>
      <c r="I15" s="248">
        <f>IF(COUNTBLANK(E15:H15)=4,"",SUM(E15:G15)+IF(Setup!$I$15="No",0,H15))</f>
        <v>2</v>
      </c>
      <c r="J15" s="197"/>
      <c r="K15" s="198">
        <v>3</v>
      </c>
      <c r="L15" s="199">
        <v>5</v>
      </c>
      <c r="M15" s="200"/>
      <c r="N15" s="252">
        <f>IF(COUNTBLANK(J15:M15)=4,"",SUM(J15:L15)+IF(Setup!$I$15="No",0,M15))</f>
        <v>8</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f ca="1">IF('Demand background (hide)'!A6=Num_Modalities,"",SUM(Demand!I15, Demand!N15))</f>
        <v>10</v>
      </c>
      <c r="BD15" s="256">
        <f ca="1">IF(AND(A15&lt;=MaxRows,BE15&lt;&gt;"Yes"),'Demand background (hide)'!X6+IF(Setup!$I$15="Yes",'Demand background (hide)'!AJ6,0),"")</f>
        <v>380</v>
      </c>
      <c r="BE15" s="206"/>
    </row>
    <row r="16" spans="1:57" ht="15" x14ac:dyDescent="0.25">
      <c r="A16">
        <f t="shared" ca="1" si="0"/>
        <v>4</v>
      </c>
      <c r="B16" s="259" t="str">
        <f t="shared" ca="1" si="1"/>
        <v xml:space="preserve"> </v>
      </c>
      <c r="C16" s="261">
        <f t="shared" ca="1" si="2"/>
        <v>16</v>
      </c>
      <c r="D16" s="393">
        <f t="shared" ca="1" si="3"/>
        <v>42478</v>
      </c>
      <c r="E16" s="183"/>
      <c r="F16" s="184">
        <v>1</v>
      </c>
      <c r="G16" s="185">
        <v>8</v>
      </c>
      <c r="H16" s="186"/>
      <c r="I16" s="248">
        <f>IF(COUNTBLANK(E16:H16)=4,"",SUM(E16:G16)+IF(Setup!$I$15="No",0,H16))</f>
        <v>9</v>
      </c>
      <c r="J16" s="197"/>
      <c r="K16" s="198">
        <v>3</v>
      </c>
      <c r="L16" s="199">
        <v>9</v>
      </c>
      <c r="M16" s="200"/>
      <c r="N16" s="252">
        <f>IF(COUNTBLANK(J16:M16)=4,"",SUM(J16:L16)+IF(Setup!$I$15="No",0,M16))</f>
        <v>12</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f ca="1">IF('Demand background (hide)'!A7=Num_Modalities,"",SUM(Demand!I16, Demand!N16))</f>
        <v>21</v>
      </c>
      <c r="BD16" s="256">
        <f ca="1">IF(AND(A16&lt;=MaxRows,BE16&lt;&gt;"Yes"),'Demand background (hide)'!X7+IF(Setup!$I$15="Yes",'Demand background (hide)'!AJ7,0),"")</f>
        <v>750</v>
      </c>
      <c r="BE16" s="206"/>
    </row>
    <row r="17" spans="1:57" ht="15" x14ac:dyDescent="0.25">
      <c r="A17">
        <f t="shared" ca="1" si="0"/>
        <v>5</v>
      </c>
      <c r="B17" s="259" t="str">
        <f t="shared" ca="1" si="1"/>
        <v xml:space="preserve"> </v>
      </c>
      <c r="C17" s="261">
        <f t="shared" ca="1" si="2"/>
        <v>17</v>
      </c>
      <c r="D17" s="393">
        <f t="shared" ca="1" si="3"/>
        <v>42485</v>
      </c>
      <c r="E17" s="183"/>
      <c r="F17" s="184">
        <v>1</v>
      </c>
      <c r="G17" s="185">
        <v>2</v>
      </c>
      <c r="H17" s="186"/>
      <c r="I17" s="248">
        <f>IF(COUNTBLANK(E17:H17)=4,"",SUM(E17:G17)+IF(Setup!$I$15="No",0,H17))</f>
        <v>3</v>
      </c>
      <c r="J17" s="197"/>
      <c r="K17" s="198">
        <v>3</v>
      </c>
      <c r="L17" s="199">
        <v>7</v>
      </c>
      <c r="M17" s="200"/>
      <c r="N17" s="252">
        <f>IF(COUNTBLANK(J17:M17)=4,"",SUM(J17:L17)+IF(Setup!$I$15="No",0,M17))</f>
        <v>10</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f ca="1">IF('Demand background (hide)'!A8=Num_Modalities,"",SUM(Demand!I17, Demand!N17))</f>
        <v>13</v>
      </c>
      <c r="BD17" s="256">
        <f ca="1">IF(AND(A17&lt;=MaxRows,BE17&lt;&gt;"Yes"),'Demand background (hide)'!X8+IF(Setup!$I$15="Yes",'Demand background (hide)'!AJ8,0),"")</f>
        <v>490</v>
      </c>
      <c r="BE17" s="206"/>
    </row>
    <row r="18" spans="1:57" ht="15" x14ac:dyDescent="0.25">
      <c r="A18">
        <f t="shared" ca="1" si="0"/>
        <v>6</v>
      </c>
      <c r="B18" s="259" t="str">
        <f t="shared" ca="1" si="1"/>
        <v xml:space="preserve"> </v>
      </c>
      <c r="C18" s="261">
        <f t="shared" ca="1" si="2"/>
        <v>18</v>
      </c>
      <c r="D18" s="393">
        <f t="shared" ca="1" si="3"/>
        <v>42492</v>
      </c>
      <c r="E18" s="183"/>
      <c r="F18" s="184">
        <v>0</v>
      </c>
      <c r="G18" s="185">
        <v>4</v>
      </c>
      <c r="H18" s="186"/>
      <c r="I18" s="248">
        <f>IF(COUNTBLANK(E18:H18)=4,"",SUM(E18:G18)+IF(Setup!$I$15="No",0,H18))</f>
        <v>4</v>
      </c>
      <c r="J18" s="197"/>
      <c r="K18" s="198">
        <v>2</v>
      </c>
      <c r="L18" s="199">
        <v>5</v>
      </c>
      <c r="M18" s="200"/>
      <c r="N18" s="252">
        <f>IF(COUNTBLANK(J18:M18)=4,"",SUM(J18:L18)+IF(Setup!$I$15="No",0,M18))</f>
        <v>7</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f ca="1">IF('Demand background (hide)'!A9=Num_Modalities,"",SUM(Demand!I18, Demand!N18))</f>
        <v>11</v>
      </c>
      <c r="BD18" s="256">
        <f ca="1">IF(AND(A18&lt;=MaxRows,BE18&lt;&gt;"Yes"),'Demand background (hide)'!X9+IF(Setup!$I$15="Yes",'Demand background (hide)'!AJ9,0),"")</f>
        <v>400</v>
      </c>
      <c r="BE18" s="206"/>
    </row>
    <row r="19" spans="1:57" ht="15" x14ac:dyDescent="0.25">
      <c r="A19">
        <f t="shared" ca="1" si="0"/>
        <v>7</v>
      </c>
      <c r="B19" s="259" t="str">
        <f t="shared" ca="1" si="1"/>
        <v xml:space="preserve"> </v>
      </c>
      <c r="C19" s="261">
        <f t="shared" ca="1" si="2"/>
        <v>19</v>
      </c>
      <c r="D19" s="393">
        <f t="shared" ca="1" si="3"/>
        <v>42499</v>
      </c>
      <c r="E19" s="183"/>
      <c r="F19" s="184">
        <v>1</v>
      </c>
      <c r="G19" s="185">
        <v>4</v>
      </c>
      <c r="H19" s="186"/>
      <c r="I19" s="248">
        <f>IF(COUNTBLANK(E19:H19)=4,"",SUM(E19:G19)+IF(Setup!$I$15="No",0,H19))</f>
        <v>5</v>
      </c>
      <c r="J19" s="197"/>
      <c r="K19" s="198">
        <v>2</v>
      </c>
      <c r="L19" s="199">
        <v>9</v>
      </c>
      <c r="M19" s="200"/>
      <c r="N19" s="252">
        <f>IF(COUNTBLANK(J19:M19)=4,"",SUM(J19:L19)+IF(Setup!$I$15="No",0,M19))</f>
        <v>11</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f ca="1">IF('Demand background (hide)'!A10=Num_Modalities,"",SUM(Demand!I19, Demand!N19))</f>
        <v>16</v>
      </c>
      <c r="BD19" s="256">
        <f ca="1">IF(AND(A19&lt;=MaxRows,BE19&lt;&gt;"Yes"),'Demand background (hide)'!X10+IF(Setup!$I$15="Yes",'Demand background (hide)'!AJ10,0),"")</f>
        <v>590</v>
      </c>
      <c r="BE19" s="206"/>
    </row>
    <row r="20" spans="1:57" ht="15" x14ac:dyDescent="0.25">
      <c r="A20">
        <f t="shared" ca="1" si="0"/>
        <v>8</v>
      </c>
      <c r="B20" s="259" t="str">
        <f t="shared" ca="1" si="1"/>
        <v xml:space="preserve"> </v>
      </c>
      <c r="C20" s="261">
        <f t="shared" ca="1" si="2"/>
        <v>20</v>
      </c>
      <c r="D20" s="393">
        <f t="shared" ca="1" si="3"/>
        <v>42506</v>
      </c>
      <c r="E20" s="183"/>
      <c r="F20" s="184">
        <v>0</v>
      </c>
      <c r="G20" s="185">
        <v>3</v>
      </c>
      <c r="H20" s="186"/>
      <c r="I20" s="248">
        <f>IF(COUNTBLANK(E20:H20)=4,"",SUM(E20:G20)+IF(Setup!$I$15="No",0,H20))</f>
        <v>3</v>
      </c>
      <c r="J20" s="197"/>
      <c r="K20" s="198">
        <v>2</v>
      </c>
      <c r="L20" s="199">
        <v>7</v>
      </c>
      <c r="M20" s="200"/>
      <c r="N20" s="252">
        <f>IF(COUNTBLANK(J20:M20)=4,"",SUM(J20:L20)+IF(Setup!$I$15="No",0,M20))</f>
        <v>9</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f ca="1">IF('Demand background (hide)'!A11=Num_Modalities,"",SUM(Demand!I20, Demand!N20))</f>
        <v>12</v>
      </c>
      <c r="BD20" s="256">
        <f ca="1">IF(AND(A20&lt;=MaxRows,BE20&lt;&gt;"Yes"),'Demand background (hide)'!X11+IF(Setup!$I$15="Yes",'Demand background (hide)'!AJ11,0),"")</f>
        <v>450</v>
      </c>
      <c r="BE20" s="206"/>
    </row>
    <row r="21" spans="1:57" ht="15" x14ac:dyDescent="0.25">
      <c r="A21">
        <f t="shared" ca="1" si="0"/>
        <v>9</v>
      </c>
      <c r="B21" s="259" t="str">
        <f t="shared" ca="1" si="1"/>
        <v xml:space="preserve"> </v>
      </c>
      <c r="C21" s="261">
        <f t="shared" ca="1" si="2"/>
        <v>21</v>
      </c>
      <c r="D21" s="393">
        <f t="shared" ca="1" si="3"/>
        <v>42513</v>
      </c>
      <c r="E21" s="183"/>
      <c r="F21" s="184">
        <v>2</v>
      </c>
      <c r="G21" s="185">
        <v>0</v>
      </c>
      <c r="H21" s="186"/>
      <c r="I21" s="248">
        <f>IF(COUNTBLANK(E21:H21)=4,"",SUM(E21:G21)+IF(Setup!$I$15="No",0,H21))</f>
        <v>2</v>
      </c>
      <c r="J21" s="197"/>
      <c r="K21" s="198">
        <v>0</v>
      </c>
      <c r="L21" s="199">
        <v>5</v>
      </c>
      <c r="M21" s="200"/>
      <c r="N21" s="252">
        <f>IF(COUNTBLANK(J21:M21)=4,"",SUM(J21:L21)+IF(Setup!$I$15="No",0,M21))</f>
        <v>5</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f ca="1">IF('Demand background (hide)'!A12=Num_Modalities,"",SUM(Demand!I21, Demand!N21))</f>
        <v>7</v>
      </c>
      <c r="BD21" s="256">
        <f ca="1">IF(AND(A21&lt;=MaxRows,BE21&lt;&gt;"Yes"),'Demand background (hide)'!X12+IF(Setup!$I$15="Yes",'Demand background (hide)'!AJ12,0),"")</f>
        <v>260</v>
      </c>
      <c r="BE21" s="206"/>
    </row>
    <row r="22" spans="1:57" ht="15" x14ac:dyDescent="0.25">
      <c r="A22">
        <f t="shared" ca="1" si="0"/>
        <v>10</v>
      </c>
      <c r="B22" s="259" t="str">
        <f t="shared" ca="1" si="1"/>
        <v xml:space="preserve"> </v>
      </c>
      <c r="C22" s="261">
        <f t="shared" ca="1" si="2"/>
        <v>22</v>
      </c>
      <c r="D22" s="393">
        <f t="shared" ca="1" si="3"/>
        <v>42520</v>
      </c>
      <c r="E22" s="183"/>
      <c r="F22" s="184">
        <v>4</v>
      </c>
      <c r="G22" s="185">
        <v>4</v>
      </c>
      <c r="H22" s="186"/>
      <c r="I22" s="248">
        <f>IF(COUNTBLANK(E22:H22)=4,"",SUM(E22:G22)+IF(Setup!$I$15="No",0,H22))</f>
        <v>8</v>
      </c>
      <c r="J22" s="197"/>
      <c r="K22" s="198">
        <v>1</v>
      </c>
      <c r="L22" s="199">
        <v>8</v>
      </c>
      <c r="M22" s="200"/>
      <c r="N22" s="252">
        <f>IF(COUNTBLANK(J22:M22)=4,"",SUM(J22:L22)+IF(Setup!$I$15="No",0,M22))</f>
        <v>9</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f ca="1">IF('Demand background (hide)'!A13=Num_Modalities,"",SUM(Demand!I22, Demand!N22))</f>
        <v>17</v>
      </c>
      <c r="BD22" s="256">
        <f ca="1">IF(AND(A22&lt;=MaxRows,BE22&lt;&gt;"Yes"),'Demand background (hide)'!X13+IF(Setup!$I$15="Yes",'Demand background (hide)'!AJ13,0),"")</f>
        <v>600</v>
      </c>
      <c r="BE22" s="206"/>
    </row>
    <row r="23" spans="1:57" ht="15" x14ac:dyDescent="0.25">
      <c r="A23">
        <f t="shared" ca="1" si="0"/>
        <v>11</v>
      </c>
      <c r="B23" s="259" t="str">
        <f t="shared" ca="1" si="1"/>
        <v xml:space="preserve"> </v>
      </c>
      <c r="C23" s="261">
        <f t="shared" ca="1" si="2"/>
        <v>23</v>
      </c>
      <c r="D23" s="393">
        <f t="shared" ca="1" si="3"/>
        <v>42527</v>
      </c>
      <c r="E23" s="183"/>
      <c r="F23" s="184">
        <v>2</v>
      </c>
      <c r="G23" s="185">
        <v>2</v>
      </c>
      <c r="H23" s="186"/>
      <c r="I23" s="248">
        <f>IF(COUNTBLANK(E23:H23)=4,"",SUM(E23:G23)+IF(Setup!$I$15="No",0,H23))</f>
        <v>4</v>
      </c>
      <c r="J23" s="197"/>
      <c r="K23" s="198">
        <v>0</v>
      </c>
      <c r="L23" s="199">
        <v>14</v>
      </c>
      <c r="M23" s="200"/>
      <c r="N23" s="252">
        <f>IF(COUNTBLANK(J23:M23)=4,"",SUM(J23:L23)+IF(Setup!$I$15="No",0,M23))</f>
        <v>14</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f ca="1">IF('Demand background (hide)'!A14=Num_Modalities,"",SUM(Demand!I23, Demand!N23))</f>
        <v>18</v>
      </c>
      <c r="BD23" s="256">
        <f ca="1">IF(AND(A23&lt;=MaxRows,BE23&lt;&gt;"Yes"),'Demand background (hide)'!X14+IF(Setup!$I$15="Yes",'Demand background (hide)'!AJ14,0),"")</f>
        <v>680</v>
      </c>
      <c r="BE23" s="206"/>
    </row>
    <row r="24" spans="1:57" ht="15" x14ac:dyDescent="0.25">
      <c r="A24">
        <f t="shared" ca="1" si="0"/>
        <v>12</v>
      </c>
      <c r="B24" s="259" t="str">
        <f t="shared" ca="1" si="1"/>
        <v xml:space="preserve"> </v>
      </c>
      <c r="C24" s="261">
        <f t="shared" ca="1" si="2"/>
        <v>24</v>
      </c>
      <c r="D24" s="393">
        <f t="shared" ca="1" si="3"/>
        <v>42534</v>
      </c>
      <c r="E24" s="183"/>
      <c r="F24" s="184">
        <v>2</v>
      </c>
      <c r="G24" s="185">
        <v>3</v>
      </c>
      <c r="H24" s="186"/>
      <c r="I24" s="248">
        <f>IF(COUNTBLANK(E24:H24)=4,"",SUM(E24:G24)+IF(Setup!$I$15="No",0,H24))</f>
        <v>5</v>
      </c>
      <c r="J24" s="197"/>
      <c r="K24" s="198">
        <v>2</v>
      </c>
      <c r="L24" s="199">
        <v>3</v>
      </c>
      <c r="M24" s="200"/>
      <c r="N24" s="252">
        <f>IF(COUNTBLANK(J24:M24)=4,"",SUM(J24:L24)+IF(Setup!$I$15="No",0,M24))</f>
        <v>5</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f ca="1">IF('Demand background (hide)'!A15=Num_Modalities,"",SUM(Demand!I24, Demand!N24))</f>
        <v>10</v>
      </c>
      <c r="BD24" s="256">
        <f ca="1">IF(AND(A24&lt;=MaxRows,BE24&lt;&gt;"Yes"),'Demand background (hide)'!X15+IF(Setup!$I$15="Yes",'Demand background (hide)'!AJ15,0),"")</f>
        <v>350</v>
      </c>
      <c r="BE24" s="206"/>
    </row>
    <row r="25" spans="1:57" ht="15" x14ac:dyDescent="0.25">
      <c r="A25">
        <f t="shared" ca="1" si="0"/>
        <v>13</v>
      </c>
      <c r="B25" s="259" t="str">
        <f t="shared" ca="1" si="1"/>
        <v xml:space="preserve"> </v>
      </c>
      <c r="C25" s="261">
        <f t="shared" ca="1" si="2"/>
        <v>25</v>
      </c>
      <c r="D25" s="393">
        <f t="shared" ca="1" si="3"/>
        <v>42541</v>
      </c>
      <c r="E25" s="183"/>
      <c r="F25" s="184">
        <v>2</v>
      </c>
      <c r="G25" s="185">
        <v>2</v>
      </c>
      <c r="H25" s="186"/>
      <c r="I25" s="248">
        <f>IF(COUNTBLANK(E25:H25)=4,"",SUM(E25:G25)+IF(Setup!$I$15="No",0,H25))</f>
        <v>4</v>
      </c>
      <c r="J25" s="197"/>
      <c r="K25" s="198">
        <v>0</v>
      </c>
      <c r="L25" s="199">
        <v>7</v>
      </c>
      <c r="M25" s="200"/>
      <c r="N25" s="252">
        <f>IF(COUNTBLANK(J25:M25)=4,"",SUM(J25:L25)+IF(Setup!$I$15="No",0,M25))</f>
        <v>7</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f ca="1">IF('Demand background (hide)'!A16=Num_Modalities,"",SUM(Demand!I25, Demand!N25))</f>
        <v>11</v>
      </c>
      <c r="BD25" s="256">
        <f ca="1">IF(AND(A25&lt;=MaxRows,BE25&lt;&gt;"Yes"),'Demand background (hide)'!X16+IF(Setup!$I$15="Yes",'Demand background (hide)'!AJ16,0),"")</f>
        <v>400</v>
      </c>
      <c r="BE25" s="206"/>
    </row>
    <row r="26" spans="1:57" ht="15" x14ac:dyDescent="0.25">
      <c r="A26">
        <f t="shared" ca="1" si="0"/>
        <v>14</v>
      </c>
      <c r="B26" s="259" t="str">
        <f t="shared" ca="1" si="1"/>
        <v xml:space="preserve"> </v>
      </c>
      <c r="C26" s="261">
        <f t="shared" ca="1" si="2"/>
        <v>26</v>
      </c>
      <c r="D26" s="393">
        <f t="shared" ca="1" si="3"/>
        <v>42548</v>
      </c>
      <c r="E26" s="183"/>
      <c r="F26" s="184">
        <v>1</v>
      </c>
      <c r="G26" s="185">
        <v>4</v>
      </c>
      <c r="H26" s="186"/>
      <c r="I26" s="248">
        <f>IF(COUNTBLANK(E26:H26)=4,"",SUM(E26:G26)+IF(Setup!$I$15="No",0,H26))</f>
        <v>5</v>
      </c>
      <c r="J26" s="197"/>
      <c r="K26" s="198">
        <v>3</v>
      </c>
      <c r="L26" s="199">
        <v>10</v>
      </c>
      <c r="M26" s="200"/>
      <c r="N26" s="252">
        <f>IF(COUNTBLANK(J26:M26)=4,"",SUM(J26:L26)+IF(Setup!$I$15="No",0,M26))</f>
        <v>13</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f ca="1">IF('Demand background (hide)'!A17=Num_Modalities,"",SUM(Demand!I26, Demand!N26))</f>
        <v>18</v>
      </c>
      <c r="BD26" s="256">
        <f ca="1">IF(AND(A26&lt;=MaxRows,BE26&lt;&gt;"Yes"),'Demand background (hide)'!X17+IF(Setup!$I$15="Yes",'Demand background (hide)'!AJ17,0),"")</f>
        <v>670</v>
      </c>
      <c r="BE26" s="206"/>
    </row>
    <row r="27" spans="1:57" ht="15" x14ac:dyDescent="0.25">
      <c r="A27">
        <f t="shared" ca="1" si="0"/>
        <v>15</v>
      </c>
      <c r="B27" s="259" t="str">
        <f t="shared" ca="1" si="1"/>
        <v xml:space="preserve"> </v>
      </c>
      <c r="C27" s="261">
        <f t="shared" ca="1" si="2"/>
        <v>27</v>
      </c>
      <c r="D27" s="393">
        <f t="shared" ca="1" si="3"/>
        <v>42555</v>
      </c>
      <c r="E27" s="183"/>
      <c r="F27" s="184">
        <v>2</v>
      </c>
      <c r="G27" s="185">
        <v>1</v>
      </c>
      <c r="H27" s="186"/>
      <c r="I27" s="248">
        <f>IF(COUNTBLANK(E27:H27)=4,"",SUM(E27:G27)+IF(Setup!$I$15="No",0,H27))</f>
        <v>3</v>
      </c>
      <c r="J27" s="197"/>
      <c r="K27" s="198">
        <v>2</v>
      </c>
      <c r="L27" s="199">
        <v>9</v>
      </c>
      <c r="M27" s="200"/>
      <c r="N27" s="252">
        <f>IF(COUNTBLANK(J27:M27)=4,"",SUM(J27:L27)+IF(Setup!$I$15="No",0,M27))</f>
        <v>11</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f ca="1">IF('Demand background (hide)'!A18=Num_Modalities,"",SUM(Demand!I27, Demand!N27))</f>
        <v>14</v>
      </c>
      <c r="BD27" s="256">
        <f ca="1">IF(AND(A27&lt;=MaxRows,BE27&lt;&gt;"Yes"),'Demand background (hide)'!X18+IF(Setup!$I$15="Yes",'Demand background (hide)'!AJ18,0),"")</f>
        <v>530</v>
      </c>
      <c r="BE27" s="206"/>
    </row>
    <row r="28" spans="1:57" ht="15" x14ac:dyDescent="0.25">
      <c r="A28">
        <f t="shared" ca="1" si="0"/>
        <v>16</v>
      </c>
      <c r="B28" s="259" t="str">
        <f t="shared" ca="1" si="1"/>
        <v xml:space="preserve"> </v>
      </c>
      <c r="C28" s="261">
        <f t="shared" ca="1" si="2"/>
        <v>28</v>
      </c>
      <c r="D28" s="393">
        <f t="shared" ca="1" si="3"/>
        <v>42562</v>
      </c>
      <c r="E28" s="183"/>
      <c r="F28" s="184">
        <v>2</v>
      </c>
      <c r="G28" s="185">
        <v>3</v>
      </c>
      <c r="H28" s="186"/>
      <c r="I28" s="248">
        <f>IF(COUNTBLANK(E28:H28)=4,"",SUM(E28:G28)+IF(Setup!$I$15="No",0,H28))</f>
        <v>5</v>
      </c>
      <c r="J28" s="197"/>
      <c r="K28" s="198">
        <v>2</v>
      </c>
      <c r="L28" s="199">
        <v>7</v>
      </c>
      <c r="M28" s="200"/>
      <c r="N28" s="252">
        <f>IF(COUNTBLANK(J28:M28)=4,"",SUM(J28:L28)+IF(Setup!$I$15="No",0,M28))</f>
        <v>9</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f ca="1">IF('Demand background (hide)'!A19=Num_Modalities,"",SUM(Demand!I28, Demand!N28))</f>
        <v>14</v>
      </c>
      <c r="BD28" s="256">
        <f ca="1">IF(AND(A28&lt;=MaxRows,BE28&lt;&gt;"Yes"),'Demand background (hide)'!X19+IF(Setup!$I$15="Yes",'Demand background (hide)'!AJ19,0),"")</f>
        <v>510</v>
      </c>
      <c r="BE28" s="206"/>
    </row>
    <row r="29" spans="1:57" ht="15" x14ac:dyDescent="0.25">
      <c r="A29">
        <f t="shared" ca="1" si="0"/>
        <v>17</v>
      </c>
      <c r="B29" s="259" t="str">
        <f t="shared" ca="1" si="1"/>
        <v xml:space="preserve"> </v>
      </c>
      <c r="C29" s="261">
        <f t="shared" ca="1" si="2"/>
        <v>29</v>
      </c>
      <c r="D29" s="393">
        <f t="shared" ca="1" si="3"/>
        <v>42569</v>
      </c>
      <c r="E29" s="183"/>
      <c r="F29" s="184">
        <v>2</v>
      </c>
      <c r="G29" s="185">
        <v>6</v>
      </c>
      <c r="H29" s="186"/>
      <c r="I29" s="248">
        <f>IF(COUNTBLANK(E29:H29)=4,"",SUM(E29:G29)+IF(Setup!$I$15="No",0,H29))</f>
        <v>8</v>
      </c>
      <c r="J29" s="197"/>
      <c r="K29" s="198">
        <v>2</v>
      </c>
      <c r="L29" s="199">
        <v>7</v>
      </c>
      <c r="M29" s="200"/>
      <c r="N29" s="252">
        <f>IF(COUNTBLANK(J29:M29)=4,"",SUM(J29:L29)+IF(Setup!$I$15="No",0,M29))</f>
        <v>9</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f ca="1">IF('Demand background (hide)'!A20=Num_Modalities,"",SUM(Demand!I29, Demand!N29))</f>
        <v>17</v>
      </c>
      <c r="BD29" s="256">
        <f ca="1">IF(AND(A29&lt;=MaxRows,BE29&lt;&gt;"Yes"),'Demand background (hide)'!X20+IF(Setup!$I$15="Yes",'Demand background (hide)'!AJ20,0),"")</f>
        <v>600</v>
      </c>
      <c r="BE29" s="206"/>
    </row>
    <row r="30" spans="1:57" ht="15" x14ac:dyDescent="0.25">
      <c r="A30">
        <f t="shared" ca="1" si="0"/>
        <v>18</v>
      </c>
      <c r="B30" s="259" t="str">
        <f t="shared" ca="1" si="1"/>
        <v xml:space="preserve"> </v>
      </c>
      <c r="C30" s="261">
        <f t="shared" ca="1" si="2"/>
        <v>30</v>
      </c>
      <c r="D30" s="393">
        <f t="shared" ca="1" si="3"/>
        <v>42576</v>
      </c>
      <c r="E30" s="183"/>
      <c r="F30" s="184">
        <v>2</v>
      </c>
      <c r="G30" s="185">
        <v>2</v>
      </c>
      <c r="H30" s="186"/>
      <c r="I30" s="248">
        <f>IF(COUNTBLANK(E30:H30)=4,"",SUM(E30:G30)+IF(Setup!$I$15="No",0,H30))</f>
        <v>4</v>
      </c>
      <c r="J30" s="197"/>
      <c r="K30" s="198">
        <v>1</v>
      </c>
      <c r="L30" s="199">
        <v>9</v>
      </c>
      <c r="M30" s="200"/>
      <c r="N30" s="252">
        <f>IF(COUNTBLANK(J30:M30)=4,"",SUM(J30:L30)+IF(Setup!$I$15="No",0,M30))</f>
        <v>10</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f ca="1">IF('Demand background (hide)'!A21=Num_Modalities,"",SUM(Demand!I30, Demand!N30))</f>
        <v>14</v>
      </c>
      <c r="BD30" s="256">
        <f ca="1">IF(AND(A30&lt;=MaxRows,BE30&lt;&gt;"Yes"),'Demand background (hide)'!X21+IF(Setup!$I$15="Yes",'Demand background (hide)'!AJ21,0),"")</f>
        <v>520</v>
      </c>
      <c r="BE30" s="206"/>
    </row>
    <row r="31" spans="1:57" ht="15" x14ac:dyDescent="0.25">
      <c r="A31">
        <f t="shared" ca="1" si="0"/>
        <v>19</v>
      </c>
      <c r="B31" s="259" t="str">
        <f t="shared" ca="1" si="1"/>
        <v xml:space="preserve"> </v>
      </c>
      <c r="C31" s="261">
        <f t="shared" ca="1" si="2"/>
        <v>31</v>
      </c>
      <c r="D31" s="393">
        <f t="shared" ca="1" si="3"/>
        <v>42583</v>
      </c>
      <c r="E31" s="183"/>
      <c r="F31" s="184">
        <v>1</v>
      </c>
      <c r="G31" s="185">
        <v>7</v>
      </c>
      <c r="H31" s="186"/>
      <c r="I31" s="248">
        <f>IF(COUNTBLANK(E31:H31)=4,"",SUM(E31:G31)+IF(Setup!$I$15="No",0,H31))</f>
        <v>8</v>
      </c>
      <c r="J31" s="197"/>
      <c r="K31" s="198">
        <v>1</v>
      </c>
      <c r="L31" s="199">
        <v>8</v>
      </c>
      <c r="M31" s="200"/>
      <c r="N31" s="252">
        <f>IF(COUNTBLANK(J31:M31)=4,"",SUM(J31:L31)+IF(Setup!$I$15="No",0,M31))</f>
        <v>9</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f ca="1">IF('Demand background (hide)'!A22=Num_Modalities,"",SUM(Demand!I31, Demand!N31))</f>
        <v>17</v>
      </c>
      <c r="BD31" s="256">
        <f ca="1">IF(AND(A31&lt;=MaxRows,BE31&lt;&gt;"Yes"),'Demand background (hide)'!X22+IF(Setup!$I$15="Yes",'Demand background (hide)'!AJ22,0),"")</f>
        <v>600</v>
      </c>
      <c r="BE31" s="206"/>
    </row>
    <row r="32" spans="1:57" ht="15" x14ac:dyDescent="0.25">
      <c r="A32">
        <f t="shared" ca="1" si="0"/>
        <v>20</v>
      </c>
      <c r="B32" s="259" t="str">
        <f t="shared" ca="1" si="1"/>
        <v xml:space="preserve"> </v>
      </c>
      <c r="C32" s="261">
        <f t="shared" ca="1" si="2"/>
        <v>32</v>
      </c>
      <c r="D32" s="393">
        <f t="shared" ca="1" si="3"/>
        <v>42590</v>
      </c>
      <c r="E32" s="183"/>
      <c r="F32" s="184">
        <v>1</v>
      </c>
      <c r="G32" s="185">
        <v>4</v>
      </c>
      <c r="H32" s="186"/>
      <c r="I32" s="248">
        <f>IF(COUNTBLANK(E32:H32)=4,"",SUM(E32:G32)+IF(Setup!$I$15="No",0,H32))</f>
        <v>5</v>
      </c>
      <c r="J32" s="197"/>
      <c r="K32" s="198">
        <v>3</v>
      </c>
      <c r="L32" s="199">
        <v>11</v>
      </c>
      <c r="M32" s="200"/>
      <c r="N32" s="252">
        <f>IF(COUNTBLANK(J32:M32)=4,"",SUM(J32:L32)+IF(Setup!$I$15="No",0,M32))</f>
        <v>14</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f ca="1">IF('Demand background (hide)'!A23=Num_Modalities,"",SUM(Demand!I32, Demand!N32))</f>
        <v>19</v>
      </c>
      <c r="BD32" s="256">
        <f ca="1">IF(AND(A32&lt;=MaxRows,BE32&lt;&gt;"Yes"),'Demand background (hide)'!X23+IF(Setup!$I$15="Yes",'Demand background (hide)'!AJ23,0),"")</f>
        <v>710</v>
      </c>
      <c r="BE32" s="206"/>
    </row>
    <row r="33" spans="1:57" ht="15" x14ac:dyDescent="0.25">
      <c r="A33">
        <f t="shared" ca="1" si="0"/>
        <v>21</v>
      </c>
      <c r="B33" s="259" t="str">
        <f t="shared" ca="1" si="1"/>
        <v xml:space="preserve"> </v>
      </c>
      <c r="C33" s="261">
        <f t="shared" ca="1" si="2"/>
        <v>33</v>
      </c>
      <c r="D33" s="393">
        <f t="shared" ca="1" si="3"/>
        <v>42597</v>
      </c>
      <c r="E33" s="183"/>
      <c r="F33" s="184">
        <v>3</v>
      </c>
      <c r="G33" s="185">
        <v>6</v>
      </c>
      <c r="H33" s="186"/>
      <c r="I33" s="248">
        <f>IF(COUNTBLANK(E33:H33)=4,"",SUM(E33:G33)+IF(Setup!$I$15="No",0,H33))</f>
        <v>9</v>
      </c>
      <c r="J33" s="197"/>
      <c r="K33" s="198">
        <v>3</v>
      </c>
      <c r="L33" s="199">
        <v>7</v>
      </c>
      <c r="M33" s="200"/>
      <c r="N33" s="252">
        <f>IF(COUNTBLANK(J33:M33)=4,"",SUM(J33:L33)+IF(Setup!$I$15="No",0,M33))</f>
        <v>10</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f ca="1">IF('Demand background (hide)'!A24=Num_Modalities,"",SUM(Demand!I33, Demand!N33))</f>
        <v>19</v>
      </c>
      <c r="BD33" s="256">
        <f ca="1">IF(AND(A33&lt;=MaxRows,BE33&lt;&gt;"Yes"),'Demand background (hide)'!X24+IF(Setup!$I$15="Yes",'Demand background (hide)'!AJ24,0),"")</f>
        <v>670</v>
      </c>
      <c r="BE33" s="206"/>
    </row>
    <row r="34" spans="1:57" ht="15" x14ac:dyDescent="0.25">
      <c r="A34">
        <f t="shared" ca="1" si="0"/>
        <v>22</v>
      </c>
      <c r="B34" s="259" t="str">
        <f t="shared" ca="1" si="1"/>
        <v xml:space="preserve"> </v>
      </c>
      <c r="C34" s="261">
        <f t="shared" ca="1" si="2"/>
        <v>34</v>
      </c>
      <c r="D34" s="393">
        <f t="shared" ca="1" si="3"/>
        <v>42604</v>
      </c>
      <c r="E34" s="183"/>
      <c r="F34" s="184">
        <v>2</v>
      </c>
      <c r="G34" s="185">
        <v>10</v>
      </c>
      <c r="H34" s="186"/>
      <c r="I34" s="248">
        <f>IF(COUNTBLANK(E34:H34)=4,"",SUM(E34:G34)+IF(Setup!$I$15="No",0,H34))</f>
        <v>12</v>
      </c>
      <c r="J34" s="197"/>
      <c r="K34" s="198">
        <v>1</v>
      </c>
      <c r="L34" s="199">
        <v>5</v>
      </c>
      <c r="M34" s="200"/>
      <c r="N34" s="252">
        <f>IF(COUNTBLANK(J34:M34)=4,"",SUM(J34:L34)+IF(Setup!$I$15="No",0,M34))</f>
        <v>6</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f ca="1">IF('Demand background (hide)'!A25=Num_Modalities,"",SUM(Demand!I34, Demand!N34))</f>
        <v>18</v>
      </c>
      <c r="BD34" s="256">
        <f ca="1">IF(AND(A34&lt;=MaxRows,BE34&lt;&gt;"Yes"),'Demand background (hide)'!X25+IF(Setup!$I$15="Yes",'Demand background (hide)'!AJ25,0),"")</f>
        <v>600</v>
      </c>
      <c r="BE34" s="206"/>
    </row>
    <row r="35" spans="1:57" ht="15" x14ac:dyDescent="0.25">
      <c r="A35">
        <f t="shared" ca="1" si="0"/>
        <v>23</v>
      </c>
      <c r="B35" s="259" t="str">
        <f t="shared" ca="1" si="1"/>
        <v xml:space="preserve"> </v>
      </c>
      <c r="C35" s="261">
        <f t="shared" ca="1" si="2"/>
        <v>35</v>
      </c>
      <c r="D35" s="393">
        <f t="shared" ca="1" si="3"/>
        <v>42611</v>
      </c>
      <c r="E35" s="183"/>
      <c r="F35" s="184">
        <v>1</v>
      </c>
      <c r="G35" s="185">
        <v>5</v>
      </c>
      <c r="H35" s="186"/>
      <c r="I35" s="248">
        <f>IF(COUNTBLANK(E35:H35)=4,"",SUM(E35:G35)+IF(Setup!$I$15="No",0,H35))</f>
        <v>6</v>
      </c>
      <c r="J35" s="197"/>
      <c r="K35" s="198">
        <v>0</v>
      </c>
      <c r="L35" s="199">
        <v>12</v>
      </c>
      <c r="M35" s="200"/>
      <c r="N35" s="252">
        <f>IF(COUNTBLANK(J35:M35)=4,"",SUM(J35:L35)+IF(Setup!$I$15="No",0,M35))</f>
        <v>12</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f ca="1">IF('Demand background (hide)'!A26=Num_Modalities,"",SUM(Demand!I35, Demand!N35))</f>
        <v>18</v>
      </c>
      <c r="BD35" s="256">
        <f ca="1">IF(AND(A35&lt;=MaxRows,BE35&lt;&gt;"Yes"),'Demand background (hide)'!X26+IF(Setup!$I$15="Yes",'Demand background (hide)'!AJ26,0),"")</f>
        <v>660</v>
      </c>
      <c r="BE35" s="206"/>
    </row>
    <row r="36" spans="1:57" ht="15" x14ac:dyDescent="0.25">
      <c r="A36">
        <f t="shared" ca="1" si="0"/>
        <v>24</v>
      </c>
      <c r="B36" s="259" t="str">
        <f t="shared" ca="1" si="1"/>
        <v xml:space="preserve"> </v>
      </c>
      <c r="C36" s="261">
        <f t="shared" ca="1" si="2"/>
        <v>36</v>
      </c>
      <c r="D36" s="393">
        <f t="shared" ca="1" si="3"/>
        <v>42618</v>
      </c>
      <c r="E36" s="183"/>
      <c r="F36" s="184">
        <v>1</v>
      </c>
      <c r="G36" s="185">
        <v>1</v>
      </c>
      <c r="H36" s="186"/>
      <c r="I36" s="248">
        <f>IF(COUNTBLANK(E36:H36)=4,"",SUM(E36:G36)+IF(Setup!$I$15="No",0,H36))</f>
        <v>2</v>
      </c>
      <c r="J36" s="197"/>
      <c r="K36" s="198">
        <v>1</v>
      </c>
      <c r="L36" s="199">
        <v>8</v>
      </c>
      <c r="M36" s="200"/>
      <c r="N36" s="252">
        <f>IF(COUNTBLANK(J36:M36)=4,"",SUM(J36:L36)+IF(Setup!$I$15="No",0,M36))</f>
        <v>9</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f ca="1">IF('Demand background (hide)'!A27=Num_Modalities,"",SUM(Demand!I36, Demand!N36))</f>
        <v>11</v>
      </c>
      <c r="BD36" s="256">
        <f ca="1">IF(AND(A36&lt;=MaxRows,BE36&lt;&gt;"Yes"),'Demand background (hide)'!X27+IF(Setup!$I$15="Yes",'Demand background (hide)'!AJ27,0),"")</f>
        <v>420</v>
      </c>
      <c r="BE36" s="206"/>
    </row>
    <row r="37" spans="1:57" ht="15" x14ac:dyDescent="0.25">
      <c r="A37">
        <f t="shared" ca="1" si="0"/>
        <v>25</v>
      </c>
      <c r="B37" s="259" t="str">
        <f t="shared" ca="1" si="1"/>
        <v xml:space="preserve"> </v>
      </c>
      <c r="C37" s="261">
        <f t="shared" ca="1" si="2"/>
        <v>37</v>
      </c>
      <c r="D37" s="393">
        <f t="shared" ca="1" si="3"/>
        <v>42625</v>
      </c>
      <c r="E37" s="183"/>
      <c r="F37" s="184">
        <v>2</v>
      </c>
      <c r="G37" s="185">
        <v>5</v>
      </c>
      <c r="H37" s="186"/>
      <c r="I37" s="248">
        <f>IF(COUNTBLANK(E37:H37)=4,"",SUM(E37:G37)+IF(Setup!$I$15="No",0,H37))</f>
        <v>7</v>
      </c>
      <c r="J37" s="197"/>
      <c r="K37" s="198">
        <v>6</v>
      </c>
      <c r="L37" s="199">
        <v>7</v>
      </c>
      <c r="M37" s="200"/>
      <c r="N37" s="252">
        <f>IF(COUNTBLANK(J37:M37)=4,"",SUM(J37:L37)+IF(Setup!$I$15="No",0,M37))</f>
        <v>13</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f ca="1">IF('Demand background (hide)'!A28=Num_Modalities,"",SUM(Demand!I37, Demand!N37))</f>
        <v>20</v>
      </c>
      <c r="BD37" s="256">
        <f ca="1">IF(AND(A37&lt;=MaxRows,BE37&lt;&gt;"Yes"),'Demand background (hide)'!X28+IF(Setup!$I$15="Yes",'Demand background (hide)'!AJ28,0),"")</f>
        <v>730</v>
      </c>
      <c r="BE37" s="206"/>
    </row>
    <row r="38" spans="1:57" ht="15" x14ac:dyDescent="0.25">
      <c r="A38">
        <f t="shared" ca="1" si="0"/>
        <v>26</v>
      </c>
      <c r="B38" s="259" t="str">
        <f t="shared" ca="1" si="1"/>
        <v xml:space="preserve"> </v>
      </c>
      <c r="C38" s="261">
        <f t="shared" ca="1" si="2"/>
        <v>38</v>
      </c>
      <c r="D38" s="393">
        <f t="shared" ca="1" si="3"/>
        <v>42632</v>
      </c>
      <c r="E38" s="183"/>
      <c r="F38" s="184">
        <v>1</v>
      </c>
      <c r="G38" s="185">
        <v>4</v>
      </c>
      <c r="H38" s="186"/>
      <c r="I38" s="248">
        <f>IF(COUNTBLANK(E38:H38)=4,"",SUM(E38:G38)+IF(Setup!$I$15="No",0,H38))</f>
        <v>5</v>
      </c>
      <c r="J38" s="197"/>
      <c r="K38" s="198">
        <v>2</v>
      </c>
      <c r="L38" s="199">
        <v>11</v>
      </c>
      <c r="M38" s="200"/>
      <c r="N38" s="252">
        <f>IF(COUNTBLANK(J38:M38)=4,"",SUM(J38:L38)+IF(Setup!$I$15="No",0,M38))</f>
        <v>13</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f ca="1">IF('Demand background (hide)'!A29=Num_Modalities,"",SUM(Demand!I38, Demand!N38))</f>
        <v>18</v>
      </c>
      <c r="BD38" s="256">
        <f ca="1">IF(AND(A38&lt;=MaxRows,BE38&lt;&gt;"Yes"),'Demand background (hide)'!X29+IF(Setup!$I$15="Yes",'Demand background (hide)'!AJ29,0),"")</f>
        <v>670</v>
      </c>
      <c r="BE38" s="206"/>
    </row>
    <row r="39" spans="1:57" ht="15" x14ac:dyDescent="0.25">
      <c r="A39">
        <f t="shared" ca="1" si="0"/>
        <v>27</v>
      </c>
      <c r="B39" s="259" t="str">
        <f t="shared" ca="1" si="1"/>
        <v xml:space="preserve"> </v>
      </c>
      <c r="C39" s="261">
        <f t="shared" ca="1" si="2"/>
        <v>39</v>
      </c>
      <c r="D39" s="393">
        <f t="shared" ca="1" si="3"/>
        <v>42639</v>
      </c>
      <c r="E39" s="183"/>
      <c r="F39" s="184">
        <v>0</v>
      </c>
      <c r="G39" s="185">
        <v>2</v>
      </c>
      <c r="H39" s="186"/>
      <c r="I39" s="248">
        <f>IF(COUNTBLANK(E39:H39)=4,"",SUM(E39:G39)+IF(Setup!$I$15="No",0,H39))</f>
        <v>2</v>
      </c>
      <c r="J39" s="197"/>
      <c r="K39" s="198">
        <v>4</v>
      </c>
      <c r="L39" s="199">
        <v>9</v>
      </c>
      <c r="M39" s="200"/>
      <c r="N39" s="252">
        <f>IF(COUNTBLANK(J39:M39)=4,"",SUM(J39:L39)+IF(Setup!$I$15="No",0,M39))</f>
        <v>13</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f ca="1">IF('Demand background (hide)'!A30=Num_Modalities,"",SUM(Demand!I39, Demand!N39))</f>
        <v>15</v>
      </c>
      <c r="BD39" s="256">
        <f ca="1">IF(AND(A39&lt;=MaxRows,BE39&lt;&gt;"Yes"),'Demand background (hide)'!X30+IF(Setup!$I$15="Yes",'Demand background (hide)'!AJ30,0),"")</f>
        <v>580</v>
      </c>
      <c r="BE39" s="206"/>
    </row>
    <row r="40" spans="1:57" ht="15" x14ac:dyDescent="0.25">
      <c r="A40">
        <f t="shared" ca="1" si="0"/>
        <v>28</v>
      </c>
      <c r="B40" s="259" t="str">
        <f t="shared" ca="1" si="1"/>
        <v xml:space="preserve"> </v>
      </c>
      <c r="C40" s="261">
        <f t="shared" ca="1" si="2"/>
        <v>40</v>
      </c>
      <c r="D40" s="393">
        <f t="shared" ca="1" si="3"/>
        <v>42646</v>
      </c>
      <c r="E40" s="183"/>
      <c r="F40" s="184">
        <v>0</v>
      </c>
      <c r="G40" s="185">
        <v>3</v>
      </c>
      <c r="H40" s="186"/>
      <c r="I40" s="248">
        <f>IF(COUNTBLANK(E40:H40)=4,"",SUM(E40:G40)+IF(Setup!$I$15="No",0,H40))</f>
        <v>3</v>
      </c>
      <c r="J40" s="197"/>
      <c r="K40" s="198">
        <v>2</v>
      </c>
      <c r="L40" s="199">
        <v>3</v>
      </c>
      <c r="M40" s="200"/>
      <c r="N40" s="252">
        <f>IF(COUNTBLANK(J40:M40)=4,"",SUM(J40:L40)+IF(Setup!$I$15="No",0,M40))</f>
        <v>5</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f ca="1">IF('Demand background (hide)'!A31=Num_Modalities,"",SUM(Demand!I40, Demand!N40))</f>
        <v>8</v>
      </c>
      <c r="BD40" s="256">
        <f ca="1">IF(AND(A40&lt;=MaxRows,BE40&lt;&gt;"Yes"),'Demand background (hide)'!X31+IF(Setup!$I$15="Yes",'Demand background (hide)'!AJ31,0),"")</f>
        <v>290</v>
      </c>
      <c r="BE40" s="206"/>
    </row>
    <row r="41" spans="1:57" ht="15" x14ac:dyDescent="0.25">
      <c r="A41">
        <f t="shared" ca="1" si="0"/>
        <v>29</v>
      </c>
      <c r="B41" s="259" t="str">
        <f t="shared" ca="1" si="1"/>
        <v xml:space="preserve"> </v>
      </c>
      <c r="C41" s="261">
        <f t="shared" ca="1" si="2"/>
        <v>41</v>
      </c>
      <c r="D41" s="393">
        <f t="shared" ca="1" si="3"/>
        <v>42653</v>
      </c>
      <c r="E41" s="183"/>
      <c r="F41" s="184">
        <v>0</v>
      </c>
      <c r="G41" s="185">
        <v>3</v>
      </c>
      <c r="H41" s="186"/>
      <c r="I41" s="248">
        <f>IF(COUNTBLANK(E41:H41)=4,"",SUM(E41:G41)+IF(Setup!$I$15="No",0,H41))</f>
        <v>3</v>
      </c>
      <c r="J41" s="197"/>
      <c r="K41" s="198">
        <v>0</v>
      </c>
      <c r="L41" s="199">
        <v>11</v>
      </c>
      <c r="M41" s="200"/>
      <c r="N41" s="252">
        <f>IF(COUNTBLANK(J41:M41)=4,"",SUM(J41:L41)+IF(Setup!$I$15="No",0,M41))</f>
        <v>11</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f ca="1">IF('Demand background (hide)'!A32=Num_Modalities,"",SUM(Demand!I41, Demand!N41))</f>
        <v>14</v>
      </c>
      <c r="BD41" s="256">
        <f ca="1">IF(AND(A41&lt;=MaxRows,BE41&lt;&gt;"Yes"),'Demand background (hide)'!X32+IF(Setup!$I$15="Yes",'Demand background (hide)'!AJ32,0),"")</f>
        <v>530</v>
      </c>
      <c r="BE41" s="206"/>
    </row>
    <row r="42" spans="1:57" ht="15" x14ac:dyDescent="0.25">
      <c r="A42">
        <f t="shared" ca="1" si="0"/>
        <v>30</v>
      </c>
      <c r="B42" s="259" t="str">
        <f t="shared" ca="1" si="1"/>
        <v xml:space="preserve"> </v>
      </c>
      <c r="C42" s="261">
        <f t="shared" ca="1" si="2"/>
        <v>42</v>
      </c>
      <c r="D42" s="393">
        <f t="shared" ca="1" si="3"/>
        <v>42660</v>
      </c>
      <c r="E42" s="183"/>
      <c r="F42" s="184">
        <v>2</v>
      </c>
      <c r="G42" s="185">
        <v>2</v>
      </c>
      <c r="H42" s="186"/>
      <c r="I42" s="248">
        <f>IF(COUNTBLANK(E42:H42)=4,"",SUM(E42:G42)+IF(Setup!$I$15="No",0,H42))</f>
        <v>4</v>
      </c>
      <c r="J42" s="197"/>
      <c r="K42" s="198">
        <v>0</v>
      </c>
      <c r="L42" s="199">
        <v>5</v>
      </c>
      <c r="M42" s="200"/>
      <c r="N42" s="252">
        <f>IF(COUNTBLANK(J42:M42)=4,"",SUM(J42:L42)+IF(Setup!$I$15="No",0,M42))</f>
        <v>5</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f ca="1">IF('Demand background (hide)'!A33=Num_Modalities,"",SUM(Demand!I42, Demand!N42))</f>
        <v>9</v>
      </c>
      <c r="BD42" s="256">
        <f ca="1">IF(AND(A42&lt;=MaxRows,BE42&lt;&gt;"Yes"),'Demand background (hide)'!X33+IF(Setup!$I$15="Yes",'Demand background (hide)'!AJ33,0),"")</f>
        <v>320</v>
      </c>
      <c r="BE42" s="206"/>
    </row>
    <row r="43" spans="1:57" ht="15" x14ac:dyDescent="0.25">
      <c r="A43">
        <f t="shared" ca="1" si="0"/>
        <v>31</v>
      </c>
      <c r="B43" s="259" t="str">
        <f t="shared" ca="1" si="1"/>
        <v xml:space="preserve"> </v>
      </c>
      <c r="C43" s="261">
        <f t="shared" ca="1" si="2"/>
        <v>43</v>
      </c>
      <c r="D43" s="393">
        <f t="shared" ca="1" si="3"/>
        <v>42667</v>
      </c>
      <c r="E43" s="183"/>
      <c r="F43" s="184">
        <v>1</v>
      </c>
      <c r="G43" s="185">
        <v>2</v>
      </c>
      <c r="H43" s="186"/>
      <c r="I43" s="248">
        <f>IF(COUNTBLANK(E43:H43)=4,"",SUM(E43:G43)+IF(Setup!$I$15="No",0,H43))</f>
        <v>3</v>
      </c>
      <c r="J43" s="197"/>
      <c r="K43" s="198">
        <v>2</v>
      </c>
      <c r="L43" s="199">
        <v>14</v>
      </c>
      <c r="M43" s="200"/>
      <c r="N43" s="252">
        <f>IF(COUNTBLANK(J43:M43)=4,"",SUM(J43:L43)+IF(Setup!$I$15="No",0,M43))</f>
        <v>16</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f ca="1">IF('Demand background (hide)'!A34=Num_Modalities,"",SUM(Demand!I43, Demand!N43))</f>
        <v>19</v>
      </c>
      <c r="BD43" s="256">
        <f ca="1">IF(AND(A43&lt;=MaxRows,BE43&lt;&gt;"Yes"),'Demand background (hide)'!X34+IF(Setup!$I$15="Yes",'Demand background (hide)'!AJ34,0),"")</f>
        <v>730</v>
      </c>
      <c r="BE43" s="206"/>
    </row>
    <row r="44" spans="1:57" ht="15" x14ac:dyDescent="0.25">
      <c r="A44">
        <f t="shared" ca="1" si="0"/>
        <v>32</v>
      </c>
      <c r="B44" s="259" t="str">
        <f t="shared" ca="1" si="1"/>
        <v xml:space="preserve"> </v>
      </c>
      <c r="C44" s="261">
        <f t="shared" ca="1" si="2"/>
        <v>44</v>
      </c>
      <c r="D44" s="393">
        <f t="shared" ca="1" si="3"/>
        <v>42674</v>
      </c>
      <c r="E44" s="183"/>
      <c r="F44" s="184">
        <v>0</v>
      </c>
      <c r="G44" s="185">
        <v>6</v>
      </c>
      <c r="H44" s="186"/>
      <c r="I44" s="248">
        <f>IF(COUNTBLANK(E44:H44)=4,"",SUM(E44:G44)+IF(Setup!$I$15="No",0,H44))</f>
        <v>6</v>
      </c>
      <c r="J44" s="197"/>
      <c r="K44" s="198">
        <v>2</v>
      </c>
      <c r="L44" s="199">
        <v>8</v>
      </c>
      <c r="M44" s="200"/>
      <c r="N44" s="252">
        <f>IF(COUNTBLANK(J44:M44)=4,"",SUM(J44:L44)+IF(Setup!$I$15="No",0,M44))</f>
        <v>10</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f ca="1">IF('Demand background (hide)'!A35=Num_Modalities,"",SUM(Demand!I44, Demand!N44))</f>
        <v>16</v>
      </c>
      <c r="BD44" s="256">
        <f ca="1">IF(AND(A44&lt;=MaxRows,BE44&lt;&gt;"Yes"),'Demand background (hide)'!X35+IF(Setup!$I$15="Yes",'Demand background (hide)'!AJ35,0),"")</f>
        <v>580</v>
      </c>
      <c r="BE44" s="206"/>
    </row>
    <row r="45" spans="1:57" ht="15" x14ac:dyDescent="0.25">
      <c r="A45">
        <f t="shared" ca="1" si="0"/>
        <v>33</v>
      </c>
      <c r="B45" s="259" t="str">
        <f t="shared" ca="1" si="1"/>
        <v xml:space="preserve"> </v>
      </c>
      <c r="C45" s="261">
        <f t="shared" ca="1" si="2"/>
        <v>45</v>
      </c>
      <c r="D45" s="393">
        <f t="shared" ca="1" si="3"/>
        <v>42681</v>
      </c>
      <c r="E45" s="183"/>
      <c r="F45" s="184">
        <v>0</v>
      </c>
      <c r="G45" s="185">
        <v>7</v>
      </c>
      <c r="H45" s="186"/>
      <c r="I45" s="248">
        <f>IF(COUNTBLANK(E45:H45)=4,"",SUM(E45:G45)+IF(Setup!$I$15="No",0,H45))</f>
        <v>7</v>
      </c>
      <c r="J45" s="197"/>
      <c r="K45" s="198">
        <v>3</v>
      </c>
      <c r="L45" s="199">
        <v>3</v>
      </c>
      <c r="M45" s="200"/>
      <c r="N45" s="252">
        <f>IF(COUNTBLANK(J45:M45)=4,"",SUM(J45:L45)+IF(Setup!$I$15="No",0,M45))</f>
        <v>6</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f ca="1">IF('Demand background (hide)'!A36=Num_Modalities,"",SUM(Demand!I45, Demand!N45))</f>
        <v>13</v>
      </c>
      <c r="BD45" s="256">
        <f ca="1">IF(AND(A45&lt;=MaxRows,BE45&lt;&gt;"Yes"),'Demand background (hide)'!X36+IF(Setup!$I$15="Yes",'Demand background (hide)'!AJ36,0),"")</f>
        <v>450</v>
      </c>
      <c r="BE45" s="206"/>
    </row>
    <row r="46" spans="1:57" ht="15" x14ac:dyDescent="0.25">
      <c r="A46">
        <f t="shared" ca="1" si="0"/>
        <v>34</v>
      </c>
      <c r="B46" s="259" t="str">
        <f t="shared" ca="1" si="1"/>
        <v xml:space="preserve"> </v>
      </c>
      <c r="C46" s="261">
        <f t="shared" ca="1" si="2"/>
        <v>46</v>
      </c>
      <c r="D46" s="393">
        <f t="shared" ca="1" si="3"/>
        <v>42688</v>
      </c>
      <c r="E46" s="183"/>
      <c r="F46" s="184">
        <v>3</v>
      </c>
      <c r="G46" s="185">
        <v>3</v>
      </c>
      <c r="H46" s="186"/>
      <c r="I46" s="248">
        <f>IF(COUNTBLANK(E46:H46)=4,"",SUM(E46:G46)+IF(Setup!$I$15="No",0,H46))</f>
        <v>6</v>
      </c>
      <c r="J46" s="197"/>
      <c r="K46" s="198">
        <v>0</v>
      </c>
      <c r="L46" s="199">
        <v>7</v>
      </c>
      <c r="M46" s="200"/>
      <c r="N46" s="252">
        <f>IF(COUNTBLANK(J46:M46)=4,"",SUM(J46:L46)+IF(Setup!$I$15="No",0,M46))</f>
        <v>7</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f ca="1">IF('Demand background (hide)'!A37=Num_Modalities,"",SUM(Demand!I46, Demand!N46))</f>
        <v>13</v>
      </c>
      <c r="BD46" s="256">
        <f ca="1">IF(AND(A46&lt;=MaxRows,BE46&lt;&gt;"Yes"),'Demand background (hide)'!X37+IF(Setup!$I$15="Yes",'Demand background (hide)'!AJ37,0),"")</f>
        <v>460</v>
      </c>
      <c r="BE46" s="206"/>
    </row>
    <row r="47" spans="1:57" ht="15" x14ac:dyDescent="0.25">
      <c r="A47">
        <f t="shared" ca="1" si="0"/>
        <v>35</v>
      </c>
      <c r="B47" s="259" t="str">
        <f t="shared" ca="1" si="1"/>
        <v xml:space="preserve"> </v>
      </c>
      <c r="C47" s="261">
        <f t="shared" ca="1" si="2"/>
        <v>47</v>
      </c>
      <c r="D47" s="393">
        <f t="shared" ca="1" si="3"/>
        <v>42695</v>
      </c>
      <c r="E47" s="183"/>
      <c r="F47" s="184">
        <v>1</v>
      </c>
      <c r="G47" s="185">
        <v>5</v>
      </c>
      <c r="H47" s="186"/>
      <c r="I47" s="248">
        <f>IF(COUNTBLANK(E47:H47)=4,"",SUM(E47:G47)+IF(Setup!$I$15="No",0,H47))</f>
        <v>6</v>
      </c>
      <c r="J47" s="197"/>
      <c r="K47" s="198">
        <v>2</v>
      </c>
      <c r="L47" s="199">
        <v>11</v>
      </c>
      <c r="M47" s="200"/>
      <c r="N47" s="252">
        <f>IF(COUNTBLANK(J47:M47)=4,"",SUM(J47:L47)+IF(Setup!$I$15="No",0,M47))</f>
        <v>13</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f ca="1">IF('Demand background (hide)'!A38=Num_Modalities,"",SUM(Demand!I47, Demand!N47))</f>
        <v>19</v>
      </c>
      <c r="BD47" s="256">
        <f ca="1">IF(AND(A47&lt;=MaxRows,BE47&lt;&gt;"Yes"),'Demand background (hide)'!X38+IF(Setup!$I$15="Yes",'Demand background (hide)'!AJ38,0),"")</f>
        <v>700</v>
      </c>
      <c r="BE47" s="206"/>
    </row>
    <row r="48" spans="1:57" ht="15" x14ac:dyDescent="0.25">
      <c r="A48">
        <f t="shared" ca="1" si="0"/>
        <v>36</v>
      </c>
      <c r="B48" s="259" t="str">
        <f t="shared" ca="1" si="1"/>
        <v xml:space="preserve"> </v>
      </c>
      <c r="C48" s="261">
        <f t="shared" ca="1" si="2"/>
        <v>48</v>
      </c>
      <c r="D48" s="393">
        <f t="shared" ca="1" si="3"/>
        <v>42702</v>
      </c>
      <c r="E48" s="183"/>
      <c r="F48" s="184">
        <v>0</v>
      </c>
      <c r="G48" s="185">
        <v>3</v>
      </c>
      <c r="H48" s="186"/>
      <c r="I48" s="248">
        <f>IF(COUNTBLANK(E48:H48)=4,"",SUM(E48:G48)+IF(Setup!$I$15="No",0,H48))</f>
        <v>3</v>
      </c>
      <c r="J48" s="197"/>
      <c r="K48" s="198">
        <v>3</v>
      </c>
      <c r="L48" s="199">
        <v>9</v>
      </c>
      <c r="M48" s="200"/>
      <c r="N48" s="252">
        <f>IF(COUNTBLANK(J48:M48)=4,"",SUM(J48:L48)+IF(Setup!$I$15="No",0,M48))</f>
        <v>12</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f ca="1">IF('Demand background (hide)'!A39=Num_Modalities,"",SUM(Demand!I48, Demand!N48))</f>
        <v>15</v>
      </c>
      <c r="BD48" s="256">
        <f ca="1">IF(AND(A48&lt;=MaxRows,BE48&lt;&gt;"Yes"),'Demand background (hide)'!X39+IF(Setup!$I$15="Yes",'Demand background (hide)'!AJ39,0),"")</f>
        <v>570</v>
      </c>
      <c r="BE48" s="206"/>
    </row>
    <row r="49" spans="1:57" ht="15" x14ac:dyDescent="0.25">
      <c r="A49">
        <f t="shared" ca="1" si="0"/>
        <v>37</v>
      </c>
      <c r="B49" s="259" t="str">
        <f t="shared" ca="1" si="1"/>
        <v xml:space="preserve"> </v>
      </c>
      <c r="C49" s="261">
        <f t="shared" ca="1" si="2"/>
        <v>49</v>
      </c>
      <c r="D49" s="393">
        <f t="shared" ca="1" si="3"/>
        <v>42709</v>
      </c>
      <c r="E49" s="183"/>
      <c r="F49" s="184">
        <v>1</v>
      </c>
      <c r="G49" s="185">
        <v>3</v>
      </c>
      <c r="H49" s="186"/>
      <c r="I49" s="248">
        <f>IF(COUNTBLANK(E49:H49)=4,"",SUM(E49:G49)+IF(Setup!$I$15="No",0,H49))</f>
        <v>4</v>
      </c>
      <c r="J49" s="197"/>
      <c r="K49" s="198">
        <v>1</v>
      </c>
      <c r="L49" s="199">
        <v>11</v>
      </c>
      <c r="M49" s="200"/>
      <c r="N49" s="252">
        <f>IF(COUNTBLANK(J49:M49)=4,"",SUM(J49:L49)+IF(Setup!$I$15="No",0,M49))</f>
        <v>12</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f ca="1">IF('Demand background (hide)'!A40=Num_Modalities,"",SUM(Demand!I49, Demand!N49))</f>
        <v>16</v>
      </c>
      <c r="BD49" s="256">
        <f ca="1">IF(AND(A49&lt;=MaxRows,BE49&lt;&gt;"Yes"),'Demand background (hide)'!X40+IF(Setup!$I$15="Yes",'Demand background (hide)'!AJ40,0),"")</f>
        <v>600</v>
      </c>
      <c r="BE49" s="206"/>
    </row>
    <row r="50" spans="1:57" ht="15" x14ac:dyDescent="0.25">
      <c r="A50">
        <f t="shared" ca="1" si="0"/>
        <v>38</v>
      </c>
      <c r="B50" s="259" t="str">
        <f t="shared" ca="1" si="1"/>
        <v xml:space="preserve"> </v>
      </c>
      <c r="C50" s="261">
        <f t="shared" ca="1" si="2"/>
        <v>50</v>
      </c>
      <c r="D50" s="393">
        <f t="shared" ca="1" si="3"/>
        <v>42716</v>
      </c>
      <c r="E50" s="183"/>
      <c r="F50" s="184">
        <v>0</v>
      </c>
      <c r="G50" s="185">
        <v>1</v>
      </c>
      <c r="H50" s="186"/>
      <c r="I50" s="248">
        <f>IF(COUNTBLANK(E50:H50)=4,"",SUM(E50:G50)+IF(Setup!$I$15="No",0,H50))</f>
        <v>1</v>
      </c>
      <c r="J50" s="197"/>
      <c r="K50" s="198">
        <v>5</v>
      </c>
      <c r="L50" s="199">
        <v>7</v>
      </c>
      <c r="M50" s="200"/>
      <c r="N50" s="252">
        <f>IF(COUNTBLANK(J50:M50)=4,"",SUM(J50:L50)+IF(Setup!$I$15="No",0,M50))</f>
        <v>12</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f ca="1">IF('Demand background (hide)'!A41=Num_Modalities,"",SUM(Demand!I50, Demand!N50))</f>
        <v>13</v>
      </c>
      <c r="BD50" s="256">
        <f ca="1">IF(AND(A50&lt;=MaxRows,BE50&lt;&gt;"Yes"),'Demand background (hide)'!X41+IF(Setup!$I$15="Yes",'Demand background (hide)'!AJ41,0),"")</f>
        <v>510</v>
      </c>
      <c r="BE50" s="206"/>
    </row>
    <row r="51" spans="1:57" ht="15" x14ac:dyDescent="0.25">
      <c r="A51">
        <f t="shared" ca="1" si="0"/>
        <v>39</v>
      </c>
      <c r="B51" s="259" t="str">
        <f t="shared" ca="1" si="1"/>
        <v xml:space="preserve"> </v>
      </c>
      <c r="C51" s="261">
        <f t="shared" ca="1" si="2"/>
        <v>51</v>
      </c>
      <c r="D51" s="393">
        <f t="shared" ca="1" si="3"/>
        <v>42723</v>
      </c>
      <c r="E51" s="183"/>
      <c r="F51" s="184">
        <v>0</v>
      </c>
      <c r="G51" s="185">
        <v>2</v>
      </c>
      <c r="H51" s="186"/>
      <c r="I51" s="248">
        <f>IF(COUNTBLANK(E51:H51)=4,"",SUM(E51:G51)+IF(Setup!$I$15="No",0,H51))</f>
        <v>2</v>
      </c>
      <c r="J51" s="197"/>
      <c r="K51" s="198">
        <v>2</v>
      </c>
      <c r="L51" s="199">
        <v>4</v>
      </c>
      <c r="M51" s="200"/>
      <c r="N51" s="252">
        <f>IF(COUNTBLANK(J51:M51)=4,"",SUM(J51:L51)+IF(Setup!$I$15="No",0,M51))</f>
        <v>6</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f ca="1">IF('Demand background (hide)'!A42=Num_Modalities,"",SUM(Demand!I51, Demand!N51))</f>
        <v>8</v>
      </c>
      <c r="BD51" s="256">
        <f ca="1">IF(AND(A51&lt;=MaxRows,BE51&lt;&gt;"Yes"),'Demand background (hide)'!X42+IF(Setup!$I$15="Yes",'Demand background (hide)'!AJ42,0),"")</f>
        <v>300</v>
      </c>
      <c r="BE51" s="206"/>
    </row>
    <row r="52" spans="1:57" ht="15" x14ac:dyDescent="0.25">
      <c r="A52">
        <f t="shared" ca="1" si="0"/>
        <v>40</v>
      </c>
      <c r="B52" s="259" t="str">
        <f t="shared" ca="1" si="1"/>
        <v xml:space="preserve"> </v>
      </c>
      <c r="C52" s="261">
        <f t="shared" ca="1" si="2"/>
        <v>52</v>
      </c>
      <c r="D52" s="393">
        <f t="shared" ca="1" si="3"/>
        <v>42730</v>
      </c>
      <c r="E52" s="183"/>
      <c r="F52" s="184">
        <v>0</v>
      </c>
      <c r="G52" s="185">
        <v>7</v>
      </c>
      <c r="H52" s="186"/>
      <c r="I52" s="248">
        <f>IF(COUNTBLANK(E52:H52)=4,"",SUM(E52:G52)+IF(Setup!$I$15="No",0,H52))</f>
        <v>7</v>
      </c>
      <c r="J52" s="197"/>
      <c r="K52" s="198">
        <v>1</v>
      </c>
      <c r="L52" s="199">
        <v>13</v>
      </c>
      <c r="M52" s="200"/>
      <c r="N52" s="252">
        <f>IF(COUNTBLANK(J52:M52)=4,"",SUM(J52:L52)+IF(Setup!$I$15="No",0,M52))</f>
        <v>14</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f ca="1">IF('Demand background (hide)'!A43=Num_Modalities,"",SUM(Demand!I52, Demand!N52))</f>
        <v>21</v>
      </c>
      <c r="BD52" s="256">
        <f ca="1">IF(AND(A52&lt;=MaxRows,BE52&lt;&gt;"Yes"),'Demand background (hide)'!X43+IF(Setup!$I$15="Yes",'Demand background (hide)'!AJ43,0),"")</f>
        <v>770</v>
      </c>
      <c r="BE52" s="206"/>
    </row>
    <row r="53" spans="1:57" ht="15" x14ac:dyDescent="0.25">
      <c r="A53">
        <f t="shared" ca="1" si="0"/>
        <v>41</v>
      </c>
      <c r="B53" s="259">
        <f t="shared" ca="1" si="1"/>
        <v>2017</v>
      </c>
      <c r="C53" s="261">
        <f t="shared" ca="1" si="2"/>
        <v>1</v>
      </c>
      <c r="D53" s="393">
        <f t="shared" ca="1" si="3"/>
        <v>42737</v>
      </c>
      <c r="E53" s="183"/>
      <c r="F53" s="184">
        <v>0</v>
      </c>
      <c r="G53" s="185">
        <v>1</v>
      </c>
      <c r="H53" s="186"/>
      <c r="I53" s="248">
        <f>IF(COUNTBLANK(E53:H53)=4,"",SUM(E53:G53)+IF(Setup!$I$15="No",0,H53))</f>
        <v>1</v>
      </c>
      <c r="J53" s="197"/>
      <c r="K53" s="198">
        <v>4</v>
      </c>
      <c r="L53" s="199">
        <v>8</v>
      </c>
      <c r="M53" s="200"/>
      <c r="N53" s="252">
        <f>IF(COUNTBLANK(J53:M53)=4,"",SUM(J53:L53)+IF(Setup!$I$15="No",0,M53))</f>
        <v>12</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f ca="1">IF('Demand background (hide)'!A44=Num_Modalities,"",SUM(Demand!I53, Demand!N53))</f>
        <v>13</v>
      </c>
      <c r="BD53" s="256">
        <f ca="1">IF(AND(A53&lt;=MaxRows,BE53&lt;&gt;"Yes"),'Demand background (hide)'!X44+IF(Setup!$I$15="Yes",'Demand background (hide)'!AJ44,0),"")</f>
        <v>510</v>
      </c>
      <c r="BE53" s="206"/>
    </row>
    <row r="54" spans="1:57" ht="15" x14ac:dyDescent="0.25">
      <c r="A54">
        <f t="shared" ca="1" si="0"/>
        <v>42</v>
      </c>
      <c r="B54" s="259" t="str">
        <f t="shared" ca="1" si="1"/>
        <v xml:space="preserve"> </v>
      </c>
      <c r="C54" s="261">
        <f t="shared" ca="1" si="2"/>
        <v>2</v>
      </c>
      <c r="D54" s="393">
        <f t="shared" ca="1" si="3"/>
        <v>42744</v>
      </c>
      <c r="E54" s="183"/>
      <c r="F54" s="184">
        <v>0</v>
      </c>
      <c r="G54" s="185">
        <v>4</v>
      </c>
      <c r="H54" s="186"/>
      <c r="I54" s="248">
        <f>IF(COUNTBLANK(E54:H54)=4,"",SUM(E54:G54)+IF(Setup!$I$15="No",0,H54))</f>
        <v>4</v>
      </c>
      <c r="J54" s="197"/>
      <c r="K54" s="198">
        <v>2</v>
      </c>
      <c r="L54" s="199">
        <v>6</v>
      </c>
      <c r="M54" s="200"/>
      <c r="N54" s="252">
        <f>IF(COUNTBLANK(J54:M54)=4,"",SUM(J54:L54)+IF(Setup!$I$15="No",0,M54))</f>
        <v>8</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f ca="1">IF('Demand background (hide)'!A45=Num_Modalities,"",SUM(Demand!I54, Demand!N54))</f>
        <v>12</v>
      </c>
      <c r="BD54" s="256">
        <f ca="1">IF(AND(A54&lt;=MaxRows,BE54&lt;&gt;"Yes"),'Demand background (hide)'!X45+IF(Setup!$I$15="Yes",'Demand background (hide)'!AJ45,0),"")</f>
        <v>440</v>
      </c>
      <c r="BE54" s="206"/>
    </row>
    <row r="55" spans="1:57" ht="15" x14ac:dyDescent="0.25">
      <c r="A55">
        <f t="shared" ca="1" si="0"/>
        <v>43</v>
      </c>
      <c r="B55" s="259" t="str">
        <f t="shared" ca="1" si="1"/>
        <v xml:space="preserve"> </v>
      </c>
      <c r="C55" s="261">
        <f t="shared" ca="1" si="2"/>
        <v>3</v>
      </c>
      <c r="D55" s="393">
        <f t="shared" ca="1" si="3"/>
        <v>42751</v>
      </c>
      <c r="E55" s="183"/>
      <c r="F55" s="184">
        <v>2</v>
      </c>
      <c r="G55" s="185">
        <v>9</v>
      </c>
      <c r="H55" s="186"/>
      <c r="I55" s="248">
        <f>IF(COUNTBLANK(E55:H55)=4,"",SUM(E55:G55)+IF(Setup!$I$15="No",0,H55))</f>
        <v>11</v>
      </c>
      <c r="J55" s="197"/>
      <c r="K55" s="198">
        <v>2</v>
      </c>
      <c r="L55" s="199">
        <v>6</v>
      </c>
      <c r="M55" s="200"/>
      <c r="N55" s="252">
        <f>IF(COUNTBLANK(J55:M55)=4,"",SUM(J55:L55)+IF(Setup!$I$15="No",0,M55))</f>
        <v>8</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f ca="1">IF('Demand background (hide)'!A46=Num_Modalities,"",SUM(Demand!I55, Demand!N55))</f>
        <v>19</v>
      </c>
      <c r="BD55" s="256">
        <f ca="1">IF(AND(A55&lt;=MaxRows,BE55&lt;&gt;"Yes"),'Demand background (hide)'!X46+IF(Setup!$I$15="Yes",'Demand background (hide)'!AJ46,0),"")</f>
        <v>650</v>
      </c>
      <c r="BE55" s="206"/>
    </row>
    <row r="56" spans="1:57" ht="15" x14ac:dyDescent="0.25">
      <c r="A56">
        <f t="shared" ca="1" si="0"/>
        <v>44</v>
      </c>
      <c r="B56" s="259" t="str">
        <f t="shared" ca="1" si="1"/>
        <v xml:space="preserve"> </v>
      </c>
      <c r="C56" s="261">
        <f t="shared" ca="1" si="2"/>
        <v>4</v>
      </c>
      <c r="D56" s="393">
        <f t="shared" ca="1" si="3"/>
        <v>42758</v>
      </c>
      <c r="E56" s="183"/>
      <c r="F56" s="184">
        <v>0</v>
      </c>
      <c r="G56" s="185">
        <v>2</v>
      </c>
      <c r="H56" s="186"/>
      <c r="I56" s="248">
        <f>IF(COUNTBLANK(E56:H56)=4,"",SUM(E56:G56)+IF(Setup!$I$15="No",0,H56))</f>
        <v>2</v>
      </c>
      <c r="J56" s="197"/>
      <c r="K56" s="198">
        <v>5</v>
      </c>
      <c r="L56" s="199">
        <v>9</v>
      </c>
      <c r="M56" s="200"/>
      <c r="N56" s="252">
        <f>IF(COUNTBLANK(J56:M56)=4,"",SUM(J56:L56)+IF(Setup!$I$15="No",0,M56))</f>
        <v>14</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f ca="1">IF('Demand background (hide)'!A47=Num_Modalities,"",SUM(Demand!I56, Demand!N56))</f>
        <v>16</v>
      </c>
      <c r="BD56" s="256">
        <f ca="1">IF(AND(A56&lt;=MaxRows,BE56&lt;&gt;"Yes"),'Demand background (hide)'!X47+IF(Setup!$I$15="Yes",'Demand background (hide)'!AJ47,0),"")</f>
        <v>620</v>
      </c>
      <c r="BE56" s="206"/>
    </row>
    <row r="57" spans="1:57" ht="15" x14ac:dyDescent="0.25">
      <c r="A57">
        <f t="shared" ca="1" si="0"/>
        <v>45</v>
      </c>
      <c r="B57" s="259" t="str">
        <f t="shared" ca="1" si="1"/>
        <v xml:space="preserve"> </v>
      </c>
      <c r="C57" s="261">
        <f t="shared" ca="1" si="2"/>
        <v>5</v>
      </c>
      <c r="D57" s="393">
        <f t="shared" ca="1" si="3"/>
        <v>42765</v>
      </c>
      <c r="E57" s="183"/>
      <c r="F57" s="184">
        <v>2</v>
      </c>
      <c r="G57" s="185">
        <v>2</v>
      </c>
      <c r="H57" s="186"/>
      <c r="I57" s="248">
        <f>IF(COUNTBLANK(E57:H57)=4,"",SUM(E57:G57)+IF(Setup!$I$15="No",0,H57))</f>
        <v>4</v>
      </c>
      <c r="J57" s="197"/>
      <c r="K57" s="198">
        <v>0</v>
      </c>
      <c r="L57" s="199">
        <v>5</v>
      </c>
      <c r="M57" s="200"/>
      <c r="N57" s="252">
        <f>IF(COUNTBLANK(J57:M57)=4,"",SUM(J57:L57)+IF(Setup!$I$15="No",0,M57))</f>
        <v>5</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f ca="1">IF('Demand background (hide)'!A48=Num_Modalities,"",SUM(Demand!I57, Demand!N57))</f>
        <v>9</v>
      </c>
      <c r="BD57" s="256">
        <f ca="1">IF(AND(A57&lt;=MaxRows,BE57&lt;&gt;"Yes"),'Demand background (hide)'!X48+IF(Setup!$I$15="Yes",'Demand background (hide)'!AJ48,0),"")</f>
        <v>320</v>
      </c>
      <c r="BE57" s="206"/>
    </row>
    <row r="58" spans="1:57" ht="15" x14ac:dyDescent="0.25">
      <c r="A58">
        <f t="shared" ca="1" si="0"/>
        <v>46</v>
      </c>
      <c r="B58" s="259" t="str">
        <f t="shared" ca="1" si="1"/>
        <v xml:space="preserve"> </v>
      </c>
      <c r="C58" s="261">
        <f t="shared" ca="1" si="2"/>
        <v>6</v>
      </c>
      <c r="D58" s="393">
        <f t="shared" ca="1" si="3"/>
        <v>42772</v>
      </c>
      <c r="E58" s="183"/>
      <c r="F58" s="184">
        <v>1</v>
      </c>
      <c r="G58" s="185">
        <v>2</v>
      </c>
      <c r="H58" s="186"/>
      <c r="I58" s="248">
        <f>IF(COUNTBLANK(E58:H58)=4,"",SUM(E58:G58)+IF(Setup!$I$15="No",0,H58))</f>
        <v>3</v>
      </c>
      <c r="J58" s="197"/>
      <c r="K58" s="198">
        <v>2</v>
      </c>
      <c r="L58" s="199">
        <v>7</v>
      </c>
      <c r="M58" s="200"/>
      <c r="N58" s="252">
        <f>IF(COUNTBLANK(J58:M58)=4,"",SUM(J58:L58)+IF(Setup!$I$15="No",0,M58))</f>
        <v>9</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f ca="1">IF('Demand background (hide)'!A49=Num_Modalities,"",SUM(Demand!I58, Demand!N58))</f>
        <v>12</v>
      </c>
      <c r="BD58" s="256">
        <f ca="1">IF(AND(A58&lt;=MaxRows,BE58&lt;&gt;"Yes"),'Demand background (hide)'!X49+IF(Setup!$I$15="Yes",'Demand background (hide)'!AJ49,0),"")</f>
        <v>450</v>
      </c>
      <c r="BE58" s="206"/>
    </row>
    <row r="59" spans="1:57" ht="15" x14ac:dyDescent="0.25">
      <c r="A59">
        <f t="shared" ca="1" si="0"/>
        <v>47</v>
      </c>
      <c r="B59" s="259" t="str">
        <f t="shared" ca="1" si="1"/>
        <v xml:space="preserve"> </v>
      </c>
      <c r="C59" s="261">
        <f t="shared" ca="1" si="2"/>
        <v>7</v>
      </c>
      <c r="D59" s="393">
        <f t="shared" ca="1" si="3"/>
        <v>42779</v>
      </c>
      <c r="E59" s="183"/>
      <c r="F59" s="184">
        <v>0</v>
      </c>
      <c r="G59" s="185">
        <v>4</v>
      </c>
      <c r="H59" s="186"/>
      <c r="I59" s="248">
        <f>IF(COUNTBLANK(E59:H59)=4,"",SUM(E59:G59)+IF(Setup!$I$15="No",0,H59))</f>
        <v>4</v>
      </c>
      <c r="J59" s="197"/>
      <c r="K59" s="198">
        <v>2</v>
      </c>
      <c r="L59" s="199">
        <v>7</v>
      </c>
      <c r="M59" s="200"/>
      <c r="N59" s="252">
        <f>IF(COUNTBLANK(J59:M59)=4,"",SUM(J59:L59)+IF(Setup!$I$15="No",0,M59))</f>
        <v>9</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f ca="1">IF('Demand background (hide)'!A50=Num_Modalities,"",SUM(Demand!I59, Demand!N59))</f>
        <v>13</v>
      </c>
      <c r="BD59" s="256">
        <f ca="1">IF(AND(A59&lt;=MaxRows,BE59&lt;&gt;"Yes"),'Demand background (hide)'!X50+IF(Setup!$I$15="Yes",'Demand background (hide)'!AJ50,0),"")</f>
        <v>480</v>
      </c>
      <c r="BE59" s="206"/>
    </row>
    <row r="60" spans="1:57" ht="15" x14ac:dyDescent="0.25">
      <c r="A60">
        <f t="shared" ca="1" si="0"/>
        <v>48</v>
      </c>
      <c r="B60" s="259" t="str">
        <f t="shared" ca="1" si="1"/>
        <v xml:space="preserve"> </v>
      </c>
      <c r="C60" s="261">
        <f t="shared" ca="1" si="2"/>
        <v>8</v>
      </c>
      <c r="D60" s="393">
        <f t="shared" ca="1" si="3"/>
        <v>42786</v>
      </c>
      <c r="E60" s="183"/>
      <c r="F60" s="184">
        <v>3</v>
      </c>
      <c r="G60" s="185">
        <v>2</v>
      </c>
      <c r="H60" s="186"/>
      <c r="I60" s="248">
        <f>IF(COUNTBLANK(E60:H60)=4,"",SUM(E60:G60)+IF(Setup!$I$15="No",0,H60))</f>
        <v>5</v>
      </c>
      <c r="J60" s="197"/>
      <c r="K60" s="198">
        <v>4</v>
      </c>
      <c r="L60" s="199">
        <v>12</v>
      </c>
      <c r="M60" s="200"/>
      <c r="N60" s="252">
        <f>IF(COUNTBLANK(J60:M60)=4,"",SUM(J60:L60)+IF(Setup!$I$15="No",0,M60))</f>
        <v>16</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f ca="1">IF('Demand background (hide)'!A51=Num_Modalities,"",SUM(Demand!I60, Demand!N60))</f>
        <v>21</v>
      </c>
      <c r="BD60" s="256">
        <f ca="1">IF(AND(A60&lt;=MaxRows,BE60&lt;&gt;"Yes"),'Demand background (hide)'!X51+IF(Setup!$I$15="Yes",'Demand background (hide)'!AJ51,0),"")</f>
        <v>790</v>
      </c>
      <c r="BE60" s="206"/>
    </row>
    <row r="61" spans="1:57" ht="15" x14ac:dyDescent="0.25">
      <c r="A61">
        <f t="shared" ca="1" si="0"/>
        <v>49</v>
      </c>
      <c r="B61" s="259" t="str">
        <f t="shared" ca="1" si="1"/>
        <v xml:space="preserve"> </v>
      </c>
      <c r="C61" s="261">
        <f t="shared" ca="1" si="2"/>
        <v>9</v>
      </c>
      <c r="D61" s="393">
        <f t="shared" ca="1" si="3"/>
        <v>42793</v>
      </c>
      <c r="E61" s="183"/>
      <c r="F61" s="184">
        <v>0</v>
      </c>
      <c r="G61" s="185">
        <v>3</v>
      </c>
      <c r="H61" s="186"/>
      <c r="I61" s="248">
        <f>IF(COUNTBLANK(E61:H61)=4,"",SUM(E61:G61)+IF(Setup!$I$15="No",0,H61))</f>
        <v>3</v>
      </c>
      <c r="J61" s="197"/>
      <c r="K61" s="198">
        <v>1</v>
      </c>
      <c r="L61" s="199">
        <v>5</v>
      </c>
      <c r="M61" s="200"/>
      <c r="N61" s="252">
        <f>IF(COUNTBLANK(J61:M61)=4,"",SUM(J61:L61)+IF(Setup!$I$15="No",0,M61))</f>
        <v>6</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f ca="1">IF('Demand background (hide)'!A52=Num_Modalities,"",SUM(Demand!I61, Demand!N61))</f>
        <v>9</v>
      </c>
      <c r="BD61" s="256">
        <f ca="1">IF(AND(A61&lt;=MaxRows,BE61&lt;&gt;"Yes"),'Demand background (hide)'!X52+IF(Setup!$I$15="Yes",'Demand background (hide)'!AJ52,0),"")</f>
        <v>330</v>
      </c>
      <c r="BE61" s="206"/>
    </row>
    <row r="62" spans="1:57" ht="15" x14ac:dyDescent="0.25">
      <c r="A62">
        <f t="shared" ca="1" si="0"/>
        <v>50</v>
      </c>
      <c r="B62" s="259" t="str">
        <f t="shared" ca="1" si="1"/>
        <v xml:space="preserve"> </v>
      </c>
      <c r="C62" s="261">
        <f t="shared" ca="1" si="2"/>
        <v>10</v>
      </c>
      <c r="D62" s="393">
        <f t="shared" ca="1" si="3"/>
        <v>42800</v>
      </c>
      <c r="E62" s="183"/>
      <c r="F62" s="184">
        <v>1</v>
      </c>
      <c r="G62" s="185">
        <v>4</v>
      </c>
      <c r="H62" s="186"/>
      <c r="I62" s="248">
        <f>IF(COUNTBLANK(E62:H62)=4,"",SUM(E62:G62)+IF(Setup!$I$15="No",0,H62))</f>
        <v>5</v>
      </c>
      <c r="J62" s="197"/>
      <c r="K62" s="198">
        <v>3</v>
      </c>
      <c r="L62" s="199">
        <v>8</v>
      </c>
      <c r="M62" s="200"/>
      <c r="N62" s="252">
        <f>IF(COUNTBLANK(J62:M62)=4,"",SUM(J62:L62)+IF(Setup!$I$15="No",0,M62))</f>
        <v>11</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f ca="1">IF('Demand background (hide)'!A53=Num_Modalities,"",SUM(Demand!I62, Demand!N62))</f>
        <v>16</v>
      </c>
      <c r="BD62" s="256">
        <f ca="1">IF(AND(A62&lt;=MaxRows,BE62&lt;&gt;"Yes"),'Demand background (hide)'!X53+IF(Setup!$I$15="Yes",'Demand background (hide)'!AJ53,0),"")</f>
        <v>590</v>
      </c>
      <c r="BE62" s="206"/>
    </row>
    <row r="63" spans="1:57" ht="15" x14ac:dyDescent="0.25">
      <c r="A63">
        <f t="shared" ca="1" si="0"/>
        <v>51</v>
      </c>
      <c r="B63" s="259" t="str">
        <f t="shared" ca="1" si="1"/>
        <v xml:space="preserve"> </v>
      </c>
      <c r="C63" s="261">
        <f t="shared" ca="1" si="2"/>
        <v>11</v>
      </c>
      <c r="D63" s="393">
        <f t="shared" ca="1" si="3"/>
        <v>42807</v>
      </c>
      <c r="E63" s="183"/>
      <c r="F63" s="184">
        <v>1</v>
      </c>
      <c r="G63" s="185">
        <v>1</v>
      </c>
      <c r="H63" s="186"/>
      <c r="I63" s="248">
        <f>IF(COUNTBLANK(E63:H63)=4,"",SUM(E63:G63)+IF(Setup!$I$15="No",0,H63))</f>
        <v>2</v>
      </c>
      <c r="J63" s="197"/>
      <c r="K63" s="198">
        <v>1</v>
      </c>
      <c r="L63" s="199">
        <v>8</v>
      </c>
      <c r="M63" s="200"/>
      <c r="N63" s="252">
        <f>IF(COUNTBLANK(J63:M63)=4,"",SUM(J63:L63)+IF(Setup!$I$15="No",0,M63))</f>
        <v>9</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f ca="1">IF('Demand background (hide)'!A54=Num_Modalities,"",SUM(Demand!I63, Demand!N63))</f>
        <v>11</v>
      </c>
      <c r="BD63" s="256">
        <f ca="1">IF(AND(A63&lt;=MaxRows,BE63&lt;&gt;"Yes"),'Demand background (hide)'!X54+IF(Setup!$I$15="Yes",'Demand background (hide)'!AJ54,0),"")</f>
        <v>420</v>
      </c>
      <c r="BE63" s="206"/>
    </row>
    <row r="64" spans="1:57" ht="15.75" thickBot="1" x14ac:dyDescent="0.3">
      <c r="A64">
        <f t="shared" ca="1" si="0"/>
        <v>52</v>
      </c>
      <c r="B64" s="259" t="str">
        <f t="shared" ca="1" si="1"/>
        <v xml:space="preserve"> </v>
      </c>
      <c r="C64" s="262">
        <f t="shared" ca="1" si="2"/>
        <v>12</v>
      </c>
      <c r="D64" s="394">
        <f t="shared" ca="1" si="3"/>
        <v>42814</v>
      </c>
      <c r="E64" s="187"/>
      <c r="F64" s="188">
        <v>1</v>
      </c>
      <c r="G64" s="189">
        <v>1</v>
      </c>
      <c r="H64" s="190"/>
      <c r="I64" s="249">
        <f>IF(COUNTBLANK(E64:H64)=4,"",SUM(E64:G64)+IF(Setup!$I$15="No",0,H64))</f>
        <v>2</v>
      </c>
      <c r="J64" s="201"/>
      <c r="K64" s="202">
        <v>3</v>
      </c>
      <c r="L64" s="203">
        <v>15</v>
      </c>
      <c r="M64" s="204"/>
      <c r="N64" s="253">
        <f>IF(COUNTBLANK(J64:M64)=4,"",SUM(J64:L64)+IF(Setup!$I$15="No",0,M64))</f>
        <v>18</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f ca="1">IF('Demand background (hide)'!A55=Num_Modalities,"",SUM(Demand!I64, Demand!N64))</f>
        <v>20</v>
      </c>
      <c r="BD64" s="257">
        <f ca="1">IF(AND(A64&lt;=MaxRows,BE64&lt;&gt;"Yes"),'Demand background (hide)'!X55+IF(Setup!$I$15="Yes",'Demand background (hide)'!AJ55,0),"")</f>
        <v>780</v>
      </c>
      <c r="BE64" s="207"/>
    </row>
    <row r="65" spans="1:57" ht="15" x14ac:dyDescent="0.25">
      <c r="A65">
        <f t="shared" ca="1" si="0"/>
        <v>53</v>
      </c>
      <c r="B65" s="263" t="str">
        <f t="shared" ca="1" si="1"/>
        <v xml:space="preserve"> </v>
      </c>
      <c r="C65" s="264">
        <f t="shared" ca="1" si="2"/>
        <v>13</v>
      </c>
      <c r="D65" s="395">
        <f t="shared" ca="1" si="3"/>
        <v>42821</v>
      </c>
      <c r="E65" s="191"/>
      <c r="F65" s="191">
        <v>1</v>
      </c>
      <c r="G65" s="192">
        <v>2</v>
      </c>
      <c r="H65" s="191"/>
      <c r="I65" s="250">
        <f>IF(COUNTBLANK(E65:H65)=4,"",SUM(E65:G65)+IF(Setup!$I$15="No",0,H65))</f>
        <v>3</v>
      </c>
      <c r="J65" s="191"/>
      <c r="K65" s="191">
        <v>0</v>
      </c>
      <c r="L65" s="191">
        <v>7</v>
      </c>
      <c r="M65" s="191"/>
      <c r="N65" s="254">
        <f>IF(COUNTBLANK(J65:M65)=4,"",SUM(J65:L65)+IF(Setup!$I$15="No",0,M65))</f>
        <v>7</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f ca="1">IF('Demand background (hide)'!A56=Num_Modalities,"",SUM(Demand!I65, Demand!N65))</f>
        <v>10</v>
      </c>
      <c r="BD65" s="258">
        <f ca="1">IF(AND(A65&lt;=MaxRows,BE65&lt;&gt;"Yes"),'Demand background (hide)'!X56+IF(Setup!$I$15="Yes",'Demand background (hide)'!AJ56,0),"")</f>
        <v>370</v>
      </c>
      <c r="BE65" s="208"/>
    </row>
    <row r="66" spans="1:57" ht="15" x14ac:dyDescent="0.25">
      <c r="A66">
        <f t="shared" ca="1" si="0"/>
        <v>54</v>
      </c>
      <c r="B66" s="263" t="str">
        <f t="shared" ca="1" si="1"/>
        <v xml:space="preserve"> </v>
      </c>
      <c r="C66" s="264">
        <f t="shared" ca="1" si="2"/>
        <v>14</v>
      </c>
      <c r="D66" s="395">
        <f t="shared" ca="1" si="3"/>
        <v>42828</v>
      </c>
      <c r="E66" s="191"/>
      <c r="F66" s="191">
        <v>0</v>
      </c>
      <c r="G66" s="192">
        <v>3</v>
      </c>
      <c r="H66" s="191"/>
      <c r="I66" s="250">
        <f>IF(COUNTBLANK(E66:H66)=4,"",SUM(E66:G66)+IF(Setup!$I$15="No",0,H66))</f>
        <v>3</v>
      </c>
      <c r="J66" s="191"/>
      <c r="K66" s="191">
        <v>2</v>
      </c>
      <c r="L66" s="191">
        <v>7</v>
      </c>
      <c r="M66" s="191"/>
      <c r="N66" s="254">
        <f>IF(COUNTBLANK(J66:M66)=4,"",SUM(J66:L66)+IF(Setup!$I$15="No",0,M66))</f>
        <v>9</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f ca="1">IF('Demand background (hide)'!A57=Num_Modalities,"",SUM(Demand!I66, Demand!N66))</f>
        <v>12</v>
      </c>
      <c r="BD66" s="258">
        <f ca="1">IF(AND(A66&lt;=MaxRows,BE66&lt;&gt;"Yes"),'Demand background (hide)'!X57+IF(Setup!$I$15="Yes",'Demand background (hide)'!AJ57,0),"")</f>
        <v>450</v>
      </c>
      <c r="BE66" s="208"/>
    </row>
    <row r="67" spans="1:57" ht="15" x14ac:dyDescent="0.25">
      <c r="A67">
        <f t="shared" ca="1" si="0"/>
        <v>55</v>
      </c>
      <c r="B67" s="263" t="str">
        <f t="shared" ca="1" si="1"/>
        <v xml:space="preserve"> </v>
      </c>
      <c r="C67" s="264">
        <f t="shared" ca="1" si="2"/>
        <v>15</v>
      </c>
      <c r="D67" s="395">
        <f t="shared" ca="1" si="3"/>
        <v>42835</v>
      </c>
      <c r="E67" s="191"/>
      <c r="F67" s="191">
        <v>2</v>
      </c>
      <c r="G67" s="192">
        <v>3</v>
      </c>
      <c r="H67" s="191"/>
      <c r="I67" s="250">
        <f>IF(COUNTBLANK(E67:H67)=4,"",SUM(E67:G67)+IF(Setup!$I$15="No",0,H67))</f>
        <v>5</v>
      </c>
      <c r="J67" s="191"/>
      <c r="K67" s="191">
        <v>1</v>
      </c>
      <c r="L67" s="191">
        <v>6</v>
      </c>
      <c r="M67" s="191"/>
      <c r="N67" s="254">
        <f>IF(COUNTBLANK(J67:M67)=4,"",SUM(J67:L67)+IF(Setup!$I$15="No",0,M67))</f>
        <v>7</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f ca="1">IF('Demand background (hide)'!A58=Num_Modalities,"",SUM(Demand!I67, Demand!N67))</f>
        <v>12</v>
      </c>
      <c r="BD67" s="258">
        <f ca="1">IF(AND(A67&lt;=MaxRows,BE67&lt;&gt;"Yes"),'Demand background (hide)'!X58+IF(Setup!$I$15="Yes",'Demand background (hide)'!AJ58,0),"")</f>
        <v>430</v>
      </c>
      <c r="BE67" s="208"/>
    </row>
    <row r="68" spans="1:57" ht="15" x14ac:dyDescent="0.25">
      <c r="A68">
        <f t="shared" ca="1" si="0"/>
        <v>56</v>
      </c>
      <c r="B68" s="263" t="str">
        <f t="shared" ca="1" si="1"/>
        <v xml:space="preserve"> </v>
      </c>
      <c r="C68" s="264">
        <f t="shared" ca="1" si="2"/>
        <v>16</v>
      </c>
      <c r="D68" s="395">
        <f t="shared" ca="1" si="3"/>
        <v>42842</v>
      </c>
      <c r="E68" s="191"/>
      <c r="F68" s="191">
        <v>1</v>
      </c>
      <c r="G68" s="192">
        <v>5</v>
      </c>
      <c r="H68" s="191"/>
      <c r="I68" s="250">
        <f>IF(COUNTBLANK(E68:H68)=4,"",SUM(E68:G68)+IF(Setup!$I$15="No",0,H68))</f>
        <v>6</v>
      </c>
      <c r="J68" s="191"/>
      <c r="K68" s="191">
        <v>0</v>
      </c>
      <c r="L68" s="191">
        <v>11</v>
      </c>
      <c r="M68" s="191"/>
      <c r="N68" s="254">
        <f>IF(COUNTBLANK(J68:M68)=4,"",SUM(J68:L68)+IF(Setup!$I$15="No",0,M68))</f>
        <v>11</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f ca="1">IF('Demand background (hide)'!A59=Num_Modalities,"",SUM(Demand!I68, Demand!N68))</f>
        <v>17</v>
      </c>
      <c r="BD68" s="258">
        <f ca="1">IF(AND(A68&lt;=MaxRows,BE68&lt;&gt;"Yes"),'Demand background (hide)'!X59+IF(Setup!$I$15="Yes",'Demand background (hide)'!AJ59,0),"")</f>
        <v>620</v>
      </c>
      <c r="BE68" s="208"/>
    </row>
    <row r="69" spans="1:57" ht="15" x14ac:dyDescent="0.25">
      <c r="A69">
        <f t="shared" ca="1" si="0"/>
        <v>57</v>
      </c>
      <c r="B69" s="263" t="str">
        <f t="shared" ca="1" si="1"/>
        <v xml:space="preserve"> </v>
      </c>
      <c r="C69" s="264">
        <f t="shared" ca="1" si="2"/>
        <v>17</v>
      </c>
      <c r="D69" s="395">
        <f t="shared" ca="1" si="3"/>
        <v>42849</v>
      </c>
      <c r="E69" s="191"/>
      <c r="F69" s="191">
        <v>2</v>
      </c>
      <c r="G69" s="192">
        <v>3</v>
      </c>
      <c r="H69" s="191"/>
      <c r="I69" s="250">
        <f>IF(COUNTBLANK(E69:H69)=4,"",SUM(E69:G69)+IF(Setup!$I$15="No",0,H69))</f>
        <v>5</v>
      </c>
      <c r="J69" s="191"/>
      <c r="K69" s="191">
        <v>1</v>
      </c>
      <c r="L69" s="191">
        <v>6</v>
      </c>
      <c r="M69" s="191"/>
      <c r="N69" s="254">
        <f>IF(COUNTBLANK(J69:M69)=4,"",SUM(J69:L69)+IF(Setup!$I$15="No",0,M69))</f>
        <v>7</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f ca="1">IF('Demand background (hide)'!A60=Num_Modalities,"",SUM(Demand!I69, Demand!N69))</f>
        <v>12</v>
      </c>
      <c r="BD69" s="258">
        <f ca="1">IF(AND(A69&lt;=MaxRows,BE69&lt;&gt;"Yes"),'Demand background (hide)'!X60+IF(Setup!$I$15="Yes",'Demand background (hide)'!AJ60,0),"")</f>
        <v>430</v>
      </c>
      <c r="BE69" s="208"/>
    </row>
    <row r="70" spans="1:57" ht="15" x14ac:dyDescent="0.25">
      <c r="A70">
        <f t="shared" ca="1" si="0"/>
        <v>58</v>
      </c>
      <c r="B70" s="263" t="str">
        <f t="shared" ca="1" si="1"/>
        <v xml:space="preserve"> </v>
      </c>
      <c r="C70" s="264">
        <f t="shared" ca="1" si="2"/>
        <v>18</v>
      </c>
      <c r="D70" s="395">
        <f t="shared" ca="1" si="3"/>
        <v>42856</v>
      </c>
      <c r="E70" s="191"/>
      <c r="F70" s="191">
        <v>0</v>
      </c>
      <c r="G70" s="192">
        <v>6</v>
      </c>
      <c r="H70" s="191"/>
      <c r="I70" s="250">
        <f>IF(COUNTBLANK(E70:H70)=4,"",SUM(E70:G70)+IF(Setup!$I$15="No",0,H70))</f>
        <v>6</v>
      </c>
      <c r="J70" s="191"/>
      <c r="K70" s="191">
        <v>4</v>
      </c>
      <c r="L70" s="191">
        <v>7</v>
      </c>
      <c r="M70" s="191"/>
      <c r="N70" s="254">
        <f>IF(COUNTBLANK(J70:M70)=4,"",SUM(J70:L70)+IF(Setup!$I$15="No",0,M70))</f>
        <v>11</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f ca="1">IF('Demand background (hide)'!A61=Num_Modalities,"",SUM(Demand!I70, Demand!N70))</f>
        <v>17</v>
      </c>
      <c r="BD70" s="258">
        <f ca="1">IF(AND(A70&lt;=MaxRows,BE70&lt;&gt;"Yes"),'Demand background (hide)'!X61+IF(Setup!$I$15="Yes",'Demand background (hide)'!AJ61,0),"")</f>
        <v>620</v>
      </c>
      <c r="BE70" s="208"/>
    </row>
    <row r="71" spans="1:57" ht="15" x14ac:dyDescent="0.25">
      <c r="A71">
        <f t="shared" ca="1" si="0"/>
        <v>59</v>
      </c>
      <c r="B71" s="263" t="str">
        <f t="shared" ca="1" si="1"/>
        <v xml:space="preserve"> </v>
      </c>
      <c r="C71" s="264">
        <f t="shared" ca="1" si="2"/>
        <v>19</v>
      </c>
      <c r="D71" s="395">
        <f t="shared" ca="1" si="3"/>
        <v>42863</v>
      </c>
      <c r="E71" s="191"/>
      <c r="F71" s="191">
        <v>0</v>
      </c>
      <c r="G71" s="192">
        <v>5</v>
      </c>
      <c r="H71" s="191"/>
      <c r="I71" s="250">
        <f>IF(COUNTBLANK(E71:H71)=4,"",SUM(E71:G71)+IF(Setup!$I$15="No",0,H71))</f>
        <v>5</v>
      </c>
      <c r="J71" s="191"/>
      <c r="K71" s="191">
        <v>1</v>
      </c>
      <c r="L71" s="191">
        <v>2</v>
      </c>
      <c r="M71" s="191"/>
      <c r="N71" s="254">
        <f>IF(COUNTBLANK(J71:M71)=4,"",SUM(J71:L71)+IF(Setup!$I$15="No",0,M71))</f>
        <v>3</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f ca="1">IF('Demand background (hide)'!A62=Num_Modalities,"",SUM(Demand!I71, Demand!N71))</f>
        <v>8</v>
      </c>
      <c r="BD71" s="258">
        <f ca="1">IF(AND(A71&lt;=MaxRows,BE71&lt;&gt;"Yes"),'Demand background (hide)'!X62+IF(Setup!$I$15="Yes",'Demand background (hide)'!AJ62,0),"")</f>
        <v>270</v>
      </c>
      <c r="BE71" s="208"/>
    </row>
    <row r="72" spans="1:57" ht="15" x14ac:dyDescent="0.25">
      <c r="A72">
        <f t="shared" ca="1" si="0"/>
        <v>60</v>
      </c>
      <c r="B72" s="263" t="str">
        <f t="shared" ca="1" si="1"/>
        <v xml:space="preserve"> </v>
      </c>
      <c r="C72" s="264">
        <f t="shared" ca="1" si="2"/>
        <v>20</v>
      </c>
      <c r="D72" s="395">
        <f t="shared" ca="1" si="3"/>
        <v>42870</v>
      </c>
      <c r="E72" s="191"/>
      <c r="F72" s="191">
        <v>0</v>
      </c>
      <c r="G72" s="192">
        <v>1</v>
      </c>
      <c r="H72" s="191"/>
      <c r="I72" s="250">
        <f>IF(COUNTBLANK(E72:H72)=4,"",SUM(E72:G72)+IF(Setup!$I$15="No",0,H72))</f>
        <v>1</v>
      </c>
      <c r="J72" s="191"/>
      <c r="K72" s="191">
        <v>3</v>
      </c>
      <c r="L72" s="191">
        <v>9</v>
      </c>
      <c r="M72" s="191"/>
      <c r="N72" s="254">
        <f>IF(COUNTBLANK(J72:M72)=4,"",SUM(J72:L72)+IF(Setup!$I$15="No",0,M72))</f>
        <v>12</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f ca="1">IF('Demand background (hide)'!A63=Num_Modalities,"",SUM(Demand!I72, Demand!N72))</f>
        <v>13</v>
      </c>
      <c r="BD72" s="258">
        <f ca="1">IF(AND(A72&lt;=MaxRows,BE72&lt;&gt;"Yes"),'Demand background (hide)'!X63+IF(Setup!$I$15="Yes",'Demand background (hide)'!AJ63,0),"")</f>
        <v>510</v>
      </c>
      <c r="BE72" s="208"/>
    </row>
    <row r="73" spans="1:57" ht="15" x14ac:dyDescent="0.25">
      <c r="A73">
        <f t="shared" ca="1" si="0"/>
        <v>61</v>
      </c>
      <c r="B73" s="263" t="str">
        <f t="shared" ca="1" si="1"/>
        <v xml:space="preserve"> </v>
      </c>
      <c r="C73" s="264">
        <f t="shared" ca="1" si="2"/>
        <v>21</v>
      </c>
      <c r="D73" s="395">
        <f t="shared" ca="1" si="3"/>
        <v>42877</v>
      </c>
      <c r="E73" s="191"/>
      <c r="F73" s="191">
        <v>0</v>
      </c>
      <c r="G73" s="192">
        <v>4</v>
      </c>
      <c r="H73" s="191"/>
      <c r="I73" s="250">
        <f>IF(COUNTBLANK(E73:H73)=4,"",SUM(E73:G73)+IF(Setup!$I$15="No",0,H73))</f>
        <v>4</v>
      </c>
      <c r="J73" s="191"/>
      <c r="K73" s="191">
        <v>2</v>
      </c>
      <c r="L73" s="191">
        <v>2</v>
      </c>
      <c r="M73" s="191"/>
      <c r="N73" s="254">
        <f>IF(COUNTBLANK(J73:M73)=4,"",SUM(J73:L73)+IF(Setup!$I$15="No",0,M73))</f>
        <v>4</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f ca="1">IF('Demand background (hide)'!A64=Num_Modalities,"",SUM(Demand!I73, Demand!N73))</f>
        <v>8</v>
      </c>
      <c r="BD73" s="258">
        <f ca="1">IF(AND(A73&lt;=MaxRows,BE73&lt;&gt;"Yes"),'Demand background (hide)'!X64+IF(Setup!$I$15="Yes",'Demand background (hide)'!AJ64,0),"")</f>
        <v>280</v>
      </c>
      <c r="BE73" s="208"/>
    </row>
    <row r="74" spans="1:57" ht="15" x14ac:dyDescent="0.25">
      <c r="A74">
        <f t="shared" ca="1" si="0"/>
        <v>62</v>
      </c>
      <c r="B74" s="263" t="str">
        <f t="shared" ca="1" si="1"/>
        <v xml:space="preserve"> </v>
      </c>
      <c r="C74" s="264">
        <f t="shared" ca="1" si="2"/>
        <v>22</v>
      </c>
      <c r="D74" s="395">
        <f t="shared" ca="1" si="3"/>
        <v>42884</v>
      </c>
      <c r="E74" s="191"/>
      <c r="F74" s="191">
        <v>1</v>
      </c>
      <c r="G74" s="192">
        <v>3</v>
      </c>
      <c r="H74" s="191"/>
      <c r="I74" s="250">
        <f>IF(COUNTBLANK(E74:H74)=4,"",SUM(E74:G74)+IF(Setup!$I$15="No",0,H74))</f>
        <v>4</v>
      </c>
      <c r="J74" s="191"/>
      <c r="K74" s="191">
        <v>5</v>
      </c>
      <c r="L74" s="191">
        <v>10</v>
      </c>
      <c r="M74" s="191"/>
      <c r="N74" s="254">
        <f>IF(COUNTBLANK(J74:M74)=4,"",SUM(J74:L74)+IF(Setup!$I$15="No",0,M74))</f>
        <v>15</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f ca="1">IF('Demand background (hide)'!A65=Num_Modalities,"",SUM(Demand!I74, Demand!N74))</f>
        <v>19</v>
      </c>
      <c r="BD74" s="258">
        <f ca="1">IF(AND(A74&lt;=MaxRows,BE74&lt;&gt;"Yes"),'Demand background (hide)'!X65+IF(Setup!$I$15="Yes",'Demand background (hide)'!AJ65,0),"")</f>
        <v>720</v>
      </c>
      <c r="BE74" s="208"/>
    </row>
    <row r="75" spans="1:57" ht="15" x14ac:dyDescent="0.25">
      <c r="A75">
        <f t="shared" ca="1" si="0"/>
        <v>63</v>
      </c>
      <c r="B75" s="263" t="str">
        <f t="shared" ca="1" si="1"/>
        <v xml:space="preserve"> </v>
      </c>
      <c r="C75" s="264">
        <f t="shared" ca="1" si="2"/>
        <v>23</v>
      </c>
      <c r="D75" s="395">
        <f t="shared" ca="1" si="3"/>
        <v>42891</v>
      </c>
      <c r="E75" s="191"/>
      <c r="F75" s="191">
        <v>0</v>
      </c>
      <c r="G75" s="192">
        <v>5</v>
      </c>
      <c r="H75" s="191"/>
      <c r="I75" s="250">
        <f>IF(COUNTBLANK(E75:H75)=4,"",SUM(E75:G75)+IF(Setup!$I$15="No",0,H75))</f>
        <v>5</v>
      </c>
      <c r="J75" s="191"/>
      <c r="K75" s="191">
        <v>1</v>
      </c>
      <c r="L75" s="191">
        <v>2</v>
      </c>
      <c r="M75" s="191"/>
      <c r="N75" s="254">
        <f>IF(COUNTBLANK(J75:M75)=4,"",SUM(J75:L75)+IF(Setup!$I$15="No",0,M75))</f>
        <v>3</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f ca="1">IF('Demand background (hide)'!A66=Num_Modalities,"",SUM(Demand!I75, Demand!N75))</f>
        <v>8</v>
      </c>
      <c r="BD75" s="258">
        <f ca="1">IF(AND(A75&lt;=MaxRows,BE75&lt;&gt;"Yes"),'Demand background (hide)'!X66+IF(Setup!$I$15="Yes",'Demand background (hide)'!AJ66,0),"")</f>
        <v>270</v>
      </c>
      <c r="BE75" s="208"/>
    </row>
    <row r="76" spans="1:57" ht="15" x14ac:dyDescent="0.25">
      <c r="A76">
        <f t="shared" ca="1" si="0"/>
        <v>64</v>
      </c>
      <c r="B76" s="263" t="str">
        <f t="shared" ca="1" si="1"/>
        <v xml:space="preserve"> </v>
      </c>
      <c r="C76" s="264">
        <f t="shared" ca="1" si="2"/>
        <v>24</v>
      </c>
      <c r="D76" s="395">
        <f t="shared" ca="1" si="3"/>
        <v>42898</v>
      </c>
      <c r="E76" s="191"/>
      <c r="F76" s="191">
        <v>1</v>
      </c>
      <c r="G76" s="192">
        <v>4</v>
      </c>
      <c r="H76" s="191"/>
      <c r="I76" s="250">
        <f>IF(COUNTBLANK(E76:H76)=4,"",SUM(E76:G76)+IF(Setup!$I$15="No",0,H76))</f>
        <v>5</v>
      </c>
      <c r="J76" s="191"/>
      <c r="K76" s="191">
        <v>4</v>
      </c>
      <c r="L76" s="191">
        <v>2</v>
      </c>
      <c r="M76" s="191"/>
      <c r="N76" s="254">
        <f>IF(COUNTBLANK(J76:M76)=4,"",SUM(J76:L76)+IF(Setup!$I$15="No",0,M76))</f>
        <v>6</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f ca="1">IF('Demand background (hide)'!A67=Num_Modalities,"",SUM(Demand!I76, Demand!N76))</f>
        <v>11</v>
      </c>
      <c r="BD76" s="258">
        <f ca="1">IF(AND(A76&lt;=MaxRows,BE76&lt;&gt;"Yes"),'Demand background (hide)'!X67+IF(Setup!$I$15="Yes",'Demand background (hide)'!AJ67,0),"")</f>
        <v>390</v>
      </c>
      <c r="BE76" s="208"/>
    </row>
    <row r="77" spans="1:57" ht="15" x14ac:dyDescent="0.25">
      <c r="A77">
        <f t="shared" ref="A77:A140" ca="1" si="4">IF(BC77&lt;&gt;"",ROW(A65),"")</f>
        <v>65</v>
      </c>
      <c r="B77" s="263" t="str">
        <f t="shared" ca="1" si="1"/>
        <v xml:space="preserve"> </v>
      </c>
      <c r="C77" s="264">
        <f t="shared" ca="1" si="2"/>
        <v>25</v>
      </c>
      <c r="D77" s="395">
        <f t="shared" ca="1" si="3"/>
        <v>42905</v>
      </c>
      <c r="E77" s="191"/>
      <c r="F77" s="191">
        <v>2</v>
      </c>
      <c r="G77" s="192">
        <v>4</v>
      </c>
      <c r="H77" s="191"/>
      <c r="I77" s="250">
        <f>IF(COUNTBLANK(E77:H77)=4,"",SUM(E77:G77)+IF(Setup!$I$15="No",0,H77))</f>
        <v>6</v>
      </c>
      <c r="J77" s="191"/>
      <c r="K77" s="191">
        <v>3</v>
      </c>
      <c r="L77" s="191">
        <v>5</v>
      </c>
      <c r="M77" s="191"/>
      <c r="N77" s="254">
        <f>IF(COUNTBLANK(J77:M77)=4,"",SUM(J77:L77)+IF(Setup!$I$15="No",0,M77))</f>
        <v>8</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f ca="1">IF('Demand background (hide)'!A68=Num_Modalities,"",SUM(Demand!I77, Demand!N77))</f>
        <v>14</v>
      </c>
      <c r="BD77" s="258">
        <f ca="1">IF(AND(A77&lt;=MaxRows,BE77&lt;&gt;"Yes"),'Demand background (hide)'!X68+IF(Setup!$I$15="Yes",'Demand background (hide)'!AJ68,0),"")</f>
        <v>500</v>
      </c>
      <c r="BE77" s="208"/>
    </row>
    <row r="78" spans="1:57" ht="15" x14ac:dyDescent="0.25">
      <c r="A78">
        <f t="shared" ca="1" si="4"/>
        <v>66</v>
      </c>
      <c r="B78" s="263" t="str">
        <f t="shared" ref="B78:B141" ca="1" si="5">IF(A78&lt;=MaxRows,IF($C$6&lt;&gt;"",IF(YEAR(D78)&lt;&gt;YEAR(D77),YEAR(D78)," "),IF(C78&lt;&gt;1,"",OFFSET(B78,-C77,0,1,1)+1))," ")</f>
        <v xml:space="preserve"> </v>
      </c>
      <c r="C78" s="264">
        <f t="shared" ref="C78:C141" ca="1" si="6">IF(ROW(A66)&lt;=MaxRows,IF($C$6&lt;&gt;"",WEEKNUM(D78,21),IF(MOD((C77+1),52)&gt;0,MOD((C77+1),52),52)),"")</f>
        <v>26</v>
      </c>
      <c r="D78" s="395">
        <f t="shared" ref="D78:D141" ca="1" si="7">IF(OR(AND(ROW(A66)&lt;=MaxRows,$C$6&lt;&gt;""),AND(ROW(A78)&lt;=64,LEFT($C$8,1)&lt;&gt;"H")),D77+7,"")</f>
        <v>42912</v>
      </c>
      <c r="E78" s="191"/>
      <c r="F78" s="191">
        <v>1</v>
      </c>
      <c r="G78" s="192">
        <v>0</v>
      </c>
      <c r="H78" s="191"/>
      <c r="I78" s="250">
        <f>IF(COUNTBLANK(E78:H78)=4,"",SUM(E78:G78)+IF(Setup!$I$15="No",0,H78))</f>
        <v>1</v>
      </c>
      <c r="J78" s="191"/>
      <c r="K78" s="191">
        <v>1</v>
      </c>
      <c r="L78" s="191">
        <v>6</v>
      </c>
      <c r="M78" s="191"/>
      <c r="N78" s="254">
        <f>IF(COUNTBLANK(J78:M78)=4,"",SUM(J78:L78)+IF(Setup!$I$15="No",0,M78))</f>
        <v>7</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f ca="1">IF('Demand background (hide)'!A69=Num_Modalities,"",SUM(Demand!I78, Demand!N78))</f>
        <v>8</v>
      </c>
      <c r="BD78" s="258">
        <f ca="1">IF(AND(A78&lt;=MaxRows,BE78&lt;&gt;"Yes"),'Demand background (hide)'!X69+IF(Setup!$I$15="Yes",'Demand background (hide)'!AJ69,0),"")</f>
        <v>310</v>
      </c>
      <c r="BE78" s="208"/>
    </row>
    <row r="79" spans="1:57" ht="15" x14ac:dyDescent="0.25">
      <c r="A79">
        <f t="shared" ca="1" si="4"/>
        <v>67</v>
      </c>
      <c r="B79" s="263" t="str">
        <f t="shared" ca="1" si="5"/>
        <v xml:space="preserve"> </v>
      </c>
      <c r="C79" s="264">
        <f t="shared" ca="1" si="6"/>
        <v>27</v>
      </c>
      <c r="D79" s="395">
        <f t="shared" ca="1" si="7"/>
        <v>42919</v>
      </c>
      <c r="E79" s="191"/>
      <c r="F79" s="191">
        <v>0</v>
      </c>
      <c r="G79" s="192">
        <v>2</v>
      </c>
      <c r="H79" s="191"/>
      <c r="I79" s="250">
        <f>IF(COUNTBLANK(E79:H79)=4,"",SUM(E79:G79)+IF(Setup!$I$15="No",0,H79))</f>
        <v>2</v>
      </c>
      <c r="J79" s="191"/>
      <c r="K79" s="191">
        <v>4</v>
      </c>
      <c r="L79" s="191">
        <v>15</v>
      </c>
      <c r="M79" s="191"/>
      <c r="N79" s="254">
        <f>IF(COUNTBLANK(J79:M79)=4,"",SUM(J79:L79)+IF(Setup!$I$15="No",0,M79))</f>
        <v>19</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f ca="1">IF('Demand background (hide)'!A70=Num_Modalities,"",SUM(Demand!I79, Demand!N79))</f>
        <v>21</v>
      </c>
      <c r="BD79" s="258">
        <f ca="1">IF(AND(A79&lt;=MaxRows,BE79&lt;&gt;"Yes"),'Demand background (hide)'!X70+IF(Setup!$I$15="Yes",'Demand background (hide)'!AJ70,0),"")</f>
        <v>820</v>
      </c>
      <c r="BE79" s="208"/>
    </row>
    <row r="80" spans="1:57" ht="15" x14ac:dyDescent="0.25">
      <c r="A80">
        <f t="shared" ca="1" si="4"/>
        <v>68</v>
      </c>
      <c r="B80" s="263" t="str">
        <f t="shared" ca="1" si="5"/>
        <v xml:space="preserve"> </v>
      </c>
      <c r="C80" s="264">
        <f t="shared" ca="1" si="6"/>
        <v>28</v>
      </c>
      <c r="D80" s="395">
        <f t="shared" ca="1" si="7"/>
        <v>42926</v>
      </c>
      <c r="E80" s="191"/>
      <c r="F80" s="191">
        <v>0</v>
      </c>
      <c r="G80" s="192">
        <v>4</v>
      </c>
      <c r="H80" s="191"/>
      <c r="I80" s="250">
        <f>IF(COUNTBLANK(E80:H80)=4,"",SUM(E80:G80)+IF(Setup!$I$15="No",0,H80))</f>
        <v>4</v>
      </c>
      <c r="J80" s="191"/>
      <c r="K80" s="191">
        <v>4</v>
      </c>
      <c r="L80" s="191">
        <v>9</v>
      </c>
      <c r="M80" s="191"/>
      <c r="N80" s="254">
        <f>IF(COUNTBLANK(J80:M80)=4,"",SUM(J80:L80)+IF(Setup!$I$15="No",0,M80))</f>
        <v>13</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f ca="1">IF('Demand background (hide)'!A71=Num_Modalities,"",SUM(Demand!I80, Demand!N80))</f>
        <v>17</v>
      </c>
      <c r="BD80" s="258">
        <f ca="1">IF(AND(A80&lt;=MaxRows,BE80&lt;&gt;"Yes"),'Demand background (hide)'!X71+IF(Setup!$I$15="Yes",'Demand background (hide)'!AJ71,0),"")</f>
        <v>640</v>
      </c>
      <c r="BE80" s="208"/>
    </row>
    <row r="81" spans="1:57" ht="15" x14ac:dyDescent="0.25">
      <c r="A81">
        <f t="shared" ca="1" si="4"/>
        <v>69</v>
      </c>
      <c r="B81" s="263" t="str">
        <f t="shared" ca="1" si="5"/>
        <v xml:space="preserve"> </v>
      </c>
      <c r="C81" s="264">
        <f t="shared" ca="1" si="6"/>
        <v>29</v>
      </c>
      <c r="D81" s="395">
        <f t="shared" ca="1" si="7"/>
        <v>42933</v>
      </c>
      <c r="E81" s="191"/>
      <c r="F81" s="191">
        <v>2</v>
      </c>
      <c r="G81" s="192">
        <v>4</v>
      </c>
      <c r="H81" s="191"/>
      <c r="I81" s="250">
        <f>IF(COUNTBLANK(E81:H81)=4,"",SUM(E81:G81)+IF(Setup!$I$15="No",0,H81))</f>
        <v>6</v>
      </c>
      <c r="J81" s="191"/>
      <c r="K81" s="191">
        <v>0</v>
      </c>
      <c r="L81" s="191">
        <v>7</v>
      </c>
      <c r="M81" s="191"/>
      <c r="N81" s="254">
        <f>IF(COUNTBLANK(J81:M81)=4,"",SUM(J81:L81)+IF(Setup!$I$15="No",0,M81))</f>
        <v>7</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f ca="1">IF('Demand background (hide)'!A72=Num_Modalities,"",SUM(Demand!I81, Demand!N81))</f>
        <v>13</v>
      </c>
      <c r="BD81" s="258">
        <f ca="1">IF(AND(A81&lt;=MaxRows,BE81&lt;&gt;"Yes"),'Demand background (hide)'!X72+IF(Setup!$I$15="Yes",'Demand background (hide)'!AJ72,0),"")</f>
        <v>460</v>
      </c>
      <c r="BE81" s="208"/>
    </row>
    <row r="82" spans="1:57" ht="15" x14ac:dyDescent="0.25">
      <c r="A82">
        <f t="shared" ca="1" si="4"/>
        <v>70</v>
      </c>
      <c r="B82" s="263" t="str">
        <f t="shared" ca="1" si="5"/>
        <v xml:space="preserve"> </v>
      </c>
      <c r="C82" s="264">
        <f t="shared" ca="1" si="6"/>
        <v>30</v>
      </c>
      <c r="D82" s="395">
        <f t="shared" ca="1" si="7"/>
        <v>42940</v>
      </c>
      <c r="E82" s="191"/>
      <c r="F82" s="191">
        <v>3</v>
      </c>
      <c r="G82" s="192">
        <v>4</v>
      </c>
      <c r="H82" s="191"/>
      <c r="I82" s="250">
        <f>IF(COUNTBLANK(E82:H82)=4,"",SUM(E82:G82)+IF(Setup!$I$15="No",0,H82))</f>
        <v>7</v>
      </c>
      <c r="J82" s="191"/>
      <c r="K82" s="191">
        <v>3</v>
      </c>
      <c r="L82" s="191">
        <v>11</v>
      </c>
      <c r="M82" s="191"/>
      <c r="N82" s="254">
        <f>IF(COUNTBLANK(J82:M82)=4,"",SUM(J82:L82)+IF(Setup!$I$15="No",0,M82))</f>
        <v>14</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f ca="1">IF('Demand background (hide)'!A73=Num_Modalities,"",SUM(Demand!I82, Demand!N82))</f>
        <v>21</v>
      </c>
      <c r="BD82" s="258">
        <f ca="1">IF(AND(A82&lt;=MaxRows,BE82&lt;&gt;"Yes"),'Demand background (hide)'!X73+IF(Setup!$I$15="Yes",'Demand background (hide)'!AJ73,0),"")</f>
        <v>770</v>
      </c>
      <c r="BE82" s="208"/>
    </row>
    <row r="83" spans="1:57" ht="15" x14ac:dyDescent="0.25">
      <c r="A83">
        <f t="shared" ca="1" si="4"/>
        <v>71</v>
      </c>
      <c r="B83" s="263" t="str">
        <f t="shared" ca="1" si="5"/>
        <v xml:space="preserve"> </v>
      </c>
      <c r="C83" s="264">
        <f t="shared" ca="1" si="6"/>
        <v>31</v>
      </c>
      <c r="D83" s="395">
        <f t="shared" ca="1" si="7"/>
        <v>42947</v>
      </c>
      <c r="E83" s="191"/>
      <c r="F83" s="191">
        <v>0</v>
      </c>
      <c r="G83" s="192">
        <v>1</v>
      </c>
      <c r="H83" s="191"/>
      <c r="I83" s="250">
        <f>IF(COUNTBLANK(E83:H83)=4,"",SUM(E83:G83)+IF(Setup!$I$15="No",0,H83))</f>
        <v>1</v>
      </c>
      <c r="J83" s="191"/>
      <c r="K83" s="191">
        <v>1</v>
      </c>
      <c r="L83" s="191">
        <v>9</v>
      </c>
      <c r="M83" s="191"/>
      <c r="N83" s="254">
        <f>IF(COUNTBLANK(J83:M83)=4,"",SUM(J83:L83)+IF(Setup!$I$15="No",0,M83))</f>
        <v>10</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f ca="1">IF('Demand background (hide)'!A74=Num_Modalities,"",SUM(Demand!I83, Demand!N83))</f>
        <v>11</v>
      </c>
      <c r="BD83" s="258">
        <f ca="1">IF(AND(A83&lt;=MaxRows,BE83&lt;&gt;"Yes"),'Demand background (hide)'!X74+IF(Setup!$I$15="Yes",'Demand background (hide)'!AJ74,0),"")</f>
        <v>430</v>
      </c>
      <c r="BE83" s="208"/>
    </row>
    <row r="84" spans="1:57" ht="15" x14ac:dyDescent="0.25">
      <c r="A84">
        <f t="shared" ca="1" si="4"/>
        <v>72</v>
      </c>
      <c r="B84" s="263" t="str">
        <f t="shared" ca="1" si="5"/>
        <v xml:space="preserve"> </v>
      </c>
      <c r="C84" s="264">
        <f t="shared" ca="1" si="6"/>
        <v>32</v>
      </c>
      <c r="D84" s="395">
        <f t="shared" ca="1" si="7"/>
        <v>42954</v>
      </c>
      <c r="E84" s="191"/>
      <c r="F84" s="191">
        <v>0</v>
      </c>
      <c r="G84" s="192">
        <v>3</v>
      </c>
      <c r="H84" s="191"/>
      <c r="I84" s="250">
        <f>IF(COUNTBLANK(E84:H84)=4,"",SUM(E84:G84)+IF(Setup!$I$15="No",0,H84))</f>
        <v>3</v>
      </c>
      <c r="J84" s="191"/>
      <c r="K84" s="191">
        <v>1</v>
      </c>
      <c r="L84" s="191">
        <v>9</v>
      </c>
      <c r="M84" s="191"/>
      <c r="N84" s="254">
        <f>IF(COUNTBLANK(J84:M84)=4,"",SUM(J84:L84)+IF(Setup!$I$15="No",0,M84))</f>
        <v>10</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f ca="1">IF('Demand background (hide)'!A75=Num_Modalities,"",SUM(Demand!I84, Demand!N84))</f>
        <v>13</v>
      </c>
      <c r="BD84" s="258">
        <f ca="1">IF(AND(A84&lt;=MaxRows,BE84&lt;&gt;"Yes"),'Demand background (hide)'!X75+IF(Setup!$I$15="Yes",'Demand background (hide)'!AJ75,0),"")</f>
        <v>490</v>
      </c>
      <c r="BE84" s="208"/>
    </row>
    <row r="85" spans="1:57" ht="15" x14ac:dyDescent="0.25">
      <c r="A85">
        <f t="shared" ca="1" si="4"/>
        <v>73</v>
      </c>
      <c r="B85" s="263" t="str">
        <f t="shared" ca="1" si="5"/>
        <v xml:space="preserve"> </v>
      </c>
      <c r="C85" s="264">
        <f t="shared" ca="1" si="6"/>
        <v>33</v>
      </c>
      <c r="D85" s="395">
        <f t="shared" ca="1" si="7"/>
        <v>42961</v>
      </c>
      <c r="E85" s="191"/>
      <c r="F85" s="191">
        <v>2</v>
      </c>
      <c r="G85" s="192">
        <v>2</v>
      </c>
      <c r="H85" s="191"/>
      <c r="I85" s="250">
        <f>IF(COUNTBLANK(E85:H85)=4,"",SUM(E85:G85)+IF(Setup!$I$15="No",0,H85))</f>
        <v>4</v>
      </c>
      <c r="J85" s="191"/>
      <c r="K85" s="191">
        <v>1</v>
      </c>
      <c r="L85" s="191">
        <v>11</v>
      </c>
      <c r="M85" s="191"/>
      <c r="N85" s="254">
        <f>IF(COUNTBLANK(J85:M85)=4,"",SUM(J85:L85)+IF(Setup!$I$15="No",0,M85))</f>
        <v>12</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f ca="1">IF('Demand background (hide)'!A76=Num_Modalities,"",SUM(Demand!I85, Demand!N85))</f>
        <v>16</v>
      </c>
      <c r="BD85" s="258">
        <f ca="1">IF(AND(A85&lt;=MaxRows,BE85&lt;&gt;"Yes"),'Demand background (hide)'!X76+IF(Setup!$I$15="Yes",'Demand background (hide)'!AJ76,0),"")</f>
        <v>600</v>
      </c>
      <c r="BE85" s="208"/>
    </row>
    <row r="86" spans="1:57" ht="15" x14ac:dyDescent="0.25">
      <c r="A86">
        <f t="shared" ca="1" si="4"/>
        <v>74</v>
      </c>
      <c r="B86" s="263" t="str">
        <f t="shared" ca="1" si="5"/>
        <v xml:space="preserve"> </v>
      </c>
      <c r="C86" s="264">
        <f t="shared" ca="1" si="6"/>
        <v>34</v>
      </c>
      <c r="D86" s="395">
        <f t="shared" ca="1" si="7"/>
        <v>42968</v>
      </c>
      <c r="E86" s="191"/>
      <c r="F86" s="191">
        <v>1</v>
      </c>
      <c r="G86" s="192">
        <v>4</v>
      </c>
      <c r="H86" s="191"/>
      <c r="I86" s="250">
        <f>IF(COUNTBLANK(E86:H86)=4,"",SUM(E86:G86)+IF(Setup!$I$15="No",0,H86))</f>
        <v>5</v>
      </c>
      <c r="J86" s="191"/>
      <c r="K86" s="191">
        <v>3</v>
      </c>
      <c r="L86" s="191">
        <v>8</v>
      </c>
      <c r="M86" s="191"/>
      <c r="N86" s="254">
        <f>IF(COUNTBLANK(J86:M86)=4,"",SUM(J86:L86)+IF(Setup!$I$15="No",0,M86))</f>
        <v>11</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f ca="1">IF('Demand background (hide)'!A77=Num_Modalities,"",SUM(Demand!I86, Demand!N86))</f>
        <v>16</v>
      </c>
      <c r="BD86" s="258">
        <f ca="1">IF(AND(A86&lt;=MaxRows,BE86&lt;&gt;"Yes"),'Demand background (hide)'!X77+IF(Setup!$I$15="Yes",'Demand background (hide)'!AJ77,0),"")</f>
        <v>590</v>
      </c>
      <c r="BE86" s="208"/>
    </row>
    <row r="87" spans="1:57" ht="15" x14ac:dyDescent="0.25">
      <c r="A87">
        <f t="shared" ca="1" si="4"/>
        <v>75</v>
      </c>
      <c r="B87" s="263" t="str">
        <f t="shared" ca="1" si="5"/>
        <v xml:space="preserve"> </v>
      </c>
      <c r="C87" s="264">
        <f t="shared" ca="1" si="6"/>
        <v>35</v>
      </c>
      <c r="D87" s="395">
        <f t="shared" ca="1" si="7"/>
        <v>42975</v>
      </c>
      <c r="E87" s="191"/>
      <c r="F87" s="191">
        <v>3</v>
      </c>
      <c r="G87" s="192">
        <v>4</v>
      </c>
      <c r="H87" s="191"/>
      <c r="I87" s="250">
        <f>IF(COUNTBLANK(E87:H87)=4,"",SUM(E87:G87)+IF(Setup!$I$15="No",0,H87))</f>
        <v>7</v>
      </c>
      <c r="J87" s="191"/>
      <c r="K87" s="191">
        <v>2</v>
      </c>
      <c r="L87" s="191">
        <v>11</v>
      </c>
      <c r="M87" s="191"/>
      <c r="N87" s="254">
        <f>IF(COUNTBLANK(J87:M87)=4,"",SUM(J87:L87)+IF(Setup!$I$15="No",0,M87))</f>
        <v>13</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f ca="1">IF('Demand background (hide)'!A78=Num_Modalities,"",SUM(Demand!I87, Demand!N87))</f>
        <v>20</v>
      </c>
      <c r="BD87" s="258">
        <f ca="1">IF(AND(A87&lt;=MaxRows,BE87&lt;&gt;"Yes"),'Demand background (hide)'!X78+IF(Setup!$I$15="Yes",'Demand background (hide)'!AJ78,0),"")</f>
        <v>730</v>
      </c>
      <c r="BE87" s="208"/>
    </row>
    <row r="88" spans="1:57" ht="15" x14ac:dyDescent="0.25">
      <c r="A88">
        <f t="shared" ca="1" si="4"/>
        <v>76</v>
      </c>
      <c r="B88" s="263" t="str">
        <f t="shared" ca="1" si="5"/>
        <v xml:space="preserve"> </v>
      </c>
      <c r="C88" s="264">
        <f t="shared" ca="1" si="6"/>
        <v>36</v>
      </c>
      <c r="D88" s="395">
        <f t="shared" ca="1" si="7"/>
        <v>42982</v>
      </c>
      <c r="E88" s="191"/>
      <c r="F88" s="191">
        <v>2</v>
      </c>
      <c r="G88" s="192">
        <v>4</v>
      </c>
      <c r="H88" s="191"/>
      <c r="I88" s="250">
        <f>IF(COUNTBLANK(E88:H88)=4,"",SUM(E88:G88)+IF(Setup!$I$15="No",0,H88))</f>
        <v>6</v>
      </c>
      <c r="J88" s="191"/>
      <c r="K88" s="191">
        <v>2</v>
      </c>
      <c r="L88" s="191">
        <v>6</v>
      </c>
      <c r="M88" s="191"/>
      <c r="N88" s="254">
        <f>IF(COUNTBLANK(J88:M88)=4,"",SUM(J88:L88)+IF(Setup!$I$15="No",0,M88))</f>
        <v>8</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f ca="1">IF('Demand background (hide)'!A79=Num_Modalities,"",SUM(Demand!I88, Demand!N88))</f>
        <v>14</v>
      </c>
      <c r="BD88" s="258">
        <f ca="1">IF(AND(A88&lt;=MaxRows,BE88&lt;&gt;"Yes"),'Demand background (hide)'!X79+IF(Setup!$I$15="Yes",'Demand background (hide)'!AJ79,0),"")</f>
        <v>500</v>
      </c>
      <c r="BE88" s="208"/>
    </row>
    <row r="89" spans="1:57" ht="15" x14ac:dyDescent="0.25">
      <c r="A89">
        <f t="shared" ca="1" si="4"/>
        <v>77</v>
      </c>
      <c r="B89" s="263" t="str">
        <f t="shared" ca="1" si="5"/>
        <v xml:space="preserve"> </v>
      </c>
      <c r="C89" s="264">
        <f t="shared" ca="1" si="6"/>
        <v>37</v>
      </c>
      <c r="D89" s="395">
        <f t="shared" ca="1" si="7"/>
        <v>42989</v>
      </c>
      <c r="E89" s="191"/>
      <c r="F89" s="191">
        <v>1</v>
      </c>
      <c r="G89" s="192">
        <v>9</v>
      </c>
      <c r="H89" s="191"/>
      <c r="I89" s="250">
        <f>IF(COUNTBLANK(E89:H89)=4,"",SUM(E89:G89)+IF(Setup!$I$15="No",0,H89))</f>
        <v>10</v>
      </c>
      <c r="J89" s="191"/>
      <c r="K89" s="191">
        <v>3</v>
      </c>
      <c r="L89" s="191">
        <v>7</v>
      </c>
      <c r="M89" s="191"/>
      <c r="N89" s="254">
        <f>IF(COUNTBLANK(J89:M89)=4,"",SUM(J89:L89)+IF(Setup!$I$15="No",0,M89))</f>
        <v>10</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f ca="1">IF('Demand background (hide)'!A80=Num_Modalities,"",SUM(Demand!I89, Demand!N89))</f>
        <v>20</v>
      </c>
      <c r="BD89" s="258">
        <f ca="1">IF(AND(A89&lt;=MaxRows,BE89&lt;&gt;"Yes"),'Demand background (hide)'!X80+IF(Setup!$I$15="Yes",'Demand background (hide)'!AJ80,0),"")</f>
        <v>700</v>
      </c>
      <c r="BE89" s="208"/>
    </row>
    <row r="90" spans="1:57" ht="15" x14ac:dyDescent="0.25">
      <c r="A90">
        <f t="shared" ca="1" si="4"/>
        <v>78</v>
      </c>
      <c r="B90" s="263" t="str">
        <f t="shared" ca="1" si="5"/>
        <v xml:space="preserve"> </v>
      </c>
      <c r="C90" s="264">
        <f t="shared" ca="1" si="6"/>
        <v>38</v>
      </c>
      <c r="D90" s="395">
        <f t="shared" ca="1" si="7"/>
        <v>42996</v>
      </c>
      <c r="E90" s="191"/>
      <c r="F90" s="191">
        <v>1</v>
      </c>
      <c r="G90" s="192">
        <v>3</v>
      </c>
      <c r="H90" s="191"/>
      <c r="I90" s="250">
        <f>IF(COUNTBLANK(E90:H90)=4,"",SUM(E90:G90)+IF(Setup!$I$15="No",0,H90))</f>
        <v>4</v>
      </c>
      <c r="J90" s="191"/>
      <c r="K90" s="191">
        <v>2</v>
      </c>
      <c r="L90" s="191">
        <v>8</v>
      </c>
      <c r="M90" s="191"/>
      <c r="N90" s="254">
        <f>IF(COUNTBLANK(J90:M90)=4,"",SUM(J90:L90)+IF(Setup!$I$15="No",0,M90))</f>
        <v>10</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f ca="1">IF('Demand background (hide)'!A81=Num_Modalities,"",SUM(Demand!I90, Demand!N90))</f>
        <v>14</v>
      </c>
      <c r="BD90" s="258">
        <f ca="1">IF(AND(A90&lt;=MaxRows,BE90&lt;&gt;"Yes"),'Demand background (hide)'!X81+IF(Setup!$I$15="Yes",'Demand background (hide)'!AJ81,0),"")</f>
        <v>520</v>
      </c>
      <c r="BE90" s="208"/>
    </row>
    <row r="91" spans="1:57" ht="15" x14ac:dyDescent="0.25">
      <c r="A91">
        <f t="shared" ca="1" si="4"/>
        <v>79</v>
      </c>
      <c r="B91" s="263" t="str">
        <f t="shared" ca="1" si="5"/>
        <v xml:space="preserve"> </v>
      </c>
      <c r="C91" s="264">
        <f t="shared" ca="1" si="6"/>
        <v>39</v>
      </c>
      <c r="D91" s="395">
        <f t="shared" ca="1" si="7"/>
        <v>43003</v>
      </c>
      <c r="E91" s="191"/>
      <c r="F91" s="191">
        <v>2</v>
      </c>
      <c r="G91" s="192">
        <v>6</v>
      </c>
      <c r="H91" s="191"/>
      <c r="I91" s="250">
        <f>IF(COUNTBLANK(E91:H91)=4,"",SUM(E91:G91)+IF(Setup!$I$15="No",0,H91))</f>
        <v>8</v>
      </c>
      <c r="J91" s="191"/>
      <c r="K91" s="191">
        <v>1</v>
      </c>
      <c r="L91" s="191">
        <v>7</v>
      </c>
      <c r="M91" s="191"/>
      <c r="N91" s="254">
        <f>IF(COUNTBLANK(J91:M91)=4,"",SUM(J91:L91)+IF(Setup!$I$15="No",0,M91))</f>
        <v>8</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f ca="1">IF('Demand background (hide)'!A82=Num_Modalities,"",SUM(Demand!I91, Demand!N91))</f>
        <v>16</v>
      </c>
      <c r="BD91" s="258">
        <f ca="1">IF(AND(A91&lt;=MaxRows,BE91&lt;&gt;"Yes"),'Demand background (hide)'!X82+IF(Setup!$I$15="Yes",'Demand background (hide)'!AJ82,0),"")</f>
        <v>560</v>
      </c>
      <c r="BE91" s="208"/>
    </row>
    <row r="92" spans="1:57" ht="15" x14ac:dyDescent="0.25">
      <c r="A92">
        <f t="shared" ca="1" si="4"/>
        <v>80</v>
      </c>
      <c r="B92" s="263" t="str">
        <f t="shared" ca="1" si="5"/>
        <v xml:space="preserve"> </v>
      </c>
      <c r="C92" s="264">
        <f t="shared" ca="1" si="6"/>
        <v>40</v>
      </c>
      <c r="D92" s="395">
        <f t="shared" ca="1" si="7"/>
        <v>43010</v>
      </c>
      <c r="E92" s="191"/>
      <c r="F92" s="191">
        <v>0</v>
      </c>
      <c r="G92" s="192">
        <v>3</v>
      </c>
      <c r="H92" s="191"/>
      <c r="I92" s="250">
        <f>IF(COUNTBLANK(E92:H92)=4,"",SUM(E92:G92)+IF(Setup!$I$15="No",0,H92))</f>
        <v>3</v>
      </c>
      <c r="J92" s="191"/>
      <c r="K92" s="191">
        <v>2</v>
      </c>
      <c r="L92" s="191">
        <v>8</v>
      </c>
      <c r="M92" s="191"/>
      <c r="N92" s="254">
        <f>IF(COUNTBLANK(J92:M92)=4,"",SUM(J92:L92)+IF(Setup!$I$15="No",0,M92))</f>
        <v>10</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f ca="1">IF('Demand background (hide)'!A83=Num_Modalities,"",SUM(Demand!I92, Demand!N92))</f>
        <v>13</v>
      </c>
      <c r="BD92" s="258">
        <f ca="1">IF(AND(A92&lt;=MaxRows,BE92&lt;&gt;"Yes"),'Demand background (hide)'!X83+IF(Setup!$I$15="Yes",'Demand background (hide)'!AJ83,0),"")</f>
        <v>490</v>
      </c>
      <c r="BE92" s="208"/>
    </row>
    <row r="93" spans="1:57" ht="15" x14ac:dyDescent="0.25">
      <c r="A93">
        <f t="shared" ca="1" si="4"/>
        <v>81</v>
      </c>
      <c r="B93" s="263" t="str">
        <f t="shared" ca="1" si="5"/>
        <v xml:space="preserve"> </v>
      </c>
      <c r="C93" s="264">
        <f t="shared" ca="1" si="6"/>
        <v>41</v>
      </c>
      <c r="D93" s="395">
        <f t="shared" ca="1" si="7"/>
        <v>43017</v>
      </c>
      <c r="E93" s="191"/>
      <c r="F93" s="191">
        <v>0</v>
      </c>
      <c r="G93" s="192">
        <v>4</v>
      </c>
      <c r="H93" s="191"/>
      <c r="I93" s="250">
        <f>IF(COUNTBLANK(E93:H93)=4,"",SUM(E93:G93)+IF(Setup!$I$15="No",0,H93))</f>
        <v>4</v>
      </c>
      <c r="J93" s="191"/>
      <c r="K93" s="191">
        <v>2</v>
      </c>
      <c r="L93" s="191">
        <v>3</v>
      </c>
      <c r="M93" s="191"/>
      <c r="N93" s="254">
        <f>IF(COUNTBLANK(J93:M93)=4,"",SUM(J93:L93)+IF(Setup!$I$15="No",0,M93))</f>
        <v>5</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f ca="1">IF('Demand background (hide)'!A84=Num_Modalities,"",SUM(Demand!I93, Demand!N93))</f>
        <v>9</v>
      </c>
      <c r="BD93" s="258">
        <f ca="1">IF(AND(A93&lt;=MaxRows,BE93&lt;&gt;"Yes"),'Demand background (hide)'!X84+IF(Setup!$I$15="Yes",'Demand background (hide)'!AJ84,0),"")</f>
        <v>320</v>
      </c>
      <c r="BE93" s="208"/>
    </row>
    <row r="94" spans="1:57" ht="15" x14ac:dyDescent="0.25">
      <c r="A94">
        <f t="shared" ca="1" si="4"/>
        <v>82</v>
      </c>
      <c r="B94" s="263" t="str">
        <f t="shared" ca="1" si="5"/>
        <v xml:space="preserve"> </v>
      </c>
      <c r="C94" s="264">
        <f t="shared" ca="1" si="6"/>
        <v>42</v>
      </c>
      <c r="D94" s="395">
        <f t="shared" ca="1" si="7"/>
        <v>43024</v>
      </c>
      <c r="E94" s="191"/>
      <c r="F94" s="191">
        <v>2</v>
      </c>
      <c r="G94" s="192">
        <v>3</v>
      </c>
      <c r="H94" s="191"/>
      <c r="I94" s="250">
        <f>IF(COUNTBLANK(E94:H94)=4,"",SUM(E94:G94)+IF(Setup!$I$15="No",0,H94))</f>
        <v>5</v>
      </c>
      <c r="J94" s="191"/>
      <c r="K94" s="191">
        <v>1</v>
      </c>
      <c r="L94" s="191">
        <v>7</v>
      </c>
      <c r="M94" s="191"/>
      <c r="N94" s="254">
        <f>IF(COUNTBLANK(J94:M94)=4,"",SUM(J94:L94)+IF(Setup!$I$15="No",0,M94))</f>
        <v>8</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f ca="1">IF('Demand background (hide)'!A85=Num_Modalities,"",SUM(Demand!I94, Demand!N94))</f>
        <v>13</v>
      </c>
      <c r="BD94" s="258">
        <f ca="1">IF(AND(A94&lt;=MaxRows,BE94&lt;&gt;"Yes"),'Demand background (hide)'!X85+IF(Setup!$I$15="Yes",'Demand background (hide)'!AJ85,0),"")</f>
        <v>470</v>
      </c>
      <c r="BE94" s="208"/>
    </row>
    <row r="95" spans="1:57" ht="15" x14ac:dyDescent="0.25">
      <c r="A95">
        <f t="shared" ca="1" si="4"/>
        <v>83</v>
      </c>
      <c r="B95" s="263" t="str">
        <f t="shared" ca="1" si="5"/>
        <v xml:space="preserve"> </v>
      </c>
      <c r="C95" s="264">
        <f t="shared" ca="1" si="6"/>
        <v>43</v>
      </c>
      <c r="D95" s="395">
        <f t="shared" ca="1" si="7"/>
        <v>43031</v>
      </c>
      <c r="E95" s="191"/>
      <c r="F95" s="191">
        <v>1</v>
      </c>
      <c r="G95" s="192">
        <v>5</v>
      </c>
      <c r="H95" s="191"/>
      <c r="I95" s="250">
        <f>IF(COUNTBLANK(E95:H95)=4,"",SUM(E95:G95)+IF(Setup!$I$15="No",0,H95))</f>
        <v>6</v>
      </c>
      <c r="J95" s="191"/>
      <c r="K95" s="191">
        <v>2</v>
      </c>
      <c r="L95" s="191">
        <v>7</v>
      </c>
      <c r="M95" s="191"/>
      <c r="N95" s="254">
        <f>IF(COUNTBLANK(J95:M95)=4,"",SUM(J95:L95)+IF(Setup!$I$15="No",0,M95))</f>
        <v>9</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f ca="1">IF('Demand background (hide)'!A86=Num_Modalities,"",SUM(Demand!I95, Demand!N95))</f>
        <v>15</v>
      </c>
      <c r="BD95" s="258">
        <f ca="1">IF(AND(A95&lt;=MaxRows,BE95&lt;&gt;"Yes"),'Demand background (hide)'!X86+IF(Setup!$I$15="Yes",'Demand background (hide)'!AJ86,0),"")</f>
        <v>540</v>
      </c>
      <c r="BE95" s="208"/>
    </row>
    <row r="96" spans="1:57" ht="15" x14ac:dyDescent="0.25">
      <c r="A96">
        <f t="shared" ca="1" si="4"/>
        <v>84</v>
      </c>
      <c r="B96" s="263" t="str">
        <f t="shared" ca="1" si="5"/>
        <v xml:space="preserve"> </v>
      </c>
      <c r="C96" s="264">
        <f t="shared" ca="1" si="6"/>
        <v>44</v>
      </c>
      <c r="D96" s="395">
        <f t="shared" ca="1" si="7"/>
        <v>43038</v>
      </c>
      <c r="E96" s="191"/>
      <c r="F96" s="191">
        <v>1</v>
      </c>
      <c r="G96" s="192">
        <v>1</v>
      </c>
      <c r="H96" s="191"/>
      <c r="I96" s="250">
        <f>IF(COUNTBLANK(E96:H96)=4,"",SUM(E96:G96)+IF(Setup!$I$15="No",0,H96))</f>
        <v>2</v>
      </c>
      <c r="J96" s="191"/>
      <c r="K96" s="191">
        <v>1</v>
      </c>
      <c r="L96" s="191">
        <v>6</v>
      </c>
      <c r="M96" s="191"/>
      <c r="N96" s="254">
        <f>IF(COUNTBLANK(J96:M96)=4,"",SUM(J96:L96)+IF(Setup!$I$15="No",0,M96))</f>
        <v>7</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f ca="1">IF('Demand background (hide)'!A87=Num_Modalities,"",SUM(Demand!I96, Demand!N96))</f>
        <v>9</v>
      </c>
      <c r="BD96" s="258">
        <f ca="1">IF(AND(A96&lt;=MaxRows,BE96&lt;&gt;"Yes"),'Demand background (hide)'!X87+IF(Setup!$I$15="Yes",'Demand background (hide)'!AJ87,0),"")</f>
        <v>340</v>
      </c>
      <c r="BE96" s="208"/>
    </row>
    <row r="97" spans="1:57" ht="15" x14ac:dyDescent="0.25">
      <c r="A97">
        <f t="shared" ca="1" si="4"/>
        <v>85</v>
      </c>
      <c r="B97" s="263" t="str">
        <f t="shared" ca="1" si="5"/>
        <v xml:space="preserve"> </v>
      </c>
      <c r="C97" s="264">
        <f t="shared" ca="1" si="6"/>
        <v>45</v>
      </c>
      <c r="D97" s="395">
        <f t="shared" ca="1" si="7"/>
        <v>43045</v>
      </c>
      <c r="E97" s="191"/>
      <c r="F97" s="191">
        <v>0</v>
      </c>
      <c r="G97" s="192">
        <v>3</v>
      </c>
      <c r="H97" s="191"/>
      <c r="I97" s="250">
        <f>IF(COUNTBLANK(E97:H97)=4,"",SUM(E97:G97)+IF(Setup!$I$15="No",0,H97))</f>
        <v>3</v>
      </c>
      <c r="J97" s="191"/>
      <c r="K97" s="191">
        <v>2</v>
      </c>
      <c r="L97" s="191">
        <v>9</v>
      </c>
      <c r="M97" s="191"/>
      <c r="N97" s="254">
        <f>IF(COUNTBLANK(J97:M97)=4,"",SUM(J97:L97)+IF(Setup!$I$15="No",0,M97))</f>
        <v>11</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f ca="1">IF('Demand background (hide)'!A88=Num_Modalities,"",SUM(Demand!I97, Demand!N97))</f>
        <v>14</v>
      </c>
      <c r="BD97" s="258">
        <f ca="1">IF(AND(A97&lt;=MaxRows,BE97&lt;&gt;"Yes"),'Demand background (hide)'!X88+IF(Setup!$I$15="Yes",'Demand background (hide)'!AJ88,0),"")</f>
        <v>530</v>
      </c>
      <c r="BE97" s="208"/>
    </row>
    <row r="98" spans="1:57" ht="15" x14ac:dyDescent="0.25">
      <c r="A98">
        <f t="shared" ca="1" si="4"/>
        <v>86</v>
      </c>
      <c r="B98" s="263" t="str">
        <f t="shared" ca="1" si="5"/>
        <v xml:space="preserve"> </v>
      </c>
      <c r="C98" s="264">
        <f t="shared" ca="1" si="6"/>
        <v>46</v>
      </c>
      <c r="D98" s="395">
        <f t="shared" ca="1" si="7"/>
        <v>43052</v>
      </c>
      <c r="E98" s="191"/>
      <c r="F98" s="191">
        <v>0</v>
      </c>
      <c r="G98" s="192">
        <v>6</v>
      </c>
      <c r="H98" s="191"/>
      <c r="I98" s="250">
        <f>IF(COUNTBLANK(E98:H98)=4,"",SUM(E98:G98)+IF(Setup!$I$15="No",0,H98))</f>
        <v>6</v>
      </c>
      <c r="J98" s="191"/>
      <c r="K98" s="191">
        <v>3</v>
      </c>
      <c r="L98" s="191">
        <v>7</v>
      </c>
      <c r="M98" s="191"/>
      <c r="N98" s="254">
        <f>IF(COUNTBLANK(J98:M98)=4,"",SUM(J98:L98)+IF(Setup!$I$15="No",0,M98))</f>
        <v>10</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f ca="1">IF('Demand background (hide)'!A89=Num_Modalities,"",SUM(Demand!I98, Demand!N98))</f>
        <v>16</v>
      </c>
      <c r="BD98" s="258">
        <f ca="1">IF(AND(A98&lt;=MaxRows,BE98&lt;&gt;"Yes"),'Demand background (hide)'!X89+IF(Setup!$I$15="Yes",'Demand background (hide)'!AJ89,0),"")</f>
        <v>580</v>
      </c>
      <c r="BE98" s="208"/>
    </row>
    <row r="99" spans="1:57" ht="15" x14ac:dyDescent="0.25">
      <c r="A99">
        <f t="shared" ca="1" si="4"/>
        <v>87</v>
      </c>
      <c r="B99" s="263" t="str">
        <f t="shared" ca="1" si="5"/>
        <v xml:space="preserve"> </v>
      </c>
      <c r="C99" s="264">
        <f t="shared" ca="1" si="6"/>
        <v>47</v>
      </c>
      <c r="D99" s="395">
        <f t="shared" ca="1" si="7"/>
        <v>43059</v>
      </c>
      <c r="E99" s="191"/>
      <c r="F99" s="191">
        <v>0</v>
      </c>
      <c r="G99" s="192">
        <v>2</v>
      </c>
      <c r="H99" s="191"/>
      <c r="I99" s="250">
        <f>IF(COUNTBLANK(E99:H99)=4,"",SUM(E99:G99)+IF(Setup!$I$15="No",0,H99))</f>
        <v>2</v>
      </c>
      <c r="J99" s="191"/>
      <c r="K99" s="191">
        <v>2</v>
      </c>
      <c r="L99" s="191">
        <v>8</v>
      </c>
      <c r="M99" s="191"/>
      <c r="N99" s="254">
        <f>IF(COUNTBLANK(J99:M99)=4,"",SUM(J99:L99)+IF(Setup!$I$15="No",0,M99))</f>
        <v>10</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f ca="1">IF('Demand background (hide)'!A90=Num_Modalities,"",SUM(Demand!I99, Demand!N99))</f>
        <v>12</v>
      </c>
      <c r="BD99" s="258">
        <f ca="1">IF(AND(A99&lt;=MaxRows,BE99&lt;&gt;"Yes"),'Demand background (hide)'!X90+IF(Setup!$I$15="Yes",'Demand background (hide)'!AJ90,0),"")</f>
        <v>460</v>
      </c>
      <c r="BE99" s="208"/>
    </row>
    <row r="100" spans="1:57" ht="15" x14ac:dyDescent="0.25">
      <c r="A100">
        <f t="shared" ca="1" si="4"/>
        <v>88</v>
      </c>
      <c r="B100" s="263" t="str">
        <f t="shared" ca="1" si="5"/>
        <v xml:space="preserve"> </v>
      </c>
      <c r="C100" s="264">
        <f t="shared" ca="1" si="6"/>
        <v>48</v>
      </c>
      <c r="D100" s="395">
        <f t="shared" ca="1" si="7"/>
        <v>43066</v>
      </c>
      <c r="E100" s="191"/>
      <c r="F100" s="191">
        <v>3</v>
      </c>
      <c r="G100" s="192">
        <v>3</v>
      </c>
      <c r="H100" s="191"/>
      <c r="I100" s="250">
        <f>IF(COUNTBLANK(E100:H100)=4,"",SUM(E100:G100)+IF(Setup!$I$15="No",0,H100))</f>
        <v>6</v>
      </c>
      <c r="J100" s="191"/>
      <c r="K100" s="191">
        <v>2</v>
      </c>
      <c r="L100" s="191">
        <v>6</v>
      </c>
      <c r="M100" s="191"/>
      <c r="N100" s="254">
        <f>IF(COUNTBLANK(J100:M100)=4,"",SUM(J100:L100)+IF(Setup!$I$15="No",0,M100))</f>
        <v>8</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f ca="1">IF('Demand background (hide)'!A91=Num_Modalities,"",SUM(Demand!I100, Demand!N100))</f>
        <v>14</v>
      </c>
      <c r="BD100" s="258">
        <f ca="1">IF(AND(A100&lt;=MaxRows,BE100&lt;&gt;"Yes"),'Demand background (hide)'!X91+IF(Setup!$I$15="Yes",'Demand background (hide)'!AJ91,0),"")</f>
        <v>500</v>
      </c>
      <c r="BE100" s="208"/>
    </row>
    <row r="101" spans="1:57" ht="15" x14ac:dyDescent="0.25">
      <c r="A101">
        <f t="shared" ca="1" si="4"/>
        <v>89</v>
      </c>
      <c r="B101" s="263" t="str">
        <f t="shared" ca="1" si="5"/>
        <v xml:space="preserve"> </v>
      </c>
      <c r="C101" s="264">
        <f t="shared" ca="1" si="6"/>
        <v>49</v>
      </c>
      <c r="D101" s="395">
        <f t="shared" ca="1" si="7"/>
        <v>43073</v>
      </c>
      <c r="E101" s="191"/>
      <c r="F101" s="191">
        <v>1</v>
      </c>
      <c r="G101" s="192">
        <v>8</v>
      </c>
      <c r="H101" s="191"/>
      <c r="I101" s="250">
        <f>IF(COUNTBLANK(E101:H101)=4,"",SUM(E101:G101)+IF(Setup!$I$15="No",0,H101))</f>
        <v>9</v>
      </c>
      <c r="J101" s="191"/>
      <c r="K101" s="191">
        <v>3</v>
      </c>
      <c r="L101" s="191">
        <v>3</v>
      </c>
      <c r="M101" s="191"/>
      <c r="N101" s="254">
        <f>IF(COUNTBLANK(J101:M101)=4,"",SUM(J101:L101)+IF(Setup!$I$15="No",0,M101))</f>
        <v>6</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f ca="1">IF('Demand background (hide)'!A92=Num_Modalities,"",SUM(Demand!I101, Demand!N101))</f>
        <v>15</v>
      </c>
      <c r="BD101" s="258">
        <f ca="1">IF(AND(A101&lt;=MaxRows,BE101&lt;&gt;"Yes"),'Demand background (hide)'!X92+IF(Setup!$I$15="Yes",'Demand background (hide)'!AJ92,0),"")</f>
        <v>510</v>
      </c>
      <c r="BE101" s="208"/>
    </row>
    <row r="102" spans="1:57" ht="15" x14ac:dyDescent="0.25">
      <c r="A102">
        <f t="shared" ca="1" si="4"/>
        <v>90</v>
      </c>
      <c r="B102" s="263" t="str">
        <f t="shared" ca="1" si="5"/>
        <v xml:space="preserve"> </v>
      </c>
      <c r="C102" s="264">
        <f t="shared" ca="1" si="6"/>
        <v>50</v>
      </c>
      <c r="D102" s="395">
        <f t="shared" ca="1" si="7"/>
        <v>43080</v>
      </c>
      <c r="E102" s="191"/>
      <c r="F102" s="191">
        <v>0</v>
      </c>
      <c r="G102" s="192">
        <v>5</v>
      </c>
      <c r="H102" s="191"/>
      <c r="I102" s="250">
        <f>IF(COUNTBLANK(E102:H102)=4,"",SUM(E102:G102)+IF(Setup!$I$15="No",0,H102))</f>
        <v>5</v>
      </c>
      <c r="J102" s="191"/>
      <c r="K102" s="191">
        <v>2</v>
      </c>
      <c r="L102" s="191">
        <v>7</v>
      </c>
      <c r="M102" s="191"/>
      <c r="N102" s="254">
        <f>IF(COUNTBLANK(J102:M102)=4,"",SUM(J102:L102)+IF(Setup!$I$15="No",0,M102))</f>
        <v>9</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f ca="1">IF('Demand background (hide)'!A93=Num_Modalities,"",SUM(Demand!I102, Demand!N102))</f>
        <v>14</v>
      </c>
      <c r="BD102" s="258">
        <f ca="1">IF(AND(A102&lt;=MaxRows,BE102&lt;&gt;"Yes"),'Demand background (hide)'!X93+IF(Setup!$I$15="Yes",'Demand background (hide)'!AJ93,0),"")</f>
        <v>510</v>
      </c>
      <c r="BE102" s="208"/>
    </row>
    <row r="103" spans="1:57" ht="15" x14ac:dyDescent="0.25">
      <c r="A103">
        <f t="shared" ca="1" si="4"/>
        <v>91</v>
      </c>
      <c r="B103" s="263" t="str">
        <f t="shared" ca="1" si="5"/>
        <v xml:space="preserve"> </v>
      </c>
      <c r="C103" s="264">
        <f t="shared" ca="1" si="6"/>
        <v>51</v>
      </c>
      <c r="D103" s="395">
        <f t="shared" ca="1" si="7"/>
        <v>43087</v>
      </c>
      <c r="E103" s="191"/>
      <c r="F103" s="191">
        <v>1</v>
      </c>
      <c r="G103" s="192">
        <v>0</v>
      </c>
      <c r="H103" s="191"/>
      <c r="I103" s="250">
        <f>IF(COUNTBLANK(E103:H103)=4,"",SUM(E103:G103)+IF(Setup!$I$15="No",0,H103))</f>
        <v>1</v>
      </c>
      <c r="J103" s="191"/>
      <c r="K103" s="191">
        <v>1</v>
      </c>
      <c r="L103" s="191">
        <v>8</v>
      </c>
      <c r="M103" s="191"/>
      <c r="N103" s="254">
        <f>IF(COUNTBLANK(J103:M103)=4,"",SUM(J103:L103)+IF(Setup!$I$15="No",0,M103))</f>
        <v>9</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f ca="1">IF('Demand background (hide)'!A94=Num_Modalities,"",SUM(Demand!I103, Demand!N103))</f>
        <v>10</v>
      </c>
      <c r="BD103" s="258">
        <f ca="1">IF(AND(A103&lt;=MaxRows,BE103&lt;&gt;"Yes"),'Demand background (hide)'!X94+IF(Setup!$I$15="Yes",'Demand background (hide)'!AJ94,0),"")</f>
        <v>390</v>
      </c>
      <c r="BE103" s="208"/>
    </row>
    <row r="104" spans="1:57" ht="15" x14ac:dyDescent="0.25">
      <c r="A104">
        <f t="shared" ca="1" si="4"/>
        <v>92</v>
      </c>
      <c r="B104" s="263" t="str">
        <f t="shared" ca="1" si="5"/>
        <v xml:space="preserve"> </v>
      </c>
      <c r="C104" s="264">
        <f t="shared" ca="1" si="6"/>
        <v>52</v>
      </c>
      <c r="D104" s="395">
        <f t="shared" ca="1" si="7"/>
        <v>43094</v>
      </c>
      <c r="E104" s="191"/>
      <c r="F104" s="191">
        <v>1</v>
      </c>
      <c r="G104" s="192">
        <v>3</v>
      </c>
      <c r="H104" s="191"/>
      <c r="I104" s="250">
        <f>IF(COUNTBLANK(E104:H104)=4,"",SUM(E104:G104)+IF(Setup!$I$15="No",0,H104))</f>
        <v>4</v>
      </c>
      <c r="J104" s="191"/>
      <c r="K104" s="191">
        <v>1</v>
      </c>
      <c r="L104" s="191">
        <v>7</v>
      </c>
      <c r="M104" s="191"/>
      <c r="N104" s="254">
        <f>IF(COUNTBLANK(J104:M104)=4,"",SUM(J104:L104)+IF(Setup!$I$15="No",0,M104))</f>
        <v>8</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f ca="1">IF('Demand background (hide)'!A95=Num_Modalities,"",SUM(Demand!I104, Demand!N104))</f>
        <v>12</v>
      </c>
      <c r="BD104" s="258">
        <f ca="1">IF(AND(A104&lt;=MaxRows,BE104&lt;&gt;"Yes"),'Demand background (hide)'!X95+IF(Setup!$I$15="Yes",'Demand background (hide)'!AJ95,0),"")</f>
        <v>440</v>
      </c>
      <c r="BE104" s="208"/>
    </row>
    <row r="105" spans="1:57" ht="15" x14ac:dyDescent="0.25">
      <c r="A105">
        <f t="shared" ca="1" si="4"/>
        <v>93</v>
      </c>
      <c r="B105" s="263">
        <f t="shared" ca="1" si="5"/>
        <v>2018</v>
      </c>
      <c r="C105" s="264">
        <f t="shared" ca="1" si="6"/>
        <v>1</v>
      </c>
      <c r="D105" s="395">
        <f t="shared" ca="1" si="7"/>
        <v>43101</v>
      </c>
      <c r="E105" s="191"/>
      <c r="F105" s="191">
        <v>0</v>
      </c>
      <c r="G105" s="192">
        <v>6</v>
      </c>
      <c r="H105" s="191"/>
      <c r="I105" s="250">
        <f>IF(COUNTBLANK(E105:H105)=4,"",SUM(E105:G105)+IF(Setup!$I$15="No",0,H105))</f>
        <v>6</v>
      </c>
      <c r="J105" s="191"/>
      <c r="K105" s="191">
        <v>1</v>
      </c>
      <c r="L105" s="191">
        <v>12</v>
      </c>
      <c r="M105" s="191"/>
      <c r="N105" s="254">
        <f>IF(COUNTBLANK(J105:M105)=4,"",SUM(J105:L105)+IF(Setup!$I$15="No",0,M105))</f>
        <v>13</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f ca="1">IF('Demand background (hide)'!A96=Num_Modalities,"",SUM(Demand!I105, Demand!N105))</f>
        <v>19</v>
      </c>
      <c r="BD105" s="258">
        <f ca="1">IF(AND(A105&lt;=MaxRows,BE105&lt;&gt;"Yes"),'Demand background (hide)'!X96+IF(Setup!$I$15="Yes",'Demand background (hide)'!AJ96,0),"")</f>
        <v>700</v>
      </c>
      <c r="BE105" s="208"/>
    </row>
    <row r="106" spans="1:57" ht="15" x14ac:dyDescent="0.25">
      <c r="A106">
        <f t="shared" ca="1" si="4"/>
        <v>94</v>
      </c>
      <c r="B106" s="263" t="str">
        <f t="shared" ca="1" si="5"/>
        <v xml:space="preserve"> </v>
      </c>
      <c r="C106" s="264">
        <f t="shared" ca="1" si="6"/>
        <v>2</v>
      </c>
      <c r="D106" s="395">
        <f t="shared" ca="1" si="7"/>
        <v>43108</v>
      </c>
      <c r="E106" s="191"/>
      <c r="F106" s="191">
        <v>0</v>
      </c>
      <c r="G106" s="192">
        <v>3</v>
      </c>
      <c r="H106" s="191"/>
      <c r="I106" s="250">
        <f>IF(COUNTBLANK(E106:H106)=4,"",SUM(E106:G106)+IF(Setup!$I$15="No",0,H106))</f>
        <v>3</v>
      </c>
      <c r="J106" s="191"/>
      <c r="K106" s="191">
        <v>2</v>
      </c>
      <c r="L106" s="191">
        <v>10</v>
      </c>
      <c r="M106" s="191"/>
      <c r="N106" s="254">
        <f>IF(COUNTBLANK(J106:M106)=4,"",SUM(J106:L106)+IF(Setup!$I$15="No",0,M106))</f>
        <v>12</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f ca="1">IF('Demand background (hide)'!A97=Num_Modalities,"",SUM(Demand!I106, Demand!N106))</f>
        <v>15</v>
      </c>
      <c r="BD106" s="258">
        <f ca="1">IF(AND(A106&lt;=MaxRows,BE106&lt;&gt;"Yes"),'Demand background (hide)'!X97+IF(Setup!$I$15="Yes",'Demand background (hide)'!AJ97,0),"")</f>
        <v>570</v>
      </c>
      <c r="BE106" s="208"/>
    </row>
    <row r="107" spans="1:57" ht="15" x14ac:dyDescent="0.25">
      <c r="A107">
        <f t="shared" ca="1" si="4"/>
        <v>95</v>
      </c>
      <c r="B107" s="263" t="str">
        <f t="shared" ca="1" si="5"/>
        <v xml:space="preserve"> </v>
      </c>
      <c r="C107" s="264">
        <f t="shared" ca="1" si="6"/>
        <v>3</v>
      </c>
      <c r="D107" s="395">
        <f t="shared" ca="1" si="7"/>
        <v>43115</v>
      </c>
      <c r="E107" s="191"/>
      <c r="F107" s="191">
        <v>1</v>
      </c>
      <c r="G107" s="192">
        <v>7</v>
      </c>
      <c r="H107" s="191"/>
      <c r="I107" s="250">
        <f>IF(COUNTBLANK(E107:H107)=4,"",SUM(E107:G107)+IF(Setup!$I$15="No",0,H107))</f>
        <v>8</v>
      </c>
      <c r="J107" s="191"/>
      <c r="K107" s="191">
        <v>1</v>
      </c>
      <c r="L107" s="191">
        <v>6</v>
      </c>
      <c r="M107" s="191"/>
      <c r="N107" s="254">
        <f>IF(COUNTBLANK(J107:M107)=4,"",SUM(J107:L107)+IF(Setup!$I$15="No",0,M107))</f>
        <v>7</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f ca="1">IF('Demand background (hide)'!A98=Num_Modalities,"",SUM(Demand!I107, Demand!N107))</f>
        <v>15</v>
      </c>
      <c r="BD107" s="258">
        <f ca="1">IF(AND(A107&lt;=MaxRows,BE107&lt;&gt;"Yes"),'Demand background (hide)'!X98+IF(Setup!$I$15="Yes",'Demand background (hide)'!AJ98,0),"")</f>
        <v>520</v>
      </c>
      <c r="BE107" s="208"/>
    </row>
    <row r="108" spans="1:57" ht="15" x14ac:dyDescent="0.25">
      <c r="A108">
        <f t="shared" ca="1" si="4"/>
        <v>96</v>
      </c>
      <c r="B108" s="263" t="str">
        <f t="shared" ca="1" si="5"/>
        <v xml:space="preserve"> </v>
      </c>
      <c r="C108" s="264">
        <f t="shared" ca="1" si="6"/>
        <v>4</v>
      </c>
      <c r="D108" s="395">
        <f t="shared" ca="1" si="7"/>
        <v>43122</v>
      </c>
      <c r="E108" s="191"/>
      <c r="F108" s="191">
        <v>0</v>
      </c>
      <c r="G108" s="192">
        <v>5</v>
      </c>
      <c r="H108" s="191"/>
      <c r="I108" s="250">
        <f>IF(COUNTBLANK(E108:H108)=4,"",SUM(E108:G108)+IF(Setup!$I$15="No",0,H108))</f>
        <v>5</v>
      </c>
      <c r="J108" s="191"/>
      <c r="K108" s="191">
        <v>1</v>
      </c>
      <c r="L108" s="191">
        <v>11</v>
      </c>
      <c r="M108" s="191"/>
      <c r="N108" s="254">
        <f>IF(COUNTBLANK(J108:M108)=4,"",SUM(J108:L108)+IF(Setup!$I$15="No",0,M108))</f>
        <v>12</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f ca="1">IF('Demand background (hide)'!A99=Num_Modalities,"",SUM(Demand!I108, Demand!N108))</f>
        <v>17</v>
      </c>
      <c r="BD108" s="258">
        <f ca="1">IF(AND(A108&lt;=MaxRows,BE108&lt;&gt;"Yes"),'Demand background (hide)'!X99+IF(Setup!$I$15="Yes",'Demand background (hide)'!AJ99,0),"")</f>
        <v>630</v>
      </c>
      <c r="BE108" s="208"/>
    </row>
    <row r="109" spans="1:57" ht="15" x14ac:dyDescent="0.25">
      <c r="A109">
        <f t="shared" ca="1" si="4"/>
        <v>97</v>
      </c>
      <c r="B109" s="263" t="str">
        <f t="shared" ca="1" si="5"/>
        <v xml:space="preserve"> </v>
      </c>
      <c r="C109" s="264">
        <f t="shared" ca="1" si="6"/>
        <v>5</v>
      </c>
      <c r="D109" s="395">
        <f t="shared" ca="1" si="7"/>
        <v>43129</v>
      </c>
      <c r="E109" s="191"/>
      <c r="F109" s="191">
        <v>2</v>
      </c>
      <c r="G109" s="192">
        <v>3</v>
      </c>
      <c r="H109" s="191"/>
      <c r="I109" s="250">
        <f>IF(COUNTBLANK(E109:H109)=4,"",SUM(E109:G109)+IF(Setup!$I$15="No",0,H109))</f>
        <v>5</v>
      </c>
      <c r="J109" s="191"/>
      <c r="K109" s="191">
        <v>1</v>
      </c>
      <c r="L109" s="191">
        <v>9</v>
      </c>
      <c r="M109" s="191"/>
      <c r="N109" s="254">
        <f>IF(COUNTBLANK(J109:M109)=4,"",SUM(J109:L109)+IF(Setup!$I$15="No",0,M109))</f>
        <v>10</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f ca="1">IF('Demand background (hide)'!A100=Num_Modalities,"",SUM(Demand!I109, Demand!N109))</f>
        <v>15</v>
      </c>
      <c r="BD109" s="258">
        <f ca="1">IF(AND(A109&lt;=MaxRows,BE109&lt;&gt;"Yes"),'Demand background (hide)'!X100+IF(Setup!$I$15="Yes",'Demand background (hide)'!AJ100,0),"")</f>
        <v>550</v>
      </c>
      <c r="BE109" s="208"/>
    </row>
    <row r="110" spans="1:57" ht="15" x14ac:dyDescent="0.25">
      <c r="A110">
        <f t="shared" ca="1" si="4"/>
        <v>98</v>
      </c>
      <c r="B110" s="263" t="str">
        <f t="shared" ca="1" si="5"/>
        <v xml:space="preserve"> </v>
      </c>
      <c r="C110" s="264">
        <f t="shared" ca="1" si="6"/>
        <v>6</v>
      </c>
      <c r="D110" s="395">
        <f t="shared" ca="1" si="7"/>
        <v>43136</v>
      </c>
      <c r="E110" s="191"/>
      <c r="F110" s="191">
        <v>1</v>
      </c>
      <c r="G110" s="192">
        <v>4</v>
      </c>
      <c r="H110" s="191"/>
      <c r="I110" s="250">
        <f>IF(COUNTBLANK(E110:H110)=4,"",SUM(E110:G110)+IF(Setup!$I$15="No",0,H110))</f>
        <v>5</v>
      </c>
      <c r="J110" s="191"/>
      <c r="K110" s="191">
        <v>1</v>
      </c>
      <c r="L110" s="191">
        <v>4</v>
      </c>
      <c r="M110" s="191"/>
      <c r="N110" s="254">
        <f>IF(COUNTBLANK(J110:M110)=4,"",SUM(J110:L110)+IF(Setup!$I$15="No",0,M110))</f>
        <v>5</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f ca="1">IF('Demand background (hide)'!A101=Num_Modalities,"",SUM(Demand!I110, Demand!N110))</f>
        <v>10</v>
      </c>
      <c r="BD110" s="258">
        <f ca="1">IF(AND(A110&lt;=MaxRows,BE110&lt;&gt;"Yes"),'Demand background (hide)'!X101+IF(Setup!$I$15="Yes",'Demand background (hide)'!AJ101,0),"")</f>
        <v>350</v>
      </c>
      <c r="BE110" s="208"/>
    </row>
    <row r="111" spans="1:57" ht="15" x14ac:dyDescent="0.25">
      <c r="A111">
        <f t="shared" ca="1" si="4"/>
        <v>99</v>
      </c>
      <c r="B111" s="263" t="str">
        <f t="shared" ca="1" si="5"/>
        <v xml:space="preserve"> </v>
      </c>
      <c r="C111" s="264">
        <f t="shared" ca="1" si="6"/>
        <v>7</v>
      </c>
      <c r="D111" s="395">
        <f t="shared" ca="1" si="7"/>
        <v>43143</v>
      </c>
      <c r="E111" s="191"/>
      <c r="F111" s="191">
        <v>0</v>
      </c>
      <c r="G111" s="192">
        <v>3</v>
      </c>
      <c r="H111" s="191"/>
      <c r="I111" s="250">
        <f>IF(COUNTBLANK(E111:H111)=4,"",SUM(E111:G111)+IF(Setup!$I$15="No",0,H111))</f>
        <v>3</v>
      </c>
      <c r="J111" s="191"/>
      <c r="K111" s="191">
        <v>4</v>
      </c>
      <c r="L111" s="191">
        <v>4</v>
      </c>
      <c r="M111" s="191"/>
      <c r="N111" s="254">
        <f>IF(COUNTBLANK(J111:M111)=4,"",SUM(J111:L111)+IF(Setup!$I$15="No",0,M111))</f>
        <v>8</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f ca="1">IF('Demand background (hide)'!A102=Num_Modalities,"",SUM(Demand!I111, Demand!N111))</f>
        <v>11</v>
      </c>
      <c r="BD111" s="258">
        <f ca="1">IF(AND(A111&lt;=MaxRows,BE111&lt;&gt;"Yes"),'Demand background (hide)'!X102+IF(Setup!$I$15="Yes",'Demand background (hide)'!AJ102,0),"")</f>
        <v>410</v>
      </c>
      <c r="BE111" s="208"/>
    </row>
    <row r="112" spans="1:57" ht="15" x14ac:dyDescent="0.25">
      <c r="A112">
        <f t="shared" ca="1" si="4"/>
        <v>100</v>
      </c>
      <c r="B112" s="263" t="str">
        <f t="shared" ca="1" si="5"/>
        <v xml:space="preserve"> </v>
      </c>
      <c r="C112" s="264">
        <f t="shared" ca="1" si="6"/>
        <v>8</v>
      </c>
      <c r="D112" s="395">
        <f t="shared" ca="1" si="7"/>
        <v>43150</v>
      </c>
      <c r="E112" s="191"/>
      <c r="F112" s="191">
        <v>0</v>
      </c>
      <c r="G112" s="192">
        <v>3</v>
      </c>
      <c r="H112" s="191"/>
      <c r="I112" s="250">
        <f>IF(COUNTBLANK(E112:H112)=4,"",SUM(E112:G112)+IF(Setup!$I$15="No",0,H112))</f>
        <v>3</v>
      </c>
      <c r="J112" s="191"/>
      <c r="K112" s="191">
        <v>2</v>
      </c>
      <c r="L112" s="191">
        <v>7</v>
      </c>
      <c r="M112" s="191"/>
      <c r="N112" s="254">
        <f>IF(COUNTBLANK(J112:M112)=4,"",SUM(J112:L112)+IF(Setup!$I$15="No",0,M112))</f>
        <v>9</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f ca="1">IF('Demand background (hide)'!A103=Num_Modalities,"",SUM(Demand!I112, Demand!N112))</f>
        <v>12</v>
      </c>
      <c r="BD112" s="258">
        <f ca="1">IF(AND(A112&lt;=MaxRows,BE112&lt;&gt;"Yes"),'Demand background (hide)'!X103+IF(Setup!$I$15="Yes",'Demand background (hide)'!AJ103,0),"")</f>
        <v>450</v>
      </c>
      <c r="BE112" s="208"/>
    </row>
    <row r="113" spans="1:59" ht="15" x14ac:dyDescent="0.25">
      <c r="A113">
        <f t="shared" ca="1" si="4"/>
        <v>101</v>
      </c>
      <c r="B113" s="263" t="str">
        <f t="shared" ca="1" si="5"/>
        <v xml:space="preserve"> </v>
      </c>
      <c r="C113" s="264">
        <f t="shared" ca="1" si="6"/>
        <v>9</v>
      </c>
      <c r="D113" s="395">
        <f t="shared" ca="1" si="7"/>
        <v>43157</v>
      </c>
      <c r="E113" s="191"/>
      <c r="F113" s="191">
        <v>1</v>
      </c>
      <c r="G113" s="192">
        <v>0</v>
      </c>
      <c r="H113" s="191"/>
      <c r="I113" s="250">
        <f>IF(COUNTBLANK(E113:H113)=4,"",SUM(E113:G113)+IF(Setup!$I$15="No",0,H113))</f>
        <v>1</v>
      </c>
      <c r="J113" s="191"/>
      <c r="K113" s="191">
        <v>1</v>
      </c>
      <c r="L113" s="191">
        <v>5</v>
      </c>
      <c r="M113" s="191"/>
      <c r="N113" s="254">
        <f>IF(COUNTBLANK(J113:M113)=4,"",SUM(J113:L113)+IF(Setup!$I$15="No",0,M113))</f>
        <v>6</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f ca="1">IF('Demand background (hide)'!A104=Num_Modalities,"",SUM(Demand!I113, Demand!N113))</f>
        <v>7</v>
      </c>
      <c r="BD113" s="258">
        <f ca="1">IF(AND(A113&lt;=MaxRows,BE113&lt;&gt;"Yes"),'Demand background (hide)'!X104+IF(Setup!$I$15="Yes",'Demand background (hide)'!AJ104,0),"")</f>
        <v>270</v>
      </c>
      <c r="BE113" s="208"/>
    </row>
    <row r="114" spans="1:59" ht="15" x14ac:dyDescent="0.25">
      <c r="A114">
        <f t="shared" ca="1" si="4"/>
        <v>102</v>
      </c>
      <c r="B114" s="263" t="str">
        <f t="shared" ca="1" si="5"/>
        <v xml:space="preserve"> </v>
      </c>
      <c r="C114" s="264">
        <f t="shared" ca="1" si="6"/>
        <v>10</v>
      </c>
      <c r="D114" s="395">
        <f t="shared" ca="1" si="7"/>
        <v>43164</v>
      </c>
      <c r="E114" s="191"/>
      <c r="F114" s="191">
        <v>1</v>
      </c>
      <c r="G114" s="192">
        <v>1</v>
      </c>
      <c r="H114" s="191"/>
      <c r="I114" s="250">
        <f>IF(COUNTBLANK(E114:H114)=4,"",SUM(E114:G114)+IF(Setup!$I$15="No",0,H114))</f>
        <v>2</v>
      </c>
      <c r="J114" s="191"/>
      <c r="K114" s="191">
        <v>2</v>
      </c>
      <c r="L114" s="191">
        <v>16</v>
      </c>
      <c r="M114" s="191"/>
      <c r="N114" s="254">
        <f>IF(COUNTBLANK(J114:M114)=4,"",SUM(J114:L114)+IF(Setup!$I$15="No",0,M114))</f>
        <v>18</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f ca="1">IF('Demand background (hide)'!A105=Num_Modalities,"",SUM(Demand!I114, Demand!N114))</f>
        <v>20</v>
      </c>
      <c r="BD114" s="258">
        <f ca="1">IF(AND(A114&lt;=MaxRows,BE114&lt;&gt;"Yes"),'Demand background (hide)'!X105+IF(Setup!$I$15="Yes",'Demand background (hide)'!AJ105,0),"")</f>
        <v>780</v>
      </c>
      <c r="BE114" s="208"/>
    </row>
    <row r="115" spans="1:59" ht="15" x14ac:dyDescent="0.25">
      <c r="A115">
        <f t="shared" ca="1" si="4"/>
        <v>103</v>
      </c>
      <c r="B115" s="263" t="str">
        <f t="shared" ca="1" si="5"/>
        <v xml:space="preserve"> </v>
      </c>
      <c r="C115" s="264">
        <f t="shared" ca="1" si="6"/>
        <v>11</v>
      </c>
      <c r="D115" s="395">
        <f t="shared" ca="1" si="7"/>
        <v>43171</v>
      </c>
      <c r="E115" s="191"/>
      <c r="F115" s="191">
        <v>0</v>
      </c>
      <c r="G115" s="192">
        <v>10</v>
      </c>
      <c r="H115" s="191"/>
      <c r="I115" s="250">
        <f>IF(COUNTBLANK(E115:H115)=4,"",SUM(E115:G115)+IF(Setup!$I$15="No",0,H115))</f>
        <v>10</v>
      </c>
      <c r="J115" s="191"/>
      <c r="K115" s="191">
        <v>5</v>
      </c>
      <c r="L115" s="191">
        <v>6</v>
      </c>
      <c r="M115" s="191"/>
      <c r="N115" s="254">
        <f>IF(COUNTBLANK(J115:M115)=4,"",SUM(J115:L115)+IF(Setup!$I$15="No",0,M115))</f>
        <v>11</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f ca="1">IF('Demand background (hide)'!A106=Num_Modalities,"",SUM(Demand!I115, Demand!N115))</f>
        <v>21</v>
      </c>
      <c r="BD115" s="258">
        <f ca="1">IF(AND(A115&lt;=MaxRows,BE115&lt;&gt;"Yes"),'Demand background (hide)'!X106+IF(Setup!$I$15="Yes",'Demand background (hide)'!AJ106,0),"")</f>
        <v>740</v>
      </c>
      <c r="BE115" s="208"/>
    </row>
    <row r="116" spans="1:59" ht="15" x14ac:dyDescent="0.25">
      <c r="A116">
        <f t="shared" ca="1" si="4"/>
        <v>104</v>
      </c>
      <c r="B116" s="263" t="str">
        <f t="shared" ca="1" si="5"/>
        <v xml:space="preserve"> </v>
      </c>
      <c r="C116" s="264">
        <f t="shared" ca="1" si="6"/>
        <v>12</v>
      </c>
      <c r="D116" s="395">
        <f t="shared" ca="1" si="7"/>
        <v>43178</v>
      </c>
      <c r="E116" s="191"/>
      <c r="F116" s="191">
        <v>1</v>
      </c>
      <c r="G116" s="192">
        <v>4</v>
      </c>
      <c r="H116" s="191"/>
      <c r="I116" s="250">
        <f>IF(COUNTBLANK(E116:H116)=4,"",SUM(E116:G116)+IF(Setup!$I$15="No",0,H116))</f>
        <v>5</v>
      </c>
      <c r="J116" s="191"/>
      <c r="K116" s="191">
        <v>3</v>
      </c>
      <c r="L116" s="191">
        <v>6</v>
      </c>
      <c r="M116" s="191"/>
      <c r="N116" s="254">
        <f>IF(COUNTBLANK(J116:M116)=4,"",SUM(J116:L116)+IF(Setup!$I$15="No",0,M116))</f>
        <v>9</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f ca="1">IF('Demand background (hide)'!A107=Num_Modalities,"",SUM(Demand!I116, Demand!N116))</f>
        <v>14</v>
      </c>
      <c r="BD116" s="258">
        <f ca="1">IF(AND(A116&lt;=MaxRows,BE116&lt;&gt;"Yes"),'Demand background (hide)'!X107+IF(Setup!$I$15="Yes",'Demand background (hide)'!AJ107,0),"")</f>
        <v>510</v>
      </c>
      <c r="BE116" s="208"/>
    </row>
    <row r="117" spans="1:59" ht="15" x14ac:dyDescent="0.25">
      <c r="A117">
        <f t="shared" ca="1" si="4"/>
        <v>105</v>
      </c>
      <c r="B117" s="263" t="str">
        <f t="shared" ca="1" si="5"/>
        <v xml:space="preserve"> </v>
      </c>
      <c r="C117" s="264">
        <f t="shared" ca="1" si="6"/>
        <v>13</v>
      </c>
      <c r="D117" s="395">
        <f t="shared" ca="1" si="7"/>
        <v>43185</v>
      </c>
      <c r="E117" s="191"/>
      <c r="F117" s="191">
        <v>1</v>
      </c>
      <c r="G117" s="191">
        <v>4</v>
      </c>
      <c r="H117" s="191"/>
      <c r="I117" s="250">
        <f>IF(COUNTBLANK(E117:H117)=4,"",SUM(E117:G117)+IF(Setup!$I$15="No",0,H117))</f>
        <v>5</v>
      </c>
      <c r="J117" s="191"/>
      <c r="K117" s="191">
        <v>1</v>
      </c>
      <c r="L117" s="191">
        <v>5</v>
      </c>
      <c r="M117" s="191"/>
      <c r="N117" s="254">
        <f>IF(COUNTBLANK(J117:M117)=4,"",SUM(J117:L117)+IF(Setup!$I$15="No",0,M117))</f>
        <v>6</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f ca="1">IF('Demand background (hide)'!A108=Num_Modalities,"",SUM(Demand!I117, Demand!N117))</f>
        <v>11</v>
      </c>
      <c r="BD117" s="258">
        <f ca="1">IF(AND(A117&lt;=MaxRows,BE117&lt;&gt;"Yes"),'Demand background (hide)'!X108+IF(Setup!$I$15="Yes",'Demand background (hide)'!AJ108,0),"")</f>
        <v>390</v>
      </c>
      <c r="BE117" s="208"/>
      <c r="BG117" s="50"/>
    </row>
    <row r="118" spans="1:59" ht="15" x14ac:dyDescent="0.25">
      <c r="A118">
        <f t="shared" ca="1" si="4"/>
        <v>106</v>
      </c>
      <c r="B118" s="263" t="str">
        <f t="shared" ca="1" si="5"/>
        <v xml:space="preserve"> </v>
      </c>
      <c r="C118" s="264">
        <f t="shared" ca="1" si="6"/>
        <v>14</v>
      </c>
      <c r="D118" s="395">
        <f t="shared" ca="1" si="7"/>
        <v>43192</v>
      </c>
      <c r="E118" s="191"/>
      <c r="F118" s="191">
        <v>0</v>
      </c>
      <c r="G118" s="191">
        <v>1</v>
      </c>
      <c r="H118" s="191"/>
      <c r="I118" s="250">
        <f>IF(COUNTBLANK(E118:H118)=4,"",SUM(E118:G118)+IF(Setup!$I$15="No",0,H118))</f>
        <v>1</v>
      </c>
      <c r="J118" s="191"/>
      <c r="K118" s="191">
        <v>2</v>
      </c>
      <c r="L118" s="191">
        <v>4</v>
      </c>
      <c r="M118" s="191"/>
      <c r="N118" s="254">
        <f>IF(COUNTBLANK(J118:M118)=4,"",SUM(J118:L118)+IF(Setup!$I$15="No",0,M118))</f>
        <v>6</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f ca="1">IF('Demand background (hide)'!A109=Num_Modalities,"",SUM(Demand!I118, Demand!N118))</f>
        <v>7</v>
      </c>
      <c r="BD118" s="258">
        <f ca="1">IF(AND(A118&lt;=MaxRows,BE118&lt;&gt;"Yes"),'Demand background (hide)'!X109+IF(Setup!$I$15="Yes",'Demand background (hide)'!AJ109,0),"")</f>
        <v>270</v>
      </c>
      <c r="BE118" s="208"/>
    </row>
    <row r="119" spans="1:59" ht="15" x14ac:dyDescent="0.25">
      <c r="A119">
        <f t="shared" ca="1" si="4"/>
        <v>107</v>
      </c>
      <c r="B119" s="263" t="str">
        <f t="shared" ca="1" si="5"/>
        <v xml:space="preserve"> </v>
      </c>
      <c r="C119" s="264">
        <f t="shared" ca="1" si="6"/>
        <v>15</v>
      </c>
      <c r="D119" s="395">
        <f t="shared" ca="1" si="7"/>
        <v>43199</v>
      </c>
      <c r="E119" s="191"/>
      <c r="F119" s="191">
        <v>3</v>
      </c>
      <c r="G119" s="191">
        <v>4</v>
      </c>
      <c r="H119" s="191"/>
      <c r="I119" s="250">
        <f>IF(COUNTBLANK(E119:H119)=4,"",SUM(E119:G119)+IF(Setup!$I$15="No",0,H119))</f>
        <v>7</v>
      </c>
      <c r="J119" s="191"/>
      <c r="K119" s="191">
        <v>2</v>
      </c>
      <c r="L119" s="191">
        <v>7</v>
      </c>
      <c r="M119" s="191"/>
      <c r="N119" s="254">
        <f>IF(COUNTBLANK(J119:M119)=4,"",SUM(J119:L119)+IF(Setup!$I$15="No",0,M119))</f>
        <v>9</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f ca="1">IF('Demand background (hide)'!A110=Num_Modalities,"",SUM(Demand!I119, Demand!N119))</f>
        <v>16</v>
      </c>
      <c r="BD119" s="258">
        <f ca="1">IF(AND(A119&lt;=MaxRows,BE119&lt;&gt;"Yes"),'Demand background (hide)'!X110+IF(Setup!$I$15="Yes",'Demand background (hide)'!AJ110,0),"")</f>
        <v>570</v>
      </c>
      <c r="BE119" s="208"/>
    </row>
    <row r="120" spans="1:59" ht="15" x14ac:dyDescent="0.25">
      <c r="A120">
        <f t="shared" ca="1" si="4"/>
        <v>108</v>
      </c>
      <c r="B120" s="263" t="str">
        <f t="shared" ca="1" si="5"/>
        <v xml:space="preserve"> </v>
      </c>
      <c r="C120" s="264">
        <f t="shared" ca="1" si="6"/>
        <v>16</v>
      </c>
      <c r="D120" s="395">
        <f t="shared" ca="1" si="7"/>
        <v>43206</v>
      </c>
      <c r="E120" s="191"/>
      <c r="F120" s="191">
        <v>0</v>
      </c>
      <c r="G120" s="191">
        <v>3</v>
      </c>
      <c r="H120" s="191"/>
      <c r="I120" s="250">
        <f>IF(COUNTBLANK(E120:H120)=4,"",SUM(E120:G120)+IF(Setup!$I$15="No",0,H120))</f>
        <v>3</v>
      </c>
      <c r="J120" s="191"/>
      <c r="K120" s="191">
        <v>4</v>
      </c>
      <c r="L120" s="191">
        <v>11</v>
      </c>
      <c r="M120" s="191"/>
      <c r="N120" s="254">
        <f>IF(COUNTBLANK(J120:M120)=4,"",SUM(J120:L120)+IF(Setup!$I$15="No",0,M120))</f>
        <v>15</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f ca="1">IF('Demand background (hide)'!A111=Num_Modalities,"",SUM(Demand!I120, Demand!N120))</f>
        <v>18</v>
      </c>
      <c r="BD120" s="258">
        <f ca="1">IF(AND(A120&lt;=MaxRows,BE120&lt;&gt;"Yes"),'Demand background (hide)'!X111+IF(Setup!$I$15="Yes",'Demand background (hide)'!AJ111,0),"")</f>
        <v>690</v>
      </c>
      <c r="BE120" s="208"/>
    </row>
    <row r="121" spans="1:59" ht="15" x14ac:dyDescent="0.25">
      <c r="A121">
        <f t="shared" ca="1" si="4"/>
        <v>109</v>
      </c>
      <c r="B121" s="263" t="str">
        <f t="shared" ca="1" si="5"/>
        <v xml:space="preserve"> </v>
      </c>
      <c r="C121" s="264">
        <f t="shared" ca="1" si="6"/>
        <v>17</v>
      </c>
      <c r="D121" s="395">
        <f t="shared" ca="1" si="7"/>
        <v>43213</v>
      </c>
      <c r="E121" s="191"/>
      <c r="F121" s="191">
        <v>3</v>
      </c>
      <c r="G121" s="191">
        <v>4</v>
      </c>
      <c r="H121" s="191"/>
      <c r="I121" s="250">
        <f>IF(COUNTBLANK(E121:H121)=4,"",SUM(E121:G121)+IF(Setup!$I$15="No",0,H121))</f>
        <v>7</v>
      </c>
      <c r="J121" s="191"/>
      <c r="K121" s="191">
        <v>0</v>
      </c>
      <c r="L121" s="191">
        <v>5</v>
      </c>
      <c r="M121" s="191"/>
      <c r="N121" s="254">
        <f>IF(COUNTBLANK(J121:M121)=4,"",SUM(J121:L121)+IF(Setup!$I$15="No",0,M121))</f>
        <v>5</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f ca="1">IF('Demand background (hide)'!A112=Num_Modalities,"",SUM(Demand!I121, Demand!N121))</f>
        <v>12</v>
      </c>
      <c r="BD121" s="258">
        <f ca="1">IF(AND(A121&lt;=MaxRows,BE121&lt;&gt;"Yes"),'Demand background (hide)'!X112+IF(Setup!$I$15="Yes",'Demand background (hide)'!AJ112,0),"")</f>
        <v>410</v>
      </c>
      <c r="BE121" s="208"/>
    </row>
    <row r="122" spans="1:59" ht="15" x14ac:dyDescent="0.25">
      <c r="A122">
        <f t="shared" ca="1" si="4"/>
        <v>110</v>
      </c>
      <c r="B122" s="263" t="str">
        <f t="shared" ca="1" si="5"/>
        <v xml:space="preserve"> </v>
      </c>
      <c r="C122" s="264">
        <f t="shared" ca="1" si="6"/>
        <v>18</v>
      </c>
      <c r="D122" s="395">
        <f t="shared" ca="1" si="7"/>
        <v>43220</v>
      </c>
      <c r="E122" s="191"/>
      <c r="F122" s="191">
        <v>2</v>
      </c>
      <c r="G122" s="191">
        <v>2</v>
      </c>
      <c r="H122" s="191"/>
      <c r="I122" s="250">
        <f>IF(COUNTBLANK(E122:H122)=4,"",SUM(E122:G122)+IF(Setup!$I$15="No",0,H122))</f>
        <v>4</v>
      </c>
      <c r="J122" s="191"/>
      <c r="K122" s="191">
        <v>1</v>
      </c>
      <c r="L122" s="191">
        <v>6</v>
      </c>
      <c r="M122" s="191"/>
      <c r="N122" s="254">
        <f>IF(COUNTBLANK(J122:M122)=4,"",SUM(J122:L122)+IF(Setup!$I$15="No",0,M122))</f>
        <v>7</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f ca="1">IF('Demand background (hide)'!A113=Num_Modalities,"",SUM(Demand!I122, Demand!N122))</f>
        <v>11</v>
      </c>
      <c r="BD122" s="258">
        <f ca="1">IF(AND(A122&lt;=MaxRows,BE122&lt;&gt;"Yes"),'Demand background (hide)'!X113+IF(Setup!$I$15="Yes",'Demand background (hide)'!AJ113,0),"")</f>
        <v>400</v>
      </c>
      <c r="BE122" s="208"/>
    </row>
    <row r="123" spans="1:59" ht="15" x14ac:dyDescent="0.25">
      <c r="A123">
        <f t="shared" ca="1" si="4"/>
        <v>111</v>
      </c>
      <c r="B123" s="263" t="str">
        <f t="shared" ca="1" si="5"/>
        <v xml:space="preserve"> </v>
      </c>
      <c r="C123" s="264">
        <f t="shared" ca="1" si="6"/>
        <v>19</v>
      </c>
      <c r="D123" s="395">
        <f t="shared" ca="1" si="7"/>
        <v>43227</v>
      </c>
      <c r="E123" s="191"/>
      <c r="F123" s="191">
        <v>0</v>
      </c>
      <c r="G123" s="191">
        <v>3</v>
      </c>
      <c r="H123" s="191"/>
      <c r="I123" s="250">
        <f>IF(COUNTBLANK(E123:H123)=4,"",SUM(E123:G123)+IF(Setup!$I$15="No",0,H123))</f>
        <v>3</v>
      </c>
      <c r="J123" s="191"/>
      <c r="K123" s="191">
        <v>7</v>
      </c>
      <c r="L123" s="191">
        <v>7</v>
      </c>
      <c r="M123" s="191"/>
      <c r="N123" s="254">
        <f>IF(COUNTBLANK(J123:M123)=4,"",SUM(J123:L123)+IF(Setup!$I$15="No",0,M123))</f>
        <v>14</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f ca="1">IF('Demand background (hide)'!A114=Num_Modalities,"",SUM(Demand!I123, Demand!N123))</f>
        <v>17</v>
      </c>
      <c r="BD123" s="258">
        <f ca="1">IF(AND(A123&lt;=MaxRows,BE123&lt;&gt;"Yes"),'Demand background (hide)'!X114+IF(Setup!$I$15="Yes",'Demand background (hide)'!AJ114,0),"")</f>
        <v>650</v>
      </c>
      <c r="BE123" s="208"/>
    </row>
    <row r="124" spans="1:59" ht="15" x14ac:dyDescent="0.25">
      <c r="A124">
        <f t="shared" ca="1" si="4"/>
        <v>112</v>
      </c>
      <c r="B124" s="263" t="str">
        <f t="shared" ca="1" si="5"/>
        <v xml:space="preserve"> </v>
      </c>
      <c r="C124" s="264">
        <f t="shared" ca="1" si="6"/>
        <v>20</v>
      </c>
      <c r="D124" s="395">
        <f t="shared" ca="1" si="7"/>
        <v>43234</v>
      </c>
      <c r="E124" s="191"/>
      <c r="F124" s="191">
        <v>1</v>
      </c>
      <c r="G124" s="191">
        <v>4</v>
      </c>
      <c r="H124" s="191"/>
      <c r="I124" s="250">
        <f>IF(COUNTBLANK(E124:H124)=4,"",SUM(E124:G124)+IF(Setup!$I$15="No",0,H124))</f>
        <v>5</v>
      </c>
      <c r="J124" s="191"/>
      <c r="K124" s="191">
        <v>1</v>
      </c>
      <c r="L124" s="191">
        <v>7</v>
      </c>
      <c r="M124" s="191"/>
      <c r="N124" s="254">
        <f>IF(COUNTBLANK(J124:M124)=4,"",SUM(J124:L124)+IF(Setup!$I$15="No",0,M124))</f>
        <v>8</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f ca="1">IF('Demand background (hide)'!A115=Num_Modalities,"",SUM(Demand!I124, Demand!N124))</f>
        <v>13</v>
      </c>
      <c r="BD124" s="258">
        <f ca="1">IF(AND(A124&lt;=MaxRows,BE124&lt;&gt;"Yes"),'Demand background (hide)'!X115+IF(Setup!$I$15="Yes",'Demand background (hide)'!AJ115,0),"")</f>
        <v>470</v>
      </c>
      <c r="BE124" s="208"/>
    </row>
    <row r="125" spans="1:59" ht="15" x14ac:dyDescent="0.25">
      <c r="A125">
        <f t="shared" ca="1" si="4"/>
        <v>113</v>
      </c>
      <c r="B125" s="263" t="str">
        <f t="shared" ca="1" si="5"/>
        <v xml:space="preserve"> </v>
      </c>
      <c r="C125" s="264">
        <f t="shared" ca="1" si="6"/>
        <v>21</v>
      </c>
      <c r="D125" s="395">
        <f t="shared" ca="1" si="7"/>
        <v>43241</v>
      </c>
      <c r="E125" s="191"/>
      <c r="F125" s="191">
        <v>0</v>
      </c>
      <c r="G125" s="191">
        <v>3</v>
      </c>
      <c r="H125" s="191"/>
      <c r="I125" s="250">
        <f>IF(COUNTBLANK(E125:H125)=4,"",SUM(E125:G125)+IF(Setup!$I$15="No",0,H125))</f>
        <v>3</v>
      </c>
      <c r="J125" s="191"/>
      <c r="K125" s="191">
        <v>2</v>
      </c>
      <c r="L125" s="191">
        <v>6</v>
      </c>
      <c r="M125" s="191"/>
      <c r="N125" s="254">
        <f>IF(COUNTBLANK(J125:M125)=4,"",SUM(J125:L125)+IF(Setup!$I$15="No",0,M125))</f>
        <v>8</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f ca="1">IF('Demand background (hide)'!A116=Num_Modalities,"",SUM(Demand!I125, Demand!N125))</f>
        <v>11</v>
      </c>
      <c r="BD125" s="258">
        <f ca="1">IF(AND(A125&lt;=MaxRows,BE125&lt;&gt;"Yes"),'Demand background (hide)'!X116+IF(Setup!$I$15="Yes",'Demand background (hide)'!AJ116,0),"")</f>
        <v>410</v>
      </c>
      <c r="BE125" s="208"/>
    </row>
    <row r="126" spans="1:59" ht="15" x14ac:dyDescent="0.25">
      <c r="A126">
        <f t="shared" ca="1" si="4"/>
        <v>114</v>
      </c>
      <c r="B126" s="263" t="str">
        <f t="shared" ca="1" si="5"/>
        <v xml:space="preserve"> </v>
      </c>
      <c r="C126" s="264">
        <f t="shared" ca="1" si="6"/>
        <v>22</v>
      </c>
      <c r="D126" s="395">
        <f t="shared" ca="1" si="7"/>
        <v>43248</v>
      </c>
      <c r="E126" s="191"/>
      <c r="F126" s="191">
        <v>0</v>
      </c>
      <c r="G126" s="191">
        <v>3</v>
      </c>
      <c r="H126" s="191"/>
      <c r="I126" s="250">
        <f>IF(COUNTBLANK(E126:H126)=4,"",SUM(E126:G126)+IF(Setup!$I$15="No",0,H126))</f>
        <v>3</v>
      </c>
      <c r="J126" s="191"/>
      <c r="K126" s="191">
        <v>1</v>
      </c>
      <c r="L126" s="191">
        <v>6</v>
      </c>
      <c r="M126" s="191"/>
      <c r="N126" s="254">
        <f>IF(COUNTBLANK(J126:M126)=4,"",SUM(J126:L126)+IF(Setup!$I$15="No",0,M126))</f>
        <v>7</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f ca="1">IF('Demand background (hide)'!A117=Num_Modalities,"",SUM(Demand!I126, Demand!N126))</f>
        <v>10</v>
      </c>
      <c r="BD126" s="258">
        <f ca="1">IF(AND(A126&lt;=MaxRows,BE126&lt;&gt;"Yes"),'Demand background (hide)'!X117+IF(Setup!$I$15="Yes",'Demand background (hide)'!AJ117,0),"")</f>
        <v>370</v>
      </c>
      <c r="BE126" s="208"/>
    </row>
    <row r="127" spans="1:59" ht="15" x14ac:dyDescent="0.25">
      <c r="A127">
        <f t="shared" ca="1" si="4"/>
        <v>115</v>
      </c>
      <c r="B127" s="263" t="str">
        <f t="shared" ca="1" si="5"/>
        <v xml:space="preserve"> </v>
      </c>
      <c r="C127" s="264">
        <f t="shared" ca="1" si="6"/>
        <v>23</v>
      </c>
      <c r="D127" s="395">
        <f t="shared" ca="1" si="7"/>
        <v>43255</v>
      </c>
      <c r="E127" s="191"/>
      <c r="F127" s="191">
        <v>1</v>
      </c>
      <c r="G127" s="191">
        <v>4</v>
      </c>
      <c r="H127" s="191"/>
      <c r="I127" s="250">
        <f>IF(COUNTBLANK(E127:H127)=4,"",SUM(E127:G127)+IF(Setup!$I$15="No",0,H127))</f>
        <v>5</v>
      </c>
      <c r="J127" s="191"/>
      <c r="K127" s="191">
        <v>2</v>
      </c>
      <c r="L127" s="191">
        <v>5</v>
      </c>
      <c r="M127" s="191"/>
      <c r="N127" s="254">
        <f>IF(COUNTBLANK(J127:M127)=4,"",SUM(J127:L127)+IF(Setup!$I$15="No",0,M127))</f>
        <v>7</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f ca="1">IF('Demand background (hide)'!A118=Num_Modalities,"",SUM(Demand!I127, Demand!N127))</f>
        <v>12</v>
      </c>
      <c r="BD127" s="258">
        <f ca="1">IF(AND(A127&lt;=MaxRows,BE127&lt;&gt;"Yes"),'Demand background (hide)'!X118+IF(Setup!$I$15="Yes",'Demand background (hide)'!AJ118,0),"")</f>
        <v>430</v>
      </c>
      <c r="BE127" s="208"/>
    </row>
    <row r="128" spans="1:59" ht="15" x14ac:dyDescent="0.25">
      <c r="A128">
        <f t="shared" ca="1" si="4"/>
        <v>116</v>
      </c>
      <c r="B128" s="263" t="str">
        <f t="shared" ca="1" si="5"/>
        <v xml:space="preserve"> </v>
      </c>
      <c r="C128" s="264">
        <f t="shared" ca="1" si="6"/>
        <v>24</v>
      </c>
      <c r="D128" s="395">
        <f t="shared" ca="1" si="7"/>
        <v>43262</v>
      </c>
      <c r="E128" s="191"/>
      <c r="F128" s="191">
        <v>0</v>
      </c>
      <c r="G128" s="191">
        <v>5</v>
      </c>
      <c r="H128" s="191"/>
      <c r="I128" s="250">
        <f>IF(COUNTBLANK(E128:H128)=4,"",SUM(E128:G128)+IF(Setup!$I$15="No",0,H128))</f>
        <v>5</v>
      </c>
      <c r="J128" s="191"/>
      <c r="K128" s="191">
        <v>1</v>
      </c>
      <c r="L128" s="191">
        <v>11</v>
      </c>
      <c r="M128" s="191"/>
      <c r="N128" s="254">
        <f>IF(COUNTBLANK(J128:M128)=4,"",SUM(J128:L128)+IF(Setup!$I$15="No",0,M128))</f>
        <v>12</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f ca="1">IF('Demand background (hide)'!A119=Num_Modalities,"",SUM(Demand!I128, Demand!N128))</f>
        <v>17</v>
      </c>
      <c r="BD128" s="258">
        <f ca="1">IF(AND(A128&lt;=MaxRows,BE128&lt;&gt;"Yes"),'Demand background (hide)'!X119+IF(Setup!$I$15="Yes",'Demand background (hide)'!AJ119,0),"")</f>
        <v>630</v>
      </c>
      <c r="BE128" s="208"/>
    </row>
    <row r="129" spans="1:57" ht="15" x14ac:dyDescent="0.25">
      <c r="A129">
        <f t="shared" ca="1" si="4"/>
        <v>117</v>
      </c>
      <c r="B129" s="263" t="str">
        <f t="shared" ca="1" si="5"/>
        <v xml:space="preserve"> </v>
      </c>
      <c r="C129" s="264">
        <f t="shared" ca="1" si="6"/>
        <v>25</v>
      </c>
      <c r="D129" s="395">
        <f t="shared" ca="1" si="7"/>
        <v>43269</v>
      </c>
      <c r="E129" s="191"/>
      <c r="F129" s="191">
        <v>3</v>
      </c>
      <c r="G129" s="191">
        <v>3</v>
      </c>
      <c r="H129" s="191"/>
      <c r="I129" s="250">
        <f>IF(COUNTBLANK(E129:H129)=4,"",SUM(E129:G129)+IF(Setup!$I$15="No",0,H129))</f>
        <v>6</v>
      </c>
      <c r="J129" s="191"/>
      <c r="K129" s="191">
        <v>0</v>
      </c>
      <c r="L129" s="191">
        <v>9</v>
      </c>
      <c r="M129" s="191"/>
      <c r="N129" s="254">
        <f>IF(COUNTBLANK(J129:M129)=4,"",SUM(J129:L129)+IF(Setup!$I$15="No",0,M129))</f>
        <v>9</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f ca="1">IF('Demand background (hide)'!A120=Num_Modalities,"",SUM(Demand!I129, Demand!N129))</f>
        <v>15</v>
      </c>
      <c r="BD129" s="258">
        <f ca="1">IF(AND(A129&lt;=MaxRows,BE129&lt;&gt;"Yes"),'Demand background (hide)'!X120+IF(Setup!$I$15="Yes",'Demand background (hide)'!AJ120,0),"")</f>
        <v>540</v>
      </c>
      <c r="BE129" s="208"/>
    </row>
    <row r="130" spans="1:57" ht="15" x14ac:dyDescent="0.25">
      <c r="A130">
        <f t="shared" ca="1" si="4"/>
        <v>118</v>
      </c>
      <c r="B130" s="263" t="str">
        <f t="shared" ca="1" si="5"/>
        <v xml:space="preserve"> </v>
      </c>
      <c r="C130" s="264">
        <f t="shared" ca="1" si="6"/>
        <v>26</v>
      </c>
      <c r="D130" s="395">
        <f t="shared" ca="1" si="7"/>
        <v>43276</v>
      </c>
      <c r="E130" s="191"/>
      <c r="F130" s="191">
        <v>0</v>
      </c>
      <c r="G130" s="191">
        <v>3</v>
      </c>
      <c r="H130" s="191"/>
      <c r="I130" s="250">
        <f>IF(COUNTBLANK(E130:H130)=4,"",SUM(E130:G130)+IF(Setup!$I$15="No",0,H130))</f>
        <v>3</v>
      </c>
      <c r="J130" s="191"/>
      <c r="K130" s="191">
        <v>2</v>
      </c>
      <c r="L130" s="191">
        <v>6</v>
      </c>
      <c r="M130" s="191"/>
      <c r="N130" s="254">
        <f>IF(COUNTBLANK(J130:M130)=4,"",SUM(J130:L130)+IF(Setup!$I$15="No",0,M130))</f>
        <v>8</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f ca="1">IF('Demand background (hide)'!A121=Num_Modalities,"",SUM(Demand!I130, Demand!N130))</f>
        <v>11</v>
      </c>
      <c r="BD130" s="258">
        <f ca="1">IF(AND(A130&lt;=MaxRows,BE130&lt;&gt;"Yes"),'Demand background (hide)'!X121+IF(Setup!$I$15="Yes",'Demand background (hide)'!AJ121,0),"")</f>
        <v>410</v>
      </c>
      <c r="BE130" s="208"/>
    </row>
    <row r="131" spans="1:57" ht="15" x14ac:dyDescent="0.25">
      <c r="A131">
        <f t="shared" ca="1" si="4"/>
        <v>119</v>
      </c>
      <c r="B131" s="263" t="str">
        <f t="shared" ca="1" si="5"/>
        <v xml:space="preserve"> </v>
      </c>
      <c r="C131" s="264">
        <f t="shared" ca="1" si="6"/>
        <v>27</v>
      </c>
      <c r="D131" s="395">
        <f t="shared" ca="1" si="7"/>
        <v>43283</v>
      </c>
      <c r="E131" s="191"/>
      <c r="F131" s="191">
        <v>3</v>
      </c>
      <c r="G131" s="191">
        <v>3</v>
      </c>
      <c r="H131" s="191"/>
      <c r="I131" s="250">
        <f>IF(COUNTBLANK(E131:H131)=4,"",SUM(E131:G131)+IF(Setup!$I$15="No",0,H131))</f>
        <v>6</v>
      </c>
      <c r="J131" s="191"/>
      <c r="K131" s="191">
        <v>1</v>
      </c>
      <c r="L131" s="191">
        <v>6</v>
      </c>
      <c r="M131" s="191"/>
      <c r="N131" s="254">
        <f>IF(COUNTBLANK(J131:M131)=4,"",SUM(J131:L131)+IF(Setup!$I$15="No",0,M131))</f>
        <v>7</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f ca="1">IF('Demand background (hide)'!A122=Num_Modalities,"",SUM(Demand!I131, Demand!N131))</f>
        <v>13</v>
      </c>
      <c r="BD131" s="258">
        <f ca="1">IF(AND(A131&lt;=MaxRows,BE131&lt;&gt;"Yes"),'Demand background (hide)'!X122+IF(Setup!$I$15="Yes",'Demand background (hide)'!AJ122,0),"")</f>
        <v>460</v>
      </c>
      <c r="BE131" s="208"/>
    </row>
    <row r="132" spans="1:57" ht="15" x14ac:dyDescent="0.25">
      <c r="A132">
        <f t="shared" ca="1" si="4"/>
        <v>120</v>
      </c>
      <c r="B132" s="263" t="str">
        <f t="shared" ca="1" si="5"/>
        <v xml:space="preserve"> </v>
      </c>
      <c r="C132" s="264">
        <f t="shared" ca="1" si="6"/>
        <v>28</v>
      </c>
      <c r="D132" s="395">
        <f t="shared" ca="1" si="7"/>
        <v>43290</v>
      </c>
      <c r="E132" s="191"/>
      <c r="F132" s="191">
        <v>1</v>
      </c>
      <c r="G132" s="191">
        <v>5</v>
      </c>
      <c r="H132" s="191"/>
      <c r="I132" s="250">
        <f>IF(COUNTBLANK(E132:H132)=4,"",SUM(E132:G132)+IF(Setup!$I$15="No",0,H132))</f>
        <v>6</v>
      </c>
      <c r="J132" s="191"/>
      <c r="K132" s="191">
        <v>4</v>
      </c>
      <c r="L132" s="191">
        <v>7</v>
      </c>
      <c r="M132" s="191"/>
      <c r="N132" s="254">
        <f>IF(COUNTBLANK(J132:M132)=4,"",SUM(J132:L132)+IF(Setup!$I$15="No",0,M132))</f>
        <v>11</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f ca="1">IF('Demand background (hide)'!A123=Num_Modalities,"",SUM(Demand!I132, Demand!N132))</f>
        <v>17</v>
      </c>
      <c r="BD132" s="258">
        <f ca="1">IF(AND(A132&lt;=MaxRows,BE132&lt;&gt;"Yes"),'Demand background (hide)'!X123+IF(Setup!$I$15="Yes",'Demand background (hide)'!AJ123,0),"")</f>
        <v>620</v>
      </c>
      <c r="BE132" s="208"/>
    </row>
    <row r="133" spans="1:57" ht="15" x14ac:dyDescent="0.25">
      <c r="A133">
        <f t="shared" ca="1" si="4"/>
        <v>121</v>
      </c>
      <c r="B133" s="263" t="str">
        <f t="shared" ca="1" si="5"/>
        <v xml:space="preserve"> </v>
      </c>
      <c r="C133" s="264">
        <f t="shared" ca="1" si="6"/>
        <v>29</v>
      </c>
      <c r="D133" s="395">
        <f t="shared" ca="1" si="7"/>
        <v>43297</v>
      </c>
      <c r="E133" s="191"/>
      <c r="F133" s="191">
        <v>0</v>
      </c>
      <c r="G133" s="191">
        <v>3</v>
      </c>
      <c r="H133" s="191"/>
      <c r="I133" s="250">
        <f>IF(COUNTBLANK(E133:H133)=4,"",SUM(E133:G133)+IF(Setup!$I$15="No",0,H133))</f>
        <v>3</v>
      </c>
      <c r="J133" s="191"/>
      <c r="K133" s="191">
        <v>2</v>
      </c>
      <c r="L133" s="191">
        <v>6</v>
      </c>
      <c r="M133" s="191"/>
      <c r="N133" s="254">
        <f>IF(COUNTBLANK(J133:M133)=4,"",SUM(J133:L133)+IF(Setup!$I$15="No",0,M133))</f>
        <v>8</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f ca="1">IF('Demand background (hide)'!A124=Num_Modalities,"",SUM(Demand!I133, Demand!N133))</f>
        <v>11</v>
      </c>
      <c r="BD133" s="258">
        <f ca="1">IF(AND(A133&lt;=MaxRows,BE133&lt;&gt;"Yes"),'Demand background (hide)'!X124+IF(Setup!$I$15="Yes",'Demand background (hide)'!AJ124,0),"")</f>
        <v>410</v>
      </c>
      <c r="BE133" s="208"/>
    </row>
    <row r="134" spans="1:57" ht="15" x14ac:dyDescent="0.25">
      <c r="A134">
        <f t="shared" ca="1" si="4"/>
        <v>122</v>
      </c>
      <c r="B134" s="263" t="str">
        <f t="shared" ca="1" si="5"/>
        <v xml:space="preserve"> </v>
      </c>
      <c r="C134" s="264">
        <f t="shared" ca="1" si="6"/>
        <v>30</v>
      </c>
      <c r="D134" s="395">
        <f t="shared" ca="1" si="7"/>
        <v>43304</v>
      </c>
      <c r="E134" s="191"/>
      <c r="F134" s="191">
        <v>0</v>
      </c>
      <c r="G134" s="191">
        <v>2</v>
      </c>
      <c r="H134" s="191"/>
      <c r="I134" s="250">
        <f>IF(COUNTBLANK(E134:H134)=4,"",SUM(E134:G134)+IF(Setup!$I$15="No",0,H134))</f>
        <v>2</v>
      </c>
      <c r="J134" s="191"/>
      <c r="K134" s="191">
        <v>1</v>
      </c>
      <c r="L134" s="191">
        <v>8</v>
      </c>
      <c r="M134" s="191"/>
      <c r="N134" s="254">
        <f>IF(COUNTBLANK(J134:M134)=4,"",SUM(J134:L134)+IF(Setup!$I$15="No",0,M134))</f>
        <v>9</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f ca="1">IF('Demand background (hide)'!A125=Num_Modalities,"",SUM(Demand!I134, Demand!N134))</f>
        <v>11</v>
      </c>
      <c r="BD134" s="258">
        <f ca="1">IF(AND(A134&lt;=MaxRows,BE134&lt;&gt;"Yes"),'Demand background (hide)'!X125+IF(Setup!$I$15="Yes",'Demand background (hide)'!AJ125,0),"")</f>
        <v>420</v>
      </c>
      <c r="BE134" s="208"/>
    </row>
    <row r="135" spans="1:57" ht="15" x14ac:dyDescent="0.25">
      <c r="A135">
        <f t="shared" ca="1" si="4"/>
        <v>123</v>
      </c>
      <c r="B135" s="263" t="str">
        <f t="shared" ca="1" si="5"/>
        <v xml:space="preserve"> </v>
      </c>
      <c r="C135" s="264">
        <f t="shared" ca="1" si="6"/>
        <v>31</v>
      </c>
      <c r="D135" s="395">
        <f t="shared" ca="1" si="7"/>
        <v>43311</v>
      </c>
      <c r="E135" s="191"/>
      <c r="F135" s="191">
        <v>0</v>
      </c>
      <c r="G135" s="191">
        <v>1</v>
      </c>
      <c r="H135" s="191"/>
      <c r="I135" s="250">
        <f>IF(COUNTBLANK(E135:H135)=4,"",SUM(E135:G135)+IF(Setup!$I$15="No",0,H135))</f>
        <v>1</v>
      </c>
      <c r="J135" s="191"/>
      <c r="K135" s="191">
        <v>1</v>
      </c>
      <c r="L135" s="191">
        <v>5</v>
      </c>
      <c r="M135" s="191"/>
      <c r="N135" s="254">
        <f>IF(COUNTBLANK(J135:M135)=4,"",SUM(J135:L135)+IF(Setup!$I$15="No",0,M135))</f>
        <v>6</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f ca="1">IF('Demand background (hide)'!A126=Num_Modalities,"",SUM(Demand!I135, Demand!N135))</f>
        <v>7</v>
      </c>
      <c r="BD135" s="258">
        <f ca="1">IF(AND(A135&lt;=MaxRows,BE135&lt;&gt;"Yes"),'Demand background (hide)'!X126+IF(Setup!$I$15="Yes",'Demand background (hide)'!AJ126,0),"")</f>
        <v>270</v>
      </c>
      <c r="BE135" s="208"/>
    </row>
    <row r="136" spans="1:57" ht="15" x14ac:dyDescent="0.25">
      <c r="A136">
        <f t="shared" ca="1" si="4"/>
        <v>124</v>
      </c>
      <c r="B136" s="263" t="str">
        <f t="shared" ca="1" si="5"/>
        <v xml:space="preserve"> </v>
      </c>
      <c r="C136" s="264">
        <f t="shared" ca="1" si="6"/>
        <v>32</v>
      </c>
      <c r="D136" s="395">
        <f t="shared" ca="1" si="7"/>
        <v>43318</v>
      </c>
      <c r="E136" s="191"/>
      <c r="F136" s="191">
        <v>1</v>
      </c>
      <c r="G136" s="191">
        <v>4</v>
      </c>
      <c r="H136" s="191"/>
      <c r="I136" s="250">
        <f>IF(COUNTBLANK(E136:H136)=4,"",SUM(E136:G136)+IF(Setup!$I$15="No",0,H136))</f>
        <v>5</v>
      </c>
      <c r="J136" s="191"/>
      <c r="K136" s="191">
        <v>1</v>
      </c>
      <c r="L136" s="191">
        <v>8</v>
      </c>
      <c r="M136" s="191"/>
      <c r="N136" s="254">
        <f>IF(COUNTBLANK(J136:M136)=4,"",SUM(J136:L136)+IF(Setup!$I$15="No",0,M136))</f>
        <v>9</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f ca="1">IF('Demand background (hide)'!A127=Num_Modalities,"",SUM(Demand!I136, Demand!N136))</f>
        <v>14</v>
      </c>
      <c r="BD136" s="258">
        <f ca="1">IF(AND(A136&lt;=MaxRows,BE136&lt;&gt;"Yes"),'Demand background (hide)'!X127+IF(Setup!$I$15="Yes",'Demand background (hide)'!AJ127,0),"")</f>
        <v>510</v>
      </c>
      <c r="BE136" s="208"/>
    </row>
    <row r="137" spans="1:57" ht="15" x14ac:dyDescent="0.25">
      <c r="A137">
        <f t="shared" ca="1" si="4"/>
        <v>125</v>
      </c>
      <c r="B137" s="263" t="str">
        <f t="shared" ca="1" si="5"/>
        <v xml:space="preserve"> </v>
      </c>
      <c r="C137" s="264">
        <f t="shared" ca="1" si="6"/>
        <v>33</v>
      </c>
      <c r="D137" s="395">
        <f t="shared" ca="1" si="7"/>
        <v>43325</v>
      </c>
      <c r="E137" s="191"/>
      <c r="F137" s="191">
        <v>1</v>
      </c>
      <c r="G137" s="191">
        <v>4</v>
      </c>
      <c r="H137" s="191"/>
      <c r="I137" s="250">
        <f>IF(COUNTBLANK(E137:H137)=4,"",SUM(E137:G137)+IF(Setup!$I$15="No",0,H137))</f>
        <v>5</v>
      </c>
      <c r="J137" s="191"/>
      <c r="K137" s="191">
        <v>3</v>
      </c>
      <c r="L137" s="191">
        <v>11</v>
      </c>
      <c r="M137" s="191"/>
      <c r="N137" s="254">
        <f>IF(COUNTBLANK(J137:M137)=4,"",SUM(J137:L137)+IF(Setup!$I$15="No",0,M137))</f>
        <v>14</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f ca="1">IF('Demand background (hide)'!A128=Num_Modalities,"",SUM(Demand!I137, Demand!N137))</f>
        <v>19</v>
      </c>
      <c r="BD137" s="258">
        <f ca="1">IF(AND(A137&lt;=MaxRows,BE137&lt;&gt;"Yes"),'Demand background (hide)'!X128+IF(Setup!$I$15="Yes",'Demand background (hide)'!AJ128,0),"")</f>
        <v>710</v>
      </c>
      <c r="BE137" s="208"/>
    </row>
    <row r="138" spans="1:57" ht="15" x14ac:dyDescent="0.25">
      <c r="A138">
        <f t="shared" ca="1" si="4"/>
        <v>126</v>
      </c>
      <c r="B138" s="263" t="str">
        <f t="shared" ca="1" si="5"/>
        <v xml:space="preserve"> </v>
      </c>
      <c r="C138" s="264">
        <f t="shared" ca="1" si="6"/>
        <v>34</v>
      </c>
      <c r="D138" s="395">
        <f t="shared" ca="1" si="7"/>
        <v>43332</v>
      </c>
      <c r="E138" s="191"/>
      <c r="F138" s="191">
        <v>1</v>
      </c>
      <c r="G138" s="191">
        <v>2</v>
      </c>
      <c r="H138" s="191"/>
      <c r="I138" s="250">
        <f>IF(COUNTBLANK(E138:H138)=4,"",SUM(E138:G138)+IF(Setup!$I$15="No",0,H138))</f>
        <v>3</v>
      </c>
      <c r="J138" s="191"/>
      <c r="K138" s="191">
        <v>6</v>
      </c>
      <c r="L138" s="191">
        <v>9</v>
      </c>
      <c r="M138" s="191"/>
      <c r="N138" s="254">
        <f>IF(COUNTBLANK(J138:M138)=4,"",SUM(J138:L138)+IF(Setup!$I$15="No",0,M138))</f>
        <v>15</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f ca="1">IF('Demand background (hide)'!A129=Num_Modalities,"",SUM(Demand!I138, Demand!N138))</f>
        <v>18</v>
      </c>
      <c r="BD138" s="258">
        <f ca="1">IF(AND(A138&lt;=MaxRows,BE138&lt;&gt;"Yes"),'Demand background (hide)'!X129+IF(Setup!$I$15="Yes",'Demand background (hide)'!AJ129,0),"")</f>
        <v>690</v>
      </c>
      <c r="BE138" s="208"/>
    </row>
    <row r="139" spans="1:57" ht="15" x14ac:dyDescent="0.25">
      <c r="A139">
        <f t="shared" ca="1" si="4"/>
        <v>127</v>
      </c>
      <c r="B139" s="263" t="str">
        <f t="shared" ca="1" si="5"/>
        <v xml:space="preserve"> </v>
      </c>
      <c r="C139" s="264">
        <f t="shared" ca="1" si="6"/>
        <v>35</v>
      </c>
      <c r="D139" s="395">
        <f t="shared" ca="1" si="7"/>
        <v>43339</v>
      </c>
      <c r="E139" s="191"/>
      <c r="F139" s="191">
        <v>2</v>
      </c>
      <c r="G139" s="191">
        <v>4</v>
      </c>
      <c r="H139" s="191"/>
      <c r="I139" s="250">
        <f>IF(COUNTBLANK(E139:H139)=4,"",SUM(E139:G139)+IF(Setup!$I$15="No",0,H139))</f>
        <v>6</v>
      </c>
      <c r="J139" s="191"/>
      <c r="K139" s="191">
        <v>3</v>
      </c>
      <c r="L139" s="191">
        <v>7</v>
      </c>
      <c r="M139" s="191"/>
      <c r="N139" s="254">
        <f>IF(COUNTBLANK(J139:M139)=4,"",SUM(J139:L139)+IF(Setup!$I$15="No",0,M139))</f>
        <v>10</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f ca="1">IF('Demand background (hide)'!A130=Num_Modalities,"",SUM(Demand!I139, Demand!N139))</f>
        <v>16</v>
      </c>
      <c r="BD139" s="258">
        <f ca="1">IF(AND(A139&lt;=MaxRows,BE139&lt;&gt;"Yes"),'Demand background (hide)'!X130+IF(Setup!$I$15="Yes",'Demand background (hide)'!AJ130,0),"")</f>
        <v>580</v>
      </c>
      <c r="BE139" s="208"/>
    </row>
    <row r="140" spans="1:57" ht="15" x14ac:dyDescent="0.25">
      <c r="A140">
        <f t="shared" ca="1" si="4"/>
        <v>128</v>
      </c>
      <c r="B140" s="263" t="str">
        <f t="shared" ca="1" si="5"/>
        <v xml:space="preserve"> </v>
      </c>
      <c r="C140" s="264">
        <f t="shared" ca="1" si="6"/>
        <v>36</v>
      </c>
      <c r="D140" s="395">
        <f t="shared" ca="1" si="7"/>
        <v>43346</v>
      </c>
      <c r="E140" s="191"/>
      <c r="F140" s="191">
        <v>0</v>
      </c>
      <c r="G140" s="191">
        <v>3</v>
      </c>
      <c r="H140" s="191"/>
      <c r="I140" s="250">
        <f>IF(COUNTBLANK(E140:H140)=4,"",SUM(E140:G140)+IF(Setup!$I$15="No",0,H140))</f>
        <v>3</v>
      </c>
      <c r="J140" s="191"/>
      <c r="K140" s="191">
        <v>3</v>
      </c>
      <c r="L140" s="191">
        <v>5</v>
      </c>
      <c r="M140" s="191"/>
      <c r="N140" s="254">
        <f>IF(COUNTBLANK(J140:M140)=4,"",SUM(J140:L140)+IF(Setup!$I$15="No",0,M140))</f>
        <v>8</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f ca="1">IF('Demand background (hide)'!A131=Num_Modalities,"",SUM(Demand!I140, Demand!N140))</f>
        <v>11</v>
      </c>
      <c r="BD140" s="258">
        <f ca="1">IF(AND(A140&lt;=MaxRows,BE140&lt;&gt;"Yes"),'Demand background (hide)'!X131+IF(Setup!$I$15="Yes",'Demand background (hide)'!AJ131,0),"")</f>
        <v>410</v>
      </c>
      <c r="BE140" s="208"/>
    </row>
    <row r="141" spans="1:57" ht="15" x14ac:dyDescent="0.25">
      <c r="A141">
        <f t="shared" ref="A141:A204" ca="1" si="8">IF(BC141&lt;&gt;"",ROW(A129),"")</f>
        <v>129</v>
      </c>
      <c r="B141" s="263" t="str">
        <f t="shared" ca="1" si="5"/>
        <v xml:space="preserve"> </v>
      </c>
      <c r="C141" s="264">
        <f t="shared" ca="1" si="6"/>
        <v>37</v>
      </c>
      <c r="D141" s="395">
        <f t="shared" ca="1" si="7"/>
        <v>43353</v>
      </c>
      <c r="E141" s="191"/>
      <c r="F141" s="191">
        <v>0</v>
      </c>
      <c r="G141" s="191">
        <v>3</v>
      </c>
      <c r="H141" s="191"/>
      <c r="I141" s="250">
        <f>IF(COUNTBLANK(E141:H141)=4,"",SUM(E141:G141)+IF(Setup!$I$15="No",0,H141))</f>
        <v>3</v>
      </c>
      <c r="J141" s="191"/>
      <c r="K141" s="191">
        <v>1</v>
      </c>
      <c r="L141" s="191">
        <v>6</v>
      </c>
      <c r="M141" s="191"/>
      <c r="N141" s="254">
        <f>IF(COUNTBLANK(J141:M141)=4,"",SUM(J141:L141)+IF(Setup!$I$15="No",0,M141))</f>
        <v>7</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f ca="1">IF('Demand background (hide)'!A132=Num_Modalities,"",SUM(Demand!I141, Demand!N141))</f>
        <v>10</v>
      </c>
      <c r="BD141" s="258">
        <f ca="1">IF(AND(A141&lt;=MaxRows,BE141&lt;&gt;"Yes"),'Demand background (hide)'!X132+IF(Setup!$I$15="Yes",'Demand background (hide)'!AJ132,0),"")</f>
        <v>370</v>
      </c>
      <c r="BE141" s="208"/>
    </row>
    <row r="142" spans="1:57" ht="15" x14ac:dyDescent="0.25">
      <c r="A142">
        <f t="shared" ca="1" si="8"/>
        <v>130</v>
      </c>
      <c r="B142" s="263" t="str">
        <f t="shared" ref="B142:B205" ca="1" si="9">IF(A142&lt;=MaxRows,IF($C$6&lt;&gt;"",IF(YEAR(D142)&lt;&gt;YEAR(D141),YEAR(D142)," "),IF(C142&lt;&gt;1,"",OFFSET(B142,-C141,0,1,1)+1))," ")</f>
        <v xml:space="preserve"> </v>
      </c>
      <c r="C142" s="264">
        <f t="shared" ref="C142:C205" ca="1" si="10">IF(ROW(A130)&lt;=MaxRows,IF($C$6&lt;&gt;"",WEEKNUM(D142,21),IF(MOD((C141+1),52)&gt;0,MOD((C141+1),52),52)),"")</f>
        <v>38</v>
      </c>
      <c r="D142" s="395">
        <f t="shared" ref="D142:D205" ca="1" si="11">IF(OR(AND(ROW(A130)&lt;=MaxRows,$C$6&lt;&gt;""),AND(ROW(A142)&lt;=64,LEFT($C$8,1)&lt;&gt;"H")),D141+7,"")</f>
        <v>43360</v>
      </c>
      <c r="E142" s="191"/>
      <c r="F142" s="191">
        <v>2</v>
      </c>
      <c r="G142" s="191">
        <v>3</v>
      </c>
      <c r="H142" s="191"/>
      <c r="I142" s="250">
        <f>IF(COUNTBLANK(E142:H142)=4,"",SUM(E142:G142)+IF(Setup!$I$15="No",0,H142))</f>
        <v>5</v>
      </c>
      <c r="J142" s="191"/>
      <c r="K142" s="191">
        <v>1</v>
      </c>
      <c r="L142" s="191">
        <v>10</v>
      </c>
      <c r="M142" s="191"/>
      <c r="N142" s="254">
        <f>IF(COUNTBLANK(J142:M142)=4,"",SUM(J142:L142)+IF(Setup!$I$15="No",0,M142))</f>
        <v>11</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f ca="1">IF('Demand background (hide)'!A133=Num_Modalities,"",SUM(Demand!I142, Demand!N142))</f>
        <v>16</v>
      </c>
      <c r="BD142" s="258">
        <f ca="1">IF(AND(A142&lt;=MaxRows,BE142&lt;&gt;"Yes"),'Demand background (hide)'!X133+IF(Setup!$I$15="Yes",'Demand background (hide)'!AJ133,0),"")</f>
        <v>590</v>
      </c>
      <c r="BE142" s="208"/>
    </row>
    <row r="143" spans="1:57" ht="15" x14ac:dyDescent="0.25">
      <c r="A143">
        <f t="shared" ca="1" si="8"/>
        <v>131</v>
      </c>
      <c r="B143" s="263" t="str">
        <f t="shared" ca="1" si="9"/>
        <v xml:space="preserve"> </v>
      </c>
      <c r="C143" s="264">
        <f t="shared" ca="1" si="10"/>
        <v>39</v>
      </c>
      <c r="D143" s="395">
        <f t="shared" ca="1" si="11"/>
        <v>43367</v>
      </c>
      <c r="E143" s="191"/>
      <c r="F143" s="191">
        <v>0</v>
      </c>
      <c r="G143" s="191">
        <v>3</v>
      </c>
      <c r="H143" s="191"/>
      <c r="I143" s="250">
        <f>IF(COUNTBLANK(E143:H143)=4,"",SUM(E143:G143)+IF(Setup!$I$15="No",0,H143))</f>
        <v>3</v>
      </c>
      <c r="J143" s="191"/>
      <c r="K143" s="191">
        <v>3</v>
      </c>
      <c r="L143" s="191">
        <v>9</v>
      </c>
      <c r="M143" s="191"/>
      <c r="N143" s="254">
        <f>IF(COUNTBLANK(J143:M143)=4,"",SUM(J143:L143)+IF(Setup!$I$15="No",0,M143))</f>
        <v>12</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f ca="1">IF('Demand background (hide)'!A134=Num_Modalities,"",SUM(Demand!I143, Demand!N143))</f>
        <v>15</v>
      </c>
      <c r="BD143" s="258">
        <f ca="1">IF(AND(A143&lt;=MaxRows,BE143&lt;&gt;"Yes"),'Demand background (hide)'!X134+IF(Setup!$I$15="Yes",'Demand background (hide)'!AJ134,0),"")</f>
        <v>570</v>
      </c>
      <c r="BE143" s="208"/>
    </row>
    <row r="144" spans="1:57" ht="15" x14ac:dyDescent="0.25">
      <c r="A144">
        <f t="shared" ca="1" si="8"/>
        <v>132</v>
      </c>
      <c r="B144" s="263" t="str">
        <f t="shared" ca="1" si="9"/>
        <v xml:space="preserve"> </v>
      </c>
      <c r="C144" s="264">
        <f t="shared" ca="1" si="10"/>
        <v>40</v>
      </c>
      <c r="D144" s="395">
        <f t="shared" ca="1" si="11"/>
        <v>43374</v>
      </c>
      <c r="E144" s="191"/>
      <c r="F144" s="191">
        <v>0</v>
      </c>
      <c r="G144" s="191">
        <v>3</v>
      </c>
      <c r="H144" s="191"/>
      <c r="I144" s="250">
        <f>IF(COUNTBLANK(E144:H144)=4,"",SUM(E144:G144)+IF(Setup!$I$15="No",0,H144))</f>
        <v>3</v>
      </c>
      <c r="J144" s="191"/>
      <c r="K144" s="191">
        <v>3</v>
      </c>
      <c r="L144" s="191">
        <v>7</v>
      </c>
      <c r="M144" s="191"/>
      <c r="N144" s="254">
        <f>IF(COUNTBLANK(J144:M144)=4,"",SUM(J144:L144)+IF(Setup!$I$15="No",0,M144))</f>
        <v>10</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f ca="1">IF('Demand background (hide)'!A135=Num_Modalities,"",SUM(Demand!I144, Demand!N144))</f>
        <v>13</v>
      </c>
      <c r="BD144" s="258">
        <f ca="1">IF(AND(A144&lt;=MaxRows,BE144&lt;&gt;"Yes"),'Demand background (hide)'!X135+IF(Setup!$I$15="Yes",'Demand background (hide)'!AJ135,0),"")</f>
        <v>490</v>
      </c>
      <c r="BE144" s="208"/>
    </row>
    <row r="145" spans="1:57" ht="15" x14ac:dyDescent="0.25">
      <c r="A145">
        <f t="shared" ca="1" si="8"/>
        <v>133</v>
      </c>
      <c r="B145" s="263" t="str">
        <f t="shared" ca="1" si="9"/>
        <v xml:space="preserve"> </v>
      </c>
      <c r="C145" s="264">
        <f t="shared" ca="1" si="10"/>
        <v>41</v>
      </c>
      <c r="D145" s="395">
        <f t="shared" ca="1" si="11"/>
        <v>43381</v>
      </c>
      <c r="E145" s="191"/>
      <c r="F145" s="191">
        <v>1</v>
      </c>
      <c r="G145" s="191">
        <v>6</v>
      </c>
      <c r="H145" s="191"/>
      <c r="I145" s="250">
        <f>IF(COUNTBLANK(E145:H145)=4,"",SUM(E145:G145)+IF(Setup!$I$15="No",0,H145))</f>
        <v>7</v>
      </c>
      <c r="J145" s="191"/>
      <c r="K145" s="191">
        <v>2</v>
      </c>
      <c r="L145" s="191">
        <v>7</v>
      </c>
      <c r="M145" s="191"/>
      <c r="N145" s="254">
        <f>IF(COUNTBLANK(J145:M145)=4,"",SUM(J145:L145)+IF(Setup!$I$15="No",0,M145))</f>
        <v>9</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f ca="1">IF('Demand background (hide)'!A136=Num_Modalities,"",SUM(Demand!I145, Demand!N145))</f>
        <v>16</v>
      </c>
      <c r="BD145" s="258">
        <f ca="1">IF(AND(A145&lt;=MaxRows,BE145&lt;&gt;"Yes"),'Demand background (hide)'!X136+IF(Setup!$I$15="Yes",'Demand background (hide)'!AJ136,0),"")</f>
        <v>570</v>
      </c>
      <c r="BE145" s="208"/>
    </row>
    <row r="146" spans="1:57" ht="15" x14ac:dyDescent="0.25">
      <c r="A146">
        <f t="shared" ca="1" si="8"/>
        <v>134</v>
      </c>
      <c r="B146" s="263" t="str">
        <f t="shared" ca="1" si="9"/>
        <v xml:space="preserve"> </v>
      </c>
      <c r="C146" s="264">
        <f t="shared" ca="1" si="10"/>
        <v>42</v>
      </c>
      <c r="D146" s="395">
        <f t="shared" ca="1" si="11"/>
        <v>43388</v>
      </c>
      <c r="E146" s="191"/>
      <c r="F146" s="191">
        <v>0</v>
      </c>
      <c r="G146" s="191">
        <v>3</v>
      </c>
      <c r="H146" s="191"/>
      <c r="I146" s="250">
        <f>IF(COUNTBLANK(E146:H146)=4,"",SUM(E146:G146)+IF(Setup!$I$15="No",0,H146))</f>
        <v>3</v>
      </c>
      <c r="J146" s="191"/>
      <c r="K146" s="191">
        <v>1</v>
      </c>
      <c r="L146" s="191">
        <v>5</v>
      </c>
      <c r="M146" s="191"/>
      <c r="N146" s="254">
        <f>IF(COUNTBLANK(J146:M146)=4,"",SUM(J146:L146)+IF(Setup!$I$15="No",0,M146))</f>
        <v>6</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f ca="1">IF('Demand background (hide)'!A137=Num_Modalities,"",SUM(Demand!I146, Demand!N146))</f>
        <v>9</v>
      </c>
      <c r="BD146" s="258">
        <f ca="1">IF(AND(A146&lt;=MaxRows,BE146&lt;&gt;"Yes"),'Demand background (hide)'!X137+IF(Setup!$I$15="Yes",'Demand background (hide)'!AJ137,0),"")</f>
        <v>330</v>
      </c>
      <c r="BE146" s="208"/>
    </row>
    <row r="147" spans="1:57" ht="15" x14ac:dyDescent="0.25">
      <c r="A147">
        <f t="shared" ca="1" si="8"/>
        <v>135</v>
      </c>
      <c r="B147" s="263" t="str">
        <f t="shared" ca="1" si="9"/>
        <v xml:space="preserve"> </v>
      </c>
      <c r="C147" s="264">
        <f t="shared" ca="1" si="10"/>
        <v>43</v>
      </c>
      <c r="D147" s="395">
        <f t="shared" ca="1" si="11"/>
        <v>43395</v>
      </c>
      <c r="E147" s="191"/>
      <c r="F147" s="191">
        <v>0</v>
      </c>
      <c r="G147" s="191">
        <v>2</v>
      </c>
      <c r="H147" s="191"/>
      <c r="I147" s="250">
        <f>IF(COUNTBLANK(E147:H147)=4,"",SUM(E147:G147)+IF(Setup!$I$15="No",0,H147))</f>
        <v>2</v>
      </c>
      <c r="J147" s="191"/>
      <c r="K147" s="191">
        <v>1</v>
      </c>
      <c r="L147" s="191">
        <v>9</v>
      </c>
      <c r="M147" s="191"/>
      <c r="N147" s="254">
        <f>IF(COUNTBLANK(J147:M147)=4,"",SUM(J147:L147)+IF(Setup!$I$15="No",0,M147))</f>
        <v>10</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f ca="1">IF('Demand background (hide)'!A138=Num_Modalities,"",SUM(Demand!I147, Demand!N147))</f>
        <v>12</v>
      </c>
      <c r="BD147" s="258">
        <f ca="1">IF(AND(A147&lt;=MaxRows,BE147&lt;&gt;"Yes"),'Demand background (hide)'!X138+IF(Setup!$I$15="Yes",'Demand background (hide)'!AJ138,0),"")</f>
        <v>460</v>
      </c>
      <c r="BE147" s="208"/>
    </row>
    <row r="148" spans="1:57" ht="15" x14ac:dyDescent="0.25">
      <c r="A148">
        <f t="shared" ca="1" si="8"/>
        <v>136</v>
      </c>
      <c r="B148" s="263" t="str">
        <f t="shared" ca="1" si="9"/>
        <v xml:space="preserve"> </v>
      </c>
      <c r="C148" s="264">
        <f t="shared" ca="1" si="10"/>
        <v>44</v>
      </c>
      <c r="D148" s="395">
        <f t="shared" ca="1" si="11"/>
        <v>43402</v>
      </c>
      <c r="E148" s="191"/>
      <c r="F148" s="191">
        <v>1</v>
      </c>
      <c r="G148" s="191">
        <v>4</v>
      </c>
      <c r="H148" s="191"/>
      <c r="I148" s="250">
        <f>IF(COUNTBLANK(E148:H148)=4,"",SUM(E148:G148)+IF(Setup!$I$15="No",0,H148))</f>
        <v>5</v>
      </c>
      <c r="J148" s="191"/>
      <c r="K148" s="191">
        <v>3</v>
      </c>
      <c r="L148" s="191">
        <v>5</v>
      </c>
      <c r="M148" s="191"/>
      <c r="N148" s="254">
        <f>IF(COUNTBLANK(J148:M148)=4,"",SUM(J148:L148)+IF(Setup!$I$15="No",0,M148))</f>
        <v>8</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f ca="1">IF('Demand background (hide)'!A139=Num_Modalities,"",SUM(Demand!I148, Demand!N148))</f>
        <v>13</v>
      </c>
      <c r="BD148" s="258">
        <f ca="1">IF(AND(A148&lt;=MaxRows,BE148&lt;&gt;"Yes"),'Demand background (hide)'!X139+IF(Setup!$I$15="Yes",'Demand background (hide)'!AJ139,0),"")</f>
        <v>470</v>
      </c>
      <c r="BE148" s="208"/>
    </row>
    <row r="149" spans="1:57" ht="15" x14ac:dyDescent="0.25">
      <c r="A149">
        <f t="shared" ca="1" si="8"/>
        <v>137</v>
      </c>
      <c r="B149" s="263" t="str">
        <f t="shared" ca="1" si="9"/>
        <v xml:space="preserve"> </v>
      </c>
      <c r="C149" s="264">
        <f t="shared" ca="1" si="10"/>
        <v>45</v>
      </c>
      <c r="D149" s="395">
        <f t="shared" ca="1" si="11"/>
        <v>43409</v>
      </c>
      <c r="E149" s="191"/>
      <c r="F149" s="191">
        <v>3</v>
      </c>
      <c r="G149" s="191">
        <v>4</v>
      </c>
      <c r="H149" s="191"/>
      <c r="I149" s="250">
        <f>IF(COUNTBLANK(E149:H149)=4,"",SUM(E149:G149)+IF(Setup!$I$15="No",0,H149))</f>
        <v>7</v>
      </c>
      <c r="J149" s="191"/>
      <c r="K149" s="191">
        <v>0</v>
      </c>
      <c r="L149" s="191">
        <v>7</v>
      </c>
      <c r="M149" s="191"/>
      <c r="N149" s="254">
        <f>IF(COUNTBLANK(J149:M149)=4,"",SUM(J149:L149)+IF(Setup!$I$15="No",0,M149))</f>
        <v>7</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f ca="1">IF('Demand background (hide)'!A140=Num_Modalities,"",SUM(Demand!I149, Demand!N149))</f>
        <v>14</v>
      </c>
      <c r="BD149" s="258">
        <f ca="1">IF(AND(A149&lt;=MaxRows,BE149&lt;&gt;"Yes"),'Demand background (hide)'!X140+IF(Setup!$I$15="Yes",'Demand background (hide)'!AJ140,0),"")</f>
        <v>490</v>
      </c>
      <c r="BE149" s="208"/>
    </row>
    <row r="150" spans="1:57" ht="15" x14ac:dyDescent="0.25">
      <c r="A150">
        <f t="shared" ca="1" si="8"/>
        <v>138</v>
      </c>
      <c r="B150" s="263" t="str">
        <f t="shared" ca="1" si="9"/>
        <v xml:space="preserve"> </v>
      </c>
      <c r="C150" s="264">
        <f t="shared" ca="1" si="10"/>
        <v>46</v>
      </c>
      <c r="D150" s="395">
        <f t="shared" ca="1" si="11"/>
        <v>43416</v>
      </c>
      <c r="E150" s="191"/>
      <c r="F150" s="191">
        <v>0</v>
      </c>
      <c r="G150" s="191">
        <v>5</v>
      </c>
      <c r="H150" s="191"/>
      <c r="I150" s="250">
        <f>IF(COUNTBLANK(E150:H150)=4,"",SUM(E150:G150)+IF(Setup!$I$15="No",0,H150))</f>
        <v>5</v>
      </c>
      <c r="J150" s="191"/>
      <c r="K150" s="191">
        <v>1</v>
      </c>
      <c r="L150" s="191">
        <v>6</v>
      </c>
      <c r="M150" s="191"/>
      <c r="N150" s="254">
        <f>IF(COUNTBLANK(J150:M150)=4,"",SUM(J150:L150)+IF(Setup!$I$15="No",0,M150))</f>
        <v>7</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f ca="1">IF('Demand background (hide)'!A141=Num_Modalities,"",SUM(Demand!I150, Demand!N150))</f>
        <v>12</v>
      </c>
      <c r="BD150" s="258">
        <f ca="1">IF(AND(A150&lt;=MaxRows,BE150&lt;&gt;"Yes"),'Demand background (hide)'!X141+IF(Setup!$I$15="Yes",'Demand background (hide)'!AJ141,0),"")</f>
        <v>430</v>
      </c>
      <c r="BE150" s="208"/>
    </row>
    <row r="151" spans="1:57" ht="15" x14ac:dyDescent="0.25">
      <c r="A151">
        <f t="shared" ca="1" si="8"/>
        <v>139</v>
      </c>
      <c r="B151" s="263" t="str">
        <f t="shared" ca="1" si="9"/>
        <v xml:space="preserve"> </v>
      </c>
      <c r="C151" s="264">
        <f t="shared" ca="1" si="10"/>
        <v>47</v>
      </c>
      <c r="D151" s="395">
        <f t="shared" ca="1" si="11"/>
        <v>43423</v>
      </c>
      <c r="E151" s="191"/>
      <c r="F151" s="191">
        <v>2</v>
      </c>
      <c r="G151" s="191">
        <v>3</v>
      </c>
      <c r="H151" s="191"/>
      <c r="I151" s="250">
        <f>IF(COUNTBLANK(E151:H151)=4,"",SUM(E151:G151)+IF(Setup!$I$15="No",0,H151))</f>
        <v>5</v>
      </c>
      <c r="J151" s="191"/>
      <c r="K151" s="191">
        <v>0</v>
      </c>
      <c r="L151" s="191">
        <v>8</v>
      </c>
      <c r="M151" s="191"/>
      <c r="N151" s="254">
        <f>IF(COUNTBLANK(J151:M151)=4,"",SUM(J151:L151)+IF(Setup!$I$15="No",0,M151))</f>
        <v>8</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f ca="1">IF('Demand background (hide)'!A142=Num_Modalities,"",SUM(Demand!I151, Demand!N151))</f>
        <v>13</v>
      </c>
      <c r="BD151" s="258">
        <f ca="1">IF(AND(A151&lt;=MaxRows,BE151&lt;&gt;"Yes"),'Demand background (hide)'!X142+IF(Setup!$I$15="Yes",'Demand background (hide)'!AJ142,0),"")</f>
        <v>470</v>
      </c>
      <c r="BE151" s="208"/>
    </row>
    <row r="152" spans="1:57" ht="15" x14ac:dyDescent="0.25">
      <c r="A152">
        <f t="shared" ca="1" si="8"/>
        <v>140</v>
      </c>
      <c r="B152" s="263" t="str">
        <f t="shared" ca="1" si="9"/>
        <v xml:space="preserve"> </v>
      </c>
      <c r="C152" s="264">
        <f t="shared" ca="1" si="10"/>
        <v>48</v>
      </c>
      <c r="D152" s="395">
        <f t="shared" ca="1" si="11"/>
        <v>43430</v>
      </c>
      <c r="E152" s="191"/>
      <c r="F152" s="191">
        <v>1</v>
      </c>
      <c r="G152" s="191">
        <v>3</v>
      </c>
      <c r="H152" s="191"/>
      <c r="I152" s="250">
        <f>IF(COUNTBLANK(E152:H152)=4,"",SUM(E152:G152)+IF(Setup!$I$15="No",0,H152))</f>
        <v>4</v>
      </c>
      <c r="J152" s="191"/>
      <c r="K152" s="191">
        <v>1</v>
      </c>
      <c r="L152" s="191">
        <v>14</v>
      </c>
      <c r="M152" s="191"/>
      <c r="N152" s="254">
        <f>IF(COUNTBLANK(J152:M152)=4,"",SUM(J152:L152)+IF(Setup!$I$15="No",0,M152))</f>
        <v>15</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f ca="1">IF('Demand background (hide)'!A143=Num_Modalities,"",SUM(Demand!I152, Demand!N152))</f>
        <v>19</v>
      </c>
      <c r="BD152" s="258">
        <f ca="1">IF(AND(A152&lt;=MaxRows,BE152&lt;&gt;"Yes"),'Demand background (hide)'!X143+IF(Setup!$I$15="Yes",'Demand background (hide)'!AJ143,0),"")</f>
        <v>720</v>
      </c>
      <c r="BE152" s="208"/>
    </row>
    <row r="153" spans="1:57" ht="15" x14ac:dyDescent="0.25">
      <c r="A153">
        <f t="shared" ca="1" si="8"/>
        <v>141</v>
      </c>
      <c r="B153" s="263" t="str">
        <f t="shared" ca="1" si="9"/>
        <v xml:space="preserve"> </v>
      </c>
      <c r="C153" s="264">
        <f t="shared" ca="1" si="10"/>
        <v>49</v>
      </c>
      <c r="D153" s="395">
        <f t="shared" ca="1" si="11"/>
        <v>43437</v>
      </c>
      <c r="E153" s="191"/>
      <c r="F153" s="191">
        <v>0</v>
      </c>
      <c r="G153" s="191">
        <v>3</v>
      </c>
      <c r="H153" s="191"/>
      <c r="I153" s="250">
        <f>IF(COUNTBLANK(E153:H153)=4,"",SUM(E153:G153)+IF(Setup!$I$15="No",0,H153))</f>
        <v>3</v>
      </c>
      <c r="J153" s="191"/>
      <c r="K153" s="191">
        <v>2</v>
      </c>
      <c r="L153" s="191">
        <v>2</v>
      </c>
      <c r="M153" s="191"/>
      <c r="N153" s="254">
        <f>IF(COUNTBLANK(J153:M153)=4,"",SUM(J153:L153)+IF(Setup!$I$15="No",0,M153))</f>
        <v>4</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f ca="1">IF('Demand background (hide)'!A144=Num_Modalities,"",SUM(Demand!I153, Demand!N153))</f>
        <v>7</v>
      </c>
      <c r="BD153" s="258">
        <f ca="1">IF(AND(A153&lt;=MaxRows,BE153&lt;&gt;"Yes"),'Demand background (hide)'!X144+IF(Setup!$I$15="Yes",'Demand background (hide)'!AJ144,0),"")</f>
        <v>250</v>
      </c>
      <c r="BE153" s="208"/>
    </row>
    <row r="154" spans="1:57" ht="15" x14ac:dyDescent="0.25">
      <c r="A154">
        <f t="shared" ca="1" si="8"/>
        <v>142</v>
      </c>
      <c r="B154" s="263" t="str">
        <f t="shared" ca="1" si="9"/>
        <v xml:space="preserve"> </v>
      </c>
      <c r="C154" s="264">
        <f t="shared" ca="1" si="10"/>
        <v>50</v>
      </c>
      <c r="D154" s="395">
        <f t="shared" ca="1" si="11"/>
        <v>43444</v>
      </c>
      <c r="E154" s="191"/>
      <c r="F154" s="191">
        <v>0</v>
      </c>
      <c r="G154" s="191">
        <v>5</v>
      </c>
      <c r="H154" s="191"/>
      <c r="I154" s="250">
        <f>IF(COUNTBLANK(E154:H154)=4,"",SUM(E154:G154)+IF(Setup!$I$15="No",0,H154))</f>
        <v>5</v>
      </c>
      <c r="J154" s="191"/>
      <c r="K154" s="191">
        <v>3</v>
      </c>
      <c r="L154" s="191">
        <v>7</v>
      </c>
      <c r="M154" s="191"/>
      <c r="N154" s="254">
        <f>IF(COUNTBLANK(J154:M154)=4,"",SUM(J154:L154)+IF(Setup!$I$15="No",0,M154))</f>
        <v>10</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f ca="1">IF('Demand background (hide)'!A145=Num_Modalities,"",SUM(Demand!I154, Demand!N154))</f>
        <v>15</v>
      </c>
      <c r="BD154" s="258">
        <f ca="1">IF(AND(A154&lt;=MaxRows,BE154&lt;&gt;"Yes"),'Demand background (hide)'!X145+IF(Setup!$I$15="Yes",'Demand background (hide)'!AJ145,0),"")</f>
        <v>550</v>
      </c>
      <c r="BE154" s="208"/>
    </row>
    <row r="155" spans="1:57" ht="15" x14ac:dyDescent="0.25">
      <c r="A155">
        <f t="shared" ca="1" si="8"/>
        <v>143</v>
      </c>
      <c r="B155" s="263" t="str">
        <f t="shared" ca="1" si="9"/>
        <v xml:space="preserve"> </v>
      </c>
      <c r="C155" s="264">
        <f t="shared" ca="1" si="10"/>
        <v>51</v>
      </c>
      <c r="D155" s="395">
        <f t="shared" ca="1" si="11"/>
        <v>43451</v>
      </c>
      <c r="E155" s="191"/>
      <c r="F155" s="191">
        <v>1</v>
      </c>
      <c r="G155" s="191">
        <v>2</v>
      </c>
      <c r="H155" s="191"/>
      <c r="I155" s="250">
        <f>IF(COUNTBLANK(E155:H155)=4,"",SUM(E155:G155)+IF(Setup!$I$15="No",0,H155))</f>
        <v>3</v>
      </c>
      <c r="J155" s="191"/>
      <c r="K155" s="191">
        <v>2</v>
      </c>
      <c r="L155" s="191">
        <v>13</v>
      </c>
      <c r="M155" s="191"/>
      <c r="N155" s="254">
        <f>IF(COUNTBLANK(J155:M155)=4,"",SUM(J155:L155)+IF(Setup!$I$15="No",0,M155))</f>
        <v>15</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f ca="1">IF('Demand background (hide)'!A146=Num_Modalities,"",SUM(Demand!I155, Demand!N155))</f>
        <v>18</v>
      </c>
      <c r="BD155" s="258">
        <f ca="1">IF(AND(A155&lt;=MaxRows,BE155&lt;&gt;"Yes"),'Demand background (hide)'!X146+IF(Setup!$I$15="Yes",'Demand background (hide)'!AJ146,0),"")</f>
        <v>690</v>
      </c>
      <c r="BE155" s="208"/>
    </row>
    <row r="156" spans="1:57" ht="15" x14ac:dyDescent="0.25">
      <c r="A156">
        <f t="shared" ca="1" si="8"/>
        <v>144</v>
      </c>
      <c r="B156" s="263" t="str">
        <f t="shared" ca="1" si="9"/>
        <v xml:space="preserve"> </v>
      </c>
      <c r="C156" s="264">
        <f t="shared" ca="1" si="10"/>
        <v>52</v>
      </c>
      <c r="D156" s="395">
        <f t="shared" ca="1" si="11"/>
        <v>43458</v>
      </c>
      <c r="E156" s="191"/>
      <c r="F156" s="191">
        <v>1</v>
      </c>
      <c r="G156" s="191">
        <v>2</v>
      </c>
      <c r="H156" s="191"/>
      <c r="I156" s="250">
        <f>IF(COUNTBLANK(E156:H156)=4,"",SUM(E156:G156)+IF(Setup!$I$15="No",0,H156))</f>
        <v>3</v>
      </c>
      <c r="J156" s="191"/>
      <c r="K156" s="191">
        <v>1</v>
      </c>
      <c r="L156" s="191">
        <v>6</v>
      </c>
      <c r="M156" s="191"/>
      <c r="N156" s="254">
        <f>IF(COUNTBLANK(J156:M156)=4,"",SUM(J156:L156)+IF(Setup!$I$15="No",0,M156))</f>
        <v>7</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f ca="1">IF('Demand background (hide)'!A147=Num_Modalities,"",SUM(Demand!I156, Demand!N156))</f>
        <v>10</v>
      </c>
      <c r="BD156" s="258">
        <f ca="1">IF(AND(A156&lt;=MaxRows,BE156&lt;&gt;"Yes"),'Demand background (hide)'!X147+IF(Setup!$I$15="Yes",'Demand background (hide)'!AJ147,0),"")</f>
        <v>370</v>
      </c>
      <c r="BE156" s="208"/>
    </row>
    <row r="157" spans="1:57" ht="15" x14ac:dyDescent="0.25">
      <c r="A157">
        <f t="shared" ca="1" si="8"/>
        <v>145</v>
      </c>
      <c r="B157" s="263" t="str">
        <f t="shared" ca="1" si="9"/>
        <v xml:space="preserve"> </v>
      </c>
      <c r="C157" s="264">
        <f t="shared" ca="1" si="10"/>
        <v>1</v>
      </c>
      <c r="D157" s="395">
        <f t="shared" ca="1" si="11"/>
        <v>43465</v>
      </c>
      <c r="E157" s="191"/>
      <c r="F157" s="191">
        <v>1</v>
      </c>
      <c r="G157" s="191">
        <v>3</v>
      </c>
      <c r="H157" s="191"/>
      <c r="I157" s="250">
        <f>IF(COUNTBLANK(E157:H157)=4,"",SUM(E157:G157)+IF(Setup!$I$15="No",0,H157))</f>
        <v>4</v>
      </c>
      <c r="J157" s="191"/>
      <c r="K157" s="191">
        <v>2</v>
      </c>
      <c r="L157" s="191">
        <v>9</v>
      </c>
      <c r="M157" s="191"/>
      <c r="N157" s="254">
        <f>IF(COUNTBLANK(J157:M157)=4,"",SUM(J157:L157)+IF(Setup!$I$15="No",0,M157))</f>
        <v>11</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f ca="1">IF('Demand background (hide)'!A148=Num_Modalities,"",SUM(Demand!I157, Demand!N157))</f>
        <v>15</v>
      </c>
      <c r="BD157" s="258">
        <f ca="1">IF(AND(A157&lt;=MaxRows,BE157&lt;&gt;"Yes"),'Demand background (hide)'!X148+IF(Setup!$I$15="Yes",'Demand background (hide)'!AJ148,0),"")</f>
        <v>560</v>
      </c>
      <c r="BE157" s="208"/>
    </row>
    <row r="158" spans="1:57" ht="15" x14ac:dyDescent="0.25">
      <c r="A158">
        <f t="shared" ca="1" si="8"/>
        <v>146</v>
      </c>
      <c r="B158" s="263">
        <f t="shared" ca="1" si="9"/>
        <v>2019</v>
      </c>
      <c r="C158" s="264">
        <f t="shared" ca="1" si="10"/>
        <v>2</v>
      </c>
      <c r="D158" s="395">
        <f t="shared" ca="1" si="11"/>
        <v>43472</v>
      </c>
      <c r="E158" s="191"/>
      <c r="F158" s="191">
        <v>0</v>
      </c>
      <c r="G158" s="191">
        <v>1</v>
      </c>
      <c r="H158" s="191"/>
      <c r="I158" s="250">
        <f>IF(COUNTBLANK(E158:H158)=4,"",SUM(E158:G158)+IF(Setup!$I$15="No",0,H158))</f>
        <v>1</v>
      </c>
      <c r="J158" s="191"/>
      <c r="K158" s="191">
        <v>2</v>
      </c>
      <c r="L158" s="191">
        <v>4</v>
      </c>
      <c r="M158" s="191"/>
      <c r="N158" s="254">
        <f>IF(COUNTBLANK(J158:M158)=4,"",SUM(J158:L158)+IF(Setup!$I$15="No",0,M158))</f>
        <v>6</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f ca="1">IF('Demand background (hide)'!A149=Num_Modalities,"",SUM(Demand!I158, Demand!N158))</f>
        <v>7</v>
      </c>
      <c r="BD158" s="258">
        <f ca="1">IF(AND(A158&lt;=MaxRows,BE158&lt;&gt;"Yes"),'Demand background (hide)'!X149+IF(Setup!$I$15="Yes",'Demand background (hide)'!AJ149,0),"")</f>
        <v>270</v>
      </c>
      <c r="BE158" s="208"/>
    </row>
    <row r="159" spans="1:57" ht="15" x14ac:dyDescent="0.25">
      <c r="A159">
        <f t="shared" ca="1" si="8"/>
        <v>147</v>
      </c>
      <c r="B159" s="263" t="str">
        <f t="shared" ca="1" si="9"/>
        <v xml:space="preserve"> </v>
      </c>
      <c r="C159" s="264">
        <f t="shared" ca="1" si="10"/>
        <v>3</v>
      </c>
      <c r="D159" s="395">
        <f t="shared" ca="1" si="11"/>
        <v>43479</v>
      </c>
      <c r="E159" s="191"/>
      <c r="F159" s="191">
        <v>1</v>
      </c>
      <c r="G159" s="191">
        <v>2</v>
      </c>
      <c r="H159" s="191"/>
      <c r="I159" s="250">
        <f>IF(COUNTBLANK(E159:H159)=4,"",SUM(E159:G159)+IF(Setup!$I$15="No",0,H159))</f>
        <v>3</v>
      </c>
      <c r="J159" s="191"/>
      <c r="K159" s="191">
        <v>3</v>
      </c>
      <c r="L159" s="191">
        <v>6</v>
      </c>
      <c r="M159" s="191"/>
      <c r="N159" s="254">
        <f>IF(COUNTBLANK(J159:M159)=4,"",SUM(J159:L159)+IF(Setup!$I$15="No",0,M159))</f>
        <v>9</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f ca="1">IF('Demand background (hide)'!A150=Num_Modalities,"",SUM(Demand!I159, Demand!N159))</f>
        <v>12</v>
      </c>
      <c r="BD159" s="258">
        <f ca="1">IF(AND(A159&lt;=MaxRows,BE159&lt;&gt;"Yes"),'Demand background (hide)'!X150+IF(Setup!$I$15="Yes",'Demand background (hide)'!AJ150,0),"")</f>
        <v>450</v>
      </c>
      <c r="BE159" s="208"/>
    </row>
    <row r="160" spans="1:57" ht="15" x14ac:dyDescent="0.25">
      <c r="A160">
        <f t="shared" ca="1" si="8"/>
        <v>148</v>
      </c>
      <c r="B160" s="263" t="str">
        <f t="shared" ca="1" si="9"/>
        <v xml:space="preserve"> </v>
      </c>
      <c r="C160" s="264">
        <f t="shared" ca="1" si="10"/>
        <v>4</v>
      </c>
      <c r="D160" s="395">
        <f t="shared" ca="1" si="11"/>
        <v>43486</v>
      </c>
      <c r="E160" s="191"/>
      <c r="F160" s="191">
        <v>0</v>
      </c>
      <c r="G160" s="191">
        <v>5</v>
      </c>
      <c r="H160" s="191"/>
      <c r="I160" s="250">
        <f>IF(COUNTBLANK(E160:H160)=4,"",SUM(E160:G160)+IF(Setup!$I$15="No",0,H160))</f>
        <v>5</v>
      </c>
      <c r="J160" s="191"/>
      <c r="K160" s="191">
        <v>3</v>
      </c>
      <c r="L160" s="191">
        <v>12</v>
      </c>
      <c r="M160" s="191"/>
      <c r="N160" s="254">
        <f>IF(COUNTBLANK(J160:M160)=4,"",SUM(J160:L160)+IF(Setup!$I$15="No",0,M160))</f>
        <v>15</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f ca="1">IF('Demand background (hide)'!A151=Num_Modalities,"",SUM(Demand!I160, Demand!N160))</f>
        <v>20</v>
      </c>
      <c r="BD160" s="258">
        <f ca="1">IF(AND(A160&lt;=MaxRows,BE160&lt;&gt;"Yes"),'Demand background (hide)'!X151+IF(Setup!$I$15="Yes",'Demand background (hide)'!AJ151,0),"")</f>
        <v>750</v>
      </c>
      <c r="BE160" s="208"/>
    </row>
    <row r="161" spans="1:57" ht="15" x14ac:dyDescent="0.25">
      <c r="A161">
        <f t="shared" ca="1" si="8"/>
        <v>149</v>
      </c>
      <c r="B161" s="263" t="str">
        <f t="shared" ca="1" si="9"/>
        <v xml:space="preserve"> </v>
      </c>
      <c r="C161" s="264">
        <f t="shared" ca="1" si="10"/>
        <v>5</v>
      </c>
      <c r="D161" s="395">
        <f t="shared" ca="1" si="11"/>
        <v>43493</v>
      </c>
      <c r="E161" s="191"/>
      <c r="F161" s="191">
        <v>0</v>
      </c>
      <c r="G161" s="191">
        <v>5</v>
      </c>
      <c r="H161" s="191"/>
      <c r="I161" s="250">
        <f>IF(COUNTBLANK(E161:H161)=4,"",SUM(E161:G161)+IF(Setup!$I$15="No",0,H161))</f>
        <v>5</v>
      </c>
      <c r="J161" s="191"/>
      <c r="K161" s="191">
        <v>2</v>
      </c>
      <c r="L161" s="191">
        <v>4</v>
      </c>
      <c r="M161" s="191"/>
      <c r="N161" s="254">
        <f>IF(COUNTBLANK(J161:M161)=4,"",SUM(J161:L161)+IF(Setup!$I$15="No",0,M161))</f>
        <v>6</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f ca="1">IF('Demand background (hide)'!A152=Num_Modalities,"",SUM(Demand!I161, Demand!N161))</f>
        <v>11</v>
      </c>
      <c r="BD161" s="258">
        <f ca="1">IF(AND(A161&lt;=MaxRows,BE161&lt;&gt;"Yes"),'Demand background (hide)'!X152+IF(Setup!$I$15="Yes",'Demand background (hide)'!AJ152,0),"")</f>
        <v>390</v>
      </c>
      <c r="BE161" s="208"/>
    </row>
    <row r="162" spans="1:57" ht="15" x14ac:dyDescent="0.25">
      <c r="A162">
        <f t="shared" ca="1" si="8"/>
        <v>150</v>
      </c>
      <c r="B162" s="263" t="str">
        <f t="shared" ca="1" si="9"/>
        <v xml:space="preserve"> </v>
      </c>
      <c r="C162" s="264">
        <f t="shared" ca="1" si="10"/>
        <v>6</v>
      </c>
      <c r="D162" s="395">
        <f t="shared" ca="1" si="11"/>
        <v>43500</v>
      </c>
      <c r="E162" s="191"/>
      <c r="F162" s="191">
        <v>0</v>
      </c>
      <c r="G162" s="191">
        <v>2</v>
      </c>
      <c r="H162" s="191"/>
      <c r="I162" s="250">
        <f>IF(COUNTBLANK(E162:H162)=4,"",SUM(E162:G162)+IF(Setup!$I$15="No",0,H162))</f>
        <v>2</v>
      </c>
      <c r="J162" s="191"/>
      <c r="K162" s="191">
        <v>5</v>
      </c>
      <c r="L162" s="191">
        <v>9</v>
      </c>
      <c r="M162" s="191"/>
      <c r="N162" s="254">
        <f>IF(COUNTBLANK(J162:M162)=4,"",SUM(J162:L162)+IF(Setup!$I$15="No",0,M162))</f>
        <v>14</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f ca="1">IF('Demand background (hide)'!A153=Num_Modalities,"",SUM(Demand!I162, Demand!N162))</f>
        <v>16</v>
      </c>
      <c r="BD162" s="258">
        <f ca="1">IF(AND(A162&lt;=MaxRows,BE162&lt;&gt;"Yes"),'Demand background (hide)'!X153+IF(Setup!$I$15="Yes",'Demand background (hide)'!AJ153,0),"")</f>
        <v>620</v>
      </c>
      <c r="BE162" s="208"/>
    </row>
    <row r="163" spans="1:57" ht="15" x14ac:dyDescent="0.25">
      <c r="A163">
        <f t="shared" ca="1" si="8"/>
        <v>151</v>
      </c>
      <c r="B163" s="263" t="str">
        <f t="shared" ca="1" si="9"/>
        <v xml:space="preserve"> </v>
      </c>
      <c r="C163" s="264">
        <f t="shared" ca="1" si="10"/>
        <v>7</v>
      </c>
      <c r="D163" s="395">
        <f t="shared" ca="1" si="11"/>
        <v>43507</v>
      </c>
      <c r="E163" s="191"/>
      <c r="F163" s="191">
        <v>1</v>
      </c>
      <c r="G163" s="191">
        <v>1</v>
      </c>
      <c r="H163" s="191"/>
      <c r="I163" s="250">
        <f>IF(COUNTBLANK(E163:H163)=4,"",SUM(E163:G163)+IF(Setup!$I$15="No",0,H163))</f>
        <v>2</v>
      </c>
      <c r="J163" s="191"/>
      <c r="K163" s="191">
        <v>3</v>
      </c>
      <c r="L163" s="191">
        <v>4</v>
      </c>
      <c r="M163" s="191"/>
      <c r="N163" s="254">
        <f>IF(COUNTBLANK(J163:M163)=4,"",SUM(J163:L163)+IF(Setup!$I$15="No",0,M163))</f>
        <v>7</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f ca="1">IF('Demand background (hide)'!A154=Num_Modalities,"",SUM(Demand!I163, Demand!N163))</f>
        <v>9</v>
      </c>
      <c r="BD163" s="258">
        <f ca="1">IF(AND(A163&lt;=MaxRows,BE163&lt;&gt;"Yes"),'Demand background (hide)'!X154+IF(Setup!$I$15="Yes",'Demand background (hide)'!AJ154,0),"")</f>
        <v>340</v>
      </c>
      <c r="BE163" s="208"/>
    </row>
    <row r="164" spans="1:57" ht="15" x14ac:dyDescent="0.25">
      <c r="A164" t="str">
        <f t="shared" ca="1" si="8"/>
        <v/>
      </c>
      <c r="B164" s="263" t="str">
        <f t="shared" ca="1" si="9"/>
        <v xml:space="preserve"> </v>
      </c>
      <c r="C164" s="264" t="str">
        <f t="shared" ca="1" si="10"/>
        <v/>
      </c>
      <c r="D164" s="395"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 Demand!N164))</f>
        <v/>
      </c>
      <c r="BD164" s="258" t="str">
        <f ca="1">IF(AND(A164&lt;=MaxRows,BE164&lt;&gt;"Yes"),'Demand background (hide)'!X155+IF(Setup!$I$15="Yes",'Demand background (hide)'!AJ155,0),"")</f>
        <v/>
      </c>
      <c r="BE164" s="208"/>
    </row>
    <row r="165" spans="1:57" ht="15" x14ac:dyDescent="0.25">
      <c r="A165" t="str">
        <f t="shared" ca="1" si="8"/>
        <v/>
      </c>
      <c r="B165" s="263" t="str">
        <f t="shared" ca="1" si="9"/>
        <v xml:space="preserve"> </v>
      </c>
      <c r="C165" s="264" t="str">
        <f t="shared" ca="1" si="10"/>
        <v/>
      </c>
      <c r="D165" s="395"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 Demand!N165))</f>
        <v/>
      </c>
      <c r="BD165" s="258" t="str">
        <f ca="1">IF(AND(A165&lt;=MaxRows,BE165&lt;&gt;"Yes"),'Demand background (hide)'!X156+IF(Setup!$I$15="Yes",'Demand background (hide)'!AJ156,0),"")</f>
        <v/>
      </c>
      <c r="BE165" s="208"/>
    </row>
    <row r="166" spans="1:57" ht="15" x14ac:dyDescent="0.25">
      <c r="A166" t="str">
        <f t="shared" ca="1" si="8"/>
        <v/>
      </c>
      <c r="B166" s="263" t="str">
        <f t="shared" ca="1" si="9"/>
        <v xml:space="preserve"> </v>
      </c>
      <c r="C166" s="264" t="str">
        <f t="shared" ca="1" si="10"/>
        <v/>
      </c>
      <c r="D166" s="395"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 Demand!N166))</f>
        <v/>
      </c>
      <c r="BD166" s="258" t="str">
        <f ca="1">IF(AND(A166&lt;=MaxRows,BE166&lt;&gt;"Yes"),'Demand background (hide)'!X157+IF(Setup!$I$15="Yes",'Demand background (hide)'!AJ157,0),"")</f>
        <v/>
      </c>
      <c r="BE166" s="208"/>
    </row>
    <row r="167" spans="1:57" ht="15" x14ac:dyDescent="0.25">
      <c r="A167" t="str">
        <f t="shared" ca="1" si="8"/>
        <v/>
      </c>
      <c r="B167" s="263" t="str">
        <f t="shared" ca="1" si="9"/>
        <v xml:space="preserve"> </v>
      </c>
      <c r="C167" s="264" t="str">
        <f t="shared" ca="1" si="10"/>
        <v/>
      </c>
      <c r="D167" s="395"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 Demand!N167))</f>
        <v/>
      </c>
      <c r="BD167" s="258" t="str">
        <f ca="1">IF(AND(A167&lt;=MaxRows,BE167&lt;&gt;"Yes"),'Demand background (hide)'!X158+IF(Setup!$I$15="Yes",'Demand background (hide)'!AJ158,0),"")</f>
        <v/>
      </c>
      <c r="BE167" s="208"/>
    </row>
    <row r="168" spans="1:57" ht="15" x14ac:dyDescent="0.25">
      <c r="A168" t="str">
        <f t="shared" ca="1" si="8"/>
        <v/>
      </c>
      <c r="B168" s="263" t="str">
        <f t="shared" ca="1" si="9"/>
        <v xml:space="preserve"> </v>
      </c>
      <c r="C168" s="264" t="str">
        <f t="shared" ca="1" si="10"/>
        <v/>
      </c>
      <c r="D168" s="395"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 Demand!N168))</f>
        <v/>
      </c>
      <c r="BD168" s="258" t="str">
        <f ca="1">IF(AND(A168&lt;=MaxRows,BE168&lt;&gt;"Yes"),'Demand background (hide)'!X159+IF(Setup!$I$15="Yes",'Demand background (hide)'!AJ159,0),"")</f>
        <v/>
      </c>
      <c r="BE168" s="208"/>
    </row>
    <row r="169" spans="1:57" ht="15" x14ac:dyDescent="0.25">
      <c r="A169" t="str">
        <f t="shared" ca="1" si="8"/>
        <v/>
      </c>
      <c r="B169" s="263" t="str">
        <f t="shared" ca="1" si="9"/>
        <v xml:space="preserve"> </v>
      </c>
      <c r="C169" s="264" t="str">
        <f t="shared" ca="1" si="10"/>
        <v/>
      </c>
      <c r="D169" s="395"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 Demand!N169))</f>
        <v/>
      </c>
      <c r="BD169" s="258" t="str">
        <f ca="1">IF(AND(A169&lt;=MaxRows,BE169&lt;&gt;"Yes"),'Demand background (hide)'!X160+IF(Setup!$I$15="Yes",'Demand background (hide)'!AJ160,0),"")</f>
        <v/>
      </c>
      <c r="BE169" s="208"/>
    </row>
    <row r="170" spans="1:57" ht="15" x14ac:dyDescent="0.25">
      <c r="A170" t="str">
        <f t="shared" ca="1" si="8"/>
        <v/>
      </c>
      <c r="B170" s="263" t="str">
        <f t="shared" ca="1" si="9"/>
        <v xml:space="preserve"> </v>
      </c>
      <c r="C170" s="264" t="str">
        <f t="shared" ca="1" si="10"/>
        <v/>
      </c>
      <c r="D170" s="395"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 Demand!N170))</f>
        <v/>
      </c>
      <c r="BD170" s="258" t="str">
        <f ca="1">IF(AND(A170&lt;=MaxRows,BE170&lt;&gt;"Yes"),'Demand background (hide)'!X161+IF(Setup!$I$15="Yes",'Demand background (hide)'!AJ161,0),"")</f>
        <v/>
      </c>
      <c r="BE170" s="208"/>
    </row>
    <row r="171" spans="1:57" ht="15" x14ac:dyDescent="0.25">
      <c r="A171" t="str">
        <f t="shared" ca="1" si="8"/>
        <v/>
      </c>
      <c r="B171" s="263" t="str">
        <f t="shared" ca="1" si="9"/>
        <v xml:space="preserve"> </v>
      </c>
      <c r="C171" s="264" t="str">
        <f t="shared" ca="1" si="10"/>
        <v/>
      </c>
      <c r="D171" s="395"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 Demand!N171))</f>
        <v/>
      </c>
      <c r="BD171" s="258" t="str">
        <f ca="1">IF(AND(A171&lt;=MaxRows,BE171&lt;&gt;"Yes"),'Demand background (hide)'!X162+IF(Setup!$I$15="Yes",'Demand background (hide)'!AJ162,0),"")</f>
        <v/>
      </c>
      <c r="BE171" s="208"/>
    </row>
    <row r="172" spans="1:57" ht="15" x14ac:dyDescent="0.25">
      <c r="A172" t="str">
        <f t="shared" ca="1" si="8"/>
        <v/>
      </c>
      <c r="B172" s="263" t="str">
        <f t="shared" ca="1" si="9"/>
        <v xml:space="preserve"> </v>
      </c>
      <c r="C172" s="264" t="str">
        <f t="shared" ca="1" si="10"/>
        <v/>
      </c>
      <c r="D172" s="395"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 Demand!N172))</f>
        <v/>
      </c>
      <c r="BD172" s="258" t="str">
        <f ca="1">IF(AND(A172&lt;=MaxRows,BE172&lt;&gt;"Yes"),'Demand background (hide)'!X163+IF(Setup!$I$15="Yes",'Demand background (hide)'!AJ163,0),"")</f>
        <v/>
      </c>
      <c r="BE172" s="208"/>
    </row>
    <row r="173" spans="1:57" ht="15" x14ac:dyDescent="0.25">
      <c r="A173" t="str">
        <f t="shared" ca="1" si="8"/>
        <v/>
      </c>
      <c r="B173" s="263" t="str">
        <f t="shared" ca="1" si="9"/>
        <v xml:space="preserve"> </v>
      </c>
      <c r="C173" s="264" t="str">
        <f t="shared" ca="1" si="10"/>
        <v/>
      </c>
      <c r="D173" s="395"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 Demand!N173))</f>
        <v/>
      </c>
      <c r="BD173" s="258" t="str">
        <f ca="1">IF(AND(A173&lt;=MaxRows,BE173&lt;&gt;"Yes"),'Demand background (hide)'!X164+IF(Setup!$I$15="Yes",'Demand background (hide)'!AJ164,0),"")</f>
        <v/>
      </c>
      <c r="BE173" s="208"/>
    </row>
    <row r="174" spans="1:57" ht="15" x14ac:dyDescent="0.25">
      <c r="A174" t="str">
        <f t="shared" ca="1" si="8"/>
        <v/>
      </c>
      <c r="B174" s="263" t="str">
        <f t="shared" ca="1" si="9"/>
        <v xml:space="preserve"> </v>
      </c>
      <c r="C174" s="264" t="str">
        <f t="shared" ca="1" si="10"/>
        <v/>
      </c>
      <c r="D174" s="395"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 Demand!N174))</f>
        <v/>
      </c>
      <c r="BD174" s="258" t="str">
        <f ca="1">IF(AND(A174&lt;=MaxRows,BE174&lt;&gt;"Yes"),'Demand background (hide)'!X165+IF(Setup!$I$15="Yes",'Demand background (hide)'!AJ165,0),"")</f>
        <v/>
      </c>
      <c r="BE174" s="208"/>
    </row>
    <row r="175" spans="1:57" ht="15" x14ac:dyDescent="0.25">
      <c r="A175" t="str">
        <f t="shared" ca="1" si="8"/>
        <v/>
      </c>
      <c r="B175" s="263" t="str">
        <f t="shared" ca="1" si="9"/>
        <v xml:space="preserve"> </v>
      </c>
      <c r="C175" s="264" t="str">
        <f t="shared" ca="1" si="10"/>
        <v/>
      </c>
      <c r="D175" s="395"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 Demand!N175))</f>
        <v/>
      </c>
      <c r="BD175" s="258" t="str">
        <f ca="1">IF(AND(A175&lt;=MaxRows,BE175&lt;&gt;"Yes"),'Demand background (hide)'!X166+IF(Setup!$I$15="Yes",'Demand background (hide)'!AJ166,0),"")</f>
        <v/>
      </c>
      <c r="BE175" s="208"/>
    </row>
    <row r="176" spans="1:57" ht="15" x14ac:dyDescent="0.25">
      <c r="A176" t="str">
        <f t="shared" ca="1" si="8"/>
        <v/>
      </c>
      <c r="B176" s="263" t="str">
        <f t="shared" ca="1" si="9"/>
        <v xml:space="preserve"> </v>
      </c>
      <c r="C176" s="264" t="str">
        <f t="shared" ca="1" si="10"/>
        <v/>
      </c>
      <c r="D176" s="395"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 Demand!N176))</f>
        <v/>
      </c>
      <c r="BD176" s="258" t="str">
        <f ca="1">IF(AND(A176&lt;=MaxRows,BE176&lt;&gt;"Yes"),'Demand background (hide)'!X167+IF(Setup!$I$15="Yes",'Demand background (hide)'!AJ167,0),"")</f>
        <v/>
      </c>
      <c r="BE176" s="208"/>
    </row>
    <row r="177" spans="1:57" ht="15" x14ac:dyDescent="0.25">
      <c r="A177" t="str">
        <f t="shared" ca="1" si="8"/>
        <v/>
      </c>
      <c r="B177" s="263" t="str">
        <f t="shared" ca="1" si="9"/>
        <v xml:space="preserve"> </v>
      </c>
      <c r="C177" s="264" t="str">
        <f t="shared" ca="1" si="10"/>
        <v/>
      </c>
      <c r="D177" s="395"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 Demand!N177))</f>
        <v/>
      </c>
      <c r="BD177" s="258" t="str">
        <f ca="1">IF(AND(A177&lt;=MaxRows,BE177&lt;&gt;"Yes"),'Demand background (hide)'!X168+IF(Setup!$I$15="Yes",'Demand background (hide)'!AJ168,0),"")</f>
        <v/>
      </c>
      <c r="BE177" s="208"/>
    </row>
    <row r="178" spans="1:57" ht="15" x14ac:dyDescent="0.25">
      <c r="A178" t="str">
        <f t="shared" ca="1" si="8"/>
        <v/>
      </c>
      <c r="B178" s="263" t="str">
        <f t="shared" ca="1" si="9"/>
        <v xml:space="preserve"> </v>
      </c>
      <c r="C178" s="264" t="str">
        <f t="shared" ca="1" si="10"/>
        <v/>
      </c>
      <c r="D178" s="395"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 Demand!N178))</f>
        <v/>
      </c>
      <c r="BD178" s="258" t="str">
        <f ca="1">IF(AND(A178&lt;=MaxRows,BE178&lt;&gt;"Yes"),'Demand background (hide)'!X169+IF(Setup!$I$15="Yes",'Demand background (hide)'!AJ169,0),"")</f>
        <v/>
      </c>
      <c r="BE178" s="208"/>
    </row>
    <row r="179" spans="1:57" ht="15" x14ac:dyDescent="0.25">
      <c r="A179" t="str">
        <f t="shared" ca="1" si="8"/>
        <v/>
      </c>
      <c r="B179" s="263" t="str">
        <f t="shared" ca="1" si="9"/>
        <v xml:space="preserve"> </v>
      </c>
      <c r="C179" s="264" t="str">
        <f t="shared" ca="1" si="10"/>
        <v/>
      </c>
      <c r="D179" s="395"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 Demand!N179))</f>
        <v/>
      </c>
      <c r="BD179" s="258" t="str">
        <f ca="1">IF(AND(A179&lt;=MaxRows,BE179&lt;&gt;"Yes"),'Demand background (hide)'!X170+IF(Setup!$I$15="Yes",'Demand background (hide)'!AJ170,0),"")</f>
        <v/>
      </c>
      <c r="BE179" s="208"/>
    </row>
    <row r="180" spans="1:57" ht="15" x14ac:dyDescent="0.25">
      <c r="A180" t="str">
        <f t="shared" ca="1" si="8"/>
        <v/>
      </c>
      <c r="B180" s="263" t="str">
        <f t="shared" ca="1" si="9"/>
        <v xml:space="preserve"> </v>
      </c>
      <c r="C180" s="264" t="str">
        <f t="shared" ca="1" si="10"/>
        <v/>
      </c>
      <c r="D180" s="395"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 Demand!N180))</f>
        <v/>
      </c>
      <c r="BD180" s="258" t="str">
        <f ca="1">IF(AND(A180&lt;=MaxRows,BE180&lt;&gt;"Yes"),'Demand background (hide)'!X171+IF(Setup!$I$15="Yes",'Demand background (hide)'!AJ171,0),"")</f>
        <v/>
      </c>
      <c r="BE180" s="208"/>
    </row>
    <row r="181" spans="1:57" ht="15" x14ac:dyDescent="0.25">
      <c r="A181" t="str">
        <f t="shared" ca="1" si="8"/>
        <v/>
      </c>
      <c r="B181" s="263" t="str">
        <f t="shared" ca="1" si="9"/>
        <v xml:space="preserve"> </v>
      </c>
      <c r="C181" s="264" t="str">
        <f t="shared" ca="1" si="10"/>
        <v/>
      </c>
      <c r="D181" s="395"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 Demand!N181))</f>
        <v/>
      </c>
      <c r="BD181" s="258" t="str">
        <f ca="1">IF(AND(A181&lt;=MaxRows,BE181&lt;&gt;"Yes"),'Demand background (hide)'!X172+IF(Setup!$I$15="Yes",'Demand background (hide)'!AJ172,0),"")</f>
        <v/>
      </c>
      <c r="BE181" s="208"/>
    </row>
    <row r="182" spans="1:57" ht="15" x14ac:dyDescent="0.25">
      <c r="A182" t="str">
        <f t="shared" ca="1" si="8"/>
        <v/>
      </c>
      <c r="B182" s="263" t="str">
        <f t="shared" ca="1" si="9"/>
        <v xml:space="preserve"> </v>
      </c>
      <c r="C182" s="264" t="str">
        <f t="shared" ca="1" si="10"/>
        <v/>
      </c>
      <c r="D182" s="395"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 Demand!N182))</f>
        <v/>
      </c>
      <c r="BD182" s="258" t="str">
        <f ca="1">IF(AND(A182&lt;=MaxRows,BE182&lt;&gt;"Yes"),'Demand background (hide)'!X173+IF(Setup!$I$15="Yes",'Demand background (hide)'!AJ173,0),"")</f>
        <v/>
      </c>
      <c r="BE182" s="208"/>
    </row>
    <row r="183" spans="1:57" ht="15" x14ac:dyDescent="0.25">
      <c r="A183" t="str">
        <f t="shared" ca="1" si="8"/>
        <v/>
      </c>
      <c r="B183" s="263" t="str">
        <f t="shared" ca="1" si="9"/>
        <v xml:space="preserve"> </v>
      </c>
      <c r="C183" s="264" t="str">
        <f t="shared" ca="1" si="10"/>
        <v/>
      </c>
      <c r="D183" s="395"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 Demand!N183))</f>
        <v/>
      </c>
      <c r="BD183" s="258" t="str">
        <f ca="1">IF(AND(A183&lt;=MaxRows,BE183&lt;&gt;"Yes"),'Demand background (hide)'!X174+IF(Setup!$I$15="Yes",'Demand background (hide)'!AJ174,0),"")</f>
        <v/>
      </c>
      <c r="BE183" s="208"/>
    </row>
    <row r="184" spans="1:57" ht="15" x14ac:dyDescent="0.25">
      <c r="A184" t="str">
        <f t="shared" ca="1" si="8"/>
        <v/>
      </c>
      <c r="B184" s="263" t="str">
        <f t="shared" ca="1" si="9"/>
        <v xml:space="preserve"> </v>
      </c>
      <c r="C184" s="264" t="str">
        <f t="shared" ca="1" si="10"/>
        <v/>
      </c>
      <c r="D184" s="395"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 Demand!N184))</f>
        <v/>
      </c>
      <c r="BD184" s="258" t="str">
        <f ca="1">IF(AND(A184&lt;=MaxRows,BE184&lt;&gt;"Yes"),'Demand background (hide)'!X175+IF(Setup!$I$15="Yes",'Demand background (hide)'!AJ175,0),"")</f>
        <v/>
      </c>
      <c r="BE184" s="208"/>
    </row>
    <row r="185" spans="1:57" ht="15" x14ac:dyDescent="0.25">
      <c r="A185" t="str">
        <f t="shared" ca="1" si="8"/>
        <v/>
      </c>
      <c r="B185" s="263" t="str">
        <f t="shared" ca="1" si="9"/>
        <v xml:space="preserve"> </v>
      </c>
      <c r="C185" s="264" t="str">
        <f t="shared" ca="1" si="10"/>
        <v/>
      </c>
      <c r="D185" s="395"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 Demand!N185))</f>
        <v/>
      </c>
      <c r="BD185" s="258" t="str">
        <f ca="1">IF(AND(A185&lt;=MaxRows,BE185&lt;&gt;"Yes"),'Demand background (hide)'!X176+IF(Setup!$I$15="Yes",'Demand background (hide)'!AJ176,0),"")</f>
        <v/>
      </c>
      <c r="BE185" s="208"/>
    </row>
    <row r="186" spans="1:57" ht="15" x14ac:dyDescent="0.25">
      <c r="A186" t="str">
        <f t="shared" ca="1" si="8"/>
        <v/>
      </c>
      <c r="B186" s="263" t="str">
        <f t="shared" ca="1" si="9"/>
        <v xml:space="preserve"> </v>
      </c>
      <c r="C186" s="264" t="str">
        <f t="shared" ca="1" si="10"/>
        <v/>
      </c>
      <c r="D186" s="395"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 Demand!N186))</f>
        <v/>
      </c>
      <c r="BD186" s="258" t="str">
        <f ca="1">IF(AND(A186&lt;=MaxRows,BE186&lt;&gt;"Yes"),'Demand background (hide)'!X177+IF(Setup!$I$15="Yes",'Demand background (hide)'!AJ177,0),"")</f>
        <v/>
      </c>
      <c r="BE186" s="208"/>
    </row>
    <row r="187" spans="1:57" ht="15" x14ac:dyDescent="0.25">
      <c r="A187" t="str">
        <f t="shared" ca="1" si="8"/>
        <v/>
      </c>
      <c r="B187" s="263" t="str">
        <f t="shared" ca="1" si="9"/>
        <v xml:space="preserve"> </v>
      </c>
      <c r="C187" s="264" t="str">
        <f t="shared" ca="1" si="10"/>
        <v/>
      </c>
      <c r="D187" s="395"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 Demand!N187))</f>
        <v/>
      </c>
      <c r="BD187" s="258" t="str">
        <f ca="1">IF(AND(A187&lt;=MaxRows,BE187&lt;&gt;"Yes"),'Demand background (hide)'!X178+IF(Setup!$I$15="Yes",'Demand background (hide)'!AJ178,0),"")</f>
        <v/>
      </c>
      <c r="BE187" s="208"/>
    </row>
    <row r="188" spans="1:57" ht="15" x14ac:dyDescent="0.25">
      <c r="A188" t="str">
        <f t="shared" ca="1" si="8"/>
        <v/>
      </c>
      <c r="B188" s="263" t="str">
        <f t="shared" ca="1" si="9"/>
        <v xml:space="preserve"> </v>
      </c>
      <c r="C188" s="264" t="str">
        <f t="shared" ca="1" si="10"/>
        <v/>
      </c>
      <c r="D188" s="395"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 Demand!N188))</f>
        <v/>
      </c>
      <c r="BD188" s="258" t="str">
        <f ca="1">IF(AND(A188&lt;=MaxRows,BE188&lt;&gt;"Yes"),'Demand background (hide)'!X179+IF(Setup!$I$15="Yes",'Demand background (hide)'!AJ179,0),"")</f>
        <v/>
      </c>
      <c r="BE188" s="208"/>
    </row>
    <row r="189" spans="1:57" ht="15" x14ac:dyDescent="0.25">
      <c r="A189" t="str">
        <f t="shared" ca="1" si="8"/>
        <v/>
      </c>
      <c r="B189" s="263" t="str">
        <f t="shared" ca="1" si="9"/>
        <v xml:space="preserve"> </v>
      </c>
      <c r="C189" s="264" t="str">
        <f t="shared" ca="1" si="10"/>
        <v/>
      </c>
      <c r="D189" s="395"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 Demand!N189))</f>
        <v/>
      </c>
      <c r="BD189" s="258" t="str">
        <f ca="1">IF(AND(A189&lt;=MaxRows,BE189&lt;&gt;"Yes"),'Demand background (hide)'!X180+IF(Setup!$I$15="Yes",'Demand background (hide)'!AJ180,0),"")</f>
        <v/>
      </c>
      <c r="BE189" s="208"/>
    </row>
    <row r="190" spans="1:57" ht="15" x14ac:dyDescent="0.25">
      <c r="A190" t="str">
        <f t="shared" ca="1" si="8"/>
        <v/>
      </c>
      <c r="B190" s="263" t="str">
        <f t="shared" ca="1" si="9"/>
        <v xml:space="preserve"> </v>
      </c>
      <c r="C190" s="264" t="str">
        <f t="shared" ca="1" si="10"/>
        <v/>
      </c>
      <c r="D190" s="395"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 Demand!N190))</f>
        <v/>
      </c>
      <c r="BD190" s="258" t="str">
        <f ca="1">IF(AND(A190&lt;=MaxRows,BE190&lt;&gt;"Yes"),'Demand background (hide)'!X181+IF(Setup!$I$15="Yes",'Demand background (hide)'!AJ181,0),"")</f>
        <v/>
      </c>
      <c r="BE190" s="208"/>
    </row>
    <row r="191" spans="1:57" ht="15" x14ac:dyDescent="0.25">
      <c r="A191" t="str">
        <f t="shared" ca="1" si="8"/>
        <v/>
      </c>
      <c r="B191" s="263" t="str">
        <f t="shared" ca="1" si="9"/>
        <v xml:space="preserve"> </v>
      </c>
      <c r="C191" s="264" t="str">
        <f t="shared" ca="1" si="10"/>
        <v/>
      </c>
      <c r="D191" s="395"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 Demand!N191))</f>
        <v/>
      </c>
      <c r="BD191" s="258" t="str">
        <f ca="1">IF(AND(A191&lt;=MaxRows,BE191&lt;&gt;"Yes"),'Demand background (hide)'!X182+IF(Setup!$I$15="Yes",'Demand background (hide)'!AJ182,0),"")</f>
        <v/>
      </c>
      <c r="BE191" s="208"/>
    </row>
    <row r="192" spans="1:57" ht="15" x14ac:dyDescent="0.25">
      <c r="A192" t="str">
        <f t="shared" ca="1" si="8"/>
        <v/>
      </c>
      <c r="B192" s="263" t="str">
        <f t="shared" ca="1" si="9"/>
        <v xml:space="preserve"> </v>
      </c>
      <c r="C192" s="264" t="str">
        <f t="shared" ca="1" si="10"/>
        <v/>
      </c>
      <c r="D192" s="395"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 Demand!N192))</f>
        <v/>
      </c>
      <c r="BD192" s="258" t="str">
        <f ca="1">IF(AND(A192&lt;=MaxRows,BE192&lt;&gt;"Yes"),'Demand background (hide)'!X183+IF(Setup!$I$15="Yes",'Demand background (hide)'!AJ183,0),"")</f>
        <v/>
      </c>
      <c r="BE192" s="208"/>
    </row>
    <row r="193" spans="1:57" ht="15" x14ac:dyDescent="0.25">
      <c r="A193" t="str">
        <f t="shared" ca="1" si="8"/>
        <v/>
      </c>
      <c r="B193" s="263" t="str">
        <f t="shared" ca="1" si="9"/>
        <v xml:space="preserve"> </v>
      </c>
      <c r="C193" s="264" t="str">
        <f t="shared" ca="1" si="10"/>
        <v/>
      </c>
      <c r="D193" s="395"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 Demand!N193))</f>
        <v/>
      </c>
      <c r="BD193" s="258" t="str">
        <f ca="1">IF(AND(A193&lt;=MaxRows,BE193&lt;&gt;"Yes"),'Demand background (hide)'!X184+IF(Setup!$I$15="Yes",'Demand background (hide)'!AJ184,0),"")</f>
        <v/>
      </c>
      <c r="BE193" s="208"/>
    </row>
    <row r="194" spans="1:57" ht="15" x14ac:dyDescent="0.25">
      <c r="A194" t="str">
        <f t="shared" ca="1" si="8"/>
        <v/>
      </c>
      <c r="B194" s="263" t="str">
        <f t="shared" ca="1" si="9"/>
        <v xml:space="preserve"> </v>
      </c>
      <c r="C194" s="264" t="str">
        <f t="shared" ca="1" si="10"/>
        <v/>
      </c>
      <c r="D194" s="395"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 Demand!N194))</f>
        <v/>
      </c>
      <c r="BD194" s="258" t="str">
        <f ca="1">IF(AND(A194&lt;=MaxRows,BE194&lt;&gt;"Yes"),'Demand background (hide)'!X185+IF(Setup!$I$15="Yes",'Demand background (hide)'!AJ185,0),"")</f>
        <v/>
      </c>
      <c r="BE194" s="208"/>
    </row>
    <row r="195" spans="1:57" ht="15" x14ac:dyDescent="0.25">
      <c r="A195" t="str">
        <f t="shared" ca="1" si="8"/>
        <v/>
      </c>
      <c r="B195" s="263" t="str">
        <f t="shared" ca="1" si="9"/>
        <v xml:space="preserve"> </v>
      </c>
      <c r="C195" s="264" t="str">
        <f t="shared" ca="1" si="10"/>
        <v/>
      </c>
      <c r="D195" s="395"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 Demand!N195))</f>
        <v/>
      </c>
      <c r="BD195" s="258" t="str">
        <f ca="1">IF(AND(A195&lt;=MaxRows,BE195&lt;&gt;"Yes"),'Demand background (hide)'!X186+IF(Setup!$I$15="Yes",'Demand background (hide)'!AJ186,0),"")</f>
        <v/>
      </c>
      <c r="BE195" s="208"/>
    </row>
    <row r="196" spans="1:57" ht="15" x14ac:dyDescent="0.25">
      <c r="A196" t="str">
        <f t="shared" ca="1" si="8"/>
        <v/>
      </c>
      <c r="B196" s="263" t="str">
        <f t="shared" ca="1" si="9"/>
        <v xml:space="preserve"> </v>
      </c>
      <c r="C196" s="264" t="str">
        <f t="shared" ca="1" si="10"/>
        <v/>
      </c>
      <c r="D196" s="395"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 Demand!N196))</f>
        <v/>
      </c>
      <c r="BD196" s="258" t="str">
        <f ca="1">IF(AND(A196&lt;=MaxRows,BE196&lt;&gt;"Yes"),'Demand background (hide)'!X187+IF(Setup!$I$15="Yes",'Demand background (hide)'!AJ187,0),"")</f>
        <v/>
      </c>
      <c r="BE196" s="208"/>
    </row>
    <row r="197" spans="1:57" ht="15" x14ac:dyDescent="0.25">
      <c r="A197" t="str">
        <f t="shared" ca="1" si="8"/>
        <v/>
      </c>
      <c r="B197" s="263" t="str">
        <f t="shared" ca="1" si="9"/>
        <v xml:space="preserve"> </v>
      </c>
      <c r="C197" s="264" t="str">
        <f t="shared" ca="1" si="10"/>
        <v/>
      </c>
      <c r="D197" s="395"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 Demand!N197))</f>
        <v/>
      </c>
      <c r="BD197" s="258" t="str">
        <f ca="1">IF(AND(A197&lt;=MaxRows,BE197&lt;&gt;"Yes"),'Demand background (hide)'!X188+IF(Setup!$I$15="Yes",'Demand background (hide)'!AJ188,0),"")</f>
        <v/>
      </c>
      <c r="BE197" s="208"/>
    </row>
    <row r="198" spans="1:57" ht="15" x14ac:dyDescent="0.25">
      <c r="A198" t="str">
        <f t="shared" ca="1" si="8"/>
        <v/>
      </c>
      <c r="B198" s="263" t="str">
        <f t="shared" ca="1" si="9"/>
        <v xml:space="preserve"> </v>
      </c>
      <c r="C198" s="264" t="str">
        <f t="shared" ca="1" si="10"/>
        <v/>
      </c>
      <c r="D198" s="395"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 Demand!N198))</f>
        <v/>
      </c>
      <c r="BD198" s="258" t="str">
        <f ca="1">IF(AND(A198&lt;=MaxRows,BE198&lt;&gt;"Yes"),'Demand background (hide)'!X189+IF(Setup!$I$15="Yes",'Demand background (hide)'!AJ189,0),"")</f>
        <v/>
      </c>
      <c r="BE198" s="208"/>
    </row>
    <row r="199" spans="1:57" ht="15" x14ac:dyDescent="0.25">
      <c r="A199" t="str">
        <f t="shared" ca="1" si="8"/>
        <v/>
      </c>
      <c r="B199" s="263" t="str">
        <f t="shared" ca="1" si="9"/>
        <v xml:space="preserve"> </v>
      </c>
      <c r="C199" s="264" t="str">
        <f t="shared" ca="1" si="10"/>
        <v/>
      </c>
      <c r="D199" s="395"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 Demand!N199))</f>
        <v/>
      </c>
      <c r="BD199" s="258" t="str">
        <f ca="1">IF(AND(A199&lt;=MaxRows,BE199&lt;&gt;"Yes"),'Demand background (hide)'!X190+IF(Setup!$I$15="Yes",'Demand background (hide)'!AJ190,0),"")</f>
        <v/>
      </c>
      <c r="BE199" s="208"/>
    </row>
    <row r="200" spans="1:57" ht="15" x14ac:dyDescent="0.25">
      <c r="A200" t="str">
        <f t="shared" ca="1" si="8"/>
        <v/>
      </c>
      <c r="B200" s="263" t="str">
        <f t="shared" ca="1" si="9"/>
        <v xml:space="preserve"> </v>
      </c>
      <c r="C200" s="264" t="str">
        <f t="shared" ca="1" si="10"/>
        <v/>
      </c>
      <c r="D200" s="395"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 Demand!N200))</f>
        <v/>
      </c>
      <c r="BD200" s="258" t="str">
        <f ca="1">IF(AND(A200&lt;=MaxRows,BE200&lt;&gt;"Yes"),'Demand background (hide)'!X191+IF(Setup!$I$15="Yes",'Demand background (hide)'!AJ191,0),"")</f>
        <v/>
      </c>
      <c r="BE200" s="208"/>
    </row>
    <row r="201" spans="1:57" ht="15" x14ac:dyDescent="0.25">
      <c r="A201" t="str">
        <f t="shared" ca="1" si="8"/>
        <v/>
      </c>
      <c r="B201" s="263" t="str">
        <f t="shared" ca="1" si="9"/>
        <v xml:space="preserve"> </v>
      </c>
      <c r="C201" s="264" t="str">
        <f t="shared" ca="1" si="10"/>
        <v/>
      </c>
      <c r="D201" s="395"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 Demand!N201))</f>
        <v/>
      </c>
      <c r="BD201" s="258" t="str">
        <f ca="1">IF(AND(A201&lt;=MaxRows,BE201&lt;&gt;"Yes"),'Demand background (hide)'!X192+IF(Setup!$I$15="Yes",'Demand background (hide)'!AJ192,0),"")</f>
        <v/>
      </c>
      <c r="BE201" s="208"/>
    </row>
    <row r="202" spans="1:57" ht="15" x14ac:dyDescent="0.25">
      <c r="A202" t="str">
        <f t="shared" ca="1" si="8"/>
        <v/>
      </c>
      <c r="B202" s="263" t="str">
        <f t="shared" ca="1" si="9"/>
        <v xml:space="preserve"> </v>
      </c>
      <c r="C202" s="264" t="str">
        <f t="shared" ca="1" si="10"/>
        <v/>
      </c>
      <c r="D202" s="395"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 Demand!N202))</f>
        <v/>
      </c>
      <c r="BD202" s="258" t="str">
        <f ca="1">IF(AND(A202&lt;=MaxRows,BE202&lt;&gt;"Yes"),'Demand background (hide)'!X193+IF(Setup!$I$15="Yes",'Demand background (hide)'!AJ193,0),"")</f>
        <v/>
      </c>
      <c r="BE202" s="208"/>
    </row>
    <row r="203" spans="1:57" ht="15" x14ac:dyDescent="0.25">
      <c r="A203" t="str">
        <f t="shared" ca="1" si="8"/>
        <v/>
      </c>
      <c r="B203" s="263" t="str">
        <f t="shared" ca="1" si="9"/>
        <v xml:space="preserve"> </v>
      </c>
      <c r="C203" s="264" t="str">
        <f t="shared" ca="1" si="10"/>
        <v/>
      </c>
      <c r="D203" s="395"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 Demand!N203))</f>
        <v/>
      </c>
      <c r="BD203" s="258" t="str">
        <f ca="1">IF(AND(A203&lt;=MaxRows,BE203&lt;&gt;"Yes"),'Demand background (hide)'!X194+IF(Setup!$I$15="Yes",'Demand background (hide)'!AJ194,0),"")</f>
        <v/>
      </c>
      <c r="BE203" s="208"/>
    </row>
    <row r="204" spans="1:57" ht="15" x14ac:dyDescent="0.25">
      <c r="A204" t="str">
        <f t="shared" ca="1" si="8"/>
        <v/>
      </c>
      <c r="B204" s="263" t="str">
        <f t="shared" ca="1" si="9"/>
        <v xml:space="preserve"> </v>
      </c>
      <c r="C204" s="264" t="str">
        <f t="shared" ca="1" si="10"/>
        <v/>
      </c>
      <c r="D204" s="395"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 Demand!N204))</f>
        <v/>
      </c>
      <c r="BD204" s="258" t="str">
        <f ca="1">IF(AND(A204&lt;=MaxRows,BE204&lt;&gt;"Yes"),'Demand background (hide)'!X195+IF(Setup!$I$15="Yes",'Demand background (hide)'!AJ195,0),"")</f>
        <v/>
      </c>
      <c r="BE204" s="208"/>
    </row>
    <row r="205" spans="1:57" ht="15" x14ac:dyDescent="0.25">
      <c r="A205" t="str">
        <f t="shared" ref="A205:A268" ca="1" si="12">IF(BC205&lt;&gt;"",ROW(A193),"")</f>
        <v/>
      </c>
      <c r="B205" s="263" t="str">
        <f t="shared" ca="1" si="9"/>
        <v xml:space="preserve"> </v>
      </c>
      <c r="C205" s="264" t="str">
        <f t="shared" ca="1" si="10"/>
        <v/>
      </c>
      <c r="D205" s="395"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 Demand!N205))</f>
        <v/>
      </c>
      <c r="BD205" s="258" t="str">
        <f ca="1">IF(AND(A205&lt;=MaxRows,BE205&lt;&gt;"Yes"),'Demand background (hide)'!X196+IF(Setup!$I$15="Yes",'Demand background (hide)'!AJ196,0),"")</f>
        <v/>
      </c>
      <c r="BE205" s="208"/>
    </row>
    <row r="206" spans="1:57" ht="15"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395"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 Demand!N206))</f>
        <v/>
      </c>
      <c r="BD206" s="258" t="str">
        <f ca="1">IF(AND(A206&lt;=MaxRows,BE206&lt;&gt;"Yes"),'Demand background (hide)'!X197+IF(Setup!$I$15="Yes",'Demand background (hide)'!AJ197,0),"")</f>
        <v/>
      </c>
      <c r="BE206" s="208"/>
    </row>
    <row r="207" spans="1:57" ht="15" x14ac:dyDescent="0.25">
      <c r="A207" t="str">
        <f t="shared" ca="1" si="12"/>
        <v/>
      </c>
      <c r="B207" s="263" t="str">
        <f t="shared" ca="1" si="13"/>
        <v xml:space="preserve"> </v>
      </c>
      <c r="C207" s="264" t="str">
        <f t="shared" ca="1" si="14"/>
        <v/>
      </c>
      <c r="D207" s="395"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 Demand!N207))</f>
        <v/>
      </c>
      <c r="BD207" s="258" t="str">
        <f ca="1">IF(AND(A207&lt;=MaxRows,BE207&lt;&gt;"Yes"),'Demand background (hide)'!X198+IF(Setup!$I$15="Yes",'Demand background (hide)'!AJ198,0),"")</f>
        <v/>
      </c>
      <c r="BE207" s="208"/>
    </row>
    <row r="208" spans="1:57" ht="15" x14ac:dyDescent="0.25">
      <c r="A208" t="str">
        <f t="shared" ca="1" si="12"/>
        <v/>
      </c>
      <c r="B208" s="263" t="str">
        <f t="shared" ca="1" si="13"/>
        <v xml:space="preserve"> </v>
      </c>
      <c r="C208" s="264" t="str">
        <f t="shared" ca="1" si="14"/>
        <v/>
      </c>
      <c r="D208" s="395"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 Demand!N208))</f>
        <v/>
      </c>
      <c r="BD208" s="258" t="str">
        <f ca="1">IF(AND(A208&lt;=MaxRows,BE208&lt;&gt;"Yes"),'Demand background (hide)'!X199+IF(Setup!$I$15="Yes",'Demand background (hide)'!AJ199,0),"")</f>
        <v/>
      </c>
      <c r="BE208" s="208"/>
    </row>
    <row r="209" spans="1:57" ht="15" x14ac:dyDescent="0.25">
      <c r="A209" t="str">
        <f t="shared" ca="1" si="12"/>
        <v/>
      </c>
      <c r="B209" s="263" t="str">
        <f t="shared" ca="1" si="13"/>
        <v xml:space="preserve"> </v>
      </c>
      <c r="C209" s="264" t="str">
        <f t="shared" ca="1" si="14"/>
        <v/>
      </c>
      <c r="D209" s="395"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 Demand!N209))</f>
        <v/>
      </c>
      <c r="BD209" s="258" t="str">
        <f ca="1">IF(AND(A209&lt;=MaxRows,BE209&lt;&gt;"Yes"),'Demand background (hide)'!X200+IF(Setup!$I$15="Yes",'Demand background (hide)'!AJ200,0),"")</f>
        <v/>
      </c>
      <c r="BE209" s="208"/>
    </row>
    <row r="210" spans="1:57" ht="15" x14ac:dyDescent="0.25">
      <c r="A210" t="str">
        <f t="shared" ca="1" si="12"/>
        <v/>
      </c>
      <c r="B210" s="263" t="str">
        <f t="shared" ca="1" si="13"/>
        <v xml:space="preserve"> </v>
      </c>
      <c r="C210" s="264" t="str">
        <f t="shared" ca="1" si="14"/>
        <v/>
      </c>
      <c r="D210" s="395"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 Demand!N210))</f>
        <v/>
      </c>
      <c r="BD210" s="258" t="str">
        <f ca="1">IF(AND(A210&lt;=MaxRows,BE210&lt;&gt;"Yes"),'Demand background (hide)'!X201+IF(Setup!$I$15="Yes",'Demand background (hide)'!AJ201,0),"")</f>
        <v/>
      </c>
      <c r="BE210" s="208"/>
    </row>
    <row r="211" spans="1:57" ht="15" x14ac:dyDescent="0.25">
      <c r="A211" t="str">
        <f t="shared" ca="1" si="12"/>
        <v/>
      </c>
      <c r="B211" s="263" t="str">
        <f t="shared" ca="1" si="13"/>
        <v xml:space="preserve"> </v>
      </c>
      <c r="C211" s="264" t="str">
        <f t="shared" ca="1" si="14"/>
        <v/>
      </c>
      <c r="D211" s="395"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 Demand!N211))</f>
        <v/>
      </c>
      <c r="BD211" s="258" t="str">
        <f ca="1">IF(AND(A211&lt;=MaxRows,BE211&lt;&gt;"Yes"),'Demand background (hide)'!X202+IF(Setup!$I$15="Yes",'Demand background (hide)'!AJ202,0),"")</f>
        <v/>
      </c>
      <c r="BE211" s="208"/>
    </row>
    <row r="212" spans="1:57" ht="15" x14ac:dyDescent="0.25">
      <c r="A212" t="str">
        <f t="shared" ca="1" si="12"/>
        <v/>
      </c>
      <c r="B212" s="263" t="str">
        <f t="shared" ca="1" si="13"/>
        <v xml:space="preserve"> </v>
      </c>
      <c r="C212" s="264" t="str">
        <f t="shared" ca="1" si="14"/>
        <v/>
      </c>
      <c r="D212" s="395"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 Demand!N212))</f>
        <v/>
      </c>
      <c r="BD212" s="258" t="str">
        <f ca="1">IF(AND(A212&lt;=MaxRows,BE212&lt;&gt;"Yes"),'Demand background (hide)'!X203+IF(Setup!$I$15="Yes",'Demand background (hide)'!AJ203,0),"")</f>
        <v/>
      </c>
      <c r="BE212" s="208"/>
    </row>
    <row r="213" spans="1:57" ht="15" x14ac:dyDescent="0.25">
      <c r="A213" t="str">
        <f t="shared" ca="1" si="12"/>
        <v/>
      </c>
      <c r="B213" s="263" t="str">
        <f t="shared" ca="1" si="13"/>
        <v xml:space="preserve"> </v>
      </c>
      <c r="C213" s="264" t="str">
        <f t="shared" ca="1" si="14"/>
        <v/>
      </c>
      <c r="D213" s="395"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 Demand!N213))</f>
        <v/>
      </c>
      <c r="BD213" s="258" t="str">
        <f ca="1">IF(AND(A213&lt;=MaxRows,BE213&lt;&gt;"Yes"),'Demand background (hide)'!X204+IF(Setup!$I$15="Yes",'Demand background (hide)'!AJ204,0),"")</f>
        <v/>
      </c>
      <c r="BE213" s="208"/>
    </row>
    <row r="214" spans="1:57" ht="15" x14ac:dyDescent="0.25">
      <c r="A214" t="str">
        <f t="shared" ca="1" si="12"/>
        <v/>
      </c>
      <c r="B214" s="263" t="str">
        <f t="shared" ca="1" si="13"/>
        <v xml:space="preserve"> </v>
      </c>
      <c r="C214" s="264" t="str">
        <f t="shared" ca="1" si="14"/>
        <v/>
      </c>
      <c r="D214" s="395"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 Demand!N214))</f>
        <v/>
      </c>
      <c r="BD214" s="258" t="str">
        <f ca="1">IF(AND(A214&lt;=MaxRows,BE214&lt;&gt;"Yes"),'Demand background (hide)'!X205+IF(Setup!$I$15="Yes",'Demand background (hide)'!AJ205,0),"")</f>
        <v/>
      </c>
      <c r="BE214" s="208"/>
    </row>
    <row r="215" spans="1:57" ht="15" x14ac:dyDescent="0.25">
      <c r="A215" t="str">
        <f t="shared" ca="1" si="12"/>
        <v/>
      </c>
      <c r="B215" s="263" t="str">
        <f t="shared" ca="1" si="13"/>
        <v xml:space="preserve"> </v>
      </c>
      <c r="C215" s="264" t="str">
        <f t="shared" ca="1" si="14"/>
        <v/>
      </c>
      <c r="D215" s="395"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 Demand!N215))</f>
        <v/>
      </c>
      <c r="BD215" s="258" t="str">
        <f ca="1">IF(AND(A215&lt;=MaxRows,BE215&lt;&gt;"Yes"),'Demand background (hide)'!X206+IF(Setup!$I$15="Yes",'Demand background (hide)'!AJ206,0),"")</f>
        <v/>
      </c>
      <c r="BE215" s="208"/>
    </row>
    <row r="216" spans="1:57" ht="15" x14ac:dyDescent="0.25">
      <c r="A216" t="str">
        <f t="shared" ca="1" si="12"/>
        <v/>
      </c>
      <c r="B216" s="263" t="str">
        <f t="shared" ca="1" si="13"/>
        <v xml:space="preserve"> </v>
      </c>
      <c r="C216" s="264" t="str">
        <f t="shared" ca="1" si="14"/>
        <v/>
      </c>
      <c r="D216" s="395"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 Demand!N216))</f>
        <v/>
      </c>
      <c r="BD216" s="258" t="str">
        <f ca="1">IF(AND(A216&lt;=MaxRows,BE216&lt;&gt;"Yes"),'Demand background (hide)'!X207+IF(Setup!$I$15="Yes",'Demand background (hide)'!AJ207,0),"")</f>
        <v/>
      </c>
      <c r="BE216" s="208"/>
    </row>
    <row r="217" spans="1:57" ht="15" x14ac:dyDescent="0.25">
      <c r="A217" t="str">
        <f t="shared" ca="1" si="12"/>
        <v/>
      </c>
      <c r="B217" s="263" t="str">
        <f t="shared" ca="1" si="13"/>
        <v xml:space="preserve"> </v>
      </c>
      <c r="C217" s="264" t="str">
        <f t="shared" ca="1" si="14"/>
        <v/>
      </c>
      <c r="D217" s="395"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 Demand!N217))</f>
        <v/>
      </c>
      <c r="BD217" s="258" t="str">
        <f ca="1">IF(AND(A217&lt;=MaxRows,BE217&lt;&gt;"Yes"),'Demand background (hide)'!X208+IF(Setup!$I$15="Yes",'Demand background (hide)'!AJ208,0),"")</f>
        <v/>
      </c>
      <c r="BE217" s="208"/>
    </row>
    <row r="218" spans="1:57" ht="15" x14ac:dyDescent="0.25">
      <c r="A218" t="str">
        <f t="shared" ca="1" si="12"/>
        <v/>
      </c>
      <c r="B218" s="263" t="str">
        <f t="shared" ca="1" si="13"/>
        <v xml:space="preserve"> </v>
      </c>
      <c r="C218" s="264" t="str">
        <f t="shared" ca="1" si="14"/>
        <v/>
      </c>
      <c r="D218" s="395"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 Demand!N218))</f>
        <v/>
      </c>
      <c r="BD218" s="258" t="str">
        <f ca="1">IF(AND(A218&lt;=MaxRows,BE218&lt;&gt;"Yes"),'Demand background (hide)'!X209+IF(Setup!$I$15="Yes",'Demand background (hide)'!AJ209,0),"")</f>
        <v/>
      </c>
      <c r="BE218" s="208"/>
    </row>
    <row r="219" spans="1:57" ht="15" x14ac:dyDescent="0.25">
      <c r="A219" t="str">
        <f t="shared" ca="1" si="12"/>
        <v/>
      </c>
      <c r="B219" s="263" t="str">
        <f t="shared" ca="1" si="13"/>
        <v xml:space="preserve"> </v>
      </c>
      <c r="C219" s="264" t="str">
        <f t="shared" ca="1" si="14"/>
        <v/>
      </c>
      <c r="D219" s="395"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 Demand!N219))</f>
        <v/>
      </c>
      <c r="BD219" s="258" t="str">
        <f ca="1">IF(AND(A219&lt;=MaxRows,BE219&lt;&gt;"Yes"),'Demand background (hide)'!X210+IF(Setup!$I$15="Yes",'Demand background (hide)'!AJ210,0),"")</f>
        <v/>
      </c>
      <c r="BE219" s="208"/>
    </row>
    <row r="220" spans="1:57" ht="15" x14ac:dyDescent="0.25">
      <c r="A220" t="str">
        <f t="shared" ca="1" si="12"/>
        <v/>
      </c>
      <c r="B220" s="263" t="str">
        <f t="shared" ca="1" si="13"/>
        <v xml:space="preserve"> </v>
      </c>
      <c r="C220" s="264" t="str">
        <f t="shared" ca="1" si="14"/>
        <v/>
      </c>
      <c r="D220" s="395"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 Demand!N220))</f>
        <v/>
      </c>
      <c r="BD220" s="258" t="str">
        <f ca="1">IF(AND(A220&lt;=MaxRows,BE220&lt;&gt;"Yes"),'Demand background (hide)'!X211+IF(Setup!$I$15="Yes",'Demand background (hide)'!AJ211,0),"")</f>
        <v/>
      </c>
      <c r="BE220" s="208"/>
    </row>
    <row r="221" spans="1:57" ht="15" x14ac:dyDescent="0.25">
      <c r="A221" t="str">
        <f t="shared" ca="1" si="12"/>
        <v/>
      </c>
      <c r="B221" s="263" t="str">
        <f t="shared" ca="1" si="13"/>
        <v xml:space="preserve"> </v>
      </c>
      <c r="C221" s="264" t="str">
        <f t="shared" ca="1" si="14"/>
        <v/>
      </c>
      <c r="D221" s="395"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 Demand!N221))</f>
        <v/>
      </c>
      <c r="BD221" s="258" t="str">
        <f ca="1">IF(AND(A221&lt;=MaxRows,BE221&lt;&gt;"Yes"),'Demand background (hide)'!X212+IF(Setup!$I$15="Yes",'Demand background (hide)'!AJ212,0),"")</f>
        <v/>
      </c>
      <c r="BE221" s="208"/>
    </row>
    <row r="222" spans="1:57" ht="15" x14ac:dyDescent="0.25">
      <c r="A222" t="str">
        <f t="shared" ca="1" si="12"/>
        <v/>
      </c>
      <c r="B222" s="263" t="str">
        <f t="shared" ca="1" si="13"/>
        <v xml:space="preserve"> </v>
      </c>
      <c r="C222" s="264" t="str">
        <f t="shared" ca="1" si="14"/>
        <v/>
      </c>
      <c r="D222" s="395"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 Demand!N222))</f>
        <v/>
      </c>
      <c r="BD222" s="258" t="str">
        <f ca="1">IF(AND(A222&lt;=MaxRows,BE222&lt;&gt;"Yes"),'Demand background (hide)'!X213+IF(Setup!$I$15="Yes",'Demand background (hide)'!AJ213,0),"")</f>
        <v/>
      </c>
      <c r="BE222" s="208"/>
    </row>
    <row r="223" spans="1:57" ht="15" x14ac:dyDescent="0.25">
      <c r="A223" t="str">
        <f t="shared" ca="1" si="12"/>
        <v/>
      </c>
      <c r="B223" s="263" t="str">
        <f t="shared" ca="1" si="13"/>
        <v xml:space="preserve"> </v>
      </c>
      <c r="C223" s="264" t="str">
        <f t="shared" ca="1" si="14"/>
        <v/>
      </c>
      <c r="D223" s="395"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 Demand!N223))</f>
        <v/>
      </c>
      <c r="BD223" s="258" t="str">
        <f ca="1">IF(AND(A223&lt;=MaxRows,BE223&lt;&gt;"Yes"),'Demand background (hide)'!X214+IF(Setup!$I$15="Yes",'Demand background (hide)'!AJ214,0),"")</f>
        <v/>
      </c>
      <c r="BE223" s="208"/>
    </row>
    <row r="224" spans="1:57" ht="15" x14ac:dyDescent="0.25">
      <c r="A224" t="str">
        <f t="shared" ca="1" si="12"/>
        <v/>
      </c>
      <c r="B224" s="263" t="str">
        <f t="shared" ca="1" si="13"/>
        <v xml:space="preserve"> </v>
      </c>
      <c r="C224" s="264" t="str">
        <f t="shared" ca="1" si="14"/>
        <v/>
      </c>
      <c r="D224" s="395"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 Demand!N224))</f>
        <v/>
      </c>
      <c r="BD224" s="258" t="str">
        <f ca="1">IF(AND(A224&lt;=MaxRows,BE224&lt;&gt;"Yes"),'Demand background (hide)'!X215+IF(Setup!$I$15="Yes",'Demand background (hide)'!AJ215,0),"")</f>
        <v/>
      </c>
      <c r="BE224" s="208"/>
    </row>
    <row r="225" spans="1:57" ht="15" x14ac:dyDescent="0.25">
      <c r="A225" t="str">
        <f t="shared" ca="1" si="12"/>
        <v/>
      </c>
      <c r="B225" s="263" t="str">
        <f t="shared" ca="1" si="13"/>
        <v xml:space="preserve"> </v>
      </c>
      <c r="C225" s="264" t="str">
        <f t="shared" ca="1" si="14"/>
        <v/>
      </c>
      <c r="D225" s="395"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 Demand!N225))</f>
        <v/>
      </c>
      <c r="BD225" s="258" t="str">
        <f ca="1">IF(AND(A225&lt;=MaxRows,BE225&lt;&gt;"Yes"),'Demand background (hide)'!X216+IF(Setup!$I$15="Yes",'Demand background (hide)'!AJ216,0),"")</f>
        <v/>
      </c>
      <c r="BE225" s="208"/>
    </row>
    <row r="226" spans="1:57" ht="15" x14ac:dyDescent="0.25">
      <c r="A226" t="str">
        <f t="shared" ca="1" si="12"/>
        <v/>
      </c>
      <c r="B226" s="263" t="str">
        <f t="shared" ca="1" si="13"/>
        <v xml:space="preserve"> </v>
      </c>
      <c r="C226" s="264" t="str">
        <f t="shared" ca="1" si="14"/>
        <v/>
      </c>
      <c r="D226" s="395"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 Demand!N226))</f>
        <v/>
      </c>
      <c r="BD226" s="258" t="str">
        <f ca="1">IF(AND(A226&lt;=MaxRows,BE226&lt;&gt;"Yes"),'Demand background (hide)'!X217+IF(Setup!$I$15="Yes",'Demand background (hide)'!AJ217,0),"")</f>
        <v/>
      </c>
      <c r="BE226" s="208"/>
    </row>
    <row r="227" spans="1:57" ht="15" x14ac:dyDescent="0.25">
      <c r="A227" t="str">
        <f t="shared" ca="1" si="12"/>
        <v/>
      </c>
      <c r="B227" s="263" t="str">
        <f t="shared" ca="1" si="13"/>
        <v xml:space="preserve"> </v>
      </c>
      <c r="C227" s="264" t="str">
        <f t="shared" ca="1" si="14"/>
        <v/>
      </c>
      <c r="D227" s="395"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 Demand!N227))</f>
        <v/>
      </c>
      <c r="BD227" s="258" t="str">
        <f ca="1">IF(AND(A227&lt;=MaxRows,BE227&lt;&gt;"Yes"),'Demand background (hide)'!X218+IF(Setup!$I$15="Yes",'Demand background (hide)'!AJ218,0),"")</f>
        <v/>
      </c>
      <c r="BE227" s="208"/>
    </row>
    <row r="228" spans="1:57" ht="15" x14ac:dyDescent="0.25">
      <c r="A228" t="str">
        <f t="shared" ca="1" si="12"/>
        <v/>
      </c>
      <c r="B228" s="263" t="str">
        <f t="shared" ca="1" si="13"/>
        <v xml:space="preserve"> </v>
      </c>
      <c r="C228" s="264" t="str">
        <f t="shared" ca="1" si="14"/>
        <v/>
      </c>
      <c r="D228" s="395"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 Demand!N228))</f>
        <v/>
      </c>
      <c r="BD228" s="258" t="str">
        <f ca="1">IF(AND(A228&lt;=MaxRows,BE228&lt;&gt;"Yes"),'Demand background (hide)'!X219+IF(Setup!$I$15="Yes",'Demand background (hide)'!AJ219,0),"")</f>
        <v/>
      </c>
      <c r="BE228" s="208"/>
    </row>
    <row r="229" spans="1:57" ht="15" x14ac:dyDescent="0.25">
      <c r="A229" t="str">
        <f t="shared" ca="1" si="12"/>
        <v/>
      </c>
      <c r="B229" s="263" t="str">
        <f t="shared" ca="1" si="13"/>
        <v xml:space="preserve"> </v>
      </c>
      <c r="C229" s="264" t="str">
        <f t="shared" ca="1" si="14"/>
        <v/>
      </c>
      <c r="D229" s="395"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 Demand!N229))</f>
        <v/>
      </c>
      <c r="BD229" s="258" t="str">
        <f ca="1">IF(AND(A229&lt;=MaxRows,BE229&lt;&gt;"Yes"),'Demand background (hide)'!X220+IF(Setup!$I$15="Yes",'Demand background (hide)'!AJ220,0),"")</f>
        <v/>
      </c>
      <c r="BE229" s="208"/>
    </row>
    <row r="230" spans="1:57" ht="15" x14ac:dyDescent="0.25">
      <c r="A230" t="str">
        <f t="shared" ca="1" si="12"/>
        <v/>
      </c>
      <c r="B230" s="263" t="str">
        <f t="shared" ca="1" si="13"/>
        <v xml:space="preserve"> </v>
      </c>
      <c r="C230" s="264" t="str">
        <f t="shared" ca="1" si="14"/>
        <v/>
      </c>
      <c r="D230" s="395"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 Demand!N230))</f>
        <v/>
      </c>
      <c r="BD230" s="258" t="str">
        <f ca="1">IF(AND(A230&lt;=MaxRows,BE230&lt;&gt;"Yes"),'Demand background (hide)'!X221+IF(Setup!$I$15="Yes",'Demand background (hide)'!AJ221,0),"")</f>
        <v/>
      </c>
      <c r="BE230" s="208"/>
    </row>
    <row r="231" spans="1:57" ht="15" x14ac:dyDescent="0.25">
      <c r="A231" t="str">
        <f t="shared" ca="1" si="12"/>
        <v/>
      </c>
      <c r="B231" s="263" t="str">
        <f t="shared" ca="1" si="13"/>
        <v xml:space="preserve"> </v>
      </c>
      <c r="C231" s="264" t="str">
        <f t="shared" ca="1" si="14"/>
        <v/>
      </c>
      <c r="D231" s="395"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 Demand!N231))</f>
        <v/>
      </c>
      <c r="BD231" s="258" t="str">
        <f ca="1">IF(AND(A231&lt;=MaxRows,BE231&lt;&gt;"Yes"),'Demand background (hide)'!X222+IF(Setup!$I$15="Yes",'Demand background (hide)'!AJ222,0),"")</f>
        <v/>
      </c>
      <c r="BE231" s="208"/>
    </row>
    <row r="232" spans="1:57" ht="15" x14ac:dyDescent="0.25">
      <c r="A232" t="str">
        <f t="shared" ca="1" si="12"/>
        <v/>
      </c>
      <c r="B232" s="263" t="str">
        <f t="shared" ca="1" si="13"/>
        <v xml:space="preserve"> </v>
      </c>
      <c r="C232" s="264" t="str">
        <f t="shared" ca="1" si="14"/>
        <v/>
      </c>
      <c r="D232" s="395"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 Demand!N232))</f>
        <v/>
      </c>
      <c r="BD232" s="258" t="str">
        <f ca="1">IF(AND(A232&lt;=MaxRows,BE232&lt;&gt;"Yes"),'Demand background (hide)'!X223+IF(Setup!$I$15="Yes",'Demand background (hide)'!AJ223,0),"")</f>
        <v/>
      </c>
      <c r="BE232" s="208"/>
    </row>
    <row r="233" spans="1:57" ht="15" x14ac:dyDescent="0.25">
      <c r="A233" t="str">
        <f t="shared" ca="1" si="12"/>
        <v/>
      </c>
      <c r="B233" s="263" t="str">
        <f t="shared" ca="1" si="13"/>
        <v xml:space="preserve"> </v>
      </c>
      <c r="C233" s="264" t="str">
        <f t="shared" ca="1" si="14"/>
        <v/>
      </c>
      <c r="D233" s="395"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 Demand!N233))</f>
        <v/>
      </c>
      <c r="BD233" s="258" t="str">
        <f ca="1">IF(AND(A233&lt;=MaxRows,BE233&lt;&gt;"Yes"),'Demand background (hide)'!X224+IF(Setup!$I$15="Yes",'Demand background (hide)'!AJ224,0),"")</f>
        <v/>
      </c>
      <c r="BE233" s="208"/>
    </row>
    <row r="234" spans="1:57" ht="15" x14ac:dyDescent="0.25">
      <c r="A234" t="str">
        <f t="shared" ca="1" si="12"/>
        <v/>
      </c>
      <c r="B234" s="263" t="str">
        <f t="shared" ca="1" si="13"/>
        <v xml:space="preserve"> </v>
      </c>
      <c r="C234" s="264" t="str">
        <f t="shared" ca="1" si="14"/>
        <v/>
      </c>
      <c r="D234" s="395"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 Demand!N234))</f>
        <v/>
      </c>
      <c r="BD234" s="258" t="str">
        <f ca="1">IF(AND(A234&lt;=MaxRows,BE234&lt;&gt;"Yes"),'Demand background (hide)'!X225+IF(Setup!$I$15="Yes",'Demand background (hide)'!AJ225,0),"")</f>
        <v/>
      </c>
      <c r="BE234" s="208"/>
    </row>
    <row r="235" spans="1:57" ht="15" x14ac:dyDescent="0.25">
      <c r="A235" t="str">
        <f t="shared" ca="1" si="12"/>
        <v/>
      </c>
      <c r="B235" s="263" t="str">
        <f t="shared" ca="1" si="13"/>
        <v xml:space="preserve"> </v>
      </c>
      <c r="C235" s="264" t="str">
        <f t="shared" ca="1" si="14"/>
        <v/>
      </c>
      <c r="D235" s="395"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 Demand!N235))</f>
        <v/>
      </c>
      <c r="BD235" s="258" t="str">
        <f ca="1">IF(AND(A235&lt;=MaxRows,BE235&lt;&gt;"Yes"),'Demand background (hide)'!X226+IF(Setup!$I$15="Yes",'Demand background (hide)'!AJ226,0),"")</f>
        <v/>
      </c>
      <c r="BE235" s="208"/>
    </row>
    <row r="236" spans="1:57" ht="15" x14ac:dyDescent="0.25">
      <c r="A236" t="str">
        <f t="shared" ca="1" si="12"/>
        <v/>
      </c>
      <c r="B236" s="263" t="str">
        <f t="shared" ca="1" si="13"/>
        <v xml:space="preserve"> </v>
      </c>
      <c r="C236" s="264" t="str">
        <f t="shared" ca="1" si="14"/>
        <v/>
      </c>
      <c r="D236" s="395"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 Demand!N236))</f>
        <v/>
      </c>
      <c r="BD236" s="258" t="str">
        <f ca="1">IF(AND(A236&lt;=MaxRows,BE236&lt;&gt;"Yes"),'Demand background (hide)'!X227+IF(Setup!$I$15="Yes",'Demand background (hide)'!AJ227,0),"")</f>
        <v/>
      </c>
      <c r="BE236" s="208"/>
    </row>
    <row r="237" spans="1:57" ht="15" x14ac:dyDescent="0.25">
      <c r="A237" t="str">
        <f t="shared" ca="1" si="12"/>
        <v/>
      </c>
      <c r="B237" s="263" t="str">
        <f t="shared" ca="1" si="13"/>
        <v xml:space="preserve"> </v>
      </c>
      <c r="C237" s="264" t="str">
        <f t="shared" ca="1" si="14"/>
        <v/>
      </c>
      <c r="D237" s="395"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 Demand!N237))</f>
        <v/>
      </c>
      <c r="BD237" s="258" t="str">
        <f ca="1">IF(AND(A237&lt;=MaxRows,BE237&lt;&gt;"Yes"),'Demand background (hide)'!X228+IF(Setup!$I$15="Yes",'Demand background (hide)'!AJ228,0),"")</f>
        <v/>
      </c>
      <c r="BE237" s="208"/>
    </row>
    <row r="238" spans="1:57" ht="15" x14ac:dyDescent="0.25">
      <c r="A238" t="str">
        <f t="shared" ca="1" si="12"/>
        <v/>
      </c>
      <c r="B238" s="263" t="str">
        <f t="shared" ca="1" si="13"/>
        <v xml:space="preserve"> </v>
      </c>
      <c r="C238" s="264" t="str">
        <f t="shared" ca="1" si="14"/>
        <v/>
      </c>
      <c r="D238" s="395"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 Demand!N238))</f>
        <v/>
      </c>
      <c r="BD238" s="258" t="str">
        <f ca="1">IF(AND(A238&lt;=MaxRows,BE238&lt;&gt;"Yes"),'Demand background (hide)'!X229+IF(Setup!$I$15="Yes",'Demand background (hide)'!AJ229,0),"")</f>
        <v/>
      </c>
      <c r="BE238" s="208"/>
    </row>
    <row r="239" spans="1:57" ht="15" x14ac:dyDescent="0.25">
      <c r="A239" t="str">
        <f t="shared" ca="1" si="12"/>
        <v/>
      </c>
      <c r="B239" s="263" t="str">
        <f t="shared" ca="1" si="13"/>
        <v xml:space="preserve"> </v>
      </c>
      <c r="C239" s="264" t="str">
        <f t="shared" ca="1" si="14"/>
        <v/>
      </c>
      <c r="D239" s="395"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 Demand!N239))</f>
        <v/>
      </c>
      <c r="BD239" s="258" t="str">
        <f ca="1">IF(AND(A239&lt;=MaxRows,BE239&lt;&gt;"Yes"),'Demand background (hide)'!X230+IF(Setup!$I$15="Yes",'Demand background (hide)'!AJ230,0),"")</f>
        <v/>
      </c>
      <c r="BE239" s="208"/>
    </row>
    <row r="240" spans="1:57" ht="15" x14ac:dyDescent="0.25">
      <c r="A240" t="str">
        <f t="shared" ca="1" si="12"/>
        <v/>
      </c>
      <c r="B240" s="263" t="str">
        <f t="shared" ca="1" si="13"/>
        <v xml:space="preserve"> </v>
      </c>
      <c r="C240" s="264" t="str">
        <f t="shared" ca="1" si="14"/>
        <v/>
      </c>
      <c r="D240" s="395"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 Demand!N240))</f>
        <v/>
      </c>
      <c r="BD240" s="258" t="str">
        <f ca="1">IF(AND(A240&lt;=MaxRows,BE240&lt;&gt;"Yes"),'Demand background (hide)'!X231+IF(Setup!$I$15="Yes",'Demand background (hide)'!AJ231,0),"")</f>
        <v/>
      </c>
      <c r="BE240" s="208"/>
    </row>
    <row r="241" spans="1:57" ht="15" x14ac:dyDescent="0.25">
      <c r="A241" t="str">
        <f t="shared" ca="1" si="12"/>
        <v/>
      </c>
      <c r="B241" s="263" t="str">
        <f t="shared" ca="1" si="13"/>
        <v xml:space="preserve"> </v>
      </c>
      <c r="C241" s="264" t="str">
        <f t="shared" ca="1" si="14"/>
        <v/>
      </c>
      <c r="D241" s="395"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 Demand!N241))</f>
        <v/>
      </c>
      <c r="BD241" s="258" t="str">
        <f ca="1">IF(AND(A241&lt;=MaxRows,BE241&lt;&gt;"Yes"),'Demand background (hide)'!X232+IF(Setup!$I$15="Yes",'Demand background (hide)'!AJ232,0),"")</f>
        <v/>
      </c>
      <c r="BE241" s="208"/>
    </row>
    <row r="242" spans="1:57" ht="15" x14ac:dyDescent="0.25">
      <c r="A242" t="str">
        <f t="shared" ca="1" si="12"/>
        <v/>
      </c>
      <c r="B242" s="263" t="str">
        <f t="shared" ca="1" si="13"/>
        <v xml:space="preserve"> </v>
      </c>
      <c r="C242" s="264" t="str">
        <f t="shared" ca="1" si="14"/>
        <v/>
      </c>
      <c r="D242" s="395"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 Demand!N242))</f>
        <v/>
      </c>
      <c r="BD242" s="258" t="str">
        <f ca="1">IF(AND(A242&lt;=MaxRows,BE242&lt;&gt;"Yes"),'Demand background (hide)'!X233+IF(Setup!$I$15="Yes",'Demand background (hide)'!AJ233,0),"")</f>
        <v/>
      </c>
      <c r="BE242" s="208"/>
    </row>
    <row r="243" spans="1:57" ht="15" x14ac:dyDescent="0.25">
      <c r="A243" t="str">
        <f t="shared" ca="1" si="12"/>
        <v/>
      </c>
      <c r="B243" s="263" t="str">
        <f t="shared" ca="1" si="13"/>
        <v xml:space="preserve"> </v>
      </c>
      <c r="C243" s="264" t="str">
        <f t="shared" ca="1" si="14"/>
        <v/>
      </c>
      <c r="D243" s="395"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 Demand!N243))</f>
        <v/>
      </c>
      <c r="BD243" s="258" t="str">
        <f ca="1">IF(AND(A243&lt;=MaxRows,BE243&lt;&gt;"Yes"),'Demand background (hide)'!X234+IF(Setup!$I$15="Yes",'Demand background (hide)'!AJ234,0),"")</f>
        <v/>
      </c>
      <c r="BE243" s="208"/>
    </row>
    <row r="244" spans="1:57" ht="15" x14ac:dyDescent="0.25">
      <c r="A244" t="str">
        <f t="shared" ca="1" si="12"/>
        <v/>
      </c>
      <c r="B244" s="263" t="str">
        <f t="shared" ca="1" si="13"/>
        <v xml:space="preserve"> </v>
      </c>
      <c r="C244" s="264" t="str">
        <f t="shared" ca="1" si="14"/>
        <v/>
      </c>
      <c r="D244" s="395"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 Demand!N244))</f>
        <v/>
      </c>
      <c r="BD244" s="258" t="str">
        <f ca="1">IF(AND(A244&lt;=MaxRows,BE244&lt;&gt;"Yes"),'Demand background (hide)'!X235+IF(Setup!$I$15="Yes",'Demand background (hide)'!AJ235,0),"")</f>
        <v/>
      </c>
      <c r="BE244" s="208"/>
    </row>
    <row r="245" spans="1:57" ht="15" x14ac:dyDescent="0.25">
      <c r="A245" t="str">
        <f t="shared" ca="1" si="12"/>
        <v/>
      </c>
      <c r="B245" s="263" t="str">
        <f t="shared" ca="1" si="13"/>
        <v xml:space="preserve"> </v>
      </c>
      <c r="C245" s="264" t="str">
        <f t="shared" ca="1" si="14"/>
        <v/>
      </c>
      <c r="D245" s="395"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 Demand!N245))</f>
        <v/>
      </c>
      <c r="BD245" s="258" t="str">
        <f ca="1">IF(AND(A245&lt;=MaxRows,BE245&lt;&gt;"Yes"),'Demand background (hide)'!X236+IF(Setup!$I$15="Yes",'Demand background (hide)'!AJ236,0),"")</f>
        <v/>
      </c>
      <c r="BE245" s="208"/>
    </row>
    <row r="246" spans="1:57" ht="15" x14ac:dyDescent="0.25">
      <c r="A246" t="str">
        <f t="shared" ca="1" si="12"/>
        <v/>
      </c>
      <c r="B246" s="263" t="str">
        <f t="shared" ca="1" si="13"/>
        <v xml:space="preserve"> </v>
      </c>
      <c r="C246" s="264" t="str">
        <f t="shared" ca="1" si="14"/>
        <v/>
      </c>
      <c r="D246" s="395"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 Demand!N246))</f>
        <v/>
      </c>
      <c r="BD246" s="258" t="str">
        <f ca="1">IF(AND(A246&lt;=MaxRows,BE246&lt;&gt;"Yes"),'Demand background (hide)'!X237+IF(Setup!$I$15="Yes",'Demand background (hide)'!AJ237,0),"")</f>
        <v/>
      </c>
      <c r="BE246" s="208"/>
    </row>
    <row r="247" spans="1:57" ht="15" x14ac:dyDescent="0.25">
      <c r="A247" t="str">
        <f t="shared" ca="1" si="12"/>
        <v/>
      </c>
      <c r="B247" s="263" t="str">
        <f t="shared" ca="1" si="13"/>
        <v xml:space="preserve"> </v>
      </c>
      <c r="C247" s="264" t="str">
        <f t="shared" ca="1" si="14"/>
        <v/>
      </c>
      <c r="D247" s="395"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 Demand!N247))</f>
        <v/>
      </c>
      <c r="BD247" s="258" t="str">
        <f ca="1">IF(AND(A247&lt;=MaxRows,BE247&lt;&gt;"Yes"),'Demand background (hide)'!X238+IF(Setup!$I$15="Yes",'Demand background (hide)'!AJ238,0),"")</f>
        <v/>
      </c>
      <c r="BE247" s="208"/>
    </row>
    <row r="248" spans="1:57" ht="15" x14ac:dyDescent="0.25">
      <c r="A248" t="str">
        <f t="shared" ca="1" si="12"/>
        <v/>
      </c>
      <c r="B248" s="263" t="str">
        <f t="shared" ca="1" si="13"/>
        <v xml:space="preserve"> </v>
      </c>
      <c r="C248" s="264" t="str">
        <f t="shared" ca="1" si="14"/>
        <v/>
      </c>
      <c r="D248" s="395"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 Demand!N248))</f>
        <v/>
      </c>
      <c r="BD248" s="258" t="str">
        <f ca="1">IF(AND(A248&lt;=MaxRows,BE248&lt;&gt;"Yes"),'Demand background (hide)'!X239+IF(Setup!$I$15="Yes",'Demand background (hide)'!AJ239,0),"")</f>
        <v/>
      </c>
      <c r="BE248" s="208"/>
    </row>
    <row r="249" spans="1:57" ht="15" x14ac:dyDescent="0.25">
      <c r="A249" t="str">
        <f t="shared" ca="1" si="12"/>
        <v/>
      </c>
      <c r="B249" s="263" t="str">
        <f t="shared" ca="1" si="13"/>
        <v xml:space="preserve"> </v>
      </c>
      <c r="C249" s="264" t="str">
        <f t="shared" ca="1" si="14"/>
        <v/>
      </c>
      <c r="D249" s="395"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 Demand!N249))</f>
        <v/>
      </c>
      <c r="BD249" s="258" t="str">
        <f ca="1">IF(AND(A249&lt;=MaxRows,BE249&lt;&gt;"Yes"),'Demand background (hide)'!X240+IF(Setup!$I$15="Yes",'Demand background (hide)'!AJ240,0),"")</f>
        <v/>
      </c>
      <c r="BE249" s="208"/>
    </row>
    <row r="250" spans="1:57" ht="15" x14ac:dyDescent="0.25">
      <c r="A250" t="str">
        <f t="shared" ca="1" si="12"/>
        <v/>
      </c>
      <c r="B250" s="263" t="str">
        <f t="shared" ca="1" si="13"/>
        <v xml:space="preserve"> </v>
      </c>
      <c r="C250" s="264" t="str">
        <f t="shared" ca="1" si="14"/>
        <v/>
      </c>
      <c r="D250" s="395"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 Demand!N250))</f>
        <v/>
      </c>
      <c r="BD250" s="258" t="str">
        <f ca="1">IF(AND(A250&lt;=MaxRows,BE250&lt;&gt;"Yes"),'Demand background (hide)'!X241+IF(Setup!$I$15="Yes",'Demand background (hide)'!AJ241,0),"")</f>
        <v/>
      </c>
      <c r="BE250" s="208"/>
    </row>
    <row r="251" spans="1:57" ht="15" x14ac:dyDescent="0.25">
      <c r="A251" t="str">
        <f t="shared" ca="1" si="12"/>
        <v/>
      </c>
      <c r="B251" s="263" t="str">
        <f t="shared" ca="1" si="13"/>
        <v xml:space="preserve"> </v>
      </c>
      <c r="C251" s="264" t="str">
        <f t="shared" ca="1" si="14"/>
        <v/>
      </c>
      <c r="D251" s="395"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 Demand!N251))</f>
        <v/>
      </c>
      <c r="BD251" s="258" t="str">
        <f ca="1">IF(AND(A251&lt;=MaxRows,BE251&lt;&gt;"Yes"),'Demand background (hide)'!X242+IF(Setup!$I$15="Yes",'Demand background (hide)'!AJ242,0),"")</f>
        <v/>
      </c>
      <c r="BE251" s="208"/>
    </row>
    <row r="252" spans="1:57" ht="15" x14ac:dyDescent="0.25">
      <c r="A252" t="str">
        <f t="shared" ca="1" si="12"/>
        <v/>
      </c>
      <c r="B252" s="263" t="str">
        <f t="shared" ca="1" si="13"/>
        <v xml:space="preserve"> </v>
      </c>
      <c r="C252" s="264" t="str">
        <f t="shared" ca="1" si="14"/>
        <v/>
      </c>
      <c r="D252" s="395"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 Demand!N252))</f>
        <v/>
      </c>
      <c r="BD252" s="258" t="str">
        <f ca="1">IF(AND(A252&lt;=MaxRows,BE252&lt;&gt;"Yes"),'Demand background (hide)'!X243+IF(Setup!$I$15="Yes",'Demand background (hide)'!AJ243,0),"")</f>
        <v/>
      </c>
      <c r="BE252" s="208"/>
    </row>
    <row r="253" spans="1:57" ht="15" x14ac:dyDescent="0.25">
      <c r="A253" t="str">
        <f t="shared" ca="1" si="12"/>
        <v/>
      </c>
      <c r="B253" s="263" t="str">
        <f t="shared" ca="1" si="13"/>
        <v xml:space="preserve"> </v>
      </c>
      <c r="C253" s="264" t="str">
        <f t="shared" ca="1" si="14"/>
        <v/>
      </c>
      <c r="D253" s="395"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 Demand!N253))</f>
        <v/>
      </c>
      <c r="BD253" s="258" t="str">
        <f ca="1">IF(AND(A253&lt;=MaxRows,BE253&lt;&gt;"Yes"),'Demand background (hide)'!X244+IF(Setup!$I$15="Yes",'Demand background (hide)'!AJ244,0),"")</f>
        <v/>
      </c>
      <c r="BE253" s="208"/>
    </row>
    <row r="254" spans="1:57" ht="15" x14ac:dyDescent="0.25">
      <c r="A254" t="str">
        <f t="shared" ca="1" si="12"/>
        <v/>
      </c>
      <c r="B254" s="263" t="str">
        <f t="shared" ca="1" si="13"/>
        <v xml:space="preserve"> </v>
      </c>
      <c r="C254" s="264" t="str">
        <f t="shared" ca="1" si="14"/>
        <v/>
      </c>
      <c r="D254" s="395"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 Demand!N254))</f>
        <v/>
      </c>
      <c r="BD254" s="258" t="str">
        <f ca="1">IF(AND(A254&lt;=MaxRows,BE254&lt;&gt;"Yes"),'Demand background (hide)'!X245+IF(Setup!$I$15="Yes",'Demand background (hide)'!AJ245,0),"")</f>
        <v/>
      </c>
      <c r="BE254" s="208"/>
    </row>
    <row r="255" spans="1:57" ht="15" x14ac:dyDescent="0.25">
      <c r="A255" t="str">
        <f t="shared" ca="1" si="12"/>
        <v/>
      </c>
      <c r="B255" s="263" t="str">
        <f t="shared" ca="1" si="13"/>
        <v xml:space="preserve"> </v>
      </c>
      <c r="C255" s="264" t="str">
        <f t="shared" ca="1" si="14"/>
        <v/>
      </c>
      <c r="D255" s="395"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 Demand!N255))</f>
        <v/>
      </c>
      <c r="BD255" s="258" t="str">
        <f ca="1">IF(AND(A255&lt;=MaxRows,BE255&lt;&gt;"Yes"),'Demand background (hide)'!X246+IF(Setup!$I$15="Yes",'Demand background (hide)'!AJ246,0),"")</f>
        <v/>
      </c>
      <c r="BE255" s="208"/>
    </row>
    <row r="256" spans="1:57" ht="15" x14ac:dyDescent="0.25">
      <c r="A256" t="str">
        <f t="shared" ca="1" si="12"/>
        <v/>
      </c>
      <c r="B256" s="263" t="str">
        <f t="shared" ca="1" si="13"/>
        <v xml:space="preserve"> </v>
      </c>
      <c r="C256" s="264" t="str">
        <f t="shared" ca="1" si="14"/>
        <v/>
      </c>
      <c r="D256" s="395"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 Demand!N256))</f>
        <v/>
      </c>
      <c r="BD256" s="258" t="str">
        <f ca="1">IF(AND(A256&lt;=MaxRows,BE256&lt;&gt;"Yes"),'Demand background (hide)'!X247+IF(Setup!$I$15="Yes",'Demand background (hide)'!AJ247,0),"")</f>
        <v/>
      </c>
      <c r="BE256" s="208"/>
    </row>
    <row r="257" spans="1:57" ht="15" x14ac:dyDescent="0.25">
      <c r="A257" t="str">
        <f t="shared" ca="1" si="12"/>
        <v/>
      </c>
      <c r="B257" s="263" t="str">
        <f t="shared" ca="1" si="13"/>
        <v xml:space="preserve"> </v>
      </c>
      <c r="C257" s="264" t="str">
        <f t="shared" ca="1" si="14"/>
        <v/>
      </c>
      <c r="D257" s="395"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 Demand!N257))</f>
        <v/>
      </c>
      <c r="BD257" s="258" t="str">
        <f ca="1">IF(AND(A257&lt;=MaxRows,BE257&lt;&gt;"Yes"),'Demand background (hide)'!X248+IF(Setup!$I$15="Yes",'Demand background (hide)'!AJ248,0),"")</f>
        <v/>
      </c>
      <c r="BE257" s="208"/>
    </row>
    <row r="258" spans="1:57" ht="15" x14ac:dyDescent="0.25">
      <c r="A258" t="str">
        <f t="shared" ca="1" si="12"/>
        <v/>
      </c>
      <c r="B258" s="263" t="str">
        <f t="shared" ca="1" si="13"/>
        <v xml:space="preserve"> </v>
      </c>
      <c r="C258" s="264" t="str">
        <f t="shared" ca="1" si="14"/>
        <v/>
      </c>
      <c r="D258" s="395"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 Demand!N258))</f>
        <v/>
      </c>
      <c r="BD258" s="258" t="str">
        <f ca="1">IF(AND(A258&lt;=MaxRows,BE258&lt;&gt;"Yes"),'Demand background (hide)'!X249+IF(Setup!$I$15="Yes",'Demand background (hide)'!AJ249,0),"")</f>
        <v/>
      </c>
      <c r="BE258" s="208"/>
    </row>
    <row r="259" spans="1:57" ht="15" x14ac:dyDescent="0.25">
      <c r="A259" t="str">
        <f t="shared" ca="1" si="12"/>
        <v/>
      </c>
      <c r="B259" s="263" t="str">
        <f t="shared" ca="1" si="13"/>
        <v xml:space="preserve"> </v>
      </c>
      <c r="C259" s="264" t="str">
        <f t="shared" ca="1" si="14"/>
        <v/>
      </c>
      <c r="D259" s="395"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 Demand!N259))</f>
        <v/>
      </c>
      <c r="BD259" s="258" t="str">
        <f ca="1">IF(AND(A259&lt;=MaxRows,BE259&lt;&gt;"Yes"),'Demand background (hide)'!X250+IF(Setup!$I$15="Yes",'Demand background (hide)'!AJ250,0),"")</f>
        <v/>
      </c>
      <c r="BE259" s="208"/>
    </row>
    <row r="260" spans="1:57" ht="15" x14ac:dyDescent="0.25">
      <c r="A260" t="str">
        <f t="shared" ca="1" si="12"/>
        <v/>
      </c>
      <c r="B260" s="263" t="str">
        <f t="shared" ca="1" si="13"/>
        <v xml:space="preserve"> </v>
      </c>
      <c r="C260" s="264" t="str">
        <f t="shared" ca="1" si="14"/>
        <v/>
      </c>
      <c r="D260" s="395"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 Demand!N260))</f>
        <v/>
      </c>
      <c r="BD260" s="258" t="str">
        <f ca="1">IF(AND(A260&lt;=MaxRows,BE260&lt;&gt;"Yes"),'Demand background (hide)'!X251+IF(Setup!$I$15="Yes",'Demand background (hide)'!AJ251,0),"")</f>
        <v/>
      </c>
      <c r="BE260" s="208"/>
    </row>
    <row r="261" spans="1:57" ht="15" x14ac:dyDescent="0.25">
      <c r="A261" t="str">
        <f t="shared" ca="1" si="12"/>
        <v/>
      </c>
      <c r="B261" s="263" t="str">
        <f t="shared" ca="1" si="13"/>
        <v xml:space="preserve"> </v>
      </c>
      <c r="C261" s="264" t="str">
        <f t="shared" ca="1" si="14"/>
        <v/>
      </c>
      <c r="D261" s="395"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 Demand!N261))</f>
        <v/>
      </c>
      <c r="BD261" s="258" t="str">
        <f ca="1">IF(AND(A261&lt;=MaxRows,BE261&lt;&gt;"Yes"),'Demand background (hide)'!X252+IF(Setup!$I$15="Yes",'Demand background (hide)'!AJ252,0),"")</f>
        <v/>
      </c>
      <c r="BE261" s="208"/>
    </row>
    <row r="262" spans="1:57" ht="15" x14ac:dyDescent="0.25">
      <c r="A262" t="str">
        <f t="shared" ca="1" si="12"/>
        <v/>
      </c>
      <c r="B262" s="263" t="str">
        <f t="shared" ca="1" si="13"/>
        <v xml:space="preserve"> </v>
      </c>
      <c r="C262" s="264" t="str">
        <f t="shared" ca="1" si="14"/>
        <v/>
      </c>
      <c r="D262" s="395"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 Demand!N262))</f>
        <v/>
      </c>
      <c r="BD262" s="258" t="str">
        <f ca="1">IF(AND(A262&lt;=MaxRows,BE262&lt;&gt;"Yes"),'Demand background (hide)'!X253+IF(Setup!$I$15="Yes",'Demand background (hide)'!AJ253,0),"")</f>
        <v/>
      </c>
      <c r="BE262" s="208"/>
    </row>
    <row r="263" spans="1:57" ht="15" x14ac:dyDescent="0.25">
      <c r="A263" t="str">
        <f t="shared" ca="1" si="12"/>
        <v/>
      </c>
      <c r="B263" s="263" t="str">
        <f t="shared" ca="1" si="13"/>
        <v xml:space="preserve"> </v>
      </c>
      <c r="C263" s="264" t="str">
        <f t="shared" ca="1" si="14"/>
        <v/>
      </c>
      <c r="D263" s="395"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 Demand!N263))</f>
        <v/>
      </c>
      <c r="BD263" s="258" t="str">
        <f ca="1">IF(AND(A263&lt;=MaxRows,BE263&lt;&gt;"Yes"),'Demand background (hide)'!X254+IF(Setup!$I$15="Yes",'Demand background (hide)'!AJ254,0),"")</f>
        <v/>
      </c>
      <c r="BE263" s="208"/>
    </row>
    <row r="264" spans="1:57" ht="15" x14ac:dyDescent="0.25">
      <c r="A264" t="str">
        <f t="shared" ca="1" si="12"/>
        <v/>
      </c>
      <c r="B264" s="263" t="str">
        <f t="shared" ca="1" si="13"/>
        <v xml:space="preserve"> </v>
      </c>
      <c r="C264" s="264" t="str">
        <f t="shared" ca="1" si="14"/>
        <v/>
      </c>
      <c r="D264" s="395"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 Demand!N264))</f>
        <v/>
      </c>
      <c r="BD264" s="258" t="str">
        <f ca="1">IF(AND(A264&lt;=MaxRows,BE264&lt;&gt;"Yes"),'Demand background (hide)'!X255+IF(Setup!$I$15="Yes",'Demand background (hide)'!AJ255,0),"")</f>
        <v/>
      </c>
      <c r="BE264" s="208"/>
    </row>
    <row r="265" spans="1:57" ht="15" x14ac:dyDescent="0.25">
      <c r="A265" t="str">
        <f t="shared" ca="1" si="12"/>
        <v/>
      </c>
      <c r="B265" s="263" t="str">
        <f t="shared" ca="1" si="13"/>
        <v xml:space="preserve"> </v>
      </c>
      <c r="C265" s="264" t="str">
        <f t="shared" ca="1" si="14"/>
        <v/>
      </c>
      <c r="D265" s="395"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 Demand!N265))</f>
        <v/>
      </c>
      <c r="BD265" s="258" t="str">
        <f ca="1">IF(AND(A265&lt;=MaxRows,BE265&lt;&gt;"Yes"),'Demand background (hide)'!X256+IF(Setup!$I$15="Yes",'Demand background (hide)'!AJ256,0),"")</f>
        <v/>
      </c>
      <c r="BE265" s="208"/>
    </row>
    <row r="266" spans="1:57" ht="15" x14ac:dyDescent="0.25">
      <c r="A266" t="str">
        <f t="shared" ca="1" si="12"/>
        <v/>
      </c>
      <c r="B266" s="263" t="str">
        <f t="shared" ca="1" si="13"/>
        <v xml:space="preserve"> </v>
      </c>
      <c r="C266" s="264" t="str">
        <f t="shared" ca="1" si="14"/>
        <v/>
      </c>
      <c r="D266" s="395"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 Demand!N266))</f>
        <v/>
      </c>
      <c r="BD266" s="258" t="str">
        <f ca="1">IF(AND(A266&lt;=MaxRows,BE266&lt;&gt;"Yes"),'Demand background (hide)'!X257+IF(Setup!$I$15="Yes",'Demand background (hide)'!AJ257,0),"")</f>
        <v/>
      </c>
      <c r="BE266" s="208"/>
    </row>
    <row r="267" spans="1:57" ht="15" x14ac:dyDescent="0.25">
      <c r="A267" t="str">
        <f t="shared" ca="1" si="12"/>
        <v/>
      </c>
      <c r="B267" s="263" t="str">
        <f t="shared" ca="1" si="13"/>
        <v xml:space="preserve"> </v>
      </c>
      <c r="C267" s="264" t="str">
        <f t="shared" ca="1" si="14"/>
        <v/>
      </c>
      <c r="D267" s="395"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 Demand!N267))</f>
        <v/>
      </c>
      <c r="BD267" s="258" t="str">
        <f ca="1">IF(AND(A267&lt;=MaxRows,BE267&lt;&gt;"Yes"),'Demand background (hide)'!X258+IF(Setup!$I$15="Yes",'Demand background (hide)'!AJ258,0),"")</f>
        <v/>
      </c>
      <c r="BE267" s="208"/>
    </row>
    <row r="268" spans="1:57" ht="15" x14ac:dyDescent="0.25">
      <c r="A268" t="str">
        <f t="shared" ca="1" si="12"/>
        <v/>
      </c>
      <c r="B268" s="263" t="str">
        <f t="shared" ca="1" si="13"/>
        <v xml:space="preserve"> </v>
      </c>
      <c r="C268" s="264" t="str">
        <f t="shared" ca="1" si="14"/>
        <v/>
      </c>
      <c r="D268" s="395"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 Demand!N268))</f>
        <v/>
      </c>
      <c r="BD268" s="258" t="str">
        <f ca="1">IF(AND(A268&lt;=MaxRows,BE268&lt;&gt;"Yes"),'Demand background (hide)'!X259+IF(Setup!$I$15="Yes",'Demand background (hide)'!AJ259,0),"")</f>
        <v/>
      </c>
      <c r="BE268" s="208"/>
    </row>
    <row r="269" spans="1:57" ht="15" x14ac:dyDescent="0.25">
      <c r="A269" t="str">
        <f t="shared" ref="A269:A272" ca="1" si="16">IF(BC269&lt;&gt;"",ROW(A257),"")</f>
        <v/>
      </c>
      <c r="B269" s="263" t="str">
        <f t="shared" ca="1" si="13"/>
        <v xml:space="preserve"> </v>
      </c>
      <c r="C269" s="264" t="str">
        <f t="shared" ca="1" si="14"/>
        <v/>
      </c>
      <c r="D269" s="395"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 Demand!N269))</f>
        <v/>
      </c>
      <c r="BD269" s="258" t="str">
        <f ca="1">IF(AND(A269&lt;=MaxRows,BE269&lt;&gt;"Yes"),'Demand background (hide)'!X260+IF(Setup!$I$15="Yes",'Demand background (hide)'!AJ260,0),"")</f>
        <v/>
      </c>
      <c r="BE269" s="208"/>
    </row>
    <row r="270" spans="1:57" ht="15"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395"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 Demand!N270))</f>
        <v/>
      </c>
      <c r="BD270" s="258" t="str">
        <f ca="1">IF(AND(A270&lt;=MaxRows,BE270&lt;&gt;"Yes"),'Demand background (hide)'!X261+IF(Setup!$I$15="Yes",'Demand background (hide)'!AJ261,0),"")</f>
        <v/>
      </c>
      <c r="BE270" s="208"/>
    </row>
    <row r="271" spans="1:57" ht="15" x14ac:dyDescent="0.25">
      <c r="A271" t="str">
        <f t="shared" ca="1" si="16"/>
        <v/>
      </c>
      <c r="B271" s="263" t="str">
        <f t="shared" ca="1" si="17"/>
        <v xml:space="preserve"> </v>
      </c>
      <c r="C271" s="264" t="str">
        <f t="shared" ca="1" si="18"/>
        <v/>
      </c>
      <c r="D271" s="395"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 Demand!N271))</f>
        <v/>
      </c>
      <c r="BD271" s="258" t="str">
        <f ca="1">IF(AND(A271&lt;=MaxRows,BE271&lt;&gt;"Yes"),'Demand background (hide)'!X262+IF(Setup!$I$15="Yes",'Demand background (hide)'!AJ262,0),"")</f>
        <v/>
      </c>
      <c r="BE271" s="208"/>
    </row>
    <row r="272" spans="1:57" ht="15" x14ac:dyDescent="0.25">
      <c r="A272" t="str">
        <f t="shared" ca="1" si="16"/>
        <v/>
      </c>
      <c r="B272" s="263" t="str">
        <f t="shared" ca="1" si="17"/>
        <v xml:space="preserve"> </v>
      </c>
      <c r="C272" s="264" t="str">
        <f t="shared" ca="1" si="18"/>
        <v/>
      </c>
      <c r="D272" s="395"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 Demand!N272))</f>
        <v/>
      </c>
      <c r="BD272" s="258" t="str">
        <f ca="1">IF(AND(A272&lt;=MaxRows,BE272&lt;&gt;"Yes"),'Demand background (hide)'!X263+IF(Setup!$I$15="Yes",'Demand background (hide)'!AJ263,0),"")</f>
        <v/>
      </c>
      <c r="BE272" s="208"/>
    </row>
  </sheetData>
  <sheetProtection algorithmName="SHA-512" hashValue="VjmYIF3QYQohkJB+UX7g3/6TOkCs1yc4PK8oxzUiv/LaV/TDDnyDeLd2WAv1vm05GquTIISVueHL7gOH01oNUw==" saltValue="5AfPGqvhCS9O+EE2lX+x3Q==" spinCount="100000" sheet="1" objects="1" scenarios="1"/>
  <dataConsolidate/>
  <mergeCells count="6">
    <mergeCell ref="BC10:BC12"/>
    <mergeCell ref="BD10:BD12"/>
    <mergeCell ref="D10:D12"/>
    <mergeCell ref="BE10:BE12"/>
    <mergeCell ref="B10:B12"/>
    <mergeCell ref="C10:C12"/>
  </mergeCells>
  <conditionalFormatting sqref="J164:N272 T65:X272 AD65:AH272 AN65:AR272 AX65:BB272 J65:J163 M65:N163">
    <cfRule type="expression" dxfId="57" priority="7">
      <formula>IF(ROW(C65)-12&lt;=$A$6,TRUE,FALSE)</formula>
    </cfRule>
  </conditionalFormatting>
  <conditionalFormatting sqref="BC65:BE272">
    <cfRule type="expression" dxfId="56" priority="6">
      <formula>IF(ROW(A65)-12&lt;=$A$6,TRUE,FALSE)</formula>
    </cfRule>
  </conditionalFormatting>
  <conditionalFormatting sqref="C164:BB272 C65:E163 H65:J163 M65:BB163">
    <cfRule type="expression" dxfId="55" priority="11">
      <formula>IF(ROW(XFD65)-12&lt;=$A$6,TRUE,FALSE)</formula>
    </cfRule>
  </conditionalFormatting>
  <conditionalFormatting sqref="F65:G163">
    <cfRule type="expression" dxfId="54" priority="3">
      <formula>IF(ROW(C65)-12&lt;=$A$6,TRUE,FALSE)</formula>
    </cfRule>
  </conditionalFormatting>
  <conditionalFormatting sqref="K65:L163">
    <cfRule type="expression" dxfId="53" priority="1">
      <formula>IF(ROW(D65)-12&lt;=$A$6,TRUE,FALSE)</formula>
    </cfRule>
  </conditionalFormatting>
  <conditionalFormatting sqref="K65:L163">
    <cfRule type="expression" dxfId="52" priority="2">
      <formula>IF(ROW(H65)-12&lt;=$A$6,TRUE,FALSE)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4.25" x14ac:dyDescent="0.2"/>
  <cols>
    <col min="1" max="11" width="11.25" customWidth="1"/>
    <col min="14" max="18" width="9.25" bestFit="1" customWidth="1"/>
    <col min="19" max="19" width="9" customWidth="1"/>
    <col min="20" max="24" width="9.25" bestFit="1" customWidth="1"/>
    <col min="38" max="38" width="16.625" customWidth="1"/>
    <col min="39" max="39" width="10.25" bestFit="1" customWidth="1"/>
    <col min="40" max="41" width="10.25" customWidth="1"/>
    <col min="42" max="42" width="10.25" style="36" customWidth="1"/>
    <col min="43" max="45" width="10.25" customWidth="1"/>
    <col min="46" max="46" width="12.25" bestFit="1" customWidth="1"/>
    <col min="103" max="103" width="10.125" customWidth="1"/>
    <col min="118" max="118" width="9.75" bestFit="1" customWidth="1"/>
    <col min="124" max="124" width="8.75" style="67"/>
    <col min="126" max="130" width="8.75" style="67"/>
    <col min="131" max="131" width="9.75" style="67" bestFit="1" customWidth="1"/>
    <col min="132" max="132" width="8.75" style="67"/>
  </cols>
  <sheetData>
    <row r="1" spans="1:135" x14ac:dyDescent="0.2">
      <c r="B1" t="s">
        <v>62</v>
      </c>
      <c r="M1" t="s">
        <v>65</v>
      </c>
      <c r="N1" t="str">
        <f>"Modifier: "&amp;Setup!$I$17</f>
        <v>Modifier: Minutes</v>
      </c>
      <c r="Z1" t="s">
        <v>66</v>
      </c>
      <c r="AL1" t="s">
        <v>285</v>
      </c>
      <c r="AP1" s="36" t="s">
        <v>129</v>
      </c>
      <c r="BQ1" t="s">
        <v>432</v>
      </c>
      <c r="CV1" t="s">
        <v>215</v>
      </c>
      <c r="CW1" t="s">
        <v>216</v>
      </c>
      <c r="DN1" t="s">
        <v>1190</v>
      </c>
    </row>
    <row r="2" spans="1:135" x14ac:dyDescent="0.2">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
      <c r="A3" t="s">
        <v>63</v>
      </c>
      <c r="B3" t="str">
        <f ca="1">OFFSET('Control sheet (hide)'!$AA$3,COLUMN(A1)-1,0,1,1)</f>
        <v>Test name 1</v>
      </c>
      <c r="C3" t="str">
        <f ca="1">OFFSET('Control sheet (hide)'!$AA$3,COLUMN(B1)-1,0,1,1)</f>
        <v>Test name 2</v>
      </c>
      <c r="D3" t="str">
        <f ca="1">OFFSET('Control sheet (hide)'!$AA$3,COLUMN(C1)-1,0,1,1)</f>
        <v>Modality 3</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Modality 3</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Modality 3</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495</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Modality 3</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0</v>
      </c>
      <c r="ED3" t="s">
        <v>1225</v>
      </c>
      <c r="EE3" t="s">
        <v>1195</v>
      </c>
    </row>
    <row r="4" spans="1:135" s="5" customFormat="1" x14ac:dyDescent="0.2">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6">
        <f>Demand!B13</f>
        <v>2016</v>
      </c>
      <c r="AQ4" s="5" t="str">
        <f>TEXT(Demand!D13,"MMM")</f>
        <v>Mar</v>
      </c>
      <c r="AV4" s="5" t="s">
        <v>71</v>
      </c>
      <c r="AW4" s="44">
        <f ca="1">IFERROR(AVERAGE(OFFSET($AT$4,'SPC background (hide)'!$C$4-1,0,'SPC background (hide)'!$H$5,1)),0)</f>
        <v>159.80769230769232</v>
      </c>
      <c r="BB4"/>
      <c r="BC4"/>
      <c r="BD4"/>
      <c r="BE4"/>
      <c r="BF4" t="s">
        <v>199</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7</v>
      </c>
      <c r="DN4" s="317">
        <f>'Demand adjustments for Covid'!F12</f>
        <v>44242</v>
      </c>
      <c r="DO4" s="5">
        <f ca="1">VLOOKUP(IF($DM4&lt;53,$DM4,52),'Summary Calculations (hide)'!$D$15:$F$67,2,0)</f>
        <v>551.5</v>
      </c>
      <c r="DP4" s="5">
        <f ca="1">VLOOKUP(IF($DM4&lt;53,$DM4,52),'Summary Calculations (hide)'!$D$15:$F$67,3,0)</f>
        <v>664</v>
      </c>
      <c r="DQ4" s="5">
        <f>IF(AND(DN4&gt;='Demand adjustments for Covid'!$F$12,DN4&lt;'Demand adjustments for Covid'!$F$17),'Demand adjustments for Covid'!$F$13,DO4)</f>
        <v>200</v>
      </c>
      <c r="DR4" s="5">
        <f t="shared" ref="DR4:DR35" si="7">IF(AND(ROW(A1)&gt;=$EE$4,ROW(A1)&lt;=$EE$5),1,0)</f>
        <v>0</v>
      </c>
      <c r="DS4" s="5">
        <f ca="1">IF('Demand adjustments for Covid'!$F$9="Yes",IF(DR4=0,DQ4,((SUM(DR$4:DR4)-1)*$EE$8)+'Demand adjustments for Covid'!F$13),'Demand background (hide)'!DO4)</f>
        <v>551.5</v>
      </c>
      <c r="DT4" s="5">
        <f ca="1">IF(AND('Demand adjustments for Covid'!$F$9="Yes",MaxRows&gt;=10),IF(OR(AND(DN4&gt;='Demand adjustments for Covid'!$F$12,DN4&lt;'Demand adjustments for Covid'!$F$17),DR4=1),DS4+3,DP4),'Demand background (hide)'!DP4)</f>
        <v>664</v>
      </c>
      <c r="DU4" s="5">
        <f ca="1">IF(DS4&lt;='Demand adjustments for Covid'!$F$17,DO4-DS4,0)</f>
        <v>0</v>
      </c>
      <c r="DV4" s="5">
        <f ca="1">IF(AND(ROW(A1)&gt;$EE$5,ROW(A1)&lt;=$EA$5),OFFSET('Demand adjustments for Covid'!$F$35,0,ROW(A1)-'Demand background (hide)'!$EE$5,1,1),0)</f>
        <v>0</v>
      </c>
      <c r="DW4" s="5">
        <f ca="1">IF(AND(ROW(A1)&gt;$EE$5,ROW(A1)&lt;=$EA$5),OFFSET('Demand adjustments for Covid'!$F$36,0,ROW(A1)-'Demand background (hide)'!$EE$5,1,1),0)</f>
        <v>0</v>
      </c>
      <c r="DX4" s="5">
        <f ca="1">SUM(DV4:DW4,DT4)</f>
        <v>664</v>
      </c>
      <c r="ED4" s="5" t="s">
        <v>1193</v>
      </c>
      <c r="EE4" s="5">
        <f>MATCH('Demand adjustments for Covid'!$F$17,$DN$4:$DN$55,0)</f>
        <v>3</v>
      </c>
    </row>
    <row r="5" spans="1:135" s="5" customFormat="1" x14ac:dyDescent="0.2">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610</v>
      </c>
      <c r="AM5" s="5">
        <f t="shared" ref="AM5:AM68" ca="1" si="9">IF(AN5&lt;&gt;"","",AJ5)</f>
        <v>0</v>
      </c>
      <c r="AN5" s="5" t="str">
        <f>IF(Demand!BE14="Yes","Yes","")</f>
        <v/>
      </c>
      <c r="AP5" s="36" t="str">
        <f ca="1">Demand!B14</f>
        <v xml:space="preserve"> </v>
      </c>
      <c r="AQ5" s="5" t="str">
        <f ca="1">IF(TEXT(Demand!D14,"MMM")&lt;&gt;TEXT(Demand!D13,"MMM"),TEXT(Demand!D14,"MMM"),"")</f>
        <v>Apr</v>
      </c>
      <c r="AT5" s="5">
        <f ca="1">IF(OR(AL5="",AL4=""),"",ABS(AL5-AL4))</f>
        <v>220</v>
      </c>
      <c r="AV5" s="5" t="s">
        <v>70</v>
      </c>
      <c r="AW5" s="44">
        <f ca="1">AW4/1.128</f>
        <v>141.67348608837972</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8</v>
      </c>
      <c r="DN5" s="317">
        <f>DN4+7</f>
        <v>44249</v>
      </c>
      <c r="DO5" s="5">
        <f ca="1">VLOOKUP(IF($DM5&lt;53,$DM5,52),'Summary Calculations (hide)'!$D$15:$F$67,2,0)</f>
        <v>551.5</v>
      </c>
      <c r="DP5" s="5">
        <f ca="1">VLOOKUP(IF($DM5&lt;53,$DM5,52),'Summary Calculations (hide)'!$D$15:$F$67,3,0)</f>
        <v>664</v>
      </c>
      <c r="DQ5" s="5">
        <f>IF(AND(DN5&gt;='Demand adjustments for Covid'!$F$12,DN5&lt;'Demand adjustments for Covid'!$F$17),'Demand adjustments for Covid'!$F$13,DO5)</f>
        <v>200</v>
      </c>
      <c r="DR5" s="5">
        <f t="shared" si="7"/>
        <v>0</v>
      </c>
      <c r="DS5" s="5">
        <f ca="1">IF('Demand adjustments for Covid'!$F$9="Yes",IF(DR5=0,DQ5,((SUM(DR$4:DR5)-1)*$EE$8)+'Demand adjustments for Covid'!F$13),'Demand background (hide)'!DO5)</f>
        <v>551.5</v>
      </c>
      <c r="DT5" s="5">
        <f ca="1">IF('Demand adjustments for Covid'!$F$9="Yes",IF(OR(AND(DN5&gt;='Demand adjustments for Covid'!$F$12,DN5&lt;'Demand adjustments for Covid'!$F$17),DR5=1),DS5+3,DP5),'Demand background (hide)'!DP5)</f>
        <v>664</v>
      </c>
      <c r="DU5" s="5">
        <f ca="1">IF(DS5&lt;='Demand adjustments for Covid'!$F$17,DO5-DS5,0)</f>
        <v>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664</v>
      </c>
      <c r="DZ5" s="5" t="s">
        <v>1226</v>
      </c>
      <c r="EA5" s="5">
        <f>MATCH('Demand adjustments for Covid'!F17,'Demand background (hide)'!DN4:DN55,0)+'Demand adjustments for Covid'!F18+12</f>
        <v>35</v>
      </c>
      <c r="ED5" s="5" t="s">
        <v>1194</v>
      </c>
      <c r="EE5" s="5">
        <f>EE4+'Demand adjustments for Covid'!$F$18</f>
        <v>23</v>
      </c>
    </row>
    <row r="6" spans="1:135" s="5" customFormat="1" x14ac:dyDescent="0.2">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380</v>
      </c>
      <c r="AM6" s="5">
        <f t="shared" ca="1" si="9"/>
        <v>0</v>
      </c>
      <c r="AN6" s="5" t="str">
        <f>IF(Demand!BE15="Yes","Yes","")</f>
        <v/>
      </c>
      <c r="AP6" s="36" t="str">
        <f ca="1">Demand!B15</f>
        <v xml:space="preserve"> </v>
      </c>
      <c r="AQ6" s="5" t="str">
        <f ca="1">IF(TEXT(Demand!D15,"MMM")&lt;&gt;TEXT(Demand!D14,"MMM"),TEXT(Demand!D15,"MMM"),"")</f>
        <v/>
      </c>
      <c r="AT6" s="5">
        <f t="shared" ref="AT6:AT69" ca="1" si="12">IF(OR(AL6="",AL5=""),"",ABS(AL6-AL5))</f>
        <v>230</v>
      </c>
      <c r="AV6" s="5" t="s">
        <v>137</v>
      </c>
      <c r="AW6" s="44">
        <f ca="1">PERCENTILE(OFFSET(AL$4,'SPC background (hide)'!$C$4-1,0,'SPC background (hide)'!$H$5,1),'Control sheet (hide)'!$I$9)</f>
        <v>551.5</v>
      </c>
      <c r="AX6" s="5">
        <f ca="1">PERCENTILE(OFFSET(AM$4,'SPC background (hide)'!$C$4-1,0,'SPC background (hide)'!$H$5,1),'Control sheet (hide)'!$I$9)</f>
        <v>0</v>
      </c>
      <c r="BB6" t="str">
        <f>'Control sheet (hide)'!AA3</f>
        <v>Test name 1</v>
      </c>
      <c r="BC6" s="46">
        <f t="shared" ref="BC6:BC15" ca="1" si="13">IFERROR(IF(ROW(A1)&lt;=Num_Modalities,BJ6/$BM6,""),"")</f>
        <v>0</v>
      </c>
      <c r="BD6" s="46">
        <f t="shared" ref="BD6:BD15" ca="1" si="14">IFERROR(IF(ROW(B1)&lt;=Num_Modalities,BK6/$BM6,""),"")</f>
        <v>0.19047619047619047</v>
      </c>
      <c r="BE6" s="46">
        <f t="shared" ref="BE6:BE15" ca="1" si="15">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6">BG6*OFFSET($N$2,0,ROW(B1)-1,1,1)</f>
        <v>1200</v>
      </c>
      <c r="BL6" s="5">
        <f t="shared" ca="1" si="16"/>
        <v>5100</v>
      </c>
      <c r="BM6" s="5">
        <f ca="1">SUM(BJ6:BL6)</f>
        <v>6300</v>
      </c>
      <c r="BN6" s="5">
        <f ca="1">OFFSET($N$2,0,ROW(A1)-1,1,1)</f>
        <v>30</v>
      </c>
      <c r="BO6" s="84">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9</v>
      </c>
      <c r="DN6" s="317">
        <f t="shared" ref="DN6:DN56" si="17">DN5+7</f>
        <v>44256</v>
      </c>
      <c r="DO6" s="5">
        <f ca="1">VLOOKUP(IF($DM6&lt;53,$DM6,52),'Summary Calculations (hide)'!$D$15:$F$67,2,0)</f>
        <v>551.5</v>
      </c>
      <c r="DP6" s="5">
        <f ca="1">VLOOKUP(IF($DM6&lt;53,$DM6,52),'Summary Calculations (hide)'!$D$15:$F$67,3,0)</f>
        <v>664</v>
      </c>
      <c r="DQ6" s="5">
        <f ca="1">IF(AND(DN6&gt;='Demand adjustments for Covid'!$F$12,DN6&lt;'Demand adjustments for Covid'!$F$17),'Demand adjustments for Covid'!$F$13,DO6)</f>
        <v>551.5</v>
      </c>
      <c r="DR6" s="5">
        <f t="shared" si="7"/>
        <v>1</v>
      </c>
      <c r="DS6" s="5">
        <f ca="1">IF('Demand adjustments for Covid'!$F$9="Yes",IF(DR6=0,DQ6,((SUM(DR$4:DR6)-1)*$EE$8)+'Demand adjustments for Covid'!F$13),'Demand background (hide)'!DO6)</f>
        <v>551.5</v>
      </c>
      <c r="DT6" s="5">
        <f ca="1">IF('Demand adjustments for Covid'!$F$9="Yes",IF(OR(AND(DN6&gt;='Demand adjustments for Covid'!$F$12,DN6&lt;'Demand adjustments for Covid'!$F$17),DR6=1),DS6+3,DP6),'Demand background (hide)'!DP6)</f>
        <v>664</v>
      </c>
      <c r="DU6" s="5">
        <f ca="1">IF(DS6&lt;='Demand adjustments for Covid'!$F$17,DO6-DS6,0)</f>
        <v>0</v>
      </c>
      <c r="DV6" s="5">
        <f ca="1">IF(AND(ROW(A3)&gt;$EE$5,ROW(A3)&lt;=$EA$5),OFFSET('Demand adjustments for Covid'!$F$35,0,ROW(A3)-'Demand background (hide)'!$EE$5,1,1),0)</f>
        <v>0</v>
      </c>
      <c r="DW6" s="5">
        <f ca="1">IF(AND(ROW(A3)&gt;$EE$5,ROW(A3)&lt;=$EA$5),OFFSET('Demand adjustments for Covid'!$F$36,0,ROW(A3)-'Demand background (hide)'!$EE$5,1,1),0)</f>
        <v>0</v>
      </c>
      <c r="DX6" s="5">
        <f t="shared" ca="1" si="11"/>
        <v>664</v>
      </c>
      <c r="EA6" s="317"/>
    </row>
    <row r="7" spans="1:135" s="5" customFormat="1" x14ac:dyDescent="0.2">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750</v>
      </c>
      <c r="AM7" s="5">
        <f t="shared" ca="1" si="9"/>
        <v>0</v>
      </c>
      <c r="AN7" s="5" t="str">
        <f>IF(Demand!BE16="Yes","Yes","")</f>
        <v/>
      </c>
      <c r="AP7" s="36" t="str">
        <f ca="1">Demand!B16</f>
        <v xml:space="preserve"> </v>
      </c>
      <c r="AQ7" s="5" t="str">
        <f ca="1">IF(TEXT(Demand!D16,"MMM")&lt;&gt;TEXT(Demand!D15,"MMM"),TEXT(Demand!D16,"MMM"),"")</f>
        <v/>
      </c>
      <c r="AT7" s="5">
        <f t="shared" ca="1" si="12"/>
        <v>370</v>
      </c>
      <c r="AV7" s="5" t="s">
        <v>138</v>
      </c>
      <c r="AW7" s="44">
        <f ca="1">PERCENTILE(OFFSET(AL$4,'SPC background (hide)'!$C$4-1,0,'SPC background (hide)'!$H$5,1),'Control sheet (hide)'!$I$10)</f>
        <v>664</v>
      </c>
      <c r="AX7" s="5">
        <f ca="1">PERCENTILE(OFFSET(AM$4,'SPC background (hide)'!$C$4-1,0,'SPC background (hide)'!$H$5,1),'Control sheet (hide)'!$I$10)</f>
        <v>0</v>
      </c>
      <c r="BB7" t="str">
        <f>'Control sheet (hide)'!AA4</f>
        <v>Test name 2</v>
      </c>
      <c r="BC7" s="46">
        <f t="shared" ca="1" si="13"/>
        <v>0</v>
      </c>
      <c r="BD7" s="46">
        <f t="shared" ca="1" si="14"/>
        <v>0.22633744855967078</v>
      </c>
      <c r="BE7" s="46">
        <f t="shared" ca="1" si="15"/>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8">SUM(BF7:BH7)</f>
        <v>486</v>
      </c>
      <c r="BJ7" s="5">
        <f t="shared" ref="BJ7:BL7" ca="1" si="19">BF7*OFFSET($N$2,0,ROW(A2)-1,1,1)</f>
        <v>0</v>
      </c>
      <c r="BK7" s="5">
        <f t="shared" ca="1" si="19"/>
        <v>4400</v>
      </c>
      <c r="BL7" s="5">
        <f t="shared" ca="1" si="19"/>
        <v>15040</v>
      </c>
      <c r="BM7" s="5">
        <f t="shared" ref="BM7:BM15" ca="1" si="20">SUM(BJ7:BL7)</f>
        <v>19440</v>
      </c>
      <c r="BN7" s="5">
        <f t="shared" ref="BN7:BN15" ca="1" si="21">OFFSET($N$2,0,ROW(A2)-1,1,1)</f>
        <v>40</v>
      </c>
      <c r="BO7" s="84">
        <f t="shared" ref="BO7:BO15" ca="1" si="22">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10</v>
      </c>
      <c r="DN7" s="317">
        <f t="shared" si="17"/>
        <v>44263</v>
      </c>
      <c r="DO7" s="5">
        <f ca="1">VLOOKUP(IF($DM7&lt;53,$DM7,52),'Summary Calculations (hide)'!$D$15:$F$67,2,0)</f>
        <v>551.5</v>
      </c>
      <c r="DP7" s="5">
        <f ca="1">VLOOKUP(IF($DM7&lt;53,$DM7,52),'Summary Calculations (hide)'!$D$15:$F$67,3,0)</f>
        <v>664</v>
      </c>
      <c r="DQ7" s="5">
        <f ca="1">IF(AND(DN7&gt;='Demand adjustments for Covid'!$F$12,DN7&lt;'Demand adjustments for Covid'!$F$17),'Demand adjustments for Covid'!$F$13,DO7)</f>
        <v>551.5</v>
      </c>
      <c r="DR7" s="5">
        <f t="shared" si="7"/>
        <v>1</v>
      </c>
      <c r="DS7" s="5">
        <f ca="1">IF('Demand adjustments for Covid'!$F$9="Yes",IF(DR7=0,DQ7,((SUM(DR$4:DR7)-1)*$EE$8)+'Demand adjustments for Covid'!F$13),'Demand background (hide)'!DO7)</f>
        <v>551.5</v>
      </c>
      <c r="DT7" s="5">
        <f ca="1">IF('Demand adjustments for Covid'!$F$9="Yes",IF(OR(AND(DN7&gt;='Demand adjustments for Covid'!$F$12,DN7&lt;'Demand adjustments for Covid'!$F$17),DR7=1),DS7+3,DP7),'Demand background (hide)'!DP7)</f>
        <v>664</v>
      </c>
      <c r="DU7" s="5">
        <f ca="1">IF(DS7&lt;='Demand adjustments for Covid'!$F$17,DO7-DS7,0)</f>
        <v>0</v>
      </c>
      <c r="DV7" s="5">
        <f ca="1">IF(AND(ROW(A4)&gt;$EE$5,ROW(A4)&lt;=$EA$5),OFFSET('Demand adjustments for Covid'!$F$35,0,ROW(A4)-'Demand background (hide)'!$EE$5,1,1),0)</f>
        <v>0</v>
      </c>
      <c r="DW7" s="5">
        <f ca="1">IF(AND(ROW(A4)&gt;$EE$5,ROW(A4)&lt;=$EA$5),OFFSET('Demand adjustments for Covid'!$F$36,0,ROW(A4)-'Demand background (hide)'!$EE$5,1,1),0)</f>
        <v>0</v>
      </c>
      <c r="DX7" s="5">
        <f t="shared" ca="1" si="11"/>
        <v>664</v>
      </c>
      <c r="ED7" s="5" t="s">
        <v>1196</v>
      </c>
      <c r="EE7" s="5">
        <f ca="1">INDEX($DO$4:$DO$55,EE5)</f>
        <v>551.5</v>
      </c>
    </row>
    <row r="8" spans="1:135" s="5" customFormat="1" x14ac:dyDescent="0.2">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490</v>
      </c>
      <c r="AM8" s="5">
        <f t="shared" ca="1" si="9"/>
        <v>0</v>
      </c>
      <c r="AN8" s="5" t="str">
        <f>IF(Demand!BE17="Yes","Yes","")</f>
        <v/>
      </c>
      <c r="AP8" s="36" t="str">
        <f ca="1">Demand!B17</f>
        <v xml:space="preserve"> </v>
      </c>
      <c r="AQ8" s="5" t="str">
        <f ca="1">IF(TEXT(Demand!D17,"MMM")&lt;&gt;TEXT(Demand!D16,"MMM"),TEXT(Demand!D17,"MMM"),"")</f>
        <v/>
      </c>
      <c r="AT8" s="5">
        <f t="shared" ca="1" si="12"/>
        <v>260</v>
      </c>
      <c r="BB8" t="str">
        <f>'Control sheet (hide)'!AA5</f>
        <v>Modality 3</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f t="shared" ca="1" si="22"/>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11</v>
      </c>
      <c r="DN8" s="317">
        <f t="shared" si="17"/>
        <v>44270</v>
      </c>
      <c r="DO8" s="5">
        <f ca="1">VLOOKUP(IF($DM8&lt;53,$DM8,52),'Summary Calculations (hide)'!$D$15:$F$67,2,0)</f>
        <v>551.5</v>
      </c>
      <c r="DP8" s="5">
        <f ca="1">VLOOKUP(IF($DM8&lt;53,$DM8,52),'Summary Calculations (hide)'!$D$15:$F$67,3,0)</f>
        <v>664</v>
      </c>
      <c r="DQ8" s="5">
        <f ca="1">IF(AND(DN8&gt;='Demand adjustments for Covid'!$F$12,DN8&lt;'Demand adjustments for Covid'!$F$17),'Demand adjustments for Covid'!$F$13,DO8)</f>
        <v>551.5</v>
      </c>
      <c r="DR8" s="5">
        <f t="shared" si="7"/>
        <v>1</v>
      </c>
      <c r="DS8" s="5">
        <f ca="1">IF('Demand adjustments for Covid'!$F$9="Yes",IF(DR8=0,DQ8,((SUM(DR$4:DR8)-1)*$EE$8)+'Demand adjustments for Covid'!F$13),'Demand background (hide)'!DO8)</f>
        <v>551.5</v>
      </c>
      <c r="DT8" s="5">
        <f ca="1">IF('Demand adjustments for Covid'!$F$9="Yes",IF(OR(AND(DN8&gt;='Demand adjustments for Covid'!$F$12,DN8&lt;'Demand adjustments for Covid'!$F$17),DR8=1),DS8+3,DP8),'Demand background (hide)'!DP8)</f>
        <v>664</v>
      </c>
      <c r="DU8" s="5">
        <f ca="1">IF(DS8&lt;='Demand adjustments for Covid'!$F$17,DO8-DS8,0)</f>
        <v>0</v>
      </c>
      <c r="DV8" s="5">
        <f ca="1">IF(AND(ROW(A5)&gt;$EE$5,ROW(A5)&lt;=$EA$5),OFFSET('Demand adjustments for Covid'!$F$35,0,ROW(A5)-'Demand background (hide)'!$EE$5,1,1),0)</f>
        <v>0</v>
      </c>
      <c r="DW8" s="5">
        <f ca="1">IF(AND(ROW(A5)&gt;$EE$5,ROW(A5)&lt;=$EA$5),OFFSET('Demand adjustments for Covid'!$F$36,0,ROW(A5)-'Demand background (hide)'!$EE$5,1,1),0)</f>
        <v>0</v>
      </c>
      <c r="DX8" s="5">
        <f t="shared" ca="1" si="11"/>
        <v>664</v>
      </c>
      <c r="ED8" s="5" t="s">
        <v>1197</v>
      </c>
      <c r="EE8" s="5">
        <f ca="1">IF('Demand adjustments for Covid'!F18&gt;0,(EE7-'Demand adjustments for Covid'!F13)/'Demand adjustments for Covid'!F18,0)</f>
        <v>17.574999999999999</v>
      </c>
    </row>
    <row r="9" spans="1:135" s="5" customFormat="1" x14ac:dyDescent="0.2">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400</v>
      </c>
      <c r="AM9" s="5">
        <f t="shared" ca="1" si="9"/>
        <v>0</v>
      </c>
      <c r="AN9" s="5" t="str">
        <f>IF(Demand!BE18="Yes","Yes","")</f>
        <v/>
      </c>
      <c r="AP9" s="36" t="str">
        <f ca="1">Demand!B18</f>
        <v xml:space="preserve"> </v>
      </c>
      <c r="AQ9" s="5" t="str">
        <f ca="1">IF(TEXT(Demand!D18,"MMM")&lt;&gt;TEXT(Demand!D17,"MMM"),TEXT(Demand!D18,"MMM"),"")</f>
        <v>May</v>
      </c>
      <c r="AT9" s="5">
        <f t="shared" ca="1" si="12"/>
        <v>90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f t="shared" ca="1" si="22"/>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12</v>
      </c>
      <c r="DN9" s="317">
        <f t="shared" si="17"/>
        <v>44277</v>
      </c>
      <c r="DO9" s="5">
        <f ca="1">VLOOKUP(IF($DM9&lt;53,$DM9,52),'Summary Calculations (hide)'!$D$15:$F$67,2,0)</f>
        <v>551.5</v>
      </c>
      <c r="DP9" s="5">
        <f ca="1">VLOOKUP(IF($DM9&lt;53,$DM9,52),'Summary Calculations (hide)'!$D$15:$F$67,3,0)</f>
        <v>664</v>
      </c>
      <c r="DQ9" s="5">
        <f ca="1">IF(AND(DN9&gt;='Demand adjustments for Covid'!$F$12,DN9&lt;'Demand adjustments for Covid'!$F$17),'Demand adjustments for Covid'!$F$13,DO9)</f>
        <v>551.5</v>
      </c>
      <c r="DR9" s="5">
        <f t="shared" si="7"/>
        <v>1</v>
      </c>
      <c r="DS9" s="5">
        <f ca="1">IF('Demand adjustments for Covid'!$F$9="Yes",IF(DR9=0,DQ9,((SUM(DR$4:DR9)-1)*$EE$8)+'Demand adjustments for Covid'!F$13),'Demand background (hide)'!DO9)</f>
        <v>551.5</v>
      </c>
      <c r="DT9" s="5">
        <f ca="1">IF('Demand adjustments for Covid'!$F$9="Yes",IF(OR(AND(DN9&gt;='Demand adjustments for Covid'!$F$12,DN9&lt;'Demand adjustments for Covid'!$F$17),DR9=1),DS9+3,DP9),'Demand background (hide)'!DP9)</f>
        <v>664</v>
      </c>
      <c r="DU9" s="5">
        <f ca="1">IF(DS9&lt;='Demand adjustments for Covid'!$F$17,DO9-DS9,0)</f>
        <v>0</v>
      </c>
      <c r="DV9" s="5">
        <f ca="1">IF(AND(ROW(A6)&gt;$EE$5,ROW(A6)&lt;=$EA$5),OFFSET('Demand adjustments for Covid'!$F$35,0,ROW(A6)-'Demand background (hide)'!$EE$5,1,1),0)</f>
        <v>0</v>
      </c>
      <c r="DW9" s="5">
        <f ca="1">IF(AND(ROW(A6)&gt;$EE$5,ROW(A6)&lt;=$EA$5),OFFSET('Demand adjustments for Covid'!$F$36,0,ROW(A6)-'Demand background (hide)'!$EE$5,1,1),0)</f>
        <v>0</v>
      </c>
      <c r="DX9" s="5">
        <f t="shared" ca="1" si="11"/>
        <v>664</v>
      </c>
    </row>
    <row r="10" spans="1:135" s="5" customFormat="1" x14ac:dyDescent="0.2">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590</v>
      </c>
      <c r="AM10" s="5">
        <f t="shared" ca="1" si="9"/>
        <v>0</v>
      </c>
      <c r="AN10" s="5" t="str">
        <f>IF(Demand!BE19="Yes","Yes","")</f>
        <v/>
      </c>
      <c r="AP10" s="36" t="str">
        <f ca="1">Demand!B19</f>
        <v xml:space="preserve"> </v>
      </c>
      <c r="AQ10" s="5" t="str">
        <f ca="1">IF(TEXT(Demand!D19,"MMM")&lt;&gt;TEXT(Demand!D18,"MMM"),TEXT(Demand!D19,"MMM"),"")</f>
        <v/>
      </c>
      <c r="AT10" s="5">
        <f t="shared" ca="1" si="12"/>
        <v>190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f t="shared" ca="1" si="22"/>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13</v>
      </c>
      <c r="DN10" s="317">
        <f t="shared" si="17"/>
        <v>44284</v>
      </c>
      <c r="DO10" s="5">
        <f ca="1">VLOOKUP(IF($DM10&lt;53,$DM10,52),'Summary Calculations (hide)'!$D$15:$F$67,2,0)</f>
        <v>551.5</v>
      </c>
      <c r="DP10" s="5">
        <f ca="1">VLOOKUP(IF($DM10&lt;53,$DM10,52),'Summary Calculations (hide)'!$D$15:$F$67,3,0)</f>
        <v>664</v>
      </c>
      <c r="DQ10" s="5">
        <f ca="1">IF(AND(DN10&gt;='Demand adjustments for Covid'!$F$12,DN10&lt;'Demand adjustments for Covid'!$F$17),'Demand adjustments for Covid'!$F$13,DO10)</f>
        <v>551.5</v>
      </c>
      <c r="DR10" s="5">
        <f t="shared" si="7"/>
        <v>1</v>
      </c>
      <c r="DS10" s="5">
        <f ca="1">IF('Demand adjustments for Covid'!$F$9="Yes",IF(DR10=0,DQ10,((SUM(DR$4:DR10)-1)*$EE$8)+'Demand adjustments for Covid'!F$13),'Demand background (hide)'!DO10)</f>
        <v>551.5</v>
      </c>
      <c r="DT10" s="5">
        <f ca="1">IF('Demand adjustments for Covid'!$F$9="Yes",IF(OR(AND(DN10&gt;='Demand adjustments for Covid'!$F$12,DN10&lt;'Demand adjustments for Covid'!$F$17),DR10=1),DS10+3,DP10),'Demand background (hide)'!DP10)</f>
        <v>664</v>
      </c>
      <c r="DU10" s="5">
        <f ca="1">IF(DS10&lt;='Demand adjustments for Covid'!$F$17,DO10-DS10,0)</f>
        <v>0</v>
      </c>
      <c r="DV10" s="5">
        <f ca="1">IF(AND(ROW(A7)&gt;$EE$5,ROW(A7)&lt;=$EA$5),OFFSET('Demand adjustments for Covid'!$F$35,0,ROW(A7)-'Demand background (hide)'!$EE$5,1,1),0)</f>
        <v>0</v>
      </c>
      <c r="DW10" s="5">
        <f ca="1">IF(AND(ROW(A7)&gt;$EE$5,ROW(A7)&lt;=$EA$5),OFFSET('Demand adjustments for Covid'!$F$36,0,ROW(A7)-'Demand background (hide)'!$EE$5,1,1),0)</f>
        <v>0</v>
      </c>
      <c r="DX10" s="5">
        <f t="shared" ca="1" si="11"/>
        <v>664</v>
      </c>
      <c r="ED10" s="5" t="s">
        <v>1200</v>
      </c>
      <c r="EE10" s="5">
        <f ca="1">SUM(DU4:DU55)</f>
        <v>0</v>
      </c>
    </row>
    <row r="11" spans="1:135" s="5" customFormat="1" x14ac:dyDescent="0.2">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450</v>
      </c>
      <c r="AM11" s="5">
        <f t="shared" ca="1" si="9"/>
        <v>0</v>
      </c>
      <c r="AN11" s="5" t="str">
        <f>IF(Demand!BE20="Yes","Yes","")</f>
        <v/>
      </c>
      <c r="AP11" s="36" t="str">
        <f ca="1">Demand!B20</f>
        <v xml:space="preserve"> </v>
      </c>
      <c r="AQ11" s="5" t="str">
        <f ca="1">IF(TEXT(Demand!D20,"MMM")&lt;&gt;TEXT(Demand!D19,"MMM"),TEXT(Demand!D20,"MMM"),"")</f>
        <v/>
      </c>
      <c r="AT11" s="5">
        <f t="shared" ca="1" si="12"/>
        <v>140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f t="shared" ca="1" si="22"/>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14</v>
      </c>
      <c r="DN11" s="317">
        <f t="shared" si="17"/>
        <v>44291</v>
      </c>
      <c r="DO11" s="5">
        <f ca="1">VLOOKUP(IF($DM11&lt;53,$DM11,52),'Summary Calculations (hide)'!$D$15:$F$67,2,0)</f>
        <v>551.5</v>
      </c>
      <c r="DP11" s="5">
        <f ca="1">VLOOKUP(IF($DM11&lt;53,$DM11,52),'Summary Calculations (hide)'!$D$15:$F$67,3,0)</f>
        <v>664</v>
      </c>
      <c r="DQ11" s="5">
        <f ca="1">IF(AND(DN11&gt;='Demand adjustments for Covid'!$F$12,DN11&lt;'Demand adjustments for Covid'!$F$17),'Demand adjustments for Covid'!$F$13,DO11)</f>
        <v>551.5</v>
      </c>
      <c r="DR11" s="5">
        <f t="shared" si="7"/>
        <v>1</v>
      </c>
      <c r="DS11" s="5">
        <f ca="1">IF('Demand adjustments for Covid'!$F$9="Yes",IF(DR11=0,DQ11,((SUM(DR$4:DR11)-1)*$EE$8)+'Demand adjustments for Covid'!F$13),'Demand background (hide)'!DO11)</f>
        <v>551.5</v>
      </c>
      <c r="DT11" s="5">
        <f ca="1">IF('Demand adjustments for Covid'!$F$9="Yes",IF(OR(AND(DN11&gt;='Demand adjustments for Covid'!$F$12,DN11&lt;'Demand adjustments for Covid'!$F$17),DR11=1),DS11+3,DP11),'Demand background (hide)'!DP11)</f>
        <v>664</v>
      </c>
      <c r="DU11" s="5">
        <f ca="1">IF(DS11&lt;='Demand adjustments for Covid'!$F$17,DO11-DS11,0)</f>
        <v>0</v>
      </c>
      <c r="DV11" s="5">
        <f ca="1">IF(AND(ROW(A8)&gt;$EE$5,ROW(A8)&lt;=$EA$5),OFFSET('Demand adjustments for Covid'!$F$35,0,ROW(A8)-'Demand background (hide)'!$EE$5,1,1),0)</f>
        <v>0</v>
      </c>
      <c r="DW11" s="5">
        <f ca="1">IF(AND(ROW(A8)&gt;$EE$5,ROW(A8)&lt;=$EA$5),OFFSET('Demand adjustments for Covid'!$F$36,0,ROW(A8)-'Demand background (hide)'!$EE$5,1,1),0)</f>
        <v>0</v>
      </c>
      <c r="DX11" s="5">
        <f t="shared" ca="1" si="11"/>
        <v>664</v>
      </c>
    </row>
    <row r="12" spans="1:135" s="5" customFormat="1" x14ac:dyDescent="0.2">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260</v>
      </c>
      <c r="AM12" s="5">
        <f t="shared" ca="1" si="9"/>
        <v>0</v>
      </c>
      <c r="AN12" s="5" t="str">
        <f>IF(Demand!BE21="Yes","Yes","")</f>
        <v/>
      </c>
      <c r="AP12" s="36" t="str">
        <f ca="1">Demand!B21</f>
        <v xml:space="preserve"> </v>
      </c>
      <c r="AQ12" s="5" t="str">
        <f ca="1">IF(TEXT(Demand!D21,"MMM")&lt;&gt;TEXT(Demand!D20,"MMM"),TEXT(Demand!D21,"MMM"),"")</f>
        <v/>
      </c>
      <c r="AT12" s="5">
        <f t="shared" ca="1" si="12"/>
        <v>190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f t="shared" ca="1" si="22"/>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15</v>
      </c>
      <c r="DN12" s="317">
        <f t="shared" si="17"/>
        <v>44298</v>
      </c>
      <c r="DO12" s="5">
        <f ca="1">VLOOKUP(IF($DM12&lt;53,$DM12,52),'Summary Calculations (hide)'!$D$15:$F$67,2,0)</f>
        <v>551.5</v>
      </c>
      <c r="DP12" s="5">
        <f ca="1">VLOOKUP(IF($DM12&lt;53,$DM12,52),'Summary Calculations (hide)'!$D$15:$F$67,3,0)</f>
        <v>664</v>
      </c>
      <c r="DQ12" s="5">
        <f ca="1">IF(AND(DN12&gt;='Demand adjustments for Covid'!$F$12,DN12&lt;'Demand adjustments for Covid'!$F$17),'Demand adjustments for Covid'!$F$13,DO12)</f>
        <v>551.5</v>
      </c>
      <c r="DR12" s="5">
        <f t="shared" si="7"/>
        <v>1</v>
      </c>
      <c r="DS12" s="5">
        <f ca="1">IF('Demand adjustments for Covid'!$F$9="Yes",IF(DR12=0,DQ12,((SUM(DR$4:DR12)-1)*$EE$8)+'Demand adjustments for Covid'!F$13),'Demand background (hide)'!DO12)</f>
        <v>551.5</v>
      </c>
      <c r="DT12" s="5">
        <f ca="1">IF('Demand adjustments for Covid'!$F$9="Yes",IF(OR(AND(DN12&gt;='Demand adjustments for Covid'!$F$12,DN12&lt;'Demand adjustments for Covid'!$F$17),DR12=1),DS12+3,DP12),'Demand background (hide)'!DP12)</f>
        <v>664</v>
      </c>
      <c r="DU12" s="5">
        <f ca="1">IF(DS12&lt;='Demand adjustments for Covid'!$F$17,DO12-DS12,0)</f>
        <v>0</v>
      </c>
      <c r="DV12" s="5">
        <f ca="1">IF(AND(ROW(A9)&gt;$EE$5,ROW(A9)&lt;=$EA$5),OFFSET('Demand adjustments for Covid'!$F$35,0,ROW(A9)-'Demand background (hide)'!$EE$5,1,1),0)</f>
        <v>0</v>
      </c>
      <c r="DW12" s="5">
        <f ca="1">IF(AND(ROW(A9)&gt;$EE$5,ROW(A9)&lt;=$EA$5),OFFSET('Demand adjustments for Covid'!$F$36,0,ROW(A9)-'Demand background (hide)'!$EE$5,1,1),0)</f>
        <v>0</v>
      </c>
      <c r="DX12" s="5">
        <f t="shared" ca="1" si="11"/>
        <v>664</v>
      </c>
    </row>
    <row r="13" spans="1:135" s="5" customFormat="1" x14ac:dyDescent="0.2">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600</v>
      </c>
      <c r="AM13" s="5">
        <f t="shared" ca="1" si="9"/>
        <v>0</v>
      </c>
      <c r="AN13" s="5" t="str">
        <f>IF(Demand!BE22="Yes","Yes","")</f>
        <v/>
      </c>
      <c r="AP13" s="36" t="str">
        <f ca="1">Demand!B22</f>
        <v xml:space="preserve"> </v>
      </c>
      <c r="AQ13" s="5" t="str">
        <f ca="1">IF(TEXT(Demand!D22,"MMM")&lt;&gt;TEXT(Demand!D21,"MMM"),TEXT(Demand!D22,"MMM"),"")</f>
        <v/>
      </c>
      <c r="AT13" s="5">
        <f t="shared" ca="1" si="12"/>
        <v>340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f t="shared" ca="1" si="22"/>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16</v>
      </c>
      <c r="DN13" s="317">
        <f t="shared" si="17"/>
        <v>44305</v>
      </c>
      <c r="DO13" s="5">
        <f ca="1">VLOOKUP(IF($DM13&lt;53,$DM13,52),'Summary Calculations (hide)'!$D$15:$F$67,2,0)</f>
        <v>551.5</v>
      </c>
      <c r="DP13" s="5">
        <f ca="1">VLOOKUP(IF($DM13&lt;53,$DM13,52),'Summary Calculations (hide)'!$D$15:$F$67,3,0)</f>
        <v>664</v>
      </c>
      <c r="DQ13" s="5">
        <f ca="1">IF(AND(DN13&gt;='Demand adjustments for Covid'!$F$12,DN13&lt;'Demand adjustments for Covid'!$F$17),'Demand adjustments for Covid'!$F$13,DO13)</f>
        <v>551.5</v>
      </c>
      <c r="DR13" s="5">
        <f t="shared" si="7"/>
        <v>1</v>
      </c>
      <c r="DS13" s="5">
        <f ca="1">IF('Demand adjustments for Covid'!$F$9="Yes",IF(DR13=0,DQ13,((SUM(DR$4:DR13)-1)*$EE$8)+'Demand adjustments for Covid'!F$13),'Demand background (hide)'!DO13)</f>
        <v>551.5</v>
      </c>
      <c r="DT13" s="5">
        <f ca="1">IF('Demand adjustments for Covid'!$F$9="Yes",IF(OR(AND(DN13&gt;='Demand adjustments for Covid'!$F$12,DN13&lt;'Demand adjustments for Covid'!$F$17),DR13=1),DS13+3,DP13),'Demand background (hide)'!DP13)</f>
        <v>664</v>
      </c>
      <c r="DU13" s="5">
        <f ca="1">IF(DS13&lt;='Demand adjustments for Covid'!$F$17,DO13-DS13,0)</f>
        <v>0</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664</v>
      </c>
    </row>
    <row r="14" spans="1:135" s="5" customFormat="1" x14ac:dyDescent="0.2">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680</v>
      </c>
      <c r="AM14" s="5">
        <f t="shared" ca="1" si="9"/>
        <v>0</v>
      </c>
      <c r="AN14" s="5" t="str">
        <f>IF(Demand!BE23="Yes","Yes","")</f>
        <v/>
      </c>
      <c r="AP14" s="36" t="str">
        <f ca="1">Demand!B23</f>
        <v xml:space="preserve"> </v>
      </c>
      <c r="AQ14" s="5" t="str">
        <f ca="1">IF(TEXT(Demand!D23,"MMM")&lt;&gt;TEXT(Demand!D22,"MMM"),TEXT(Demand!D23,"MMM"),"")</f>
        <v>Jun</v>
      </c>
      <c r="AT14" s="5">
        <f t="shared" ca="1" si="12"/>
        <v>80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f t="shared" ca="1" si="22"/>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17</v>
      </c>
      <c r="DN14" s="317">
        <f t="shared" si="17"/>
        <v>44312</v>
      </c>
      <c r="DO14" s="5">
        <f ca="1">VLOOKUP(IF($DM14&lt;53,$DM14,52),'Summary Calculations (hide)'!$D$15:$F$67,2,0)</f>
        <v>551.5</v>
      </c>
      <c r="DP14" s="5">
        <f ca="1">VLOOKUP(IF($DM14&lt;53,$DM14,52),'Summary Calculations (hide)'!$D$15:$F$67,3,0)</f>
        <v>664</v>
      </c>
      <c r="DQ14" s="5">
        <f ca="1">IF(AND(DN14&gt;='Demand adjustments for Covid'!$F$12,DN14&lt;'Demand adjustments for Covid'!$F$17),'Demand adjustments for Covid'!$F$13,DO14)</f>
        <v>551.5</v>
      </c>
      <c r="DR14" s="5">
        <f t="shared" si="7"/>
        <v>1</v>
      </c>
      <c r="DS14" s="5">
        <f ca="1">IF('Demand adjustments for Covid'!$F$9="Yes",IF(DR14=0,DQ14,((SUM(DR$4:DR14)-1)*$EE$8)+'Demand adjustments for Covid'!F$13),'Demand background (hide)'!DO14)</f>
        <v>551.5</v>
      </c>
      <c r="DT14" s="5">
        <f ca="1">IF('Demand adjustments for Covid'!$F$9="Yes",IF(OR(AND(DN14&gt;='Demand adjustments for Covid'!$F$12,DN14&lt;'Demand adjustments for Covid'!$F$17),DR14=1),DS14+3,DP14),'Demand background (hide)'!DP14)</f>
        <v>664</v>
      </c>
      <c r="DU14" s="5">
        <f ca="1">IF(DS14&lt;='Demand adjustments for Covid'!$F$17,DO14-DS14,0)</f>
        <v>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664</v>
      </c>
    </row>
    <row r="15" spans="1:135" s="5" customFormat="1" x14ac:dyDescent="0.2">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350</v>
      </c>
      <c r="AM15" s="5">
        <f t="shared" ca="1" si="9"/>
        <v>0</v>
      </c>
      <c r="AN15" s="5" t="str">
        <f>IF(Demand!BE24="Yes","Yes","")</f>
        <v/>
      </c>
      <c r="AP15" s="36" t="str">
        <f ca="1">Demand!B24</f>
        <v xml:space="preserve"> </v>
      </c>
      <c r="AQ15" s="5" t="str">
        <f ca="1">IF(TEXT(Demand!D24,"MMM")&lt;&gt;TEXT(Demand!D23,"MMM"),TEXT(Demand!D24,"MMM"),"")</f>
        <v/>
      </c>
      <c r="AT15" s="5">
        <f t="shared" ca="1" si="12"/>
        <v>330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f t="shared" ca="1" si="22"/>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18</v>
      </c>
      <c r="DN15" s="317">
        <f t="shared" si="17"/>
        <v>44319</v>
      </c>
      <c r="DO15" s="5">
        <f ca="1">VLOOKUP(IF($DM15&lt;53,$DM15,52),'Summary Calculations (hide)'!$D$15:$F$67,2,0)</f>
        <v>551.5</v>
      </c>
      <c r="DP15" s="5">
        <f ca="1">VLOOKUP(IF($DM15&lt;53,$DM15,52),'Summary Calculations (hide)'!$D$15:$F$67,3,0)</f>
        <v>664</v>
      </c>
      <c r="DQ15" s="5">
        <f ca="1">IF(AND(DN15&gt;='Demand adjustments for Covid'!$F$12,DN15&lt;'Demand adjustments for Covid'!$F$17),'Demand adjustments for Covid'!$F$13,DO15)</f>
        <v>551.5</v>
      </c>
      <c r="DR15" s="5">
        <f t="shared" si="7"/>
        <v>1</v>
      </c>
      <c r="DS15" s="5">
        <f ca="1">IF('Demand adjustments for Covid'!$F$9="Yes",IF(DR15=0,DQ15,((SUM(DR$4:DR15)-1)*$EE$8)+'Demand adjustments for Covid'!F$13),'Demand background (hide)'!DO15)</f>
        <v>551.5</v>
      </c>
      <c r="DT15" s="5">
        <f ca="1">IF('Demand adjustments for Covid'!$F$9="Yes",IF(OR(AND(DN15&gt;='Demand adjustments for Covid'!$F$12,DN15&lt;'Demand adjustments for Covid'!$F$17),DR15=1),DS15+3,DP15),'Demand background (hide)'!DP15)</f>
        <v>664</v>
      </c>
      <c r="DU15" s="5">
        <f ca="1">IF(DS15&lt;='Demand adjustments for Covid'!$F$17,DO15-DS15,0)</f>
        <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664</v>
      </c>
    </row>
    <row r="16" spans="1:135" s="5" customFormat="1" x14ac:dyDescent="0.2">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400</v>
      </c>
      <c r="AM16" s="5">
        <f t="shared" ca="1" si="9"/>
        <v>0</v>
      </c>
      <c r="AN16" s="5" t="str">
        <f>IF(Demand!BE25="Yes","Yes","")</f>
        <v/>
      </c>
      <c r="AP16" s="36" t="str">
        <f ca="1">Demand!B25</f>
        <v xml:space="preserve"> </v>
      </c>
      <c r="AQ16" s="5" t="str">
        <f ca="1">IF(TEXT(Demand!D25,"MMM")&lt;&gt;TEXT(Demand!D24,"MMM"),TEXT(Demand!D25,"MMM"),"")</f>
        <v/>
      </c>
      <c r="AT16" s="5">
        <f t="shared" ca="1" si="12"/>
        <v>50</v>
      </c>
      <c r="BB16" s="5" t="s">
        <v>24</v>
      </c>
      <c r="BC16" s="46">
        <f ca="1">BJ16/$BM16</f>
        <v>0</v>
      </c>
      <c r="BD16" s="46">
        <f ca="1">BK16/$BM16</f>
        <v>0.21756021756021757</v>
      </c>
      <c r="BE16" s="46">
        <f ca="1">BL16/$BM16</f>
        <v>0.78243978243978241</v>
      </c>
      <c r="BF16" s="5">
        <f t="shared" ref="BF16:BM16" ca="1" si="31">SUM(OFFSET(BF$6,0,0,Num_Modalities,1))</f>
        <v>0</v>
      </c>
      <c r="BG16" s="5">
        <f t="shared" ca="1" si="31"/>
        <v>150</v>
      </c>
      <c r="BH16" s="5">
        <f t="shared" ca="1" si="31"/>
        <v>546</v>
      </c>
      <c r="BI16" s="5">
        <f t="shared" ca="1" si="31"/>
        <v>696</v>
      </c>
      <c r="BJ16" s="5">
        <f t="shared" ca="1" si="31"/>
        <v>0</v>
      </c>
      <c r="BK16" s="5">
        <f t="shared" ca="1" si="31"/>
        <v>5600</v>
      </c>
      <c r="BL16" s="5">
        <f t="shared" ca="1" si="31"/>
        <v>20140</v>
      </c>
      <c r="BM16" s="5">
        <f t="shared" ca="1" si="31"/>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19</v>
      </c>
      <c r="DN16" s="317">
        <f t="shared" si="17"/>
        <v>44326</v>
      </c>
      <c r="DO16" s="5">
        <f ca="1">VLOOKUP(IF($DM16&lt;53,$DM16,52),'Summary Calculations (hide)'!$D$15:$F$67,2,0)</f>
        <v>551.5</v>
      </c>
      <c r="DP16" s="5">
        <f ca="1">VLOOKUP(IF($DM16&lt;53,$DM16,52),'Summary Calculations (hide)'!$D$15:$F$67,3,0)</f>
        <v>664</v>
      </c>
      <c r="DQ16" s="5">
        <f ca="1">IF(AND(DN16&gt;='Demand adjustments for Covid'!$F$12,DN16&lt;'Demand adjustments for Covid'!$F$17),'Demand adjustments for Covid'!$F$13,DO16)</f>
        <v>551.5</v>
      </c>
      <c r="DR16" s="5">
        <f t="shared" si="7"/>
        <v>1</v>
      </c>
      <c r="DS16" s="5">
        <f ca="1">IF('Demand adjustments for Covid'!$F$9="Yes",IF(DR16=0,DQ16,((SUM(DR$4:DR16)-1)*$EE$8)+'Demand adjustments for Covid'!F$13),'Demand background (hide)'!DO16)</f>
        <v>551.5</v>
      </c>
      <c r="DT16" s="5">
        <f ca="1">IF('Demand adjustments for Covid'!$F$9="Yes",IF(OR(AND(DN16&gt;='Demand adjustments for Covid'!$F$12,DN16&lt;'Demand adjustments for Covid'!$F$17),DR16=1),DS16+3,DP16),'Demand background (hide)'!DP16)</f>
        <v>664</v>
      </c>
      <c r="DU16" s="5">
        <f ca="1">IF(DS16&lt;='Demand adjustments for Covid'!$F$17,DO16-DS16,0)</f>
        <v>0</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664</v>
      </c>
    </row>
    <row r="17" spans="1:128" s="5" customFormat="1" x14ac:dyDescent="0.2">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670</v>
      </c>
      <c r="AM17" s="5">
        <f t="shared" ca="1" si="9"/>
        <v>0</v>
      </c>
      <c r="AN17" s="5" t="str">
        <f>IF(Demand!BE26="Yes","Yes","")</f>
        <v/>
      </c>
      <c r="AP17" s="36" t="str">
        <f ca="1">Demand!B26</f>
        <v xml:space="preserve"> </v>
      </c>
      <c r="AQ17" s="5" t="str">
        <f ca="1">IF(TEXT(Demand!D26,"MMM")&lt;&gt;TEXT(Demand!D25,"MMM"),TEXT(Demand!D26,"MMM"),"")</f>
        <v/>
      </c>
      <c r="AT17" s="5">
        <f t="shared" ca="1" si="12"/>
        <v>270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20</v>
      </c>
      <c r="DN17" s="317">
        <f t="shared" si="17"/>
        <v>44333</v>
      </c>
      <c r="DO17" s="5">
        <f ca="1">VLOOKUP(IF($DM17&lt;53,$DM17,52),'Summary Calculations (hide)'!$D$15:$F$67,2,0)</f>
        <v>551.5</v>
      </c>
      <c r="DP17" s="5">
        <f ca="1">VLOOKUP(IF($DM17&lt;53,$DM17,52),'Summary Calculations (hide)'!$D$15:$F$67,3,0)</f>
        <v>664</v>
      </c>
      <c r="DQ17" s="5">
        <f ca="1">IF(AND(DN17&gt;='Demand adjustments for Covid'!$F$12,DN17&lt;'Demand adjustments for Covid'!$F$17),'Demand adjustments for Covid'!$F$13,DO17)</f>
        <v>551.5</v>
      </c>
      <c r="DR17" s="5">
        <f t="shared" si="7"/>
        <v>1</v>
      </c>
      <c r="DS17" s="5">
        <f ca="1">IF('Demand adjustments for Covid'!$F$9="Yes",IF(DR17=0,DQ17,((SUM(DR$4:DR17)-1)*$EE$8)+'Demand adjustments for Covid'!F$13),'Demand background (hide)'!DO17)</f>
        <v>551.5</v>
      </c>
      <c r="DT17" s="5">
        <f ca="1">IF('Demand adjustments for Covid'!$F$9="Yes",IF(OR(AND(DN17&gt;='Demand adjustments for Covid'!$F$12,DN17&lt;'Demand adjustments for Covid'!$F$17),DR17=1),DS17+3,DP17),'Demand background (hide)'!DP17)</f>
        <v>664</v>
      </c>
      <c r="DU17" s="5">
        <f ca="1">IF(DS17&lt;='Demand adjustments for Covid'!$F$17,DO17-DS17,0)</f>
        <v>0</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664</v>
      </c>
    </row>
    <row r="18" spans="1:128" s="5" customFormat="1" x14ac:dyDescent="0.2">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530</v>
      </c>
      <c r="AM18" s="5">
        <f t="shared" ca="1" si="9"/>
        <v>0</v>
      </c>
      <c r="AN18" s="5" t="str">
        <f>IF(Demand!BE27="Yes","Yes","")</f>
        <v/>
      </c>
      <c r="AP18" s="36" t="str">
        <f ca="1">Demand!B27</f>
        <v xml:space="preserve"> </v>
      </c>
      <c r="AQ18" s="5" t="str">
        <f ca="1">IF(TEXT(Demand!D27,"MMM")&lt;&gt;TEXT(Demand!D26,"MMM"),TEXT(Demand!D27,"MMM"),"")</f>
        <v>Jul</v>
      </c>
      <c r="AT18" s="5">
        <f t="shared" ca="1" si="12"/>
        <v>140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21</v>
      </c>
      <c r="DN18" s="317">
        <f t="shared" si="17"/>
        <v>44340</v>
      </c>
      <c r="DO18" s="5">
        <f ca="1">VLOOKUP(IF($DM18&lt;53,$DM18,52),'Summary Calculations (hide)'!$D$15:$F$67,2,0)</f>
        <v>551.5</v>
      </c>
      <c r="DP18" s="5">
        <f ca="1">VLOOKUP(IF($DM18&lt;53,$DM18,52),'Summary Calculations (hide)'!$D$15:$F$67,3,0)</f>
        <v>664</v>
      </c>
      <c r="DQ18" s="5">
        <f ca="1">IF(AND(DN18&gt;='Demand adjustments for Covid'!$F$12,DN18&lt;'Demand adjustments for Covid'!$F$17),'Demand adjustments for Covid'!$F$13,DO18)</f>
        <v>551.5</v>
      </c>
      <c r="DR18" s="5">
        <f t="shared" si="7"/>
        <v>1</v>
      </c>
      <c r="DS18" s="5">
        <f ca="1">IF('Demand adjustments for Covid'!$F$9="Yes",IF(DR18=0,DQ18,((SUM(DR$4:DR18)-1)*$EE$8)+'Demand adjustments for Covid'!F$13),'Demand background (hide)'!DO18)</f>
        <v>551.5</v>
      </c>
      <c r="DT18" s="5">
        <f ca="1">IF('Demand adjustments for Covid'!$F$9="Yes",IF(OR(AND(DN18&gt;='Demand adjustments for Covid'!$F$12,DN18&lt;'Demand adjustments for Covid'!$F$17),DR18=1),DS18+3,DP18),'Demand background (hide)'!DP18)</f>
        <v>664</v>
      </c>
      <c r="DU18" s="5">
        <f ca="1">IF(DS18&lt;='Demand adjustments for Covid'!$F$17,DO18-DS18,0)</f>
        <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664</v>
      </c>
    </row>
    <row r="19" spans="1:128" s="5" customFormat="1" x14ac:dyDescent="0.2">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510</v>
      </c>
      <c r="AM19" s="5">
        <f t="shared" ca="1" si="9"/>
        <v>0</v>
      </c>
      <c r="AN19" s="5" t="str">
        <f>IF(Demand!BE28="Yes","Yes","")</f>
        <v/>
      </c>
      <c r="AP19" s="36" t="str">
        <f ca="1">Demand!B28</f>
        <v xml:space="preserve"> </v>
      </c>
      <c r="AQ19" s="5" t="str">
        <f ca="1">IF(TEXT(Demand!D28,"MMM")&lt;&gt;TEXT(Demand!D27,"MMM"),TEXT(Demand!D28,"MMM"),"")</f>
        <v/>
      </c>
      <c r="AT19" s="5">
        <f t="shared" ca="1" si="12"/>
        <v>20</v>
      </c>
      <c r="AV19" s="5" t="s">
        <v>107</v>
      </c>
      <c r="AW19" s="44"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22</v>
      </c>
      <c r="DN19" s="317">
        <f t="shared" si="17"/>
        <v>44347</v>
      </c>
      <c r="DO19" s="5">
        <f ca="1">VLOOKUP(IF($DM19&lt;53,$DM19,52),'Summary Calculations (hide)'!$D$15:$F$67,2,0)</f>
        <v>551.5</v>
      </c>
      <c r="DP19" s="5">
        <f ca="1">VLOOKUP(IF($DM19&lt;53,$DM19,52),'Summary Calculations (hide)'!$D$15:$F$67,3,0)</f>
        <v>664</v>
      </c>
      <c r="DQ19" s="5">
        <f ca="1">IF(AND(DN19&gt;='Demand adjustments for Covid'!$F$12,DN19&lt;'Demand adjustments for Covid'!$F$17),'Demand adjustments for Covid'!$F$13,DO19)</f>
        <v>551.5</v>
      </c>
      <c r="DR19" s="5">
        <f t="shared" si="7"/>
        <v>1</v>
      </c>
      <c r="DS19" s="5">
        <f ca="1">IF('Demand adjustments for Covid'!$F$9="Yes",IF(DR19=0,DQ19,((SUM(DR$4:DR19)-1)*$EE$8)+'Demand adjustments for Covid'!F$13),'Demand background (hide)'!DO19)</f>
        <v>551.5</v>
      </c>
      <c r="DT19" s="5">
        <f ca="1">IF('Demand adjustments for Covid'!$F$9="Yes",IF(OR(AND(DN19&gt;='Demand adjustments for Covid'!$F$12,DN19&lt;'Demand adjustments for Covid'!$F$17),DR19=1),DS19+3,DP19),'Demand background (hide)'!DP19)</f>
        <v>664</v>
      </c>
      <c r="DU19" s="5">
        <f ca="1">IF(DS19&lt;='Demand adjustments for Covid'!$F$17,DO19-DS19,0)</f>
        <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664</v>
      </c>
    </row>
    <row r="20" spans="1:128" s="5" customFormat="1" x14ac:dyDescent="0.2">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600</v>
      </c>
      <c r="AM20" s="5">
        <f t="shared" ca="1" si="9"/>
        <v>0</v>
      </c>
      <c r="AN20" s="5" t="str">
        <f>IF(Demand!BE29="Yes","Yes","")</f>
        <v/>
      </c>
      <c r="AP20" s="36" t="str">
        <f ca="1">Demand!B29</f>
        <v xml:space="preserve"> </v>
      </c>
      <c r="AQ20" s="5" t="str">
        <f ca="1">IF(TEXT(Demand!D29,"MMM")&lt;&gt;TEXT(Demand!D28,"MMM"),TEXT(Demand!D29,"MMM"),"")</f>
        <v/>
      </c>
      <c r="AT20" s="5">
        <f t="shared" ca="1" si="12"/>
        <v>90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v>
      </c>
      <c r="BK20" s="46">
        <f ca="1">BK18/BM18</f>
        <v>0.21756021756021757</v>
      </c>
      <c r="BL20" s="46">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23</v>
      </c>
      <c r="DN20" s="317">
        <f t="shared" si="17"/>
        <v>44354</v>
      </c>
      <c r="DO20" s="5">
        <f ca="1">VLOOKUP(IF($DM20&lt;53,$DM20,52),'Summary Calculations (hide)'!$D$15:$F$67,2,0)</f>
        <v>551.5</v>
      </c>
      <c r="DP20" s="5">
        <f ca="1">VLOOKUP(IF($DM20&lt;53,$DM20,52),'Summary Calculations (hide)'!$D$15:$F$67,3,0)</f>
        <v>664</v>
      </c>
      <c r="DQ20" s="5">
        <f ca="1">IF(AND(DN20&gt;='Demand adjustments for Covid'!$F$12,DN20&lt;'Demand adjustments for Covid'!$F$17),'Demand adjustments for Covid'!$F$13,DO20)</f>
        <v>551.5</v>
      </c>
      <c r="DR20" s="5">
        <f t="shared" si="7"/>
        <v>1</v>
      </c>
      <c r="DS20" s="5">
        <f ca="1">IF('Demand adjustments for Covid'!$F$9="Yes",IF(DR20=0,DQ20,((SUM(DR$4:DR20)-1)*$EE$8)+'Demand adjustments for Covid'!F$13),'Demand background (hide)'!DO20)</f>
        <v>551.5</v>
      </c>
      <c r="DT20" s="5">
        <f ca="1">IF('Demand adjustments for Covid'!$F$9="Yes",IF(OR(AND(DN20&gt;='Demand adjustments for Covid'!$F$12,DN20&lt;'Demand adjustments for Covid'!$F$17),DR20=1),DS20+3,DP20),'Demand background (hide)'!DP20)</f>
        <v>664</v>
      </c>
      <c r="DU20" s="5">
        <f ca="1">IF(DS20&lt;='Demand adjustments for Covid'!$F$17,DO20-DS20,0)</f>
        <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664</v>
      </c>
    </row>
    <row r="21" spans="1:128" s="5" customFormat="1" x14ac:dyDescent="0.2">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520</v>
      </c>
      <c r="AM21" s="5">
        <f t="shared" ca="1" si="9"/>
        <v>0</v>
      </c>
      <c r="AN21" s="5" t="str">
        <f>IF(Demand!BE30="Yes","Yes","")</f>
        <v/>
      </c>
      <c r="AP21" s="36" t="str">
        <f ca="1">Demand!B30</f>
        <v xml:space="preserve"> </v>
      </c>
      <c r="AQ21" s="5" t="str">
        <f ca="1">IF(TEXT(Demand!D30,"MMM")&lt;&gt;TEXT(Demand!D29,"MMM"),TEXT(Demand!D30,"MMM"),"")</f>
        <v/>
      </c>
      <c r="AT21" s="5">
        <f t="shared" ca="1" si="12"/>
        <v>80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24</v>
      </c>
      <c r="DN21" s="317">
        <f t="shared" si="17"/>
        <v>44361</v>
      </c>
      <c r="DO21" s="5">
        <f ca="1">VLOOKUP(IF($DM21&lt;53,$DM21,52),'Summary Calculations (hide)'!$D$15:$F$67,2,0)</f>
        <v>551.5</v>
      </c>
      <c r="DP21" s="5">
        <f ca="1">VLOOKUP(IF($DM21&lt;53,$DM21,52),'Summary Calculations (hide)'!$D$15:$F$67,3,0)</f>
        <v>664</v>
      </c>
      <c r="DQ21" s="5">
        <f ca="1">IF(AND(DN21&gt;='Demand adjustments for Covid'!$F$12,DN21&lt;'Demand adjustments for Covid'!$F$17),'Demand adjustments for Covid'!$F$13,DO21)</f>
        <v>551.5</v>
      </c>
      <c r="DR21" s="5">
        <f t="shared" si="7"/>
        <v>1</v>
      </c>
      <c r="DS21" s="5">
        <f ca="1">IF('Demand adjustments for Covid'!$F$9="Yes",IF(DR21=0,DQ21,((SUM(DR$4:DR21)-1)*$EE$8)+'Demand adjustments for Covid'!F$13),'Demand background (hide)'!DO21)</f>
        <v>551.5</v>
      </c>
      <c r="DT21" s="5">
        <f ca="1">IF('Demand adjustments for Covid'!$F$9="Yes",IF(OR(AND(DN21&gt;='Demand adjustments for Covid'!$F$12,DN21&lt;'Demand adjustments for Covid'!$F$17),DR21=1),DS21+3,DP21),'Demand background (hide)'!DP21)</f>
        <v>664</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664</v>
      </c>
    </row>
    <row r="22" spans="1:128" s="5" customFormat="1" x14ac:dyDescent="0.2">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600</v>
      </c>
      <c r="AM22" s="5">
        <f t="shared" ca="1" si="9"/>
        <v>0</v>
      </c>
      <c r="AN22" s="5" t="str">
        <f>IF(Demand!BE31="Yes","Yes","")</f>
        <v/>
      </c>
      <c r="AP22" s="36" t="str">
        <f ca="1">Demand!B31</f>
        <v xml:space="preserve"> </v>
      </c>
      <c r="AQ22" s="5" t="str">
        <f ca="1">IF(TEXT(Demand!D31,"MMM")&lt;&gt;TEXT(Demand!D30,"MMM"),TEXT(Demand!D31,"MMM"),"")</f>
        <v>Aug</v>
      </c>
      <c r="AT22" s="5">
        <f t="shared" ca="1" si="12"/>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25</v>
      </c>
      <c r="DN22" s="317">
        <f t="shared" si="17"/>
        <v>44368</v>
      </c>
      <c r="DO22" s="5">
        <f ca="1">VLOOKUP(IF($DM22&lt;53,$DM22,52),'Summary Calculations (hide)'!$D$15:$F$67,2,0)</f>
        <v>551.5</v>
      </c>
      <c r="DP22" s="5">
        <f ca="1">VLOOKUP(IF($DM22&lt;53,$DM22,52),'Summary Calculations (hide)'!$D$15:$F$67,3,0)</f>
        <v>664</v>
      </c>
      <c r="DQ22" s="5">
        <f ca="1">IF(AND(DN22&gt;='Demand adjustments for Covid'!$F$12,DN22&lt;'Demand adjustments for Covid'!$F$17),'Demand adjustments for Covid'!$F$13,DO22)</f>
        <v>551.5</v>
      </c>
      <c r="DR22" s="5">
        <f t="shared" si="7"/>
        <v>1</v>
      </c>
      <c r="DS22" s="5">
        <f ca="1">IF('Demand adjustments for Covid'!$F$9="Yes",IF(DR22=0,DQ22,((SUM(DR$4:DR22)-1)*$EE$8)+'Demand adjustments for Covid'!F$13),'Demand background (hide)'!DO22)</f>
        <v>551.5</v>
      </c>
      <c r="DT22" s="5">
        <f ca="1">IF('Demand adjustments for Covid'!$F$9="Yes",IF(OR(AND(DN22&gt;='Demand adjustments for Covid'!$F$12,DN22&lt;'Demand adjustments for Covid'!$F$17),DR22=1),DS22+3,DP22),'Demand background (hide)'!DP22)</f>
        <v>664</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664</v>
      </c>
    </row>
    <row r="23" spans="1:128" s="5" customFormat="1" x14ac:dyDescent="0.2">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710</v>
      </c>
      <c r="AM23" s="5">
        <f t="shared" ca="1" si="9"/>
        <v>0</v>
      </c>
      <c r="AN23" s="5" t="str">
        <f>IF(Demand!BE32="Yes","Yes","")</f>
        <v/>
      </c>
      <c r="AP23" s="36" t="str">
        <f ca="1">Demand!B32</f>
        <v xml:space="preserve"> </v>
      </c>
      <c r="AQ23" s="5" t="str">
        <f ca="1">IF(TEXT(Demand!D32,"MMM")&lt;&gt;TEXT(Demand!D31,"MMM"),TEXT(Demand!D32,"MMM"),"")</f>
        <v/>
      </c>
      <c r="AT23" s="5">
        <f t="shared" ca="1" si="12"/>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26</v>
      </c>
      <c r="DN23" s="317">
        <f t="shared" si="17"/>
        <v>44375</v>
      </c>
      <c r="DO23" s="5">
        <f ca="1">VLOOKUP(IF($DM23&lt;53,$DM23,52),'Summary Calculations (hide)'!$D$15:$F$67,2,0)</f>
        <v>551.5</v>
      </c>
      <c r="DP23" s="5">
        <f ca="1">VLOOKUP(IF($DM23&lt;53,$DM23,52),'Summary Calculations (hide)'!$D$15:$F$67,3,0)</f>
        <v>664</v>
      </c>
      <c r="DQ23" s="5">
        <f ca="1">IF(AND(DN23&gt;='Demand adjustments for Covid'!$F$12,DN23&lt;'Demand adjustments for Covid'!$F$17),'Demand adjustments for Covid'!$F$13,DO23)</f>
        <v>551.5</v>
      </c>
      <c r="DR23" s="5">
        <f t="shared" si="7"/>
        <v>1</v>
      </c>
      <c r="DS23" s="5">
        <f ca="1">IF('Demand adjustments for Covid'!$F$9="Yes",IF(DR23=0,DQ23,((SUM(DR$4:DR23)-1)*$EE$8)+'Demand adjustments for Covid'!F$13),'Demand background (hide)'!DO23)</f>
        <v>551.5</v>
      </c>
      <c r="DT23" s="5">
        <f ca="1">IF('Demand adjustments for Covid'!$F$9="Yes",IF(OR(AND(DN23&gt;='Demand adjustments for Covid'!$F$12,DN23&lt;'Demand adjustments for Covid'!$F$17),DR23=1),DS23+3,DP23),'Demand background (hide)'!DP23)</f>
        <v>664</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664</v>
      </c>
    </row>
    <row r="24" spans="1:128" s="5" customFormat="1" x14ac:dyDescent="0.2">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670</v>
      </c>
      <c r="AM24" s="5">
        <f t="shared" ca="1" si="9"/>
        <v>0</v>
      </c>
      <c r="AN24" s="5" t="str">
        <f>IF(Demand!BE33="Yes","Yes","")</f>
        <v/>
      </c>
      <c r="AP24" s="36" t="str">
        <f ca="1">Demand!B33</f>
        <v xml:space="preserve"> </v>
      </c>
      <c r="AQ24" s="5" t="str">
        <f ca="1">IF(TEXT(Demand!D33,"MMM")&lt;&gt;TEXT(Demand!D32,"MMM"),TEXT(Demand!D33,"MMM"),"")</f>
        <v/>
      </c>
      <c r="AT24" s="5">
        <f t="shared" ca="1" si="12"/>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27</v>
      </c>
      <c r="DN24" s="317">
        <f t="shared" si="17"/>
        <v>44382</v>
      </c>
      <c r="DO24" s="5">
        <f ca="1">VLOOKUP(IF($DM24&lt;53,$DM24,52),'Summary Calculations (hide)'!$D$15:$F$67,2,0)</f>
        <v>551.5</v>
      </c>
      <c r="DP24" s="5">
        <f ca="1">VLOOKUP(IF($DM24&lt;53,$DM24,52),'Summary Calculations (hide)'!$D$15:$F$67,3,0)</f>
        <v>664</v>
      </c>
      <c r="DQ24" s="5">
        <f ca="1">IF(AND(DN24&gt;='Demand adjustments for Covid'!$F$12,DN24&lt;'Demand adjustments for Covid'!$F$17),'Demand adjustments for Covid'!$F$13,DO24)</f>
        <v>551.5</v>
      </c>
      <c r="DR24" s="5">
        <f t="shared" si="7"/>
        <v>1</v>
      </c>
      <c r="DS24" s="5">
        <f ca="1">IF('Demand adjustments for Covid'!$F$9="Yes",IF(DR24=0,DQ24,((SUM(DR$4:DR24)-1)*$EE$8)+'Demand adjustments for Covid'!F$13),'Demand background (hide)'!DO24)</f>
        <v>551.5</v>
      </c>
      <c r="DT24" s="5">
        <f ca="1">IF('Demand adjustments for Covid'!$F$9="Yes",IF(OR(AND(DN24&gt;='Demand adjustments for Covid'!$F$12,DN24&lt;'Demand adjustments for Covid'!$F$17),DR24=1),DS24+3,DP24),'Demand background (hide)'!DP24)</f>
        <v>664</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664</v>
      </c>
    </row>
    <row r="25" spans="1:128" s="5" customFormat="1" x14ac:dyDescent="0.2">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600</v>
      </c>
      <c r="AM25" s="5">
        <f t="shared" ca="1" si="9"/>
        <v>0</v>
      </c>
      <c r="AN25" s="5" t="str">
        <f>IF(Demand!BE34="Yes","Yes","")</f>
        <v/>
      </c>
      <c r="AP25" s="36" t="str">
        <f ca="1">Demand!B34</f>
        <v xml:space="preserve"> </v>
      </c>
      <c r="AQ25" s="5" t="str">
        <f ca="1">IF(TEXT(Demand!D34,"MMM")&lt;&gt;TEXT(Demand!D33,"MMM"),TEXT(Demand!D34,"MMM"),"")</f>
        <v/>
      </c>
      <c r="AT25" s="5">
        <f t="shared" ca="1" si="12"/>
        <v>70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28</v>
      </c>
      <c r="DN25" s="317">
        <f t="shared" si="17"/>
        <v>44389</v>
      </c>
      <c r="DO25" s="5">
        <f ca="1">VLOOKUP(IF($DM25&lt;53,$DM25,52),'Summary Calculations (hide)'!$D$15:$F$67,2,0)</f>
        <v>551.5</v>
      </c>
      <c r="DP25" s="5">
        <f ca="1">VLOOKUP(IF($DM25&lt;53,$DM25,52),'Summary Calculations (hide)'!$D$15:$F$67,3,0)</f>
        <v>664</v>
      </c>
      <c r="DQ25" s="5">
        <f ca="1">IF(AND(DN25&gt;='Demand adjustments for Covid'!$F$12,DN25&lt;'Demand adjustments for Covid'!$F$17),'Demand adjustments for Covid'!$F$13,DO25)</f>
        <v>551.5</v>
      </c>
      <c r="DR25" s="5">
        <f t="shared" si="7"/>
        <v>1</v>
      </c>
      <c r="DS25" s="5">
        <f ca="1">IF('Demand adjustments for Covid'!$F$9="Yes",IF(DR25=0,DQ25,((SUM(DR$4:DR25)-1)*$EE$8)+'Demand adjustments for Covid'!F$13),'Demand background (hide)'!DO25)</f>
        <v>551.5</v>
      </c>
      <c r="DT25" s="5">
        <f ca="1">IF('Demand adjustments for Covid'!$F$9="Yes",IF(OR(AND(DN25&gt;='Demand adjustments for Covid'!$F$12,DN25&lt;'Demand adjustments for Covid'!$F$17),DR25=1),DS25+3,DP25),'Demand background (hide)'!DP25)</f>
        <v>664</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664</v>
      </c>
    </row>
    <row r="26" spans="1:128" s="5" customFormat="1" x14ac:dyDescent="0.2">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660</v>
      </c>
      <c r="AM26" s="5">
        <f t="shared" ca="1" si="9"/>
        <v>0</v>
      </c>
      <c r="AN26" s="5" t="str">
        <f>IF(Demand!BE35="Yes","Yes","")</f>
        <v/>
      </c>
      <c r="AP26" s="36" t="str">
        <f ca="1">Demand!B35</f>
        <v xml:space="preserve"> </v>
      </c>
      <c r="AQ26" s="5" t="str">
        <f ca="1">IF(TEXT(Demand!D35,"MMM")&lt;&gt;TEXT(Demand!D34,"MMM"),TEXT(Demand!D35,"MMM"),"")</f>
        <v/>
      </c>
      <c r="AT26" s="5">
        <f t="shared" ca="1" si="12"/>
        <v>60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29</v>
      </c>
      <c r="DN26" s="317">
        <f t="shared" si="17"/>
        <v>44396</v>
      </c>
      <c r="DO26" s="5">
        <f ca="1">VLOOKUP(IF($DM26&lt;53,$DM26,52),'Summary Calculations (hide)'!$D$15:$F$67,2,0)</f>
        <v>551.5</v>
      </c>
      <c r="DP26" s="5">
        <f ca="1">VLOOKUP(IF($DM26&lt;53,$DM26,52),'Summary Calculations (hide)'!$D$15:$F$67,3,0)</f>
        <v>664</v>
      </c>
      <c r="DQ26" s="5">
        <f ca="1">IF(AND(DN26&gt;='Demand adjustments for Covid'!$F$12,DN26&lt;'Demand adjustments for Covid'!$F$17),'Demand adjustments for Covid'!$F$13,DO26)</f>
        <v>551.5</v>
      </c>
      <c r="DR26" s="5">
        <f t="shared" si="7"/>
        <v>1</v>
      </c>
      <c r="DS26" s="5">
        <f ca="1">IF('Demand adjustments for Covid'!$F$9="Yes",IF(DR26=0,DQ26,((SUM(DR$4:DR26)-1)*$EE$8)+'Demand adjustments for Covid'!F$13),'Demand background (hide)'!DO26)</f>
        <v>551.5</v>
      </c>
      <c r="DT26" s="5">
        <f ca="1">IF('Demand adjustments for Covid'!$F$9="Yes",IF(OR(AND(DN26&gt;='Demand adjustments for Covid'!$F$12,DN26&lt;'Demand adjustments for Covid'!$F$17),DR26=1),DS26+3,DP26),'Demand background (hide)'!DP26)</f>
        <v>664</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664</v>
      </c>
    </row>
    <row r="27" spans="1:128" s="5" customFormat="1" x14ac:dyDescent="0.2">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420</v>
      </c>
      <c r="AM27" s="5">
        <f t="shared" ca="1" si="9"/>
        <v>0</v>
      </c>
      <c r="AN27" s="5" t="str">
        <f>IF(Demand!BE36="Yes","Yes","")</f>
        <v/>
      </c>
      <c r="AP27" s="36" t="str">
        <f ca="1">Demand!B36</f>
        <v xml:space="preserve"> </v>
      </c>
      <c r="AQ27" s="5" t="str">
        <f ca="1">IF(TEXT(Demand!D36,"MMM")&lt;&gt;TEXT(Demand!D35,"MMM"),TEXT(Demand!D36,"MMM"),"")</f>
        <v>Sep</v>
      </c>
      <c r="AT27" s="5">
        <f t="shared" ca="1" si="12"/>
        <v>240</v>
      </c>
      <c r="AV27" s="5" t="s">
        <v>109</v>
      </c>
      <c r="AW27" s="44"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30</v>
      </c>
      <c r="DN27" s="317">
        <f t="shared" si="17"/>
        <v>44403</v>
      </c>
      <c r="DO27" s="5">
        <f ca="1">VLOOKUP(IF($DM27&lt;53,$DM27,52),'Summary Calculations (hide)'!$D$15:$F$67,2,0)</f>
        <v>551.5</v>
      </c>
      <c r="DP27" s="5">
        <f ca="1">VLOOKUP(IF($DM27&lt;53,$DM27,52),'Summary Calculations (hide)'!$D$15:$F$67,3,0)</f>
        <v>664</v>
      </c>
      <c r="DQ27" s="5">
        <f ca="1">IF(AND(DN27&gt;='Demand adjustments for Covid'!$F$12,DN27&lt;'Demand adjustments for Covid'!$F$17),'Demand adjustments for Covid'!$F$13,DO27)</f>
        <v>551.5</v>
      </c>
      <c r="DR27" s="5">
        <f t="shared" si="7"/>
        <v>0</v>
      </c>
      <c r="DS27" s="5">
        <f ca="1">IF('Demand adjustments for Covid'!$F$9="Yes",IF(DR27=0,DQ27,((SUM(DR$4:DR27)-1)*$EE$8)+'Demand adjustments for Covid'!F$13),'Demand background (hide)'!DO27)</f>
        <v>551.5</v>
      </c>
      <c r="DT27" s="5">
        <f ca="1">IF('Demand adjustments for Covid'!$F$9="Yes",IF(OR(AND(DN27&gt;='Demand adjustments for Covid'!$F$12,DN27&lt;'Demand adjustments for Covid'!$F$17),DR27=1),DS27+3,DP27),'Demand background (hide)'!DP27)</f>
        <v>664</v>
      </c>
      <c r="DU27" s="5">
        <f ca="1">IF(DS27&lt;='Demand adjustments for Covid'!$F$17,DO27-DS27,0)</f>
        <v>0</v>
      </c>
      <c r="DV27" s="5">
        <f ca="1">IF(AND(ROW(A24)&gt;$EE$5,ROW(A24)&lt;=$EA$5),OFFSET('Demand adjustments for Covid'!$F$35,0,ROW(A24)-'Demand background (hide)'!$EE$5,1,1),0)</f>
        <v>200</v>
      </c>
      <c r="DW27" s="5">
        <f ca="1">IF(AND(ROW(A24)&gt;$EE$5,ROW(A24)&lt;=$EA$5),OFFSET('Demand adjustments for Covid'!$F$36,0,ROW(A24)-'Demand background (hide)'!$EE$5,1,1),0)</f>
        <v>300</v>
      </c>
      <c r="DX27" s="5">
        <f t="shared" ca="1" si="11"/>
        <v>1164</v>
      </c>
    </row>
    <row r="28" spans="1:128" s="5" customFormat="1" x14ac:dyDescent="0.2">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730</v>
      </c>
      <c r="AM28" s="5">
        <f t="shared" ca="1" si="9"/>
        <v>0</v>
      </c>
      <c r="AN28" s="5" t="str">
        <f>IF(Demand!BE37="Yes","Yes","")</f>
        <v/>
      </c>
      <c r="AP28" s="36" t="str">
        <f ca="1">Demand!B37</f>
        <v xml:space="preserve"> </v>
      </c>
      <c r="AQ28" s="5" t="str">
        <f ca="1">IF(TEXT(Demand!D37,"MMM")&lt;&gt;TEXT(Demand!D36,"MMM"),TEXT(Demand!D37,"MMM"),"")</f>
        <v/>
      </c>
      <c r="AT28" s="5">
        <f t="shared" ca="1" si="12"/>
        <v>310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31</v>
      </c>
      <c r="DN28" s="317">
        <f t="shared" si="17"/>
        <v>44410</v>
      </c>
      <c r="DO28" s="5">
        <f ca="1">VLOOKUP(IF($DM28&lt;53,$DM28,52),'Summary Calculations (hide)'!$D$15:$F$67,2,0)</f>
        <v>551.5</v>
      </c>
      <c r="DP28" s="5">
        <f ca="1">VLOOKUP(IF($DM28&lt;53,$DM28,52),'Summary Calculations (hide)'!$D$15:$F$67,3,0)</f>
        <v>664</v>
      </c>
      <c r="DQ28" s="5">
        <f ca="1">IF(AND(DN28&gt;='Demand adjustments for Covid'!$F$12,DN28&lt;'Demand adjustments for Covid'!$F$17),'Demand adjustments for Covid'!$F$13,DO28)</f>
        <v>551.5</v>
      </c>
      <c r="DR28" s="5">
        <f t="shared" si="7"/>
        <v>0</v>
      </c>
      <c r="DS28" s="5">
        <f ca="1">IF('Demand adjustments for Covid'!$F$9="Yes",IF(DR28=0,DQ28,((SUM(DR$4:DR28)-1)*$EE$8)+'Demand adjustments for Covid'!F$13),'Demand background (hide)'!DO28)</f>
        <v>551.5</v>
      </c>
      <c r="DT28" s="5">
        <f ca="1">IF('Demand adjustments for Covid'!$F$9="Yes",IF(OR(AND(DN28&gt;='Demand adjustments for Covid'!$F$12,DN28&lt;'Demand adjustments for Covid'!$F$17),DR28=1),DS28+3,DP28),'Demand background (hide)'!DP28)</f>
        <v>664</v>
      </c>
      <c r="DU28" s="5">
        <f ca="1">IF(DS28&lt;='Demand adjustments for Covid'!$F$17,DO28-DS28,0)</f>
        <v>0</v>
      </c>
      <c r="DV28" s="5">
        <f ca="1">IF(AND(ROW(A25)&gt;$EE$5,ROW(A25)&lt;=$EA$5),OFFSET('Demand adjustments for Covid'!$F$35,0,ROW(A25)-'Demand background (hide)'!$EE$5,1,1),0)</f>
        <v>200</v>
      </c>
      <c r="DW28" s="5">
        <f ca="1">IF(AND(ROW(A25)&gt;$EE$5,ROW(A25)&lt;=$EA$5),OFFSET('Demand adjustments for Covid'!$F$36,0,ROW(A25)-'Demand background (hide)'!$EE$5,1,1),0)</f>
        <v>300</v>
      </c>
      <c r="DX28" s="5">
        <f t="shared" ca="1" si="11"/>
        <v>1164</v>
      </c>
    </row>
    <row r="29" spans="1:128" s="5" customFormat="1" x14ac:dyDescent="0.2">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670</v>
      </c>
      <c r="AM29" s="5">
        <f t="shared" ca="1" si="9"/>
        <v>0</v>
      </c>
      <c r="AN29" s="5" t="str">
        <f>IF(Demand!BE38="Yes","Yes","")</f>
        <v/>
      </c>
      <c r="AP29" s="36" t="str">
        <f ca="1">Demand!B38</f>
        <v xml:space="preserve"> </v>
      </c>
      <c r="AQ29" s="5" t="str">
        <f ca="1">IF(TEXT(Demand!D38,"MMM")&lt;&gt;TEXT(Demand!D37,"MMM"),TEXT(Demand!D38,"MMM"),"")</f>
        <v/>
      </c>
      <c r="AT29" s="5">
        <f t="shared" ca="1" si="12"/>
        <v>60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32</v>
      </c>
      <c r="DN29" s="317">
        <f t="shared" si="17"/>
        <v>44417</v>
      </c>
      <c r="DO29" s="5">
        <f ca="1">VLOOKUP(IF($DM29&lt;53,$DM29,52),'Summary Calculations (hide)'!$D$15:$F$67,2,0)</f>
        <v>551.5</v>
      </c>
      <c r="DP29" s="5">
        <f ca="1">VLOOKUP(IF($DM29&lt;53,$DM29,52),'Summary Calculations (hide)'!$D$15:$F$67,3,0)</f>
        <v>664</v>
      </c>
      <c r="DQ29" s="5">
        <f ca="1">IF(AND(DN29&gt;='Demand adjustments for Covid'!$F$12,DN29&lt;'Demand adjustments for Covid'!$F$17),'Demand adjustments for Covid'!$F$13,DO29)</f>
        <v>551.5</v>
      </c>
      <c r="DR29" s="5">
        <f t="shared" si="7"/>
        <v>0</v>
      </c>
      <c r="DS29" s="5">
        <f ca="1">IF('Demand adjustments for Covid'!$F$9="Yes",IF(DR29=0,DQ29,((SUM(DR$4:DR29)-1)*$EE$8)+'Demand adjustments for Covid'!F$13),'Demand background (hide)'!DO29)</f>
        <v>551.5</v>
      </c>
      <c r="DT29" s="5">
        <f ca="1">IF('Demand adjustments for Covid'!$F$9="Yes",IF(OR(AND(DN29&gt;='Demand adjustments for Covid'!$F$12,DN29&lt;'Demand adjustments for Covid'!$F$17),DR29=1),DS29+3,DP29),'Demand background (hide)'!DP29)</f>
        <v>664</v>
      </c>
      <c r="DU29" s="5">
        <f ca="1">IF(DS29&lt;='Demand adjustments for Covid'!$F$17,DO29-DS29,0)</f>
        <v>0</v>
      </c>
      <c r="DV29" s="5">
        <f ca="1">IF(AND(ROW(A26)&gt;$EE$5,ROW(A26)&lt;=$EA$5),OFFSET('Demand adjustments for Covid'!$F$35,0,ROW(A26)-'Demand background (hide)'!$EE$5,1,1),0)</f>
        <v>200</v>
      </c>
      <c r="DW29" s="5">
        <f ca="1">IF(AND(ROW(A26)&gt;$EE$5,ROW(A26)&lt;=$EA$5),OFFSET('Demand adjustments for Covid'!$F$36,0,ROW(A26)-'Demand background (hide)'!$EE$5,1,1),0)</f>
        <v>300</v>
      </c>
      <c r="DX29" s="5">
        <f t="shared" ca="1" si="11"/>
        <v>1164</v>
      </c>
    </row>
    <row r="30" spans="1:128" s="5" customFormat="1" x14ac:dyDescent="0.2">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580</v>
      </c>
      <c r="AM30" s="5">
        <f t="shared" ca="1" si="9"/>
        <v>0</v>
      </c>
      <c r="AN30" s="5" t="str">
        <f>IF(Demand!BE39="Yes","Yes","")</f>
        <v/>
      </c>
      <c r="AP30" s="36" t="str">
        <f ca="1">Demand!B39</f>
        <v xml:space="preserve"> </v>
      </c>
      <c r="AQ30" s="5" t="str">
        <f ca="1">IF(TEXT(Demand!D39,"MMM")&lt;&gt;TEXT(Demand!D38,"MMM"),TEXT(Demand!D39,"MMM"),"")</f>
        <v/>
      </c>
      <c r="AT30" s="5">
        <f t="shared" ca="1" si="12"/>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33</v>
      </c>
      <c r="DN30" s="317">
        <f t="shared" si="17"/>
        <v>44424</v>
      </c>
      <c r="DO30" s="5">
        <f ca="1">VLOOKUP(IF($DM30&lt;53,$DM30,52),'Summary Calculations (hide)'!$D$15:$F$67,2,0)</f>
        <v>551.5</v>
      </c>
      <c r="DP30" s="5">
        <f ca="1">VLOOKUP(IF($DM30&lt;53,$DM30,52),'Summary Calculations (hide)'!$D$15:$F$67,3,0)</f>
        <v>664</v>
      </c>
      <c r="DQ30" s="5">
        <f ca="1">IF(AND(DN30&gt;='Demand adjustments for Covid'!$F$12,DN30&lt;'Demand adjustments for Covid'!$F$17),'Demand adjustments for Covid'!$F$13,DO30)</f>
        <v>551.5</v>
      </c>
      <c r="DR30" s="5">
        <f t="shared" si="7"/>
        <v>0</v>
      </c>
      <c r="DS30" s="5">
        <f ca="1">IF('Demand adjustments for Covid'!$F$9="Yes",IF(DR30=0,DQ30,((SUM(DR$4:DR30)-1)*$EE$8)+'Demand adjustments for Covid'!F$13),'Demand background (hide)'!DO30)</f>
        <v>551.5</v>
      </c>
      <c r="DT30" s="5">
        <f ca="1">IF('Demand adjustments for Covid'!$F$9="Yes",IF(OR(AND(DN30&gt;='Demand adjustments for Covid'!$F$12,DN30&lt;'Demand adjustments for Covid'!$F$17),DR30=1),DS30+3,DP30),'Demand background (hide)'!DP30)</f>
        <v>664</v>
      </c>
      <c r="DU30" s="5">
        <f ca="1">IF(DS30&lt;='Demand adjustments for Covid'!$F$17,DO30-DS30,0)</f>
        <v>0</v>
      </c>
      <c r="DV30" s="5">
        <f ca="1">IF(AND(ROW(A27)&gt;$EE$5,ROW(A27)&lt;=$EA$5),OFFSET('Demand adjustments for Covid'!$F$35,0,ROW(A27)-'Demand background (hide)'!$EE$5,1,1),0)</f>
        <v>200</v>
      </c>
      <c r="DW30" s="5">
        <f ca="1">IF(AND(ROW(A27)&gt;$EE$5,ROW(A27)&lt;=$EA$5),OFFSET('Demand adjustments for Covid'!$F$36,0,ROW(A27)-'Demand background (hide)'!$EE$5,1,1),0)</f>
        <v>300</v>
      </c>
      <c r="DX30" s="5">
        <f t="shared" ca="1" si="11"/>
        <v>1164</v>
      </c>
    </row>
    <row r="31" spans="1:128" s="5" customFormat="1" x14ac:dyDescent="0.2">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290</v>
      </c>
      <c r="AM31" s="5">
        <f t="shared" ca="1" si="9"/>
        <v>0</v>
      </c>
      <c r="AN31" s="5" t="str">
        <f>IF(Demand!BE40="Yes","Yes","")</f>
        <v/>
      </c>
      <c r="AP31" s="36" t="str">
        <f ca="1">Demand!B40</f>
        <v xml:space="preserve"> </v>
      </c>
      <c r="AQ31" s="5" t="str">
        <f ca="1">IF(TEXT(Demand!D40,"MMM")&lt;&gt;TEXT(Demand!D39,"MMM"),TEXT(Demand!D40,"MMM"),"")</f>
        <v>Oct</v>
      </c>
      <c r="AT31" s="5">
        <f t="shared" ca="1" si="12"/>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34</v>
      </c>
      <c r="DN31" s="317">
        <f t="shared" si="17"/>
        <v>44431</v>
      </c>
      <c r="DO31" s="5">
        <f ca="1">VLOOKUP(IF($DM31&lt;53,$DM31,52),'Summary Calculations (hide)'!$D$15:$F$67,2,0)</f>
        <v>551.5</v>
      </c>
      <c r="DP31" s="5">
        <f ca="1">VLOOKUP(IF($DM31&lt;53,$DM31,52),'Summary Calculations (hide)'!$D$15:$F$67,3,0)</f>
        <v>664</v>
      </c>
      <c r="DQ31" s="5">
        <f ca="1">IF(AND(DN31&gt;='Demand adjustments for Covid'!$F$12,DN31&lt;'Demand adjustments for Covid'!$F$17),'Demand adjustments for Covid'!$F$13,DO31)</f>
        <v>551.5</v>
      </c>
      <c r="DR31" s="5">
        <f t="shared" si="7"/>
        <v>0</v>
      </c>
      <c r="DS31" s="5">
        <f ca="1">IF('Demand adjustments for Covid'!$F$9="Yes",IF(DR31=0,DQ31,((SUM(DR$4:DR31)-1)*$EE$8)+'Demand adjustments for Covid'!F$13),'Demand background (hide)'!DO31)</f>
        <v>551.5</v>
      </c>
      <c r="DT31" s="5">
        <f ca="1">IF('Demand adjustments for Covid'!$F$9="Yes",IF(OR(AND(DN31&gt;='Demand adjustments for Covid'!$F$12,DN31&lt;'Demand adjustments for Covid'!$F$17),DR31=1),DS31+3,DP31),'Demand background (hide)'!DP31)</f>
        <v>664</v>
      </c>
      <c r="DU31" s="5">
        <f ca="1">IF(DS31&lt;='Demand adjustments for Covid'!$F$17,DO31-DS31,0)</f>
        <v>0</v>
      </c>
      <c r="DV31" s="5">
        <f ca="1">IF(AND(ROW(A28)&gt;$EE$5,ROW(A28)&lt;=$EA$5),OFFSET('Demand adjustments for Covid'!$F$35,0,ROW(A28)-'Demand background (hide)'!$EE$5,1,1),0)</f>
        <v>200</v>
      </c>
      <c r="DW31" s="5">
        <f ca="1">IF(AND(ROW(A28)&gt;$EE$5,ROW(A28)&lt;=$EA$5),OFFSET('Demand adjustments for Covid'!$F$36,0,ROW(A28)-'Demand background (hide)'!$EE$5,1,1),0)</f>
        <v>300</v>
      </c>
      <c r="DX31" s="5">
        <f t="shared" ca="1" si="11"/>
        <v>1164</v>
      </c>
    </row>
    <row r="32" spans="1:128" s="5" customFormat="1" x14ac:dyDescent="0.2">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530</v>
      </c>
      <c r="AM32" s="5">
        <f t="shared" ca="1" si="9"/>
        <v>0</v>
      </c>
      <c r="AN32" s="5" t="str">
        <f>IF(Demand!BE41="Yes","Yes","")</f>
        <v/>
      </c>
      <c r="AP32" s="36" t="str">
        <f ca="1">Demand!B41</f>
        <v xml:space="preserve"> </v>
      </c>
      <c r="AQ32" s="5" t="str">
        <f ca="1">IF(TEXT(Demand!D41,"MMM")&lt;&gt;TEXT(Demand!D40,"MMM"),TEXT(Demand!D41,"MMM"),"")</f>
        <v/>
      </c>
      <c r="AT32" s="5">
        <f t="shared" ca="1" si="12"/>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35</v>
      </c>
      <c r="DN32" s="317">
        <f t="shared" si="17"/>
        <v>44438</v>
      </c>
      <c r="DO32" s="5">
        <f ca="1">VLOOKUP(IF($DM32&lt;53,$DM32,52),'Summary Calculations (hide)'!$D$15:$F$67,2,0)</f>
        <v>551.5</v>
      </c>
      <c r="DP32" s="5">
        <f ca="1">VLOOKUP(IF($DM32&lt;53,$DM32,52),'Summary Calculations (hide)'!$D$15:$F$67,3,0)</f>
        <v>664</v>
      </c>
      <c r="DQ32" s="5">
        <f ca="1">IF(AND(DN32&gt;='Demand adjustments for Covid'!$F$12,DN32&lt;'Demand adjustments for Covid'!$F$17),'Demand adjustments for Covid'!$F$13,DO32)</f>
        <v>551.5</v>
      </c>
      <c r="DR32" s="5">
        <f t="shared" si="7"/>
        <v>0</v>
      </c>
      <c r="DS32" s="5">
        <f ca="1">IF('Demand adjustments for Covid'!$F$9="Yes",IF(DR32=0,DQ32,((SUM(DR$4:DR32)-1)*$EE$8)+'Demand adjustments for Covid'!F$13),'Demand background (hide)'!DO32)</f>
        <v>551.5</v>
      </c>
      <c r="DT32" s="5">
        <f ca="1">IF('Demand adjustments for Covid'!$F$9="Yes",IF(OR(AND(DN32&gt;='Demand adjustments for Covid'!$F$12,DN32&lt;'Demand adjustments for Covid'!$F$17),DR32=1),DS32+3,DP32),'Demand background (hide)'!DP32)</f>
        <v>664</v>
      </c>
      <c r="DU32" s="5">
        <f ca="1">IF(DS32&lt;='Demand adjustments for Covid'!$F$17,DO32-DS32,0)</f>
        <v>0</v>
      </c>
      <c r="DV32" s="5">
        <f ca="1">IF(AND(ROW(A29)&gt;$EE$5,ROW(A29)&lt;=$EA$5),OFFSET('Demand adjustments for Covid'!$F$35,0,ROW(A29)-'Demand background (hide)'!$EE$5,1,1),0)</f>
        <v>200</v>
      </c>
      <c r="DW32" s="5">
        <f ca="1">IF(AND(ROW(A29)&gt;$EE$5,ROW(A29)&lt;=$EA$5),OFFSET('Demand adjustments for Covid'!$F$36,0,ROW(A29)-'Demand background (hide)'!$EE$5,1,1),0)</f>
        <v>300</v>
      </c>
      <c r="DX32" s="5">
        <f t="shared" ca="1" si="11"/>
        <v>1164</v>
      </c>
    </row>
    <row r="33" spans="1:128" s="5" customFormat="1" x14ac:dyDescent="0.2">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320</v>
      </c>
      <c r="AM33" s="5">
        <f t="shared" ca="1" si="9"/>
        <v>0</v>
      </c>
      <c r="AN33" s="5" t="str">
        <f>IF(Demand!BE42="Yes","Yes","")</f>
        <v/>
      </c>
      <c r="AP33" s="36" t="str">
        <f ca="1">Demand!B42</f>
        <v xml:space="preserve"> </v>
      </c>
      <c r="AQ33" s="5" t="str">
        <f ca="1">IF(TEXT(Demand!D42,"MMM")&lt;&gt;TEXT(Demand!D41,"MMM"),TEXT(Demand!D42,"MMM"),"")</f>
        <v/>
      </c>
      <c r="AT33" s="5">
        <f t="shared" ca="1" si="12"/>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36</v>
      </c>
      <c r="DN33" s="317">
        <f t="shared" si="17"/>
        <v>44445</v>
      </c>
      <c r="DO33" s="5">
        <f ca="1">VLOOKUP(IF($DM33&lt;53,$DM33,52),'Summary Calculations (hide)'!$D$15:$F$67,2,0)</f>
        <v>551.5</v>
      </c>
      <c r="DP33" s="5">
        <f ca="1">VLOOKUP(IF($DM33&lt;53,$DM33,52),'Summary Calculations (hide)'!$D$15:$F$67,3,0)</f>
        <v>664</v>
      </c>
      <c r="DQ33" s="5">
        <f ca="1">IF(AND(DN33&gt;='Demand adjustments for Covid'!$F$12,DN33&lt;'Demand adjustments for Covid'!$F$17),'Demand adjustments for Covid'!$F$13,DO33)</f>
        <v>551.5</v>
      </c>
      <c r="DR33" s="5">
        <f t="shared" si="7"/>
        <v>0</v>
      </c>
      <c r="DS33" s="5">
        <f ca="1">IF('Demand adjustments for Covid'!$F$9="Yes",IF(DR33=0,DQ33,((SUM(DR$4:DR33)-1)*$EE$8)+'Demand adjustments for Covid'!F$13),'Demand background (hide)'!DO33)</f>
        <v>551.5</v>
      </c>
      <c r="DT33" s="5">
        <f ca="1">IF('Demand adjustments for Covid'!$F$9="Yes",IF(OR(AND(DN33&gt;='Demand adjustments for Covid'!$F$12,DN33&lt;'Demand adjustments for Covid'!$F$17),DR33=1),DS33+3,DP33),'Demand background (hide)'!DP33)</f>
        <v>664</v>
      </c>
      <c r="DU33" s="5">
        <f ca="1">IF(DS33&lt;='Demand adjustments for Covid'!$F$17,DO33-DS33,0)</f>
        <v>0</v>
      </c>
      <c r="DV33" s="5">
        <f ca="1">IF(AND(ROW(A30)&gt;$EE$5,ROW(A30)&lt;=$EA$5),OFFSET('Demand adjustments for Covid'!$F$35,0,ROW(A30)-'Demand background (hide)'!$EE$5,1,1),0)</f>
        <v>200</v>
      </c>
      <c r="DW33" s="5">
        <f ca="1">IF(AND(ROW(A30)&gt;$EE$5,ROW(A30)&lt;=$EA$5),OFFSET('Demand adjustments for Covid'!$F$36,0,ROW(A30)-'Demand background (hide)'!$EE$5,1,1),0)</f>
        <v>300</v>
      </c>
      <c r="DX33" s="5">
        <f t="shared" ca="1" si="11"/>
        <v>1164</v>
      </c>
    </row>
    <row r="34" spans="1:128" s="5" customFormat="1" x14ac:dyDescent="0.2">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730</v>
      </c>
      <c r="AM34" s="5">
        <f t="shared" ca="1" si="9"/>
        <v>0</v>
      </c>
      <c r="AN34" s="5" t="str">
        <f>IF(Demand!BE43="Yes","Yes","")</f>
        <v/>
      </c>
      <c r="AP34" s="36" t="str">
        <f ca="1">Demand!B43</f>
        <v xml:space="preserve"> </v>
      </c>
      <c r="AQ34" s="5" t="str">
        <f ca="1">IF(TEXT(Demand!D43,"MMM")&lt;&gt;TEXT(Demand!D42,"MMM"),TEXT(Demand!D43,"MMM"),"")</f>
        <v/>
      </c>
      <c r="AT34" s="5">
        <f t="shared" ca="1" si="12"/>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37</v>
      </c>
      <c r="DN34" s="317">
        <f t="shared" si="17"/>
        <v>44452</v>
      </c>
      <c r="DO34" s="5">
        <f ca="1">VLOOKUP(IF($DM34&lt;53,$DM34,52),'Summary Calculations (hide)'!$D$15:$F$67,2,0)</f>
        <v>551.5</v>
      </c>
      <c r="DP34" s="5">
        <f ca="1">VLOOKUP(IF($DM34&lt;53,$DM34,52),'Summary Calculations (hide)'!$D$15:$F$67,3,0)</f>
        <v>664</v>
      </c>
      <c r="DQ34" s="5">
        <f ca="1">IF(AND(DN34&gt;='Demand adjustments for Covid'!$F$12,DN34&lt;'Demand adjustments for Covid'!$F$17),'Demand adjustments for Covid'!$F$13,DO34)</f>
        <v>551.5</v>
      </c>
      <c r="DR34" s="5">
        <f t="shared" si="7"/>
        <v>0</v>
      </c>
      <c r="DS34" s="5">
        <f ca="1">IF('Demand adjustments for Covid'!$F$9="Yes",IF(DR34=0,DQ34,((SUM(DR$4:DR34)-1)*$EE$8)+'Demand adjustments for Covid'!F$13),'Demand background (hide)'!DO34)</f>
        <v>551.5</v>
      </c>
      <c r="DT34" s="5">
        <f ca="1">IF('Demand adjustments for Covid'!$F$9="Yes",IF(OR(AND(DN34&gt;='Demand adjustments for Covid'!$F$12,DN34&lt;'Demand adjustments for Covid'!$F$17),DR34=1),DS34+3,DP34),'Demand background (hide)'!DP34)</f>
        <v>664</v>
      </c>
      <c r="DU34" s="5">
        <f ca="1">IF(DS34&lt;='Demand adjustments for Covid'!$F$17,DO34-DS34,0)</f>
        <v>0</v>
      </c>
      <c r="DV34" s="5">
        <f ca="1">IF(AND(ROW(A31)&gt;$EE$5,ROW(A31)&lt;=$EA$5),OFFSET('Demand adjustments for Covid'!$F$35,0,ROW(A31)-'Demand background (hide)'!$EE$5,1,1),0)</f>
        <v>200</v>
      </c>
      <c r="DW34" s="5">
        <f ca="1">IF(AND(ROW(A31)&gt;$EE$5,ROW(A31)&lt;=$EA$5),OFFSET('Demand adjustments for Covid'!$F$36,0,ROW(A31)-'Demand background (hide)'!$EE$5,1,1),0)</f>
        <v>300</v>
      </c>
      <c r="DX34" s="5">
        <f t="shared" ca="1" si="11"/>
        <v>1164</v>
      </c>
    </row>
    <row r="35" spans="1:128" s="5" customFormat="1" x14ac:dyDescent="0.2">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580</v>
      </c>
      <c r="AM35" s="5">
        <f t="shared" ca="1" si="9"/>
        <v>0</v>
      </c>
      <c r="AN35" s="5" t="str">
        <f>IF(Demand!BE44="Yes","Yes","")</f>
        <v/>
      </c>
      <c r="AP35" s="36" t="str">
        <f ca="1">Demand!B44</f>
        <v xml:space="preserve"> </v>
      </c>
      <c r="AQ35" s="5" t="str">
        <f ca="1">IF(TEXT(Demand!D44,"MMM")&lt;&gt;TEXT(Demand!D43,"MMM"),TEXT(Demand!D44,"MMM"),"")</f>
        <v/>
      </c>
      <c r="AT35" s="5">
        <f t="shared" ca="1" si="12"/>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38</v>
      </c>
      <c r="DN35" s="317">
        <f t="shared" si="17"/>
        <v>44459</v>
      </c>
      <c r="DO35" s="5">
        <f ca="1">VLOOKUP(IF($DM35&lt;53,$DM35,52),'Summary Calculations (hide)'!$D$15:$F$67,2,0)</f>
        <v>551.5</v>
      </c>
      <c r="DP35" s="5">
        <f ca="1">VLOOKUP(IF($DM35&lt;53,$DM35,52),'Summary Calculations (hide)'!$D$15:$F$67,3,0)</f>
        <v>664</v>
      </c>
      <c r="DQ35" s="5">
        <f ca="1">IF(AND(DN35&gt;='Demand adjustments for Covid'!$F$12,DN35&lt;'Demand adjustments for Covid'!$F$17),'Demand adjustments for Covid'!$F$13,DO35)</f>
        <v>551.5</v>
      </c>
      <c r="DR35" s="5">
        <f t="shared" si="7"/>
        <v>0</v>
      </c>
      <c r="DS35" s="5">
        <f ca="1">IF('Demand adjustments for Covid'!$F$9="Yes",IF(DR35=0,DQ35,((SUM(DR$4:DR35)-1)*$EE$8)+'Demand adjustments for Covid'!F$13),'Demand background (hide)'!DO35)</f>
        <v>551.5</v>
      </c>
      <c r="DT35" s="5">
        <f ca="1">IF('Demand adjustments for Covid'!$F$9="Yes",IF(OR(AND(DN35&gt;='Demand adjustments for Covid'!$F$12,DN35&lt;'Demand adjustments for Covid'!$F$17),DR35=1),DS35+3,DP35),'Demand background (hide)'!DP35)</f>
        <v>664</v>
      </c>
      <c r="DU35" s="5">
        <f ca="1">IF(DS35&lt;='Demand adjustments for Covid'!$F$17,DO35-DS35,0)</f>
        <v>0</v>
      </c>
      <c r="DV35" s="5">
        <f ca="1">IF(AND(ROW(A32)&gt;$EE$5,ROW(A32)&lt;=$EA$5),OFFSET('Demand adjustments for Covid'!$F$35,0,ROW(A32)-'Demand background (hide)'!$EE$5,1,1),0)</f>
        <v>200</v>
      </c>
      <c r="DW35" s="5">
        <f ca="1">IF(AND(ROW(A32)&gt;$EE$5,ROW(A32)&lt;=$EA$5),OFFSET('Demand adjustments for Covid'!$F$36,0,ROW(A32)-'Demand background (hide)'!$EE$5,1,1),0)</f>
        <v>300</v>
      </c>
      <c r="DX35" s="5">
        <f t="shared" ca="1" si="11"/>
        <v>1164</v>
      </c>
    </row>
    <row r="36" spans="1:128" s="5" customFormat="1" x14ac:dyDescent="0.2">
      <c r="A36" s="5">
        <f t="shared" ref="A36:A55" ca="1" si="32">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450</v>
      </c>
      <c r="AM36" s="5">
        <f t="shared" ca="1" si="9"/>
        <v>0</v>
      </c>
      <c r="AN36" s="5" t="str">
        <f>IF(Demand!BE45="Yes","Yes","")</f>
        <v/>
      </c>
      <c r="AP36" s="36" t="str">
        <f ca="1">Demand!B45</f>
        <v xml:space="preserve"> </v>
      </c>
      <c r="AQ36" s="5" t="str">
        <f ca="1">IF(TEXT(Demand!D45,"MMM")&lt;&gt;TEXT(Demand!D44,"MMM"),TEXT(Demand!D45,"MMM"),"")</f>
        <v>Nov</v>
      </c>
      <c r="AT36" s="5">
        <f t="shared" ca="1" si="12"/>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39</v>
      </c>
      <c r="DN36" s="317">
        <f t="shared" si="17"/>
        <v>44466</v>
      </c>
      <c r="DO36" s="5">
        <f ca="1">VLOOKUP(IF($DM36&lt;53,$DM36,52),'Summary Calculations (hide)'!$D$15:$F$67,2,0)</f>
        <v>551.5</v>
      </c>
      <c r="DP36" s="5">
        <f ca="1">VLOOKUP(IF($DM36&lt;53,$DM36,52),'Summary Calculations (hide)'!$D$15:$F$67,3,0)</f>
        <v>664</v>
      </c>
      <c r="DQ36" s="5">
        <f ca="1">IF(AND(DN36&gt;='Demand adjustments for Covid'!$F$12,DN36&lt;'Demand adjustments for Covid'!$F$17),'Demand adjustments for Covid'!$F$13,DO36)</f>
        <v>551.5</v>
      </c>
      <c r="DR36" s="5">
        <f t="shared" ref="DR36:DR55" si="33">IF(AND(ROW(A33)&gt;=$EE$4,ROW(A33)&lt;=$EE$5),1,0)</f>
        <v>0</v>
      </c>
      <c r="DS36" s="5">
        <f ca="1">IF('Demand adjustments for Covid'!$F$9="Yes",IF(DR36=0,DQ36,((SUM(DR$4:DR36)-1)*$EE$8)+'Demand adjustments for Covid'!F$13),'Demand background (hide)'!DO36)</f>
        <v>551.5</v>
      </c>
      <c r="DT36" s="5">
        <f ca="1">IF('Demand adjustments for Covid'!$F$9="Yes",IF(OR(AND(DN36&gt;='Demand adjustments for Covid'!$F$12,DN36&lt;'Demand adjustments for Covid'!$F$17),DR36=1),DS36+3,DP36),'Demand background (hide)'!DP36)</f>
        <v>664</v>
      </c>
      <c r="DU36" s="5">
        <f ca="1">IF(DS36&lt;='Demand adjustments for Covid'!$F$17,DO36-DS36,0)</f>
        <v>0</v>
      </c>
      <c r="DV36" s="5">
        <f ca="1">IF(AND(ROW(A33)&gt;$EE$5,ROW(A33)&lt;=$EA$5),OFFSET('Demand adjustments for Covid'!$F$35,0,ROW(A33)-'Demand background (hide)'!$EE$5,1,1),0)</f>
        <v>200</v>
      </c>
      <c r="DW36" s="5">
        <f ca="1">IF(AND(ROW(A33)&gt;$EE$5,ROW(A33)&lt;=$EA$5),OFFSET('Demand adjustments for Covid'!$F$36,0,ROW(A33)-'Demand background (hide)'!$EE$5,1,1),0)</f>
        <v>300</v>
      </c>
      <c r="DX36" s="5">
        <f t="shared" ca="1" si="11"/>
        <v>1164</v>
      </c>
    </row>
    <row r="37" spans="1:128" s="5" customFormat="1" x14ac:dyDescent="0.2">
      <c r="A37" s="5">
        <f t="shared" ca="1" si="32"/>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460</v>
      </c>
      <c r="AM37" s="5">
        <f t="shared" ca="1" si="9"/>
        <v>0</v>
      </c>
      <c r="AN37" s="5" t="str">
        <f>IF(Demand!BE46="Yes","Yes","")</f>
        <v/>
      </c>
      <c r="AP37" s="36" t="str">
        <f ca="1">Demand!B46</f>
        <v xml:space="preserve"> </v>
      </c>
      <c r="AQ37" s="5" t="str">
        <f ca="1">IF(TEXT(Demand!D46,"MMM")&lt;&gt;TEXT(Demand!D45,"MMM"),TEXT(Demand!D46,"MMM"),"")</f>
        <v/>
      </c>
      <c r="AT37" s="5">
        <f t="shared" ca="1" si="12"/>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40</v>
      </c>
      <c r="DN37" s="317">
        <f t="shared" si="17"/>
        <v>44473</v>
      </c>
      <c r="DO37" s="5">
        <f ca="1">VLOOKUP(IF($DM37&lt;53,$DM37,52),'Summary Calculations (hide)'!$D$15:$F$67,2,0)</f>
        <v>551.5</v>
      </c>
      <c r="DP37" s="5">
        <f ca="1">VLOOKUP(IF($DM37&lt;53,$DM37,52),'Summary Calculations (hide)'!$D$15:$F$67,3,0)</f>
        <v>664</v>
      </c>
      <c r="DQ37" s="5">
        <f ca="1">IF(AND(DN37&gt;='Demand adjustments for Covid'!$F$12,DN37&lt;'Demand adjustments for Covid'!$F$17),'Demand adjustments for Covid'!$F$13,DO37)</f>
        <v>551.5</v>
      </c>
      <c r="DR37" s="5">
        <f t="shared" si="33"/>
        <v>0</v>
      </c>
      <c r="DS37" s="5">
        <f ca="1">IF('Demand adjustments for Covid'!$F$9="Yes",IF(DR37=0,DQ37,((SUM(DR$4:DR37)-1)*$EE$8)+'Demand adjustments for Covid'!F$13),'Demand background (hide)'!DO37)</f>
        <v>551.5</v>
      </c>
      <c r="DT37" s="5">
        <f ca="1">IF('Demand adjustments for Covid'!$F$9="Yes",IF(OR(AND(DN37&gt;='Demand adjustments for Covid'!$F$12,DN37&lt;'Demand adjustments for Covid'!$F$17),DR37=1),DS37+3,DP37),'Demand background (hide)'!DP37)</f>
        <v>664</v>
      </c>
      <c r="DU37" s="5">
        <f ca="1">IF(DS37&lt;='Demand adjustments for Covid'!$F$17,DO37-DS37,0)</f>
        <v>0</v>
      </c>
      <c r="DV37" s="5">
        <f ca="1">IF(AND(ROW(A34)&gt;$EE$5,ROW(A34)&lt;=$EA$5),OFFSET('Demand adjustments for Covid'!$F$35,0,ROW(A34)-'Demand background (hide)'!$EE$5,1,1),0)</f>
        <v>0</v>
      </c>
      <c r="DW37" s="5">
        <f ca="1">IF(AND(ROW(A34)&gt;$EE$5,ROW(A34)&lt;=$EA$5),OFFSET('Demand adjustments for Covid'!$F$36,0,ROW(A34)-'Demand background (hide)'!$EE$5,1,1),0)</f>
        <v>0</v>
      </c>
      <c r="DX37" s="5">
        <f t="shared" ca="1" si="11"/>
        <v>664</v>
      </c>
    </row>
    <row r="38" spans="1:128" s="5" customFormat="1" x14ac:dyDescent="0.2">
      <c r="A38" s="5">
        <f t="shared" ca="1" si="32"/>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700</v>
      </c>
      <c r="AM38" s="5">
        <f t="shared" ca="1" si="9"/>
        <v>0</v>
      </c>
      <c r="AN38" s="5" t="str">
        <f>IF(Demand!BE47="Yes","Yes","")</f>
        <v/>
      </c>
      <c r="AP38" s="36" t="str">
        <f ca="1">Demand!B47</f>
        <v xml:space="preserve"> </v>
      </c>
      <c r="AQ38" s="5" t="str">
        <f ca="1">IF(TEXT(Demand!D47,"MMM")&lt;&gt;TEXT(Demand!D46,"MMM"),TEXT(Demand!D47,"MMM"),"")</f>
        <v/>
      </c>
      <c r="AT38" s="5">
        <f t="shared" ca="1" si="12"/>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41</v>
      </c>
      <c r="DN38" s="317">
        <f t="shared" si="17"/>
        <v>44480</v>
      </c>
      <c r="DO38" s="5">
        <f ca="1">VLOOKUP(IF($DM38&lt;53,$DM38,52),'Summary Calculations (hide)'!$D$15:$F$67,2,0)</f>
        <v>551.5</v>
      </c>
      <c r="DP38" s="5">
        <f ca="1">VLOOKUP(IF($DM38&lt;53,$DM38,52),'Summary Calculations (hide)'!$D$15:$F$67,3,0)</f>
        <v>664</v>
      </c>
      <c r="DQ38" s="5">
        <f ca="1">IF(AND(DN38&gt;='Demand adjustments for Covid'!$F$12,DN38&lt;'Demand adjustments for Covid'!$F$17),'Demand adjustments for Covid'!$F$13,DO38)</f>
        <v>551.5</v>
      </c>
      <c r="DR38" s="5">
        <f t="shared" si="33"/>
        <v>0</v>
      </c>
      <c r="DS38" s="5">
        <f ca="1">IF('Demand adjustments for Covid'!$F$9="Yes",IF(DR38=0,DQ38,((SUM(DR$4:DR38)-1)*$EE$8)+'Demand adjustments for Covid'!F$13),'Demand background (hide)'!DO38)</f>
        <v>551.5</v>
      </c>
      <c r="DT38" s="5">
        <f ca="1">IF('Demand adjustments for Covid'!$F$9="Yes",IF(OR(AND(DN38&gt;='Demand adjustments for Covid'!$F$12,DN38&lt;'Demand adjustments for Covid'!$F$17),DR38=1),DS38+3,DP38),'Demand background (hide)'!DP38)</f>
        <v>664</v>
      </c>
      <c r="DU38" s="5">
        <f ca="1">IF(DS38&lt;='Demand adjustments for Covid'!$F$17,DO38-DS38,0)</f>
        <v>0</v>
      </c>
      <c r="DV38" s="5">
        <f ca="1">IF(AND(ROW(A35)&gt;$EE$5,ROW(A35)&lt;=$EA$5),OFFSET('Demand adjustments for Covid'!$F$35,0,ROW(A35)-'Demand background (hide)'!$EE$5,1,1),0)</f>
        <v>0</v>
      </c>
      <c r="DW38" s="5">
        <f ca="1">IF(AND(ROW(A35)&gt;$EE$5,ROW(A35)&lt;=$EA$5),OFFSET('Demand adjustments for Covid'!$F$36,0,ROW(A35)-'Demand background (hide)'!$EE$5,1,1),0)</f>
        <v>0</v>
      </c>
      <c r="DX38" s="5">
        <f t="shared" ca="1" si="11"/>
        <v>664</v>
      </c>
    </row>
    <row r="39" spans="1:128" s="5" customFormat="1" x14ac:dyDescent="0.2">
      <c r="A39" s="5">
        <f t="shared" ca="1" si="32"/>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570</v>
      </c>
      <c r="AM39" s="5">
        <f t="shared" ca="1" si="9"/>
        <v>0</v>
      </c>
      <c r="AN39" s="5" t="str">
        <f>IF(Demand!BE48="Yes","Yes","")</f>
        <v/>
      </c>
      <c r="AP39" s="36" t="str">
        <f ca="1">Demand!B48</f>
        <v xml:space="preserve"> </v>
      </c>
      <c r="AQ39" s="5" t="str">
        <f ca="1">IF(TEXT(Demand!D48,"MMM")&lt;&gt;TEXT(Demand!D47,"MMM"),TEXT(Demand!D48,"MMM"),"")</f>
        <v/>
      </c>
      <c r="AT39" s="5">
        <f t="shared" ca="1" si="12"/>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42</v>
      </c>
      <c r="DN39" s="317">
        <f t="shared" si="17"/>
        <v>44487</v>
      </c>
      <c r="DO39" s="5">
        <f ca="1">VLOOKUP(IF($DM39&lt;53,$DM39,52),'Summary Calculations (hide)'!$D$15:$F$67,2,0)</f>
        <v>551.5</v>
      </c>
      <c r="DP39" s="5">
        <f ca="1">VLOOKUP(IF($DM39&lt;53,$DM39,52),'Summary Calculations (hide)'!$D$15:$F$67,3,0)</f>
        <v>664</v>
      </c>
      <c r="DQ39" s="5">
        <f ca="1">IF(AND(DN39&gt;='Demand adjustments for Covid'!$F$12,DN39&lt;'Demand adjustments for Covid'!$F$17),'Demand adjustments for Covid'!$F$13,DO39)</f>
        <v>551.5</v>
      </c>
      <c r="DR39" s="5">
        <f t="shared" si="33"/>
        <v>0</v>
      </c>
      <c r="DS39" s="5">
        <f ca="1">IF('Demand adjustments for Covid'!$F$9="Yes",IF(DR39=0,DQ39,((SUM(DR$4:DR39)-1)*$EE$8)+'Demand adjustments for Covid'!F$13),'Demand background (hide)'!DO39)</f>
        <v>551.5</v>
      </c>
      <c r="DT39" s="5">
        <f ca="1">IF('Demand adjustments for Covid'!$F$9="Yes",IF(OR(AND(DN39&gt;='Demand adjustments for Covid'!$F$12,DN39&lt;'Demand adjustments for Covid'!$F$17),DR39=1),DS39+3,DP39),'Demand background (hide)'!DP39)</f>
        <v>664</v>
      </c>
      <c r="DU39" s="5">
        <f ca="1">IF(DS39&lt;='Demand adjustments for Covid'!$F$17,DO39-DS39,0)</f>
        <v>0</v>
      </c>
      <c r="DV39" s="5">
        <f ca="1">IF(AND(ROW(A36)&gt;$EE$5,ROW(A36)&lt;=$EA$5),OFFSET('Demand adjustments for Covid'!$F$35,0,ROW(A36)-'Demand background (hide)'!$EE$5,1,1),0)</f>
        <v>0</v>
      </c>
      <c r="DW39" s="5">
        <f ca="1">IF(AND(ROW(A36)&gt;$EE$5,ROW(A36)&lt;=$EA$5),OFFSET('Demand adjustments for Covid'!$F$36,0,ROW(A36)-'Demand background (hide)'!$EE$5,1,1),0)</f>
        <v>0</v>
      </c>
      <c r="DX39" s="5">
        <f t="shared" ca="1" si="11"/>
        <v>664</v>
      </c>
    </row>
    <row r="40" spans="1:128" s="5" customFormat="1" x14ac:dyDescent="0.2">
      <c r="A40" s="5">
        <f t="shared" ca="1" si="32"/>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600</v>
      </c>
      <c r="AM40" s="5">
        <f t="shared" ca="1" si="9"/>
        <v>0</v>
      </c>
      <c r="AN40" s="5" t="str">
        <f>IF(Demand!BE49="Yes","Yes","")</f>
        <v/>
      </c>
      <c r="AP40" s="36" t="str">
        <f ca="1">Demand!B49</f>
        <v xml:space="preserve"> </v>
      </c>
      <c r="AQ40" s="5" t="str">
        <f ca="1">IF(TEXT(Demand!D49,"MMM")&lt;&gt;TEXT(Demand!D48,"MMM"),TEXT(Demand!D49,"MMM"),"")</f>
        <v>Dec</v>
      </c>
      <c r="AT40" s="5">
        <f t="shared" ca="1" si="12"/>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43</v>
      </c>
      <c r="DN40" s="317">
        <f t="shared" si="17"/>
        <v>44494</v>
      </c>
      <c r="DO40" s="5">
        <f ca="1">VLOOKUP(IF($DM40&lt;53,$DM40,52),'Summary Calculations (hide)'!$D$15:$F$67,2,0)</f>
        <v>551.5</v>
      </c>
      <c r="DP40" s="5">
        <f ca="1">VLOOKUP(IF($DM40&lt;53,$DM40,52),'Summary Calculations (hide)'!$D$15:$F$67,3,0)</f>
        <v>664</v>
      </c>
      <c r="DQ40" s="5">
        <f ca="1">IF(AND(DN40&gt;='Demand adjustments for Covid'!$F$12,DN40&lt;'Demand adjustments for Covid'!$F$17),'Demand adjustments for Covid'!$F$13,DO40)</f>
        <v>551.5</v>
      </c>
      <c r="DR40" s="5">
        <f t="shared" si="33"/>
        <v>0</v>
      </c>
      <c r="DS40" s="5">
        <f ca="1">IF('Demand adjustments for Covid'!$F$9="Yes",IF(DR40=0,DQ40,((SUM(DR$4:DR40)-1)*$EE$8)+'Demand adjustments for Covid'!F$13),'Demand background (hide)'!DO40)</f>
        <v>551.5</v>
      </c>
      <c r="DT40" s="5">
        <f ca="1">IF('Demand adjustments for Covid'!$F$9="Yes",IF(OR(AND(DN40&gt;='Demand adjustments for Covid'!$F$12,DN40&lt;'Demand adjustments for Covid'!$F$17),DR40=1),DS40+3,DP40),'Demand background (hide)'!DP40)</f>
        <v>664</v>
      </c>
      <c r="DU40" s="5">
        <f ca="1">IF(DS40&lt;='Demand adjustments for Covid'!$F$17,DO40-DS40,0)</f>
        <v>0</v>
      </c>
      <c r="DV40" s="5">
        <f ca="1">IF(AND(ROW(A37)&gt;$EE$5,ROW(A37)&lt;=$EA$5),OFFSET('Demand adjustments for Covid'!$F$35,0,ROW(A37)-'Demand background (hide)'!$EE$5,1,1),0)</f>
        <v>0</v>
      </c>
      <c r="DW40" s="5">
        <f ca="1">IF(AND(ROW(A37)&gt;$EE$5,ROW(A37)&lt;=$EA$5),OFFSET('Demand adjustments for Covid'!$F$36,0,ROW(A37)-'Demand background (hide)'!$EE$5,1,1),0)</f>
        <v>0</v>
      </c>
      <c r="DX40" s="5">
        <f t="shared" ca="1" si="11"/>
        <v>664</v>
      </c>
    </row>
    <row r="41" spans="1:128" s="5" customFormat="1" x14ac:dyDescent="0.2">
      <c r="A41" s="5">
        <f t="shared" ca="1" si="32"/>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510</v>
      </c>
      <c r="AM41" s="5">
        <f t="shared" ca="1" si="9"/>
        <v>0</v>
      </c>
      <c r="AN41" s="5" t="str">
        <f>IF(Demand!BE50="Yes","Yes","")</f>
        <v/>
      </c>
      <c r="AP41" s="36" t="str">
        <f ca="1">Demand!B50</f>
        <v xml:space="preserve"> </v>
      </c>
      <c r="AQ41" s="5" t="str">
        <f ca="1">IF(TEXT(Demand!D50,"MMM")&lt;&gt;TEXT(Demand!D49,"MMM"),TEXT(Demand!D50,"MMM"),"")</f>
        <v/>
      </c>
      <c r="AT41" s="5">
        <f t="shared" ca="1" si="12"/>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44</v>
      </c>
      <c r="DN41" s="317">
        <f t="shared" si="17"/>
        <v>44501</v>
      </c>
      <c r="DO41" s="5">
        <f ca="1">VLOOKUP(IF($DM41&lt;53,$DM41,52),'Summary Calculations (hide)'!$D$15:$F$67,2,0)</f>
        <v>551.5</v>
      </c>
      <c r="DP41" s="5">
        <f ca="1">VLOOKUP(IF($DM41&lt;53,$DM41,52),'Summary Calculations (hide)'!$D$15:$F$67,3,0)</f>
        <v>664</v>
      </c>
      <c r="DQ41" s="5">
        <f ca="1">IF(AND(DN41&gt;='Demand adjustments for Covid'!$F$12,DN41&lt;'Demand adjustments for Covid'!$F$17),'Demand adjustments for Covid'!$F$13,DO41)</f>
        <v>551.5</v>
      </c>
      <c r="DR41" s="5">
        <f t="shared" si="33"/>
        <v>0</v>
      </c>
      <c r="DS41" s="5">
        <f ca="1">IF('Demand adjustments for Covid'!$F$9="Yes",IF(DR41=0,DQ41,((SUM(DR$4:DR41)-1)*$EE$8)+'Demand adjustments for Covid'!F$13),'Demand background (hide)'!DO41)</f>
        <v>551.5</v>
      </c>
      <c r="DT41" s="5">
        <f ca="1">IF('Demand adjustments for Covid'!$F$9="Yes",IF(OR(AND(DN41&gt;='Demand adjustments for Covid'!$F$12,DN41&lt;'Demand adjustments for Covid'!$F$17),DR41=1),DS41+3,DP41),'Demand background (hide)'!DP41)</f>
        <v>664</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664</v>
      </c>
    </row>
    <row r="42" spans="1:128" s="5" customFormat="1" x14ac:dyDescent="0.2">
      <c r="A42" s="5">
        <f t="shared" ca="1" si="32"/>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300</v>
      </c>
      <c r="AM42" s="5">
        <f t="shared" ca="1" si="9"/>
        <v>0</v>
      </c>
      <c r="AN42" s="5" t="str">
        <f>IF(Demand!BE51="Yes","Yes","")</f>
        <v/>
      </c>
      <c r="AP42" s="36" t="str">
        <f ca="1">Demand!B51</f>
        <v xml:space="preserve"> </v>
      </c>
      <c r="AQ42" s="5" t="str">
        <f ca="1">IF(TEXT(Demand!D51,"MMM")&lt;&gt;TEXT(Demand!D50,"MMM"),TEXT(Demand!D51,"MMM"),"")</f>
        <v/>
      </c>
      <c r="AT42" s="5">
        <f t="shared" ca="1" si="12"/>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45</v>
      </c>
      <c r="DN42" s="317">
        <f t="shared" si="17"/>
        <v>44508</v>
      </c>
      <c r="DO42" s="5">
        <f ca="1">VLOOKUP(IF($DM42&lt;53,$DM42,52),'Summary Calculations (hide)'!$D$15:$F$67,2,0)</f>
        <v>551.5</v>
      </c>
      <c r="DP42" s="5">
        <f ca="1">VLOOKUP(IF($DM42&lt;53,$DM42,52),'Summary Calculations (hide)'!$D$15:$F$67,3,0)</f>
        <v>664</v>
      </c>
      <c r="DQ42" s="5">
        <f ca="1">IF(AND(DN42&gt;='Demand adjustments for Covid'!$F$12,DN42&lt;'Demand adjustments for Covid'!$F$17),'Demand adjustments for Covid'!$F$13,DO42)</f>
        <v>551.5</v>
      </c>
      <c r="DR42" s="5">
        <f t="shared" si="33"/>
        <v>0</v>
      </c>
      <c r="DS42" s="5">
        <f ca="1">IF('Demand adjustments for Covid'!$F$9="Yes",IF(DR42=0,DQ42,((SUM(DR$4:DR42)-1)*$EE$8)+'Demand adjustments for Covid'!F$13),'Demand background (hide)'!DO42)</f>
        <v>551.5</v>
      </c>
      <c r="DT42" s="5">
        <f ca="1">IF('Demand adjustments for Covid'!$F$9="Yes",IF(OR(AND(DN42&gt;='Demand adjustments for Covid'!$F$12,DN42&lt;'Demand adjustments for Covid'!$F$17),DR42=1),DS42+3,DP42),'Demand background (hide)'!DP42)</f>
        <v>664</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664</v>
      </c>
    </row>
    <row r="43" spans="1:128" s="5" customFormat="1" x14ac:dyDescent="0.2">
      <c r="A43" s="5">
        <f t="shared" ca="1" si="32"/>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770</v>
      </c>
      <c r="AM43" s="5">
        <f t="shared" ca="1" si="9"/>
        <v>0</v>
      </c>
      <c r="AN43" s="5" t="str">
        <f>IF(Demand!BE52="Yes","Yes","")</f>
        <v/>
      </c>
      <c r="AP43" s="36" t="str">
        <f ca="1">Demand!B52</f>
        <v xml:space="preserve"> </v>
      </c>
      <c r="AQ43" s="5" t="str">
        <f ca="1">IF(TEXT(Demand!D52,"MMM")&lt;&gt;TEXT(Demand!D51,"MMM"),TEXT(Demand!D52,"MMM"),"")</f>
        <v/>
      </c>
      <c r="AT43" s="5">
        <f t="shared" ca="1" si="12"/>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46</v>
      </c>
      <c r="DN43" s="317">
        <f t="shared" si="17"/>
        <v>44515</v>
      </c>
      <c r="DO43" s="5">
        <f ca="1">VLOOKUP(IF($DM43&lt;53,$DM43,52),'Summary Calculations (hide)'!$D$15:$F$67,2,0)</f>
        <v>551.5</v>
      </c>
      <c r="DP43" s="5">
        <f ca="1">VLOOKUP(IF($DM43&lt;53,$DM43,52),'Summary Calculations (hide)'!$D$15:$F$67,3,0)</f>
        <v>664</v>
      </c>
      <c r="DQ43" s="5">
        <f ca="1">IF(AND(DN43&gt;='Demand adjustments for Covid'!$F$12,DN43&lt;'Demand adjustments for Covid'!$F$17),'Demand adjustments for Covid'!$F$13,DO43)</f>
        <v>551.5</v>
      </c>
      <c r="DR43" s="5">
        <f t="shared" si="33"/>
        <v>0</v>
      </c>
      <c r="DS43" s="5">
        <f ca="1">IF('Demand adjustments for Covid'!$F$9="Yes",IF(DR43=0,DQ43,((SUM(DR$4:DR43)-1)*$EE$8)+'Demand adjustments for Covid'!F$13),'Demand background (hide)'!DO43)</f>
        <v>551.5</v>
      </c>
      <c r="DT43" s="5">
        <f ca="1">IF('Demand adjustments for Covid'!$F$9="Yes",IF(OR(AND(DN43&gt;='Demand adjustments for Covid'!$F$12,DN43&lt;'Demand adjustments for Covid'!$F$17),DR43=1),DS43+3,DP43),'Demand background (hide)'!DP43)</f>
        <v>664</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664</v>
      </c>
    </row>
    <row r="44" spans="1:128" s="5" customFormat="1" x14ac:dyDescent="0.2">
      <c r="A44" s="5">
        <f t="shared" ca="1" si="32"/>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510</v>
      </c>
      <c r="AM44" s="5">
        <f t="shared" ca="1" si="9"/>
        <v>0</v>
      </c>
      <c r="AN44" s="5" t="str">
        <f>IF(Demand!BE53="Yes","Yes","")</f>
        <v/>
      </c>
      <c r="AP44" s="36">
        <f ca="1">Demand!B53</f>
        <v>2017</v>
      </c>
      <c r="AQ44" s="5" t="str">
        <f ca="1">IF(TEXT(Demand!D53,"MMM")&lt;&gt;TEXT(Demand!D52,"MMM"),TEXT(Demand!D53,"MMM"),"")</f>
        <v>Jan</v>
      </c>
      <c r="AT44" s="5">
        <f t="shared" ca="1" si="12"/>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47</v>
      </c>
      <c r="DN44" s="317">
        <f t="shared" si="17"/>
        <v>44522</v>
      </c>
      <c r="DO44" s="5">
        <f ca="1">VLOOKUP(IF($DM44&lt;53,$DM44,52),'Summary Calculations (hide)'!$D$15:$F$67,2,0)</f>
        <v>551.5</v>
      </c>
      <c r="DP44" s="5">
        <f ca="1">VLOOKUP(IF($DM44&lt;53,$DM44,52),'Summary Calculations (hide)'!$D$15:$F$67,3,0)</f>
        <v>664</v>
      </c>
      <c r="DQ44" s="5">
        <f ca="1">IF(AND(DN44&gt;='Demand adjustments for Covid'!$F$12,DN44&lt;'Demand adjustments for Covid'!$F$17),'Demand adjustments for Covid'!$F$13,DO44)</f>
        <v>551.5</v>
      </c>
      <c r="DR44" s="5">
        <f t="shared" si="33"/>
        <v>0</v>
      </c>
      <c r="DS44" s="5">
        <f ca="1">IF('Demand adjustments for Covid'!$F$9="Yes",IF(DR44=0,DQ44,((SUM(DR$4:DR44)-1)*$EE$8)+'Demand adjustments for Covid'!F$13),'Demand background (hide)'!DO44)</f>
        <v>551.5</v>
      </c>
      <c r="DT44" s="5">
        <f ca="1">IF('Demand adjustments for Covid'!$F$9="Yes",IF(OR(AND(DN44&gt;='Demand adjustments for Covid'!$F$12,DN44&lt;'Demand adjustments for Covid'!$F$17),DR44=1),DS44+3,DP44),'Demand background (hide)'!DP44)</f>
        <v>664</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664</v>
      </c>
    </row>
    <row r="45" spans="1:128" s="5" customFormat="1" x14ac:dyDescent="0.2">
      <c r="A45" s="5">
        <f t="shared" ca="1" si="32"/>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440</v>
      </c>
      <c r="AM45" s="5">
        <f t="shared" ca="1" si="9"/>
        <v>0</v>
      </c>
      <c r="AN45" s="5" t="str">
        <f>IF(Demand!BE54="Yes","Yes","")</f>
        <v/>
      </c>
      <c r="AP45" s="36" t="str">
        <f ca="1">Demand!B54</f>
        <v xml:space="preserve"> </v>
      </c>
      <c r="AQ45" s="5" t="str">
        <f ca="1">IF(TEXT(Demand!D54,"MMM")&lt;&gt;TEXT(Demand!D53,"MMM"),TEXT(Demand!D54,"MMM"),"")</f>
        <v/>
      </c>
      <c r="AT45" s="5">
        <f t="shared" ca="1" si="12"/>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48</v>
      </c>
      <c r="DN45" s="317">
        <f t="shared" si="17"/>
        <v>44529</v>
      </c>
      <c r="DO45" s="5">
        <f ca="1">VLOOKUP(IF($DM45&lt;53,$DM45,52),'Summary Calculations (hide)'!$D$15:$F$67,2,0)</f>
        <v>551.5</v>
      </c>
      <c r="DP45" s="5">
        <f ca="1">VLOOKUP(IF($DM45&lt;53,$DM45,52),'Summary Calculations (hide)'!$D$15:$F$67,3,0)</f>
        <v>664</v>
      </c>
      <c r="DQ45" s="5">
        <f ca="1">IF(AND(DN45&gt;='Demand adjustments for Covid'!$F$12,DN45&lt;'Demand adjustments for Covid'!$F$17),'Demand adjustments for Covid'!$F$13,DO45)</f>
        <v>551.5</v>
      </c>
      <c r="DR45" s="5">
        <f t="shared" si="33"/>
        <v>0</v>
      </c>
      <c r="DS45" s="5">
        <f ca="1">IF('Demand adjustments for Covid'!$F$9="Yes",IF(DR45=0,DQ45,((SUM(DR$4:DR45)-1)*$EE$8)+'Demand adjustments for Covid'!F$13),'Demand background (hide)'!DO45)</f>
        <v>551.5</v>
      </c>
      <c r="DT45" s="5">
        <f ca="1">IF('Demand adjustments for Covid'!$F$9="Yes",IF(OR(AND(DN45&gt;='Demand adjustments for Covid'!$F$12,DN45&lt;'Demand adjustments for Covid'!$F$17),DR45=1),DS45+3,DP45),'Demand background (hide)'!DP45)</f>
        <v>664</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664</v>
      </c>
    </row>
    <row r="46" spans="1:128" s="5" customFormat="1" x14ac:dyDescent="0.2">
      <c r="A46" s="5">
        <f t="shared" ca="1" si="32"/>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650</v>
      </c>
      <c r="AM46" s="5">
        <f t="shared" ca="1" si="9"/>
        <v>0</v>
      </c>
      <c r="AN46" s="5" t="str">
        <f>IF(Demand!BE55="Yes","Yes","")</f>
        <v/>
      </c>
      <c r="AP46" s="36" t="str">
        <f ca="1">Demand!B55</f>
        <v xml:space="preserve"> </v>
      </c>
      <c r="AQ46" s="5" t="str">
        <f ca="1">IF(TEXT(Demand!D55,"MMM")&lt;&gt;TEXT(Demand!D54,"MMM"),TEXT(Demand!D55,"MMM"),"")</f>
        <v/>
      </c>
      <c r="AT46" s="5">
        <f t="shared" ca="1" si="12"/>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49</v>
      </c>
      <c r="DN46" s="317">
        <f t="shared" si="17"/>
        <v>44536</v>
      </c>
      <c r="DO46" s="5">
        <f ca="1">VLOOKUP(IF($DM46&lt;53,$DM46,52),'Summary Calculations (hide)'!$D$15:$F$67,2,0)</f>
        <v>551.5</v>
      </c>
      <c r="DP46" s="5">
        <f ca="1">VLOOKUP(IF($DM46&lt;53,$DM46,52),'Summary Calculations (hide)'!$D$15:$F$67,3,0)</f>
        <v>664</v>
      </c>
      <c r="DQ46" s="5">
        <f ca="1">IF(AND(DN46&gt;='Demand adjustments for Covid'!$F$12,DN46&lt;'Demand adjustments for Covid'!$F$17),'Demand adjustments for Covid'!$F$13,DO46)</f>
        <v>551.5</v>
      </c>
      <c r="DR46" s="5">
        <f t="shared" si="33"/>
        <v>0</v>
      </c>
      <c r="DS46" s="5">
        <f ca="1">IF('Demand adjustments for Covid'!$F$9="Yes",IF(DR46=0,DQ46,((SUM(DR$4:DR46)-1)*$EE$8)+'Demand adjustments for Covid'!F$13),'Demand background (hide)'!DO46)</f>
        <v>551.5</v>
      </c>
      <c r="DT46" s="5">
        <f ca="1">IF('Demand adjustments for Covid'!$F$9="Yes",IF(OR(AND(DN46&gt;='Demand adjustments for Covid'!$F$12,DN46&lt;'Demand adjustments for Covid'!$F$17),DR46=1),DS46+3,DP46),'Demand background (hide)'!DP46)</f>
        <v>664</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664</v>
      </c>
    </row>
    <row r="47" spans="1:128" s="5" customFormat="1" x14ac:dyDescent="0.2">
      <c r="A47" s="5">
        <f t="shared" ca="1" si="32"/>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620</v>
      </c>
      <c r="AM47" s="5">
        <f t="shared" ca="1" si="9"/>
        <v>0</v>
      </c>
      <c r="AN47" s="5" t="str">
        <f>IF(Demand!BE56="Yes","Yes","")</f>
        <v/>
      </c>
      <c r="AP47" s="36" t="str">
        <f ca="1">Demand!B56</f>
        <v xml:space="preserve"> </v>
      </c>
      <c r="AQ47" s="5" t="str">
        <f ca="1">IF(TEXT(Demand!D56,"MMM")&lt;&gt;TEXT(Demand!D55,"MMM"),TEXT(Demand!D56,"MMM"),"")</f>
        <v/>
      </c>
      <c r="AT47" s="5">
        <f t="shared" ca="1" si="12"/>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50</v>
      </c>
      <c r="DN47" s="317">
        <f t="shared" si="17"/>
        <v>44543</v>
      </c>
      <c r="DO47" s="5">
        <f ca="1">VLOOKUP(IF($DM47&lt;53,$DM47,52),'Summary Calculations (hide)'!$D$15:$F$67,2,0)</f>
        <v>551.5</v>
      </c>
      <c r="DP47" s="5">
        <f ca="1">VLOOKUP(IF($DM47&lt;53,$DM47,52),'Summary Calculations (hide)'!$D$15:$F$67,3,0)</f>
        <v>664</v>
      </c>
      <c r="DQ47" s="5">
        <f ca="1">IF(AND(DN47&gt;='Demand adjustments for Covid'!$F$12,DN47&lt;'Demand adjustments for Covid'!$F$17),'Demand adjustments for Covid'!$F$13,DO47)</f>
        <v>551.5</v>
      </c>
      <c r="DR47" s="5">
        <f t="shared" si="33"/>
        <v>0</v>
      </c>
      <c r="DS47" s="5">
        <f ca="1">IF('Demand adjustments for Covid'!$F$9="Yes",IF(DR47=0,DQ47,((SUM(DR$4:DR47)-1)*$EE$8)+'Demand adjustments for Covid'!F$13),'Demand background (hide)'!DO47)</f>
        <v>551.5</v>
      </c>
      <c r="DT47" s="5">
        <f ca="1">IF('Demand adjustments for Covid'!$F$9="Yes",IF(OR(AND(DN47&gt;='Demand adjustments for Covid'!$F$12,DN47&lt;'Demand adjustments for Covid'!$F$17),DR47=1),DS47+3,DP47),'Demand background (hide)'!DP47)</f>
        <v>664</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664</v>
      </c>
    </row>
    <row r="48" spans="1:128" s="5" customFormat="1" x14ac:dyDescent="0.2">
      <c r="A48" s="5">
        <f t="shared" ca="1" si="32"/>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320</v>
      </c>
      <c r="AM48" s="5">
        <f t="shared" ca="1" si="9"/>
        <v>0</v>
      </c>
      <c r="AN48" s="5" t="str">
        <f>IF(Demand!BE57="Yes","Yes","")</f>
        <v/>
      </c>
      <c r="AP48" s="36" t="str">
        <f ca="1">Demand!B57</f>
        <v xml:space="preserve"> </v>
      </c>
      <c r="AQ48" s="5" t="str">
        <f ca="1">IF(TEXT(Demand!D57,"MMM")&lt;&gt;TEXT(Demand!D56,"MMM"),TEXT(Demand!D57,"MMM"),"")</f>
        <v/>
      </c>
      <c r="AT48" s="5">
        <f t="shared" ca="1" si="12"/>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51</v>
      </c>
      <c r="DN48" s="317">
        <f t="shared" si="17"/>
        <v>44550</v>
      </c>
      <c r="DO48" s="5">
        <f ca="1">VLOOKUP(IF($DM48&lt;53,$DM48,52),'Summary Calculations (hide)'!$D$15:$F$67,2,0)</f>
        <v>551.5</v>
      </c>
      <c r="DP48" s="5">
        <f ca="1">VLOOKUP(IF($DM48&lt;53,$DM48,52),'Summary Calculations (hide)'!$D$15:$F$67,3,0)</f>
        <v>664</v>
      </c>
      <c r="DQ48" s="5">
        <f ca="1">IF(AND(DN48&gt;='Demand adjustments for Covid'!$F$12,DN48&lt;'Demand adjustments for Covid'!$F$17),'Demand adjustments for Covid'!$F$13,DO48)</f>
        <v>551.5</v>
      </c>
      <c r="DR48" s="5">
        <f t="shared" si="33"/>
        <v>0</v>
      </c>
      <c r="DS48" s="5">
        <f ca="1">IF('Demand adjustments for Covid'!$F$9="Yes",IF(DR48=0,DQ48,((SUM(DR$4:DR48)-1)*$EE$8)+'Demand adjustments for Covid'!F$13),'Demand background (hide)'!DO48)</f>
        <v>551.5</v>
      </c>
      <c r="DT48" s="5">
        <f ca="1">IF('Demand adjustments for Covid'!$F$9="Yes",IF(OR(AND(DN48&gt;='Demand adjustments for Covid'!$F$12,DN48&lt;'Demand adjustments for Covid'!$F$17),DR48=1),DS48+3,DP48),'Demand background (hide)'!DP48)</f>
        <v>664</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664</v>
      </c>
    </row>
    <row r="49" spans="1:132" s="5" customFormat="1" x14ac:dyDescent="0.2">
      <c r="A49" s="5">
        <f t="shared" ca="1" si="32"/>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450</v>
      </c>
      <c r="AM49" s="5">
        <f t="shared" ca="1" si="9"/>
        <v>0</v>
      </c>
      <c r="AN49" s="5" t="str">
        <f>IF(Demand!BE58="Yes","Yes","")</f>
        <v/>
      </c>
      <c r="AP49" s="36" t="str">
        <f ca="1">Demand!B58</f>
        <v xml:space="preserve"> </v>
      </c>
      <c r="AQ49" s="5" t="str">
        <f ca="1">IF(TEXT(Demand!D58,"MMM")&lt;&gt;TEXT(Demand!D57,"MMM"),TEXT(Demand!D58,"MMM"),"")</f>
        <v>Feb</v>
      </c>
      <c r="AT49" s="5">
        <f t="shared" ca="1" si="12"/>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52</v>
      </c>
      <c r="DN49" s="317">
        <f t="shared" si="17"/>
        <v>44557</v>
      </c>
      <c r="DO49" s="5">
        <f ca="1">VLOOKUP(IF($DM49&lt;53,$DM49,52),'Summary Calculations (hide)'!$D$15:$F$67,2,0)</f>
        <v>551.5</v>
      </c>
      <c r="DP49" s="5">
        <f ca="1">VLOOKUP(IF($DM49&lt;53,$DM49,52),'Summary Calculations (hide)'!$D$15:$F$67,3,0)</f>
        <v>664</v>
      </c>
      <c r="DQ49" s="5">
        <f ca="1">IF(AND(DN49&gt;='Demand adjustments for Covid'!$F$12,DN49&lt;'Demand adjustments for Covid'!$F$17),'Demand adjustments for Covid'!$F$13,DO49)</f>
        <v>551.5</v>
      </c>
      <c r="DR49" s="5">
        <f t="shared" si="33"/>
        <v>0</v>
      </c>
      <c r="DS49" s="5">
        <f ca="1">IF('Demand adjustments for Covid'!$F$9="Yes",IF(DR49=0,DQ49,((SUM(DR$4:DR49)-1)*$EE$8)+'Demand adjustments for Covid'!F$13),'Demand background (hide)'!DO49)</f>
        <v>551.5</v>
      </c>
      <c r="DT49" s="5">
        <f ca="1">IF('Demand adjustments for Covid'!$F$9="Yes",IF(OR(AND(DN49&gt;='Demand adjustments for Covid'!$F$12,DN49&lt;'Demand adjustments for Covid'!$F$17),DR49=1),DS49+3,DP49),'Demand background (hide)'!DP49)</f>
        <v>664</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664</v>
      </c>
    </row>
    <row r="50" spans="1:132" s="5" customFormat="1" x14ac:dyDescent="0.2">
      <c r="A50" s="5">
        <f t="shared" ca="1" si="32"/>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480</v>
      </c>
      <c r="AM50" s="5">
        <f t="shared" ca="1" si="9"/>
        <v>0</v>
      </c>
      <c r="AN50" s="5" t="str">
        <f>IF(Demand!BE59="Yes","Yes","")</f>
        <v/>
      </c>
      <c r="AP50" s="36" t="str">
        <f ca="1">Demand!B59</f>
        <v xml:space="preserve"> </v>
      </c>
      <c r="AQ50" s="5" t="str">
        <f ca="1">IF(TEXT(Demand!D59,"MMM")&lt;&gt;TEXT(Demand!D58,"MMM"),TEXT(Demand!D59,"MMM"),"")</f>
        <v/>
      </c>
      <c r="AT50" s="5">
        <f t="shared" ca="1" si="12"/>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v>
      </c>
      <c r="DN50" s="317">
        <f t="shared" si="17"/>
        <v>44564</v>
      </c>
      <c r="DO50" s="5">
        <f ca="1">VLOOKUP(IF($DM50&lt;53,$DM50,52),'Summary Calculations (hide)'!$D$15:$F$67,2,0)</f>
        <v>551.5</v>
      </c>
      <c r="DP50" s="5">
        <f ca="1">VLOOKUP(IF($DM50&lt;53,$DM50,52),'Summary Calculations (hide)'!$D$15:$F$67,3,0)</f>
        <v>664</v>
      </c>
      <c r="DQ50" s="5">
        <f ca="1">IF(AND(DN50&gt;='Demand adjustments for Covid'!$F$12,DN50&lt;'Demand adjustments for Covid'!$F$17),'Demand adjustments for Covid'!$F$13,DO50)</f>
        <v>551.5</v>
      </c>
      <c r="DR50" s="5">
        <f t="shared" si="33"/>
        <v>0</v>
      </c>
      <c r="DS50" s="5">
        <f ca="1">IF('Demand adjustments for Covid'!$F$9="Yes",IF(DR50=0,DQ50,((SUM(DR$4:DR50)-1)*$EE$8)+'Demand adjustments for Covid'!F$13),'Demand background (hide)'!DO50)</f>
        <v>551.5</v>
      </c>
      <c r="DT50" s="5">
        <f ca="1">IF('Demand adjustments for Covid'!$F$9="Yes",IF(OR(AND(DN50&gt;='Demand adjustments for Covid'!$F$12,DN50&lt;'Demand adjustments for Covid'!$F$17),DR50=1),DS50+3,DP50),'Demand background (hide)'!DP50)</f>
        <v>664</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664</v>
      </c>
    </row>
    <row r="51" spans="1:132" s="5" customFormat="1" x14ac:dyDescent="0.2">
      <c r="A51" s="5">
        <f t="shared" ca="1" si="32"/>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790</v>
      </c>
      <c r="AM51" s="5">
        <f t="shared" ca="1" si="9"/>
        <v>0</v>
      </c>
      <c r="AN51" s="5" t="str">
        <f>IF(Demand!BE60="Yes","Yes","")</f>
        <v/>
      </c>
      <c r="AP51" s="36" t="str">
        <f ca="1">Demand!B60</f>
        <v xml:space="preserve"> </v>
      </c>
      <c r="AQ51" s="5" t="str">
        <f ca="1">IF(TEXT(Demand!D60,"MMM")&lt;&gt;TEXT(Demand!D59,"MMM"),TEXT(Demand!D60,"MMM"),"")</f>
        <v/>
      </c>
      <c r="AT51" s="5">
        <f t="shared" ca="1" si="12"/>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2</v>
      </c>
      <c r="DN51" s="317">
        <f t="shared" si="17"/>
        <v>44571</v>
      </c>
      <c r="DO51" s="5">
        <f ca="1">VLOOKUP(IF($DM51&lt;53,$DM51,52),'Summary Calculations (hide)'!$D$15:$F$67,2,0)</f>
        <v>551.5</v>
      </c>
      <c r="DP51" s="5">
        <f ca="1">VLOOKUP(IF($DM51&lt;53,$DM51,52),'Summary Calculations (hide)'!$D$15:$F$67,3,0)</f>
        <v>664</v>
      </c>
      <c r="DQ51" s="5">
        <f ca="1">IF(AND(DN51&gt;='Demand adjustments for Covid'!$F$12,DN51&lt;'Demand adjustments for Covid'!$F$17),'Demand adjustments for Covid'!$F$13,DO51)</f>
        <v>551.5</v>
      </c>
      <c r="DR51" s="5">
        <f t="shared" si="33"/>
        <v>0</v>
      </c>
      <c r="DS51" s="5">
        <f ca="1">IF('Demand adjustments for Covid'!$F$9="Yes",IF(DR51=0,DQ51,((SUM(DR$4:DR51)-1)*$EE$8)+'Demand adjustments for Covid'!F$13),'Demand background (hide)'!DO51)</f>
        <v>551.5</v>
      </c>
      <c r="DT51" s="5">
        <f ca="1">IF('Demand adjustments for Covid'!$F$9="Yes",IF(OR(AND(DN51&gt;='Demand adjustments for Covid'!$F$12,DN51&lt;'Demand adjustments for Covid'!$F$17),DR51=1),DS51+3,DP51),'Demand background (hide)'!DP51)</f>
        <v>664</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664</v>
      </c>
    </row>
    <row r="52" spans="1:132" s="5" customFormat="1" x14ac:dyDescent="0.2">
      <c r="A52" s="5">
        <f t="shared" ca="1" si="32"/>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330</v>
      </c>
      <c r="AM52" s="5">
        <f t="shared" ca="1" si="9"/>
        <v>0</v>
      </c>
      <c r="AN52" s="5" t="str">
        <f>IF(Demand!BE61="Yes","Yes","")</f>
        <v/>
      </c>
      <c r="AP52" s="36" t="str">
        <f ca="1">Demand!B61</f>
        <v xml:space="preserve"> </v>
      </c>
      <c r="AQ52" s="5" t="str">
        <f ca="1">IF(TEXT(Demand!D61,"MMM")&lt;&gt;TEXT(Demand!D60,"MMM"),TEXT(Demand!D61,"MMM"),"")</f>
        <v/>
      </c>
      <c r="AT52" s="5">
        <f t="shared" ca="1" si="12"/>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3</v>
      </c>
      <c r="DN52" s="317">
        <f t="shared" si="17"/>
        <v>44578</v>
      </c>
      <c r="DO52" s="5">
        <f ca="1">VLOOKUP(IF($DM52&lt;53,$DM52,52),'Summary Calculations (hide)'!$D$15:$F$67,2,0)</f>
        <v>551.5</v>
      </c>
      <c r="DP52" s="5">
        <f ca="1">VLOOKUP(IF($DM52&lt;53,$DM52,52),'Summary Calculations (hide)'!$D$15:$F$67,3,0)</f>
        <v>664</v>
      </c>
      <c r="DQ52" s="5">
        <f ca="1">IF(AND(DN52&gt;='Demand adjustments for Covid'!$F$12,DN52&lt;'Demand adjustments for Covid'!$F$17),'Demand adjustments for Covid'!$F$13,DO52)</f>
        <v>551.5</v>
      </c>
      <c r="DR52" s="5">
        <f t="shared" si="33"/>
        <v>0</v>
      </c>
      <c r="DS52" s="5">
        <f ca="1">IF('Demand adjustments for Covid'!$F$9="Yes",IF(DR52=0,DQ52,((SUM(DR$4:DR52)-1)*$EE$8)+'Demand adjustments for Covid'!F$13),'Demand background (hide)'!DO52)</f>
        <v>551.5</v>
      </c>
      <c r="DT52" s="5">
        <f ca="1">IF('Demand adjustments for Covid'!$F$9="Yes",IF(OR(AND(DN52&gt;='Demand adjustments for Covid'!$F$12,DN52&lt;'Demand adjustments for Covid'!$F$17),DR52=1),DS52+3,DP52),'Demand background (hide)'!DP52)</f>
        <v>664</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664</v>
      </c>
    </row>
    <row r="53" spans="1:132" s="5" customFormat="1" x14ac:dyDescent="0.2">
      <c r="A53" s="5">
        <f t="shared" ca="1" si="32"/>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590</v>
      </c>
      <c r="AM53" s="5">
        <f t="shared" ca="1" si="9"/>
        <v>0</v>
      </c>
      <c r="AN53" s="5" t="str">
        <f>IF(Demand!BE62="Yes","Yes","")</f>
        <v/>
      </c>
      <c r="AP53" s="36" t="str">
        <f ca="1">Demand!B62</f>
        <v xml:space="preserve"> </v>
      </c>
      <c r="AQ53" s="5" t="str">
        <f ca="1">IF(TEXT(Demand!D62,"MMM")&lt;&gt;TEXT(Demand!D61,"MMM"),TEXT(Demand!D62,"MMM"),"")</f>
        <v>Mar</v>
      </c>
      <c r="AT53" s="5">
        <f t="shared" ca="1" si="12"/>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4</v>
      </c>
      <c r="DN53" s="317">
        <f t="shared" si="17"/>
        <v>44585</v>
      </c>
      <c r="DO53" s="5">
        <f ca="1">VLOOKUP(IF($DM53&lt;53,$DM53,52),'Summary Calculations (hide)'!$D$15:$F$67,2,0)</f>
        <v>551.5</v>
      </c>
      <c r="DP53" s="5">
        <f ca="1">VLOOKUP(IF($DM53&lt;53,$DM53,52),'Summary Calculations (hide)'!$D$15:$F$67,3,0)</f>
        <v>664</v>
      </c>
      <c r="DQ53" s="5">
        <f ca="1">IF(AND(DN53&gt;='Demand adjustments for Covid'!$F$12,DN53&lt;'Demand adjustments for Covid'!$F$17),'Demand adjustments for Covid'!$F$13,DO53)</f>
        <v>551.5</v>
      </c>
      <c r="DR53" s="5">
        <f t="shared" si="33"/>
        <v>0</v>
      </c>
      <c r="DS53" s="5">
        <f ca="1">IF('Demand adjustments for Covid'!$F$9="Yes",IF(DR53=0,DQ53,((SUM(DR$4:DR53)-1)*$EE$8)+'Demand adjustments for Covid'!F$13),'Demand background (hide)'!DO53)</f>
        <v>551.5</v>
      </c>
      <c r="DT53" s="5">
        <f ca="1">IF('Demand adjustments for Covid'!$F$9="Yes",IF(OR(AND(DN53&gt;='Demand adjustments for Covid'!$F$12,DN53&lt;'Demand adjustments for Covid'!$F$17),DR53=1),DS53+3,DP53),'Demand background (hide)'!DP53)</f>
        <v>664</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664</v>
      </c>
    </row>
    <row r="54" spans="1:132" s="5" customFormat="1" x14ac:dyDescent="0.2">
      <c r="A54" s="5">
        <f t="shared" ca="1" si="32"/>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420</v>
      </c>
      <c r="AM54" s="5">
        <f t="shared" ca="1" si="9"/>
        <v>0</v>
      </c>
      <c r="AN54" s="5" t="str">
        <f>IF(Demand!BE63="Yes","Yes","")</f>
        <v/>
      </c>
      <c r="AP54" s="36" t="str">
        <f ca="1">Demand!B63</f>
        <v xml:space="preserve"> </v>
      </c>
      <c r="AQ54" s="5" t="str">
        <f ca="1">IF(TEXT(Demand!D63,"MMM")&lt;&gt;TEXT(Demand!D62,"MMM"),TEXT(Demand!D63,"MMM"),"")</f>
        <v/>
      </c>
      <c r="AT54" s="5">
        <f t="shared" ca="1" si="12"/>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5</v>
      </c>
      <c r="DN54" s="317">
        <f t="shared" si="17"/>
        <v>44592</v>
      </c>
      <c r="DO54" s="5">
        <f ca="1">VLOOKUP(IF($DM54&lt;53,$DM54,52),'Summary Calculations (hide)'!$D$15:$F$67,2,0)</f>
        <v>551.5</v>
      </c>
      <c r="DP54" s="5">
        <f ca="1">VLOOKUP(IF($DM54&lt;53,$DM54,52),'Summary Calculations (hide)'!$D$15:$F$67,3,0)</f>
        <v>664</v>
      </c>
      <c r="DQ54" s="5">
        <f ca="1">IF(AND(DN54&gt;='Demand adjustments for Covid'!$F$12,DN54&lt;'Demand adjustments for Covid'!$F$17),'Demand adjustments for Covid'!$F$13,DO54)</f>
        <v>551.5</v>
      </c>
      <c r="DR54" s="5">
        <f t="shared" si="33"/>
        <v>0</v>
      </c>
      <c r="DS54" s="5">
        <f ca="1">IF('Demand adjustments for Covid'!$F$9="Yes",IF(DR54=0,DQ54,((SUM(DR$4:DR54)-1)*$EE$8)+'Demand adjustments for Covid'!F$13),'Demand background (hide)'!DO54)</f>
        <v>551.5</v>
      </c>
      <c r="DT54" s="5">
        <f ca="1">IF('Demand adjustments for Covid'!$F$9="Yes",IF(OR(AND(DN54&gt;='Demand adjustments for Covid'!$F$12,DN54&lt;'Demand adjustments for Covid'!$F$17),DR54=1),DS54+3,DP54),'Demand background (hide)'!DP54)</f>
        <v>664</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664</v>
      </c>
    </row>
    <row r="55" spans="1:132" s="5" customFormat="1" x14ac:dyDescent="0.2">
      <c r="A55" s="5">
        <f t="shared" ca="1" si="32"/>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780</v>
      </c>
      <c r="AM55" s="5">
        <f t="shared" ca="1" si="9"/>
        <v>0</v>
      </c>
      <c r="AN55" s="5" t="str">
        <f>IF(Demand!BE64="Yes","Yes","")</f>
        <v/>
      </c>
      <c r="AP55" s="36" t="str">
        <f ca="1">Demand!B64</f>
        <v xml:space="preserve"> </v>
      </c>
      <c r="AQ55" s="5" t="str">
        <f ca="1">IF(TEXT(Demand!D64,"MMM")&lt;&gt;TEXT(Demand!D63,"MMM"),TEXT(Demand!D64,"MMM"),"")</f>
        <v/>
      </c>
      <c r="AT55" s="5">
        <f t="shared" ca="1" si="12"/>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6</v>
      </c>
      <c r="DN55" s="317">
        <f t="shared" si="17"/>
        <v>44599</v>
      </c>
      <c r="DO55" s="5">
        <f ca="1">VLOOKUP(IF($DM55&lt;53,$DM55,52),'Summary Calculations (hide)'!$D$15:$F$67,2,0)</f>
        <v>551.5</v>
      </c>
      <c r="DP55" s="5">
        <f ca="1">VLOOKUP(IF($DM55&lt;53,$DM55,52),'Summary Calculations (hide)'!$D$15:$F$67,3,0)</f>
        <v>664</v>
      </c>
      <c r="DQ55" s="5">
        <f ca="1">IF(AND(DN55&gt;='Demand adjustments for Covid'!$F$12,DN55&lt;'Demand adjustments for Covid'!$F$17),'Demand adjustments for Covid'!$F$13,DO55)</f>
        <v>551.5</v>
      </c>
      <c r="DR55" s="5">
        <f t="shared" si="33"/>
        <v>0</v>
      </c>
      <c r="DS55" s="5">
        <f ca="1">IF('Demand adjustments for Covid'!$F$9="Yes",IF(DR55=0,DQ55,((SUM(DR$4:DR55)-1)*$EE$8)+'Demand adjustments for Covid'!F$13),'Demand background (hide)'!DO55)</f>
        <v>551.5</v>
      </c>
      <c r="DT55" s="5">
        <f ca="1">IF('Demand adjustments for Covid'!$F$9="Yes",IF(OR(AND(DN55&gt;='Demand adjustments for Covid'!$F$12,DN55&lt;'Demand adjustments for Covid'!$F$17),DR55=1),DS55+3,DP55),'Demand background (hide)'!DP55)</f>
        <v>664</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664</v>
      </c>
    </row>
    <row r="56" spans="1:132" x14ac:dyDescent="0.2">
      <c r="A56" s="5">
        <f t="shared" ref="A56:A119" ca="1" si="34">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370</v>
      </c>
      <c r="AM56" s="5">
        <f t="shared" ca="1" si="9"/>
        <v>0</v>
      </c>
      <c r="AN56" s="5" t="str">
        <f>IF(Demand!BE65="Yes","Yes","")</f>
        <v/>
      </c>
      <c r="AP56" s="36" t="str">
        <f ca="1">Demand!B65</f>
        <v xml:space="preserve"> </v>
      </c>
      <c r="AQ56" t="str">
        <f ca="1">IF(TEXT(Demand!D65,"MMM")&lt;&gt;TEXT(Demand!D64,"MMM"),TEXT(Demand!D65,"MMM"),"")</f>
        <v/>
      </c>
      <c r="AT56" s="5">
        <f t="shared" ca="1" si="12"/>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53</v>
      </c>
      <c r="DN56" s="317">
        <f t="shared" si="17"/>
        <v>44606</v>
      </c>
      <c r="DO56" s="5">
        <f ca="1">VLOOKUP(IF($DM56&lt;53,$DM56,52),'Summary Calculations (hide)'!$D$15:$F$67,2,0)</f>
        <v>551.5</v>
      </c>
      <c r="DP56" s="5">
        <f ca="1">VLOOKUP(IF($DM56&lt;53,$DM56,52),'Summary Calculations (hide)'!$D$15:$F$67,3,0)</f>
        <v>664</v>
      </c>
      <c r="DQ56" s="5">
        <f ca="1">IF(AND(DN56&gt;='Demand adjustments for Covid'!$F$12,DN56&lt;'Demand adjustments for Covid'!$F$17),'Demand adjustments for Covid'!$F$13,DO56)</f>
        <v>551.5</v>
      </c>
      <c r="DR56" s="5">
        <f t="shared" ref="DR56" si="35">IF(AND(ROW(A53)&gt;=$EE$4,ROW(A53)&lt;=$EE$5),1,0)</f>
        <v>0</v>
      </c>
      <c r="DS56" s="5">
        <f ca="1">IF('Demand adjustments for Covid'!$F$9="Yes",IF(DR56=0,DQ56,((SUM(DR$4:DR56)-1)*$EE$8)+'Demand adjustments for Covid'!F$13),'Demand background (hide)'!DO56)</f>
        <v>551.5</v>
      </c>
      <c r="DT56" s="5">
        <f ca="1">IF('Demand adjustments for Covid'!$F$9="Yes",IF(OR(AND(DN56&gt;='Demand adjustments for Covid'!$F$12,DN56&lt;'Demand adjustments for Covid'!$F$17),DR56=1),DS56+3,DP56),'Demand background (hide)'!DP56)</f>
        <v>664</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664</v>
      </c>
      <c r="DY56" s="5"/>
      <c r="DZ56" s="5"/>
      <c r="EA56" s="5"/>
      <c r="EB56" s="5"/>
    </row>
    <row r="57" spans="1:132" x14ac:dyDescent="0.2">
      <c r="A57" s="5">
        <f t="shared" ca="1" si="34"/>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450</v>
      </c>
      <c r="AM57" s="5">
        <f t="shared" ca="1" si="9"/>
        <v>0</v>
      </c>
      <c r="AN57" s="5" t="str">
        <f>IF(Demand!BE66="Yes","Yes","")</f>
        <v/>
      </c>
      <c r="AP57" s="36" t="str">
        <f ca="1">Demand!B66</f>
        <v xml:space="preserve"> </v>
      </c>
      <c r="AQ57" t="str">
        <f ca="1">IF(TEXT(Demand!D66,"MMM")&lt;&gt;TEXT(Demand!D65,"MMM"),TEXT(Demand!D66,"MMM"),"")</f>
        <v>Apr</v>
      </c>
      <c r="AT57" s="5">
        <f t="shared" ca="1" si="12"/>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
      <c r="A58" s="5">
        <f t="shared" ca="1" si="34"/>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430</v>
      </c>
      <c r="AM58" s="5">
        <f t="shared" ca="1" si="9"/>
        <v>0</v>
      </c>
      <c r="AN58" s="5" t="str">
        <f>IF(Demand!BE67="Yes","Yes","")</f>
        <v/>
      </c>
      <c r="AP58" s="36" t="str">
        <f ca="1">Demand!B67</f>
        <v xml:space="preserve"> </v>
      </c>
      <c r="AQ58" t="str">
        <f ca="1">IF(TEXT(Demand!D67,"MMM")&lt;&gt;TEXT(Demand!D66,"MMM"),TEXT(Demand!D67,"MMM"),"")</f>
        <v/>
      </c>
      <c r="AT58" s="5">
        <f t="shared" ca="1" si="12"/>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
      <c r="A59" s="5">
        <f t="shared" ca="1" si="34"/>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620</v>
      </c>
      <c r="AM59" s="5">
        <f t="shared" ca="1" si="9"/>
        <v>0</v>
      </c>
      <c r="AN59" s="5" t="str">
        <f>IF(Demand!BE68="Yes","Yes","")</f>
        <v/>
      </c>
      <c r="AP59" s="36" t="str">
        <f ca="1">Demand!B68</f>
        <v xml:space="preserve"> </v>
      </c>
      <c r="AQ59" t="str">
        <f ca="1">IF(TEXT(Demand!D68,"MMM")&lt;&gt;TEXT(Demand!D67,"MMM"),TEXT(Demand!D68,"MMM"),"")</f>
        <v/>
      </c>
      <c r="AT59" s="5">
        <f t="shared" ca="1" si="12"/>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
      <c r="A60" s="5">
        <f t="shared" ca="1" si="34"/>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430</v>
      </c>
      <c r="AM60" s="5">
        <f t="shared" ca="1" si="9"/>
        <v>0</v>
      </c>
      <c r="AN60" s="5" t="str">
        <f>IF(Demand!BE69="Yes","Yes","")</f>
        <v/>
      </c>
      <c r="AP60" s="36" t="str">
        <f ca="1">Demand!B69</f>
        <v xml:space="preserve"> </v>
      </c>
      <c r="AQ60" t="str">
        <f ca="1">IF(TEXT(Demand!D69,"MMM")&lt;&gt;TEXT(Demand!D68,"MMM"),TEXT(Demand!D69,"MMM"),"")</f>
        <v/>
      </c>
      <c r="AT60" s="5">
        <f t="shared" ca="1" si="12"/>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
      <c r="A61" s="5">
        <f t="shared" ca="1" si="34"/>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620</v>
      </c>
      <c r="AM61" s="5">
        <f t="shared" ca="1" si="9"/>
        <v>0</v>
      </c>
      <c r="AN61" s="5" t="str">
        <f>IF(Demand!BE70="Yes","Yes","")</f>
        <v/>
      </c>
      <c r="AP61" s="36" t="str">
        <f ca="1">Demand!B70</f>
        <v xml:space="preserve"> </v>
      </c>
      <c r="AQ61" t="str">
        <f ca="1">IF(TEXT(Demand!D70,"MMM")&lt;&gt;TEXT(Demand!D69,"MMM"),TEXT(Demand!D70,"MMM"),"")</f>
        <v>May</v>
      </c>
      <c r="AT61" s="5">
        <f t="shared" ca="1" si="12"/>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
      <c r="A62" s="5">
        <f t="shared" ca="1" si="34"/>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270</v>
      </c>
      <c r="AM62" s="5">
        <f t="shared" ca="1" si="9"/>
        <v>0</v>
      </c>
      <c r="AN62" s="5" t="str">
        <f>IF(Demand!BE71="Yes","Yes","")</f>
        <v/>
      </c>
      <c r="AP62" s="36" t="str">
        <f ca="1">Demand!B71</f>
        <v xml:space="preserve"> </v>
      </c>
      <c r="AQ62" t="str">
        <f ca="1">IF(TEXT(Demand!D71,"MMM")&lt;&gt;TEXT(Demand!D70,"MMM"),TEXT(Demand!D71,"MMM"),"")</f>
        <v/>
      </c>
      <c r="AT62" s="5">
        <f t="shared" ca="1" si="12"/>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
      <c r="A63" s="5">
        <f t="shared" ca="1" si="34"/>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510</v>
      </c>
      <c r="AM63" s="5">
        <f t="shared" ca="1" si="9"/>
        <v>0</v>
      </c>
      <c r="AN63" s="5" t="str">
        <f>IF(Demand!BE72="Yes","Yes","")</f>
        <v/>
      </c>
      <c r="AP63" s="36" t="str">
        <f ca="1">Demand!B72</f>
        <v xml:space="preserve"> </v>
      </c>
      <c r="AQ63" t="str">
        <f ca="1">IF(TEXT(Demand!D72,"MMM")&lt;&gt;TEXT(Demand!D71,"MMM"),TEXT(Demand!D72,"MMM"),"")</f>
        <v/>
      </c>
      <c r="AT63" s="5">
        <f t="shared" ca="1" si="12"/>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
      <c r="A64" s="5">
        <f t="shared" ca="1" si="34"/>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280</v>
      </c>
      <c r="AM64" s="5">
        <f t="shared" ca="1" si="9"/>
        <v>0</v>
      </c>
      <c r="AN64" s="5" t="str">
        <f>IF(Demand!BE73="Yes","Yes","")</f>
        <v/>
      </c>
      <c r="AP64" s="36" t="str">
        <f ca="1">Demand!B73</f>
        <v xml:space="preserve"> </v>
      </c>
      <c r="AQ64" t="str">
        <f ca="1">IF(TEXT(Demand!D73,"MMM")&lt;&gt;TEXT(Demand!D72,"MMM"),TEXT(Demand!D73,"MMM"),"")</f>
        <v/>
      </c>
      <c r="AT64" s="5">
        <f t="shared" ca="1" si="12"/>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
      <c r="A65" s="5">
        <f t="shared" ca="1" si="34"/>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720</v>
      </c>
      <c r="AM65" s="5">
        <f t="shared" ca="1" si="9"/>
        <v>0</v>
      </c>
      <c r="AN65" s="5" t="str">
        <f>IF(Demand!BE74="Yes","Yes","")</f>
        <v/>
      </c>
      <c r="AP65" s="36" t="str">
        <f ca="1">Demand!B74</f>
        <v xml:space="preserve"> </v>
      </c>
      <c r="AQ65" t="str">
        <f ca="1">IF(TEXT(Demand!D74,"MMM")&lt;&gt;TEXT(Demand!D73,"MMM"),TEXT(Demand!D74,"MMM"),"")</f>
        <v/>
      </c>
      <c r="AT65" s="5">
        <f t="shared" ca="1" si="12"/>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
      <c r="A66" s="5">
        <f t="shared" ca="1" si="34"/>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270</v>
      </c>
      <c r="AM66" s="5">
        <f t="shared" ca="1" si="9"/>
        <v>0</v>
      </c>
      <c r="AN66" s="5" t="str">
        <f>IF(Demand!BE75="Yes","Yes","")</f>
        <v/>
      </c>
      <c r="AP66" s="36" t="str">
        <f ca="1">Demand!B75</f>
        <v xml:space="preserve"> </v>
      </c>
      <c r="AQ66" t="str">
        <f ca="1">IF(TEXT(Demand!D75,"MMM")&lt;&gt;TEXT(Demand!D74,"MMM"),TEXT(Demand!D75,"MMM"),"")</f>
        <v>Jun</v>
      </c>
      <c r="AT66" s="5">
        <f t="shared" ca="1" si="12"/>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
      <c r="A67" s="5">
        <f t="shared" ca="1" si="34"/>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390</v>
      </c>
      <c r="AM67" s="5">
        <f t="shared" ca="1" si="9"/>
        <v>0</v>
      </c>
      <c r="AN67" s="5" t="str">
        <f>IF(Demand!BE76="Yes","Yes","")</f>
        <v/>
      </c>
      <c r="AP67" s="36" t="str">
        <f ca="1">Demand!B76</f>
        <v xml:space="preserve"> </v>
      </c>
      <c r="AQ67" t="str">
        <f ca="1">IF(TEXT(Demand!D76,"MMM")&lt;&gt;TEXT(Demand!D75,"MMM"),TEXT(Demand!D76,"MMM"),"")</f>
        <v/>
      </c>
      <c r="AT67" s="5">
        <f t="shared" ca="1" si="12"/>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
      <c r="A68" s="5">
        <f t="shared" ca="1" si="34"/>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500</v>
      </c>
      <c r="Y68">
        <f t="shared" ref="Y68:Y131" ca="1" si="38">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500</v>
      </c>
      <c r="AM68" s="5">
        <f t="shared" ca="1" si="9"/>
        <v>0</v>
      </c>
      <c r="AN68" s="5" t="str">
        <f>IF(Demand!BE77="Yes","Yes","")</f>
        <v/>
      </c>
      <c r="AP68" s="36" t="str">
        <f ca="1">Demand!B77</f>
        <v xml:space="preserve"> </v>
      </c>
      <c r="AQ68" t="str">
        <f ca="1">IF(TEXT(Demand!D77,"MMM")&lt;&gt;TEXT(Demand!D76,"MMM"),TEXT(Demand!D77,"MMM"),"")</f>
        <v/>
      </c>
      <c r="AT68" s="5">
        <f t="shared" ca="1" si="12"/>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
      <c r="A69" s="5">
        <f t="shared" ca="1" si="34"/>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310</v>
      </c>
      <c r="Y69">
        <f t="shared" ca="1" si="38"/>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310</v>
      </c>
      <c r="AM69" s="5">
        <f t="shared" ref="AM69:AM132" ca="1" si="41">IF(AN69&lt;&gt;"","",AJ69)</f>
        <v>0</v>
      </c>
      <c r="AN69" s="5" t="str">
        <f>IF(Demand!BE78="Yes","Yes","")</f>
        <v/>
      </c>
      <c r="AP69" s="36" t="str">
        <f ca="1">Demand!B78</f>
        <v xml:space="preserve"> </v>
      </c>
      <c r="AQ69" t="str">
        <f ca="1">IF(TEXT(Demand!D78,"MMM")&lt;&gt;TEXT(Demand!D77,"MMM"),TEXT(Demand!D78,"MMM"),"")</f>
        <v/>
      </c>
      <c r="AT69" s="5">
        <f t="shared" ca="1" si="12"/>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
      <c r="A70" s="5">
        <f t="shared" ca="1" si="34"/>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820</v>
      </c>
      <c r="Y70">
        <f t="shared" ca="1" si="38"/>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820</v>
      </c>
      <c r="AM70" s="5">
        <f t="shared" ca="1" si="41"/>
        <v>0</v>
      </c>
      <c r="AN70" s="5" t="str">
        <f>IF(Demand!BE79="Yes","Yes","")</f>
        <v/>
      </c>
      <c r="AP70" s="36" t="str">
        <f ca="1">Demand!B79</f>
        <v xml:space="preserve"> </v>
      </c>
      <c r="AQ70" t="str">
        <f ca="1">IF(TEXT(Demand!D79,"MMM")&lt;&gt;TEXT(Demand!D78,"MMM"),TEXT(Demand!D79,"MMM"),"")</f>
        <v>Jul</v>
      </c>
      <c r="AT70" s="5">
        <f t="shared" ref="AT70:AT133" ca="1" si="42">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
      <c r="A71" s="5">
        <f t="shared" ca="1" si="34"/>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640</v>
      </c>
      <c r="Y71">
        <f t="shared" ca="1" si="38"/>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640</v>
      </c>
      <c r="AM71" s="5">
        <f t="shared" ca="1" si="41"/>
        <v>0</v>
      </c>
      <c r="AN71" s="5" t="str">
        <f>IF(Demand!BE80="Yes","Yes","")</f>
        <v/>
      </c>
      <c r="AP71" s="36" t="str">
        <f ca="1">Demand!B80</f>
        <v xml:space="preserve"> </v>
      </c>
      <c r="AQ71" t="str">
        <f ca="1">IF(TEXT(Demand!D80,"MMM")&lt;&gt;TEXT(Demand!D79,"MMM"),TEXT(Demand!D80,"MMM"),"")</f>
        <v/>
      </c>
      <c r="AT71" s="5">
        <f t="shared" ca="1" si="42"/>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
      <c r="A72" s="5">
        <f t="shared" ca="1" si="34"/>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460</v>
      </c>
      <c r="Y72">
        <f t="shared" ca="1" si="38"/>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460</v>
      </c>
      <c r="AM72" s="5">
        <f t="shared" ca="1" si="41"/>
        <v>0</v>
      </c>
      <c r="AN72" s="5" t="str">
        <f>IF(Demand!BE81="Yes","Yes","")</f>
        <v/>
      </c>
      <c r="AP72" s="36" t="str">
        <f ca="1">Demand!B81</f>
        <v xml:space="preserve"> </v>
      </c>
      <c r="AQ72" t="str">
        <f ca="1">IF(TEXT(Demand!D81,"MMM")&lt;&gt;TEXT(Demand!D80,"MMM"),TEXT(Demand!D81,"MMM"),"")</f>
        <v/>
      </c>
      <c r="AT72" s="5">
        <f t="shared" ca="1" si="42"/>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
      <c r="A73" s="5">
        <f t="shared" ca="1" si="34"/>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770</v>
      </c>
      <c r="Y73">
        <f t="shared" ca="1" si="38"/>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770</v>
      </c>
      <c r="AM73" s="5">
        <f t="shared" ca="1" si="41"/>
        <v>0</v>
      </c>
      <c r="AN73" s="5" t="str">
        <f>IF(Demand!BE82="Yes","Yes","")</f>
        <v/>
      </c>
      <c r="AP73" s="36" t="str">
        <f ca="1">Demand!B82</f>
        <v xml:space="preserve"> </v>
      </c>
      <c r="AQ73" t="str">
        <f ca="1">IF(TEXT(Demand!D82,"MMM")&lt;&gt;TEXT(Demand!D81,"MMM"),TEXT(Demand!D82,"MMM"),"")</f>
        <v/>
      </c>
      <c r="AT73" s="5">
        <f t="shared" ca="1" si="42"/>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
      <c r="A74" s="5">
        <f t="shared" ca="1" si="34"/>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430</v>
      </c>
      <c r="Y74">
        <f t="shared" ca="1" si="38"/>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430</v>
      </c>
      <c r="AM74" s="5">
        <f t="shared" ca="1" si="41"/>
        <v>0</v>
      </c>
      <c r="AN74" s="5" t="str">
        <f>IF(Demand!BE83="Yes","Yes","")</f>
        <v/>
      </c>
      <c r="AP74" s="36" t="str">
        <f ca="1">Demand!B83</f>
        <v xml:space="preserve"> </v>
      </c>
      <c r="AQ74" t="str">
        <f ca="1">IF(TEXT(Demand!D83,"MMM")&lt;&gt;TEXT(Demand!D82,"MMM"),TEXT(Demand!D83,"MMM"),"")</f>
        <v/>
      </c>
      <c r="AT74" s="5">
        <f t="shared" ca="1" si="42"/>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
      <c r="A75" s="5">
        <f t="shared" ca="1" si="34"/>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490</v>
      </c>
      <c r="Y75">
        <f t="shared" ca="1" si="38"/>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490</v>
      </c>
      <c r="AM75" s="5">
        <f t="shared" ca="1" si="41"/>
        <v>0</v>
      </c>
      <c r="AN75" s="5" t="str">
        <f>IF(Demand!BE84="Yes","Yes","")</f>
        <v/>
      </c>
      <c r="AP75" s="36" t="str">
        <f ca="1">Demand!B84</f>
        <v xml:space="preserve"> </v>
      </c>
      <c r="AQ75" t="str">
        <f ca="1">IF(TEXT(Demand!D84,"MMM")&lt;&gt;TEXT(Demand!D83,"MMM"),TEXT(Demand!D84,"MMM"),"")</f>
        <v>Aug</v>
      </c>
      <c r="AT75" s="5">
        <f t="shared" ca="1" si="42"/>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
      <c r="A76" s="5">
        <f t="shared" ca="1" si="34"/>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600</v>
      </c>
      <c r="Y76">
        <f t="shared" ca="1" si="38"/>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600</v>
      </c>
      <c r="AM76" s="5">
        <f t="shared" ca="1" si="41"/>
        <v>0</v>
      </c>
      <c r="AN76" s="5" t="str">
        <f>IF(Demand!BE85="Yes","Yes","")</f>
        <v/>
      </c>
      <c r="AP76" s="36" t="str">
        <f ca="1">Demand!B85</f>
        <v xml:space="preserve"> </v>
      </c>
      <c r="AQ76" t="str">
        <f ca="1">IF(TEXT(Demand!D85,"MMM")&lt;&gt;TEXT(Demand!D84,"MMM"),TEXT(Demand!D85,"MMM"),"")</f>
        <v/>
      </c>
      <c r="AT76" s="5">
        <f t="shared" ca="1" si="42"/>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
      <c r="A77" s="5">
        <f t="shared" ca="1" si="34"/>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590</v>
      </c>
      <c r="Y77">
        <f t="shared" ca="1" si="38"/>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590</v>
      </c>
      <c r="AM77" s="5">
        <f t="shared" ca="1" si="41"/>
        <v>0</v>
      </c>
      <c r="AN77" s="5" t="str">
        <f>IF(Demand!BE86="Yes","Yes","")</f>
        <v/>
      </c>
      <c r="AP77" s="36" t="str">
        <f ca="1">Demand!B86</f>
        <v xml:space="preserve"> </v>
      </c>
      <c r="AQ77" t="str">
        <f ca="1">IF(TEXT(Demand!D86,"MMM")&lt;&gt;TEXT(Demand!D85,"MMM"),TEXT(Demand!D86,"MMM"),"")</f>
        <v/>
      </c>
      <c r="AT77" s="5">
        <f t="shared" ca="1" si="42"/>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
      <c r="A78" s="5">
        <f t="shared" ca="1" si="34"/>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730</v>
      </c>
      <c r="Y78">
        <f t="shared" ca="1" si="38"/>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730</v>
      </c>
      <c r="AM78" s="5">
        <f t="shared" ca="1" si="41"/>
        <v>0</v>
      </c>
      <c r="AN78" s="5" t="str">
        <f>IF(Demand!BE87="Yes","Yes","")</f>
        <v/>
      </c>
      <c r="AP78" s="36" t="str">
        <f ca="1">Demand!B87</f>
        <v xml:space="preserve"> </v>
      </c>
      <c r="AQ78" t="str">
        <f ca="1">IF(TEXT(Demand!D87,"MMM")&lt;&gt;TEXT(Demand!D86,"MMM"),TEXT(Demand!D87,"MMM"),"")</f>
        <v/>
      </c>
      <c r="AT78" s="5">
        <f t="shared" ca="1" si="42"/>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
      <c r="A79" s="5">
        <f t="shared" ca="1" si="34"/>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500</v>
      </c>
      <c r="Y79">
        <f t="shared" ca="1" si="38"/>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500</v>
      </c>
      <c r="AM79" s="5">
        <f t="shared" ca="1" si="41"/>
        <v>0</v>
      </c>
      <c r="AN79" s="5" t="str">
        <f>IF(Demand!BE88="Yes","Yes","")</f>
        <v/>
      </c>
      <c r="AP79" s="36" t="str">
        <f ca="1">Demand!B88</f>
        <v xml:space="preserve"> </v>
      </c>
      <c r="AQ79" t="str">
        <f ca="1">IF(TEXT(Demand!D88,"MMM")&lt;&gt;TEXT(Demand!D87,"MMM"),TEXT(Demand!D88,"MMM"),"")</f>
        <v>Sep</v>
      </c>
      <c r="AT79" s="5">
        <f t="shared" ca="1" si="42"/>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
      <c r="A80" s="5">
        <f t="shared" ca="1" si="34"/>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700</v>
      </c>
      <c r="Y80">
        <f t="shared" ca="1" si="38"/>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700</v>
      </c>
      <c r="AM80" s="5">
        <f t="shared" ca="1" si="41"/>
        <v>0</v>
      </c>
      <c r="AN80" s="5" t="str">
        <f>IF(Demand!BE89="Yes","Yes","")</f>
        <v/>
      </c>
      <c r="AP80" s="36" t="str">
        <f ca="1">Demand!B89</f>
        <v xml:space="preserve"> </v>
      </c>
      <c r="AQ80" t="str">
        <f ca="1">IF(TEXT(Demand!D89,"MMM")&lt;&gt;TEXT(Demand!D88,"MMM"),TEXT(Demand!D89,"MMM"),"")</f>
        <v/>
      </c>
      <c r="AT80" s="5">
        <f t="shared" ca="1" si="42"/>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
      <c r="A81" s="5">
        <f t="shared" ca="1" si="34"/>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520</v>
      </c>
      <c r="Y81">
        <f t="shared" ca="1" si="38"/>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520</v>
      </c>
      <c r="AM81" s="5">
        <f t="shared" ca="1" si="41"/>
        <v>0</v>
      </c>
      <c r="AN81" s="5" t="str">
        <f>IF(Demand!BE90="Yes","Yes","")</f>
        <v/>
      </c>
      <c r="AP81" s="36" t="str">
        <f ca="1">Demand!B90</f>
        <v xml:space="preserve"> </v>
      </c>
      <c r="AQ81" t="str">
        <f ca="1">IF(TEXT(Demand!D90,"MMM")&lt;&gt;TEXT(Demand!D89,"MMM"),TEXT(Demand!D90,"MMM"),"")</f>
        <v/>
      </c>
      <c r="AT81" s="5">
        <f t="shared" ca="1" si="42"/>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
      <c r="A82" s="5">
        <f t="shared" ca="1" si="34"/>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560</v>
      </c>
      <c r="Y82">
        <f t="shared" ca="1" si="38"/>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560</v>
      </c>
      <c r="AM82" s="5">
        <f t="shared" ca="1" si="41"/>
        <v>0</v>
      </c>
      <c r="AN82" s="5" t="str">
        <f>IF(Demand!BE91="Yes","Yes","")</f>
        <v/>
      </c>
      <c r="AP82" s="36" t="str">
        <f ca="1">Demand!B91</f>
        <v xml:space="preserve"> </v>
      </c>
      <c r="AQ82" t="str">
        <f ca="1">IF(TEXT(Demand!D91,"MMM")&lt;&gt;TEXT(Demand!D90,"MMM"),TEXT(Demand!D91,"MMM"),"")</f>
        <v/>
      </c>
      <c r="AT82" s="5">
        <f t="shared" ca="1" si="42"/>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
      <c r="A83" s="5">
        <f t="shared" ca="1" si="34"/>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490</v>
      </c>
      <c r="Y83">
        <f t="shared" ca="1" si="38"/>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490</v>
      </c>
      <c r="AM83" s="5">
        <f t="shared" ca="1" si="41"/>
        <v>0</v>
      </c>
      <c r="AN83" s="5" t="str">
        <f>IF(Demand!BE92="Yes","Yes","")</f>
        <v/>
      </c>
      <c r="AP83" s="36" t="str">
        <f ca="1">Demand!B92</f>
        <v xml:space="preserve"> </v>
      </c>
      <c r="AQ83" t="str">
        <f ca="1">IF(TEXT(Demand!D92,"MMM")&lt;&gt;TEXT(Demand!D91,"MMM"),TEXT(Demand!D92,"MMM"),"")</f>
        <v>Oct</v>
      </c>
      <c r="AT83" s="5">
        <f t="shared" ca="1" si="42"/>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
      <c r="A84" s="5">
        <f t="shared" ca="1" si="34"/>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320</v>
      </c>
      <c r="Y84">
        <f t="shared" ca="1" si="38"/>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320</v>
      </c>
      <c r="AM84" s="5">
        <f t="shared" ca="1" si="41"/>
        <v>0</v>
      </c>
      <c r="AN84" s="5" t="str">
        <f>IF(Demand!BE93="Yes","Yes","")</f>
        <v/>
      </c>
      <c r="AP84" s="36" t="str">
        <f ca="1">Demand!B93</f>
        <v xml:space="preserve"> </v>
      </c>
      <c r="AQ84" t="str">
        <f ca="1">IF(TEXT(Demand!D93,"MMM")&lt;&gt;TEXT(Demand!D92,"MMM"),TEXT(Demand!D93,"MMM"),"")</f>
        <v/>
      </c>
      <c r="AT84" s="5">
        <f t="shared" ca="1" si="42"/>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
      <c r="A85" s="5">
        <f t="shared" ca="1" si="34"/>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470</v>
      </c>
      <c r="Y85">
        <f t="shared" ca="1" si="38"/>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470</v>
      </c>
      <c r="AM85" s="5">
        <f t="shared" ca="1" si="41"/>
        <v>0</v>
      </c>
      <c r="AN85" s="5" t="str">
        <f>IF(Demand!BE94="Yes","Yes","")</f>
        <v/>
      </c>
      <c r="AP85" s="36" t="str">
        <f ca="1">Demand!B94</f>
        <v xml:space="preserve"> </v>
      </c>
      <c r="AQ85" t="str">
        <f ca="1">IF(TEXT(Demand!D94,"MMM")&lt;&gt;TEXT(Demand!D93,"MMM"),TEXT(Demand!D94,"MMM"),"")</f>
        <v/>
      </c>
      <c r="AT85" s="5">
        <f t="shared" ca="1" si="42"/>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
      <c r="A86" s="5">
        <f t="shared" ca="1" si="34"/>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540</v>
      </c>
      <c r="Y86">
        <f t="shared" ca="1" si="38"/>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540</v>
      </c>
      <c r="AM86" s="5">
        <f t="shared" ca="1" si="41"/>
        <v>0</v>
      </c>
      <c r="AN86" s="5" t="str">
        <f>IF(Demand!BE95="Yes","Yes","")</f>
        <v/>
      </c>
      <c r="AP86" s="36" t="str">
        <f ca="1">Demand!B95</f>
        <v xml:space="preserve"> </v>
      </c>
      <c r="AQ86" t="str">
        <f ca="1">IF(TEXT(Demand!D95,"MMM")&lt;&gt;TEXT(Demand!D94,"MMM"),TEXT(Demand!D95,"MMM"),"")</f>
        <v/>
      </c>
      <c r="AT86" s="5">
        <f t="shared" ca="1" si="42"/>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
      <c r="A87" s="5">
        <f t="shared" ca="1" si="34"/>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340</v>
      </c>
      <c r="Y87">
        <f t="shared" ca="1" si="38"/>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340</v>
      </c>
      <c r="AM87" s="5">
        <f t="shared" ca="1" si="41"/>
        <v>0</v>
      </c>
      <c r="AN87" s="5" t="str">
        <f>IF(Demand!BE96="Yes","Yes","")</f>
        <v/>
      </c>
      <c r="AP87" s="36" t="str">
        <f ca="1">Demand!B96</f>
        <v xml:space="preserve"> </v>
      </c>
      <c r="AQ87" t="str">
        <f ca="1">IF(TEXT(Demand!D96,"MMM")&lt;&gt;TEXT(Demand!D95,"MMM"),TEXT(Demand!D96,"MMM"),"")</f>
        <v/>
      </c>
      <c r="AT87" s="5">
        <f t="shared" ca="1" si="42"/>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
      <c r="A88" s="5">
        <f t="shared" ca="1" si="34"/>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530</v>
      </c>
      <c r="Y88">
        <f t="shared" ca="1" si="38"/>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530</v>
      </c>
      <c r="AM88" s="5">
        <f t="shared" ca="1" si="41"/>
        <v>0</v>
      </c>
      <c r="AN88" s="5" t="str">
        <f>IF(Demand!BE97="Yes","Yes","")</f>
        <v/>
      </c>
      <c r="AP88" s="36" t="str">
        <f ca="1">Demand!B97</f>
        <v xml:space="preserve"> </v>
      </c>
      <c r="AQ88" t="str">
        <f ca="1">IF(TEXT(Demand!D97,"MMM")&lt;&gt;TEXT(Demand!D96,"MMM"),TEXT(Demand!D97,"MMM"),"")</f>
        <v>Nov</v>
      </c>
      <c r="AT88" s="5">
        <f t="shared" ca="1" si="42"/>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
      <c r="A89" s="5">
        <f t="shared" ca="1" si="34"/>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580</v>
      </c>
      <c r="Y89">
        <f t="shared" ca="1" si="38"/>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580</v>
      </c>
      <c r="AM89" s="5">
        <f t="shared" ca="1" si="41"/>
        <v>0</v>
      </c>
      <c r="AN89" s="5" t="str">
        <f>IF(Demand!BE98="Yes","Yes","")</f>
        <v/>
      </c>
      <c r="AP89" s="36" t="str">
        <f ca="1">Demand!B98</f>
        <v xml:space="preserve"> </v>
      </c>
      <c r="AQ89" t="str">
        <f ca="1">IF(TEXT(Demand!D98,"MMM")&lt;&gt;TEXT(Demand!D97,"MMM"),TEXT(Demand!D98,"MMM"),"")</f>
        <v/>
      </c>
      <c r="AT89" s="5">
        <f t="shared" ca="1" si="42"/>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
      <c r="A90" s="5">
        <f t="shared" ca="1" si="34"/>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460</v>
      </c>
      <c r="Y90">
        <f t="shared" ca="1" si="38"/>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460</v>
      </c>
      <c r="AM90" s="5">
        <f t="shared" ca="1" si="41"/>
        <v>0</v>
      </c>
      <c r="AN90" s="5" t="str">
        <f>IF(Demand!BE99="Yes","Yes","")</f>
        <v/>
      </c>
      <c r="AP90" s="36" t="str">
        <f ca="1">Demand!B99</f>
        <v xml:space="preserve"> </v>
      </c>
      <c r="AQ90" t="str">
        <f ca="1">IF(TEXT(Demand!D99,"MMM")&lt;&gt;TEXT(Demand!D98,"MMM"),TEXT(Demand!D99,"MMM"),"")</f>
        <v/>
      </c>
      <c r="AT90" s="5">
        <f t="shared" ca="1" si="42"/>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
      <c r="A91" s="5">
        <f t="shared" ca="1" si="34"/>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500</v>
      </c>
      <c r="Y91">
        <f t="shared" ca="1" si="38"/>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500</v>
      </c>
      <c r="AM91" s="5">
        <f t="shared" ca="1" si="41"/>
        <v>0</v>
      </c>
      <c r="AN91" s="5" t="str">
        <f>IF(Demand!BE100="Yes","Yes","")</f>
        <v/>
      </c>
      <c r="AP91" s="36" t="str">
        <f ca="1">Demand!B100</f>
        <v xml:space="preserve"> </v>
      </c>
      <c r="AQ91" t="str">
        <f ca="1">IF(TEXT(Demand!D100,"MMM")&lt;&gt;TEXT(Demand!D99,"MMM"),TEXT(Demand!D100,"MMM"),"")</f>
        <v/>
      </c>
      <c r="AT91" s="5">
        <f t="shared" ca="1" si="42"/>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
      <c r="A92" s="5">
        <f t="shared" ca="1" si="34"/>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510</v>
      </c>
      <c r="Y92">
        <f t="shared" ca="1" si="38"/>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510</v>
      </c>
      <c r="AM92" s="5">
        <f t="shared" ca="1" si="41"/>
        <v>0</v>
      </c>
      <c r="AN92" s="5" t="str">
        <f>IF(Demand!BE101="Yes","Yes","")</f>
        <v/>
      </c>
      <c r="AP92" s="36" t="str">
        <f ca="1">Demand!B101</f>
        <v xml:space="preserve"> </v>
      </c>
      <c r="AQ92" t="str">
        <f ca="1">IF(TEXT(Demand!D101,"MMM")&lt;&gt;TEXT(Demand!D100,"MMM"),TEXT(Demand!D101,"MMM"),"")</f>
        <v>Dec</v>
      </c>
      <c r="AT92" s="5">
        <f t="shared" ca="1" si="42"/>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
      <c r="A93" s="5">
        <f t="shared" ca="1" si="34"/>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510</v>
      </c>
      <c r="Y93">
        <f t="shared" ca="1" si="38"/>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510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
      <c r="A94" s="5">
        <f t="shared" ca="1" si="34"/>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390</v>
      </c>
      <c r="Y94">
        <f t="shared" ca="1" si="38"/>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390</v>
      </c>
      <c r="AM94" s="5">
        <f t="shared" ca="1" si="41"/>
        <v>0</v>
      </c>
      <c r="AN94" s="5" t="str">
        <f>IF(Demand!BE103="Yes","Yes","")</f>
        <v/>
      </c>
      <c r="AP94" s="36" t="str">
        <f ca="1">Demand!B103</f>
        <v xml:space="preserve"> </v>
      </c>
      <c r="AQ94" t="str">
        <f ca="1">IF(TEXT(Demand!D103,"MMM")&lt;&gt;TEXT(Demand!D102,"MMM"),TEXT(Demand!D103,"MMM"),"")</f>
        <v/>
      </c>
      <c r="AT94" s="5">
        <f t="shared" ca="1" si="42"/>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
      <c r="A95" s="5">
        <f t="shared" ca="1" si="34"/>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440</v>
      </c>
      <c r="Y95">
        <f t="shared" ca="1" si="38"/>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440</v>
      </c>
      <c r="AM95" s="5">
        <f t="shared" ca="1" si="41"/>
        <v>0</v>
      </c>
      <c r="AN95" s="5" t="str">
        <f>IF(Demand!BE104="Yes","Yes","")</f>
        <v/>
      </c>
      <c r="AP95" s="36" t="str">
        <f ca="1">Demand!B104</f>
        <v xml:space="preserve"> </v>
      </c>
      <c r="AQ95" t="str">
        <f ca="1">IF(TEXT(Demand!D104,"MMM")&lt;&gt;TEXT(Demand!D103,"MMM"),TEXT(Demand!D104,"MMM"),"")</f>
        <v/>
      </c>
      <c r="AT95" s="5">
        <f t="shared" ca="1" si="42"/>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
      <c r="A96" s="5">
        <f t="shared" ca="1" si="34"/>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700</v>
      </c>
      <c r="Y96">
        <f t="shared" ca="1" si="38"/>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700</v>
      </c>
      <c r="AM96" s="5">
        <f t="shared" ca="1" si="41"/>
        <v>0</v>
      </c>
      <c r="AN96" s="5" t="str">
        <f>IF(Demand!BE105="Yes","Yes","")</f>
        <v/>
      </c>
      <c r="AP96" s="36">
        <f ca="1">Demand!B105</f>
        <v>2018</v>
      </c>
      <c r="AQ96" t="str">
        <f ca="1">IF(TEXT(Demand!D105,"MMM")&lt;&gt;TEXT(Demand!D104,"MMM"),TEXT(Demand!D105,"MMM"),"")</f>
        <v>Jan</v>
      </c>
      <c r="AT96" s="5">
        <f t="shared" ca="1" si="42"/>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
      <c r="A97" s="5">
        <f t="shared" ca="1" si="34"/>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570</v>
      </c>
      <c r="Y97">
        <f t="shared" ca="1" si="38"/>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570</v>
      </c>
      <c r="AM97" s="5">
        <f t="shared" ca="1" si="41"/>
        <v>0</v>
      </c>
      <c r="AN97" s="5" t="str">
        <f>IF(Demand!BE106="Yes","Yes","")</f>
        <v/>
      </c>
      <c r="AP97" s="36" t="str">
        <f ca="1">Demand!B106</f>
        <v xml:space="preserve"> </v>
      </c>
      <c r="AQ97" t="str">
        <f ca="1">IF(TEXT(Demand!D106,"MMM")&lt;&gt;TEXT(Demand!D105,"MMM"),TEXT(Demand!D106,"MMM"),"")</f>
        <v/>
      </c>
      <c r="AT97" s="5">
        <f t="shared" ca="1" si="42"/>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
      <c r="A98" s="5">
        <f t="shared" ca="1" si="34"/>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520</v>
      </c>
      <c r="Y98">
        <f t="shared" ca="1" si="38"/>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520</v>
      </c>
      <c r="AM98" s="5">
        <f t="shared" ca="1" si="41"/>
        <v>0</v>
      </c>
      <c r="AN98" s="5" t="str">
        <f>IF(Demand!BE107="Yes","Yes","")</f>
        <v/>
      </c>
      <c r="AP98" s="36" t="str">
        <f ca="1">Demand!B107</f>
        <v xml:space="preserve"> </v>
      </c>
      <c r="AQ98" t="str">
        <f ca="1">IF(TEXT(Demand!D107,"MMM")&lt;&gt;TEXT(Demand!D106,"MMM"),TEXT(Demand!D107,"MMM"),"")</f>
        <v/>
      </c>
      <c r="AT98" s="5">
        <f t="shared" ca="1" si="42"/>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
      <c r="A99" s="5">
        <f t="shared" ca="1" si="34"/>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630</v>
      </c>
      <c r="Y99">
        <f t="shared" ca="1" si="38"/>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630</v>
      </c>
      <c r="AM99" s="5">
        <f t="shared" ca="1" si="41"/>
        <v>0</v>
      </c>
      <c r="AN99" s="5" t="str">
        <f>IF(Demand!BE108="Yes","Yes","")</f>
        <v/>
      </c>
      <c r="AP99" s="36" t="str">
        <f ca="1">Demand!B108</f>
        <v xml:space="preserve"> </v>
      </c>
      <c r="AQ99" t="str">
        <f ca="1">IF(TEXT(Demand!D108,"MMM")&lt;&gt;TEXT(Demand!D107,"MMM"),TEXT(Demand!D108,"MMM"),"")</f>
        <v/>
      </c>
      <c r="AT99" s="5">
        <f t="shared" ca="1" si="42"/>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
      <c r="A100" s="5">
        <f t="shared" ca="1" si="34"/>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550</v>
      </c>
      <c r="Y100">
        <f t="shared" ca="1" si="38"/>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550</v>
      </c>
      <c r="AM100" s="5">
        <f t="shared" ca="1" si="41"/>
        <v>0</v>
      </c>
      <c r="AN100" s="5" t="str">
        <f>IF(Demand!BE109="Yes","Yes","")</f>
        <v/>
      </c>
      <c r="AP100" s="36" t="str">
        <f ca="1">Demand!B109</f>
        <v xml:space="preserve"> </v>
      </c>
      <c r="AQ100" t="str">
        <f ca="1">IF(TEXT(Demand!D109,"MMM")&lt;&gt;TEXT(Demand!D108,"MMM"),TEXT(Demand!D109,"MMM"),"")</f>
        <v/>
      </c>
      <c r="AT100" s="5">
        <f t="shared" ca="1" si="42"/>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
      <c r="A101" s="5">
        <f t="shared" ca="1" si="34"/>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350</v>
      </c>
      <c r="Y101">
        <f t="shared" ca="1" si="38"/>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350</v>
      </c>
      <c r="AM101" s="5">
        <f t="shared" ca="1" si="41"/>
        <v>0</v>
      </c>
      <c r="AN101" s="5" t="str">
        <f>IF(Demand!BE110="Yes","Yes","")</f>
        <v/>
      </c>
      <c r="AP101" s="36" t="str">
        <f ca="1">Demand!B110</f>
        <v xml:space="preserve"> </v>
      </c>
      <c r="AQ101" t="str">
        <f ca="1">IF(TEXT(Demand!D110,"MMM")&lt;&gt;TEXT(Demand!D109,"MMM"),TEXT(Demand!D110,"MMM"),"")</f>
        <v>Feb</v>
      </c>
      <c r="AT101" s="5">
        <f t="shared" ca="1" si="42"/>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
      <c r="A102" s="5">
        <f t="shared" ca="1" si="34"/>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410</v>
      </c>
      <c r="Y102">
        <f t="shared" ca="1" si="38"/>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410</v>
      </c>
      <c r="AM102" s="5">
        <f t="shared" ca="1" si="41"/>
        <v>0</v>
      </c>
      <c r="AN102" s="5" t="str">
        <f>IF(Demand!BE111="Yes","Yes","")</f>
        <v/>
      </c>
      <c r="AP102" s="36" t="str">
        <f ca="1">Demand!B111</f>
        <v xml:space="preserve"> </v>
      </c>
      <c r="AQ102" t="str">
        <f ca="1">IF(TEXT(Demand!D111,"MMM")&lt;&gt;TEXT(Demand!D110,"MMM"),TEXT(Demand!D111,"MMM"),"")</f>
        <v/>
      </c>
      <c r="AT102" s="5">
        <f t="shared" ca="1" si="42"/>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
      <c r="A103" s="5">
        <f t="shared" ca="1" si="34"/>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450</v>
      </c>
      <c r="Y103">
        <f t="shared" ca="1" si="38"/>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450</v>
      </c>
      <c r="AM103" s="5">
        <f t="shared" ca="1" si="41"/>
        <v>0</v>
      </c>
      <c r="AN103" s="5" t="str">
        <f>IF(Demand!BE112="Yes","Yes","")</f>
        <v/>
      </c>
      <c r="AP103" s="36" t="str">
        <f ca="1">Demand!B112</f>
        <v xml:space="preserve"> </v>
      </c>
      <c r="AQ103" t="str">
        <f ca="1">IF(TEXT(Demand!D112,"MMM")&lt;&gt;TEXT(Demand!D111,"MMM"),TEXT(Demand!D112,"MMM"),"")</f>
        <v/>
      </c>
      <c r="AT103" s="5">
        <f t="shared" ca="1" si="42"/>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
      <c r="A104" s="5">
        <f t="shared" ca="1" si="34"/>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270</v>
      </c>
      <c r="Y104">
        <f t="shared" ca="1" si="38"/>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270</v>
      </c>
      <c r="AM104" s="5">
        <f t="shared" ca="1" si="41"/>
        <v>0</v>
      </c>
      <c r="AN104" s="5" t="str">
        <f>IF(Demand!BE113="Yes","Yes","")</f>
        <v/>
      </c>
      <c r="AP104" s="36" t="str">
        <f ca="1">Demand!B113</f>
        <v xml:space="preserve"> </v>
      </c>
      <c r="AQ104" t="str">
        <f ca="1">IF(TEXT(Demand!D113,"MMM")&lt;&gt;TEXT(Demand!D112,"MMM"),TEXT(Demand!D113,"MMM"),"")</f>
        <v/>
      </c>
      <c r="AT104" s="5">
        <f t="shared" ca="1" si="42"/>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
      <c r="A105" s="5">
        <f t="shared" ca="1" si="34"/>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780</v>
      </c>
      <c r="Y105">
        <f t="shared" ca="1" si="38"/>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780</v>
      </c>
      <c r="AM105" s="5">
        <f t="shared" ca="1" si="41"/>
        <v>0</v>
      </c>
      <c r="AN105" s="5" t="str">
        <f>IF(Demand!BE114="Yes","Yes","")</f>
        <v/>
      </c>
      <c r="AP105" s="36" t="str">
        <f ca="1">Demand!B114</f>
        <v xml:space="preserve"> </v>
      </c>
      <c r="AQ105" t="str">
        <f ca="1">IF(TEXT(Demand!D114,"MMM")&lt;&gt;TEXT(Demand!D113,"MMM"),TEXT(Demand!D114,"MMM"),"")</f>
        <v>Mar</v>
      </c>
      <c r="AT105" s="5">
        <f t="shared" ca="1" si="42"/>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
      <c r="A106" s="5">
        <f t="shared" ca="1" si="34"/>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740</v>
      </c>
      <c r="Y106">
        <f t="shared" ca="1" si="38"/>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740</v>
      </c>
      <c r="AM106" s="5">
        <f t="shared" ca="1" si="41"/>
        <v>0</v>
      </c>
      <c r="AN106" s="5" t="str">
        <f>IF(Demand!BE115="Yes","Yes","")</f>
        <v/>
      </c>
      <c r="AP106" s="36" t="str">
        <f ca="1">Demand!B115</f>
        <v xml:space="preserve"> </v>
      </c>
      <c r="AQ106" t="str">
        <f ca="1">IF(TEXT(Demand!D115,"MMM")&lt;&gt;TEXT(Demand!D114,"MMM"),TEXT(Demand!D115,"MMM"),"")</f>
        <v/>
      </c>
      <c r="AT106" s="5">
        <f t="shared" ca="1" si="42"/>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
      <c r="A107" s="5">
        <f t="shared" ca="1" si="34"/>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510</v>
      </c>
      <c r="Y107">
        <f t="shared" ca="1" si="38"/>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510</v>
      </c>
      <c r="AM107" s="5">
        <f t="shared" ca="1" si="41"/>
        <v>0</v>
      </c>
      <c r="AN107" s="5" t="str">
        <f>IF(Demand!BE116="Yes","Yes","")</f>
        <v/>
      </c>
      <c r="AP107" s="36" t="str">
        <f ca="1">Demand!B116</f>
        <v xml:space="preserve"> </v>
      </c>
      <c r="AQ107" t="str">
        <f ca="1">IF(TEXT(Demand!D116,"MMM")&lt;&gt;TEXT(Demand!D115,"MMM"),TEXT(Demand!D116,"MMM"),"")</f>
        <v/>
      </c>
      <c r="AT107" s="5">
        <f t="shared" ca="1" si="42"/>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
      <c r="A108" s="5">
        <f t="shared" ca="1" si="34"/>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390</v>
      </c>
      <c r="Y108">
        <f t="shared" ca="1" si="38"/>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390</v>
      </c>
      <c r="AM108" s="5">
        <f t="shared" ca="1" si="41"/>
        <v>0</v>
      </c>
      <c r="AN108" s="5" t="str">
        <f>IF(Demand!BE117="Yes","Yes","")</f>
        <v/>
      </c>
      <c r="AP108" s="36" t="str">
        <f ca="1">Demand!B117</f>
        <v xml:space="preserve"> </v>
      </c>
      <c r="AQ108" t="str">
        <f ca="1">IF(TEXT(Demand!D117,"MMM")&lt;&gt;TEXT(Demand!D116,"MMM"),TEXT(Demand!D117,"MMM"),"")</f>
        <v/>
      </c>
      <c r="AT108" s="5">
        <f t="shared" ca="1" si="42"/>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
      <c r="A109" s="5">
        <f t="shared" ca="1" si="34"/>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270</v>
      </c>
      <c r="Y109">
        <f t="shared" ca="1" si="38"/>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270</v>
      </c>
      <c r="AM109" s="5">
        <f t="shared" ca="1" si="41"/>
        <v>0</v>
      </c>
      <c r="AN109" s="5" t="str">
        <f>IF(Demand!BE118="Yes","Yes","")</f>
        <v/>
      </c>
      <c r="AP109" s="36" t="str">
        <f ca="1">Demand!B118</f>
        <v xml:space="preserve"> </v>
      </c>
      <c r="AQ109" t="str">
        <f ca="1">IF(TEXT(Demand!D118,"MMM")&lt;&gt;TEXT(Demand!D117,"MMM"),TEXT(Demand!D118,"MMM"),"")</f>
        <v>Apr</v>
      </c>
      <c r="AT109" s="5">
        <f t="shared" ca="1" si="42"/>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
      <c r="A110" s="5">
        <f t="shared" ca="1" si="34"/>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570</v>
      </c>
      <c r="Y110">
        <f t="shared" ca="1" si="38"/>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570</v>
      </c>
      <c r="AM110" s="5">
        <f t="shared" ca="1" si="41"/>
        <v>0</v>
      </c>
      <c r="AN110" s="5" t="str">
        <f>IF(Demand!BE119="Yes","Yes","")</f>
        <v/>
      </c>
      <c r="AP110" s="36" t="str">
        <f ca="1">Demand!B119</f>
        <v xml:space="preserve"> </v>
      </c>
      <c r="AQ110" t="str">
        <f ca="1">IF(TEXT(Demand!D119,"MMM")&lt;&gt;TEXT(Demand!D118,"MMM"),TEXT(Demand!D119,"MMM"),"")</f>
        <v/>
      </c>
      <c r="AT110" s="5">
        <f t="shared" ca="1" si="42"/>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
      <c r="A111" s="5">
        <f t="shared" ca="1" si="34"/>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690</v>
      </c>
      <c r="Y111">
        <f t="shared" ca="1" si="38"/>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690</v>
      </c>
      <c r="AM111" s="5">
        <f t="shared" ca="1" si="41"/>
        <v>0</v>
      </c>
      <c r="AN111" s="5" t="str">
        <f>IF(Demand!BE120="Yes","Yes","")</f>
        <v/>
      </c>
      <c r="AP111" s="36" t="str">
        <f ca="1">Demand!B120</f>
        <v xml:space="preserve"> </v>
      </c>
      <c r="AQ111" t="str">
        <f ca="1">IF(TEXT(Demand!D120,"MMM")&lt;&gt;TEXT(Demand!D119,"MMM"),TEXT(Demand!D120,"MMM"),"")</f>
        <v/>
      </c>
      <c r="AT111" s="5">
        <f t="shared" ca="1" si="42"/>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
      <c r="A112" s="5">
        <f t="shared" ca="1" si="34"/>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410</v>
      </c>
      <c r="Y112">
        <f t="shared" ca="1" si="38"/>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410</v>
      </c>
      <c r="AM112" s="5">
        <f t="shared" ca="1" si="41"/>
        <v>0</v>
      </c>
      <c r="AN112" s="5" t="str">
        <f>IF(Demand!BE121="Yes","Yes","")</f>
        <v/>
      </c>
      <c r="AP112" s="36" t="str">
        <f ca="1">Demand!B121</f>
        <v xml:space="preserve"> </v>
      </c>
      <c r="AQ112" t="str">
        <f ca="1">IF(TEXT(Demand!D121,"MMM")&lt;&gt;TEXT(Demand!D120,"MMM"),TEXT(Demand!D121,"MMM"),"")</f>
        <v/>
      </c>
      <c r="AT112" s="5">
        <f t="shared" ca="1" si="42"/>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
      <c r="A113" s="5">
        <f t="shared" ca="1" si="34"/>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400</v>
      </c>
      <c r="Y113">
        <f t="shared" ca="1" si="38"/>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400</v>
      </c>
      <c r="AM113" s="5">
        <f t="shared" ca="1" si="41"/>
        <v>0</v>
      </c>
      <c r="AN113" s="5" t="str">
        <f>IF(Demand!BE122="Yes","Yes","")</f>
        <v/>
      </c>
      <c r="AP113" s="36" t="str">
        <f ca="1">Demand!B122</f>
        <v xml:space="preserve"> </v>
      </c>
      <c r="AQ113" t="str">
        <f ca="1">IF(TEXT(Demand!D122,"MMM")&lt;&gt;TEXT(Demand!D121,"MMM"),TEXT(Demand!D122,"MMM"),"")</f>
        <v/>
      </c>
      <c r="AT113" s="5">
        <f t="shared" ca="1" si="42"/>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
      <c r="A114" s="5">
        <f t="shared" ca="1" si="34"/>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650</v>
      </c>
      <c r="Y114">
        <f t="shared" ca="1" si="38"/>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650</v>
      </c>
      <c r="AM114" s="5">
        <f t="shared" ca="1" si="41"/>
        <v>0</v>
      </c>
      <c r="AN114" s="5" t="str">
        <f>IF(Demand!BE123="Yes","Yes","")</f>
        <v/>
      </c>
      <c r="AP114" s="36" t="str">
        <f ca="1">Demand!B123</f>
        <v xml:space="preserve"> </v>
      </c>
      <c r="AQ114" t="str">
        <f ca="1">IF(TEXT(Demand!D123,"MMM")&lt;&gt;TEXT(Demand!D122,"MMM"),TEXT(Demand!D123,"MMM"),"")</f>
        <v>May</v>
      </c>
      <c r="AT114" s="5">
        <f t="shared" ca="1" si="42"/>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
      <c r="A115" s="5">
        <f t="shared" ca="1" si="34"/>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470</v>
      </c>
      <c r="Y115">
        <f t="shared" ca="1" si="38"/>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470</v>
      </c>
      <c r="AM115" s="5">
        <f t="shared" ca="1" si="41"/>
        <v>0</v>
      </c>
      <c r="AN115" s="5" t="str">
        <f>IF(Demand!BE124="Yes","Yes","")</f>
        <v/>
      </c>
      <c r="AP115" s="36" t="str">
        <f ca="1">Demand!B124</f>
        <v xml:space="preserve"> </v>
      </c>
      <c r="AQ115" t="str">
        <f ca="1">IF(TEXT(Demand!D124,"MMM")&lt;&gt;TEXT(Demand!D123,"MMM"),TEXT(Demand!D124,"MMM"),"")</f>
        <v/>
      </c>
      <c r="AT115" s="5">
        <f t="shared" ca="1" si="42"/>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
      <c r="A116" s="5">
        <f t="shared" ca="1" si="34"/>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410</v>
      </c>
      <c r="Y116">
        <f t="shared" ca="1" si="38"/>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410</v>
      </c>
      <c r="AM116" s="5">
        <f t="shared" ca="1" si="41"/>
        <v>0</v>
      </c>
      <c r="AN116" s="5" t="str">
        <f>IF(Demand!BE125="Yes","Yes","")</f>
        <v/>
      </c>
      <c r="AP116" s="36" t="str">
        <f ca="1">Demand!B125</f>
        <v xml:space="preserve"> </v>
      </c>
      <c r="AQ116" t="str">
        <f ca="1">IF(TEXT(Demand!D125,"MMM")&lt;&gt;TEXT(Demand!D124,"MMM"),TEXT(Demand!D125,"MMM"),"")</f>
        <v/>
      </c>
      <c r="AT116" s="5">
        <f t="shared" ca="1" si="42"/>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
      <c r="A117" s="5">
        <f t="shared" ca="1" si="34"/>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370</v>
      </c>
      <c r="Y117">
        <f t="shared" ca="1" si="38"/>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370</v>
      </c>
      <c r="AM117" s="5">
        <f t="shared" ca="1" si="41"/>
        <v>0</v>
      </c>
      <c r="AN117" s="5" t="str">
        <f>IF(Demand!BE126="Yes","Yes","")</f>
        <v/>
      </c>
      <c r="AP117" s="36" t="str">
        <f ca="1">Demand!B126</f>
        <v xml:space="preserve"> </v>
      </c>
      <c r="AQ117" t="str">
        <f ca="1">IF(TEXT(Demand!D126,"MMM")&lt;&gt;TEXT(Demand!D125,"MMM"),TEXT(Demand!D126,"MMM"),"")</f>
        <v/>
      </c>
      <c r="AT117" s="5">
        <f t="shared" ca="1" si="42"/>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
      <c r="A118" s="5">
        <f t="shared" ca="1" si="34"/>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430</v>
      </c>
      <c r="Y118">
        <f t="shared" ca="1" si="38"/>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430</v>
      </c>
      <c r="AM118" s="5">
        <f t="shared" ca="1" si="41"/>
        <v>0</v>
      </c>
      <c r="AN118" s="5" t="str">
        <f>IF(Demand!BE127="Yes","Yes","")</f>
        <v/>
      </c>
      <c r="AP118" s="36" t="str">
        <f ca="1">Demand!B127</f>
        <v xml:space="preserve"> </v>
      </c>
      <c r="AQ118" t="str">
        <f ca="1">IF(TEXT(Demand!D127,"MMM")&lt;&gt;TEXT(Demand!D126,"MMM"),TEXT(Demand!D127,"MMM"),"")</f>
        <v>Jun</v>
      </c>
      <c r="AT118" s="5">
        <f t="shared" ca="1" si="42"/>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
      <c r="A119" s="5">
        <f t="shared" ca="1" si="34"/>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630</v>
      </c>
      <c r="Y119">
        <f t="shared" ca="1" si="38"/>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630</v>
      </c>
      <c r="AM119" s="5">
        <f t="shared" ca="1" si="41"/>
        <v>0</v>
      </c>
      <c r="AN119" s="5" t="str">
        <f>IF(Demand!BE128="Yes","Yes","")</f>
        <v/>
      </c>
      <c r="AP119" s="36" t="str">
        <f ca="1">Demand!B128</f>
        <v xml:space="preserve"> </v>
      </c>
      <c r="AQ119" t="str">
        <f ca="1">IF(TEXT(Demand!D128,"MMM")&lt;&gt;TEXT(Demand!D127,"MMM"),TEXT(Demand!D128,"MMM"),"")</f>
        <v/>
      </c>
      <c r="AT119" s="5">
        <f t="shared" ca="1" si="42"/>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
      <c r="A120" s="5">
        <f t="shared" ref="A120:A183" ca="1" si="43">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540</v>
      </c>
      <c r="Y120">
        <f t="shared" ca="1" si="38"/>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540</v>
      </c>
      <c r="AM120" s="5">
        <f t="shared" ca="1" si="41"/>
        <v>0</v>
      </c>
      <c r="AN120" s="5" t="str">
        <f>IF(Demand!BE129="Yes","Yes","")</f>
        <v/>
      </c>
      <c r="AP120" s="36" t="str">
        <f ca="1">Demand!B129</f>
        <v xml:space="preserve"> </v>
      </c>
      <c r="AQ120" t="str">
        <f ca="1">IF(TEXT(Demand!D129,"MMM")&lt;&gt;TEXT(Demand!D128,"MMM"),TEXT(Demand!D129,"MMM"),"")</f>
        <v/>
      </c>
      <c r="AT120" s="5">
        <f t="shared" ca="1" si="42"/>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
      <c r="A121" s="5">
        <f t="shared" ca="1" si="43"/>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410</v>
      </c>
      <c r="Y121">
        <f t="shared" ca="1" si="38"/>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410</v>
      </c>
      <c r="AM121" s="5">
        <f t="shared" ca="1" si="41"/>
        <v>0</v>
      </c>
      <c r="AN121" s="5" t="str">
        <f>IF(Demand!BE130="Yes","Yes","")</f>
        <v/>
      </c>
      <c r="AP121" s="36" t="str">
        <f ca="1">Demand!B130</f>
        <v xml:space="preserve"> </v>
      </c>
      <c r="AQ121" t="str">
        <f ca="1">IF(TEXT(Demand!D130,"MMM")&lt;&gt;TEXT(Demand!D129,"MMM"),TEXT(Demand!D130,"MMM"),"")</f>
        <v/>
      </c>
      <c r="AT121" s="5">
        <f t="shared" ca="1" si="42"/>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
      <c r="A122" s="5">
        <f t="shared" ca="1" si="43"/>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460</v>
      </c>
      <c r="Y122">
        <f t="shared" ca="1" si="38"/>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460</v>
      </c>
      <c r="AM122" s="5">
        <f t="shared" ca="1" si="41"/>
        <v>0</v>
      </c>
      <c r="AN122" s="5" t="str">
        <f>IF(Demand!BE131="Yes","Yes","")</f>
        <v/>
      </c>
      <c r="AP122" s="36" t="str">
        <f ca="1">Demand!B131</f>
        <v xml:space="preserve"> </v>
      </c>
      <c r="AQ122" t="str">
        <f ca="1">IF(TEXT(Demand!D131,"MMM")&lt;&gt;TEXT(Demand!D130,"MMM"),TEXT(Demand!D131,"MMM"),"")</f>
        <v>Jul</v>
      </c>
      <c r="AT122" s="5">
        <f t="shared" ca="1" si="42"/>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
      <c r="A123" s="5">
        <f t="shared" ca="1" si="43"/>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620</v>
      </c>
      <c r="Y123">
        <f t="shared" ca="1" si="38"/>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620</v>
      </c>
      <c r="AM123" s="5">
        <f t="shared" ca="1" si="41"/>
        <v>0</v>
      </c>
      <c r="AN123" s="5" t="str">
        <f>IF(Demand!BE132="Yes","Yes","")</f>
        <v/>
      </c>
      <c r="AP123" s="36" t="str">
        <f ca="1">Demand!B132</f>
        <v xml:space="preserve"> </v>
      </c>
      <c r="AQ123" t="str">
        <f ca="1">IF(TEXT(Demand!D132,"MMM")&lt;&gt;TEXT(Demand!D131,"MMM"),TEXT(Demand!D132,"MMM"),"")</f>
        <v/>
      </c>
      <c r="AT123" s="5">
        <f t="shared" ca="1" si="42"/>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
      <c r="A124" s="5">
        <f t="shared" ca="1" si="43"/>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410</v>
      </c>
      <c r="Y124">
        <f t="shared" ca="1" si="38"/>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410</v>
      </c>
      <c r="AM124" s="5">
        <f t="shared" ca="1" si="41"/>
        <v>0</v>
      </c>
      <c r="AN124" s="5" t="str">
        <f>IF(Demand!BE133="Yes","Yes","")</f>
        <v/>
      </c>
      <c r="AP124" s="36" t="str">
        <f ca="1">Demand!B133</f>
        <v xml:space="preserve"> </v>
      </c>
      <c r="AQ124" t="str">
        <f ca="1">IF(TEXT(Demand!D133,"MMM")&lt;&gt;TEXT(Demand!D132,"MMM"),TEXT(Demand!D133,"MMM"),"")</f>
        <v/>
      </c>
      <c r="AT124" s="5">
        <f t="shared" ca="1" si="42"/>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
      <c r="A125" s="5">
        <f t="shared" ca="1" si="43"/>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420</v>
      </c>
      <c r="Y125">
        <f t="shared" ca="1" si="38"/>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420</v>
      </c>
      <c r="AM125" s="5">
        <f t="shared" ca="1" si="41"/>
        <v>0</v>
      </c>
      <c r="AN125" s="5" t="str">
        <f>IF(Demand!BE134="Yes","Yes","")</f>
        <v/>
      </c>
      <c r="AP125" s="36" t="str">
        <f ca="1">Demand!B134</f>
        <v xml:space="preserve"> </v>
      </c>
      <c r="AQ125" t="str">
        <f ca="1">IF(TEXT(Demand!D134,"MMM")&lt;&gt;TEXT(Demand!D133,"MMM"),TEXT(Demand!D134,"MMM"),"")</f>
        <v/>
      </c>
      <c r="AT125" s="5">
        <f t="shared" ca="1" si="42"/>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
      <c r="A126" s="5">
        <f t="shared" ca="1" si="43"/>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270</v>
      </c>
      <c r="Y126">
        <f t="shared" ca="1" si="38"/>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270</v>
      </c>
      <c r="AM126" s="5">
        <f t="shared" ca="1" si="41"/>
        <v>0</v>
      </c>
      <c r="AN126" s="5" t="str">
        <f>IF(Demand!BE135="Yes","Yes","")</f>
        <v/>
      </c>
      <c r="AP126" s="36" t="str">
        <f ca="1">Demand!B135</f>
        <v xml:space="preserve"> </v>
      </c>
      <c r="AQ126" t="str">
        <f ca="1">IF(TEXT(Demand!D135,"MMM")&lt;&gt;TEXT(Demand!D134,"MMM"),TEXT(Demand!D135,"MMM"),"")</f>
        <v/>
      </c>
      <c r="AT126" s="5">
        <f t="shared" ca="1" si="42"/>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
      <c r="A127" s="5">
        <f t="shared" ca="1" si="43"/>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510</v>
      </c>
      <c r="Y127">
        <f t="shared" ca="1" si="38"/>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510</v>
      </c>
      <c r="AM127" s="5">
        <f t="shared" ca="1" si="41"/>
        <v>0</v>
      </c>
      <c r="AN127" s="5" t="str">
        <f>IF(Demand!BE136="Yes","Yes","")</f>
        <v/>
      </c>
      <c r="AP127" s="36" t="str">
        <f ca="1">Demand!B136</f>
        <v xml:space="preserve"> </v>
      </c>
      <c r="AQ127" t="str">
        <f ca="1">IF(TEXT(Demand!D136,"MMM")&lt;&gt;TEXT(Demand!D135,"MMM"),TEXT(Demand!D136,"MMM"),"")</f>
        <v>Aug</v>
      </c>
      <c r="AT127" s="5">
        <f t="shared" ca="1" si="42"/>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
      <c r="A128" s="5">
        <f t="shared" ca="1" si="43"/>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710</v>
      </c>
      <c r="Y128">
        <f t="shared" ca="1" si="38"/>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710</v>
      </c>
      <c r="AM128" s="5">
        <f t="shared" ca="1" si="41"/>
        <v>0</v>
      </c>
      <c r="AN128" s="5" t="str">
        <f>IF(Demand!BE137="Yes","Yes","")</f>
        <v/>
      </c>
      <c r="AP128" s="36" t="str">
        <f ca="1">Demand!B137</f>
        <v xml:space="preserve"> </v>
      </c>
      <c r="AQ128" t="str">
        <f ca="1">IF(TEXT(Demand!D137,"MMM")&lt;&gt;TEXT(Demand!D136,"MMM"),TEXT(Demand!D137,"MMM"),"")</f>
        <v/>
      </c>
      <c r="AT128" s="5">
        <f t="shared" ca="1" si="42"/>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
      <c r="A129" s="5">
        <f t="shared" ca="1" si="43"/>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690</v>
      </c>
      <c r="Y129">
        <f t="shared" ca="1" si="38"/>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690</v>
      </c>
      <c r="AM129" s="5">
        <f t="shared" ca="1" si="41"/>
        <v>0</v>
      </c>
      <c r="AN129" s="5" t="str">
        <f>IF(Demand!BE138="Yes","Yes","")</f>
        <v/>
      </c>
      <c r="AP129" s="36" t="str">
        <f ca="1">Demand!B138</f>
        <v xml:space="preserve"> </v>
      </c>
      <c r="AQ129" t="str">
        <f ca="1">IF(TEXT(Demand!D138,"MMM")&lt;&gt;TEXT(Demand!D137,"MMM"),TEXT(Demand!D138,"MMM"),"")</f>
        <v/>
      </c>
      <c r="AT129" s="5">
        <f t="shared" ca="1" si="42"/>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
      <c r="A130" s="5">
        <f t="shared" ca="1" si="43"/>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580</v>
      </c>
      <c r="Y130">
        <f t="shared" ca="1" si="38"/>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580</v>
      </c>
      <c r="AM130" s="5">
        <f t="shared" ca="1" si="41"/>
        <v>0</v>
      </c>
      <c r="AN130" s="5" t="str">
        <f>IF(Demand!BE139="Yes","Yes","")</f>
        <v/>
      </c>
      <c r="AP130" s="36" t="str">
        <f ca="1">Demand!B139</f>
        <v xml:space="preserve"> </v>
      </c>
      <c r="AQ130" t="str">
        <f ca="1">IF(TEXT(Demand!D139,"MMM")&lt;&gt;TEXT(Demand!D138,"MMM"),TEXT(Demand!D139,"MMM"),"")</f>
        <v/>
      </c>
      <c r="AT130" s="5">
        <f t="shared" ca="1" si="42"/>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
      <c r="A131" s="5">
        <f t="shared" ca="1" si="43"/>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410</v>
      </c>
      <c r="Y131">
        <f t="shared" ca="1" si="38"/>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410</v>
      </c>
      <c r="AM131" s="5">
        <f t="shared" ca="1" si="41"/>
        <v>0</v>
      </c>
      <c r="AN131" s="5" t="str">
        <f>IF(Demand!BE140="Yes","Yes","")</f>
        <v/>
      </c>
      <c r="AP131" s="36" t="str">
        <f ca="1">Demand!B140</f>
        <v xml:space="preserve"> </v>
      </c>
      <c r="AQ131" t="str">
        <f ca="1">IF(TEXT(Demand!D140,"MMM")&lt;&gt;TEXT(Demand!D139,"MMM"),TEXT(Demand!D140,"MMM"),"")</f>
        <v>Sep</v>
      </c>
      <c r="AT131" s="5">
        <f t="shared" ca="1" si="42"/>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
      <c r="A132" s="5">
        <f t="shared" ca="1" si="43"/>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370</v>
      </c>
      <c r="Y132">
        <f t="shared" ref="Y132:Y195" ca="1" si="45">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370</v>
      </c>
      <c r="AM132" s="5">
        <f t="shared" ca="1" si="41"/>
        <v>0</v>
      </c>
      <c r="AN132" s="5" t="str">
        <f>IF(Demand!BE141="Yes","Yes","")</f>
        <v/>
      </c>
      <c r="AP132" s="36" t="str">
        <f ca="1">Demand!B141</f>
        <v xml:space="preserve"> </v>
      </c>
      <c r="AQ132" t="str">
        <f ca="1">IF(TEXT(Demand!D141,"MMM")&lt;&gt;TEXT(Demand!D140,"MMM"),TEXT(Demand!D141,"MMM"),"")</f>
        <v/>
      </c>
      <c r="AT132" s="5">
        <f t="shared" ca="1" si="42"/>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
      <c r="A133" s="5">
        <f t="shared" ca="1" si="43"/>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590</v>
      </c>
      <c r="Y133">
        <f t="shared" ca="1" si="45"/>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590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
      <c r="A134" s="5">
        <f t="shared" ca="1" si="43"/>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570</v>
      </c>
      <c r="Y134">
        <f t="shared" ca="1" si="45"/>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570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
      <c r="A135" s="5">
        <f t="shared" ca="1" si="43"/>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490</v>
      </c>
      <c r="Y135">
        <f t="shared" ca="1" si="45"/>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490</v>
      </c>
      <c r="AM135" s="5">
        <f t="shared" ca="1" si="48"/>
        <v>0</v>
      </c>
      <c r="AN135" s="5" t="str">
        <f>IF(Demand!BE144="Yes","Yes","")</f>
        <v/>
      </c>
      <c r="AP135" s="36" t="str">
        <f ca="1">Demand!B144</f>
        <v xml:space="preserve"> </v>
      </c>
      <c r="AQ135" t="str">
        <f ca="1">IF(TEXT(Demand!D144,"MMM")&lt;&gt;TEXT(Demand!D143,"MMM"),TEXT(Demand!D144,"MMM"),"")</f>
        <v>Oct</v>
      </c>
      <c r="AT135" s="5">
        <f t="shared" ca="1" si="49"/>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
      <c r="A136" s="5">
        <f t="shared" ca="1" si="43"/>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570</v>
      </c>
      <c r="Y136">
        <f t="shared" ca="1" si="45"/>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570</v>
      </c>
      <c r="AM136" s="5">
        <f t="shared" ca="1" si="48"/>
        <v>0</v>
      </c>
      <c r="AN136" s="5" t="str">
        <f>IF(Demand!BE145="Yes","Yes","")</f>
        <v/>
      </c>
      <c r="AP136" s="36" t="str">
        <f ca="1">Demand!B145</f>
        <v xml:space="preserve"> </v>
      </c>
      <c r="AQ136" t="str">
        <f ca="1">IF(TEXT(Demand!D145,"MMM")&lt;&gt;TEXT(Demand!D144,"MMM"),TEXT(Demand!D145,"MMM"),"")</f>
        <v/>
      </c>
      <c r="AT136" s="5">
        <f t="shared" ca="1" si="49"/>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
      <c r="A137" s="5">
        <f t="shared" ca="1" si="43"/>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330</v>
      </c>
      <c r="Y137">
        <f t="shared" ca="1" si="45"/>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330</v>
      </c>
      <c r="AM137" s="5">
        <f t="shared" ca="1" si="48"/>
        <v>0</v>
      </c>
      <c r="AN137" s="5" t="str">
        <f>IF(Demand!BE146="Yes","Yes","")</f>
        <v/>
      </c>
      <c r="AP137" s="36" t="str">
        <f ca="1">Demand!B146</f>
        <v xml:space="preserve"> </v>
      </c>
      <c r="AQ137" t="str">
        <f ca="1">IF(TEXT(Demand!D146,"MMM")&lt;&gt;TEXT(Demand!D145,"MMM"),TEXT(Demand!D146,"MMM"),"")</f>
        <v/>
      </c>
      <c r="AT137" s="5">
        <f t="shared" ca="1" si="49"/>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
      <c r="A138" s="5">
        <f t="shared" ca="1" si="43"/>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460</v>
      </c>
      <c r="Y138">
        <f t="shared" ca="1" si="45"/>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460</v>
      </c>
      <c r="AM138" s="5">
        <f t="shared" ca="1" si="48"/>
        <v>0</v>
      </c>
      <c r="AN138" s="5" t="str">
        <f>IF(Demand!BE147="Yes","Yes","")</f>
        <v/>
      </c>
      <c r="AP138" s="36" t="str">
        <f ca="1">Demand!B147</f>
        <v xml:space="preserve"> </v>
      </c>
      <c r="AQ138" t="str">
        <f ca="1">IF(TEXT(Demand!D147,"MMM")&lt;&gt;TEXT(Demand!D146,"MMM"),TEXT(Demand!D147,"MMM"),"")</f>
        <v/>
      </c>
      <c r="AT138" s="5">
        <f t="shared" ca="1" si="49"/>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
      <c r="A139" s="5">
        <f t="shared" ca="1" si="43"/>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470</v>
      </c>
      <c r="Y139">
        <f t="shared" ca="1" si="45"/>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470</v>
      </c>
      <c r="AM139" s="5">
        <f t="shared" ca="1" si="48"/>
        <v>0</v>
      </c>
      <c r="AN139" s="5" t="str">
        <f>IF(Demand!BE148="Yes","Yes","")</f>
        <v/>
      </c>
      <c r="AP139" s="36" t="str">
        <f ca="1">Demand!B148</f>
        <v xml:space="preserve"> </v>
      </c>
      <c r="AQ139" t="str">
        <f ca="1">IF(TEXT(Demand!D148,"MMM")&lt;&gt;TEXT(Demand!D147,"MMM"),TEXT(Demand!D148,"MMM"),"")</f>
        <v/>
      </c>
      <c r="AT139" s="5">
        <f t="shared" ca="1" si="49"/>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
      <c r="A140" s="5">
        <f t="shared" ca="1" si="43"/>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490</v>
      </c>
      <c r="Y140">
        <f t="shared" ca="1" si="45"/>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490</v>
      </c>
      <c r="AM140" s="5">
        <f t="shared" ca="1" si="48"/>
        <v>0</v>
      </c>
      <c r="AN140" s="5" t="str">
        <f>IF(Demand!BE149="Yes","Yes","")</f>
        <v/>
      </c>
      <c r="AP140" s="36" t="str">
        <f ca="1">Demand!B149</f>
        <v xml:space="preserve"> </v>
      </c>
      <c r="AQ140" t="str">
        <f ca="1">IF(TEXT(Demand!D149,"MMM")&lt;&gt;TEXT(Demand!D148,"MMM"),TEXT(Demand!D149,"MMM"),"")</f>
        <v>Nov</v>
      </c>
      <c r="AT140" s="5">
        <f t="shared" ca="1" si="49"/>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
      <c r="A141" s="5">
        <f t="shared" ca="1" si="43"/>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430</v>
      </c>
      <c r="Y141">
        <f t="shared" ca="1" si="45"/>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430</v>
      </c>
      <c r="AM141" s="5">
        <f t="shared" ca="1" si="48"/>
        <v>0</v>
      </c>
      <c r="AN141" s="5" t="str">
        <f>IF(Demand!BE150="Yes","Yes","")</f>
        <v/>
      </c>
      <c r="AP141" s="36" t="str">
        <f ca="1">Demand!B150</f>
        <v xml:space="preserve"> </v>
      </c>
      <c r="AQ141" t="str">
        <f ca="1">IF(TEXT(Demand!D150,"MMM")&lt;&gt;TEXT(Demand!D149,"MMM"),TEXT(Demand!D150,"MMM"),"")</f>
        <v/>
      </c>
      <c r="AT141" s="5">
        <f t="shared" ca="1" si="49"/>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
      <c r="A142" s="5">
        <f t="shared" ca="1" si="43"/>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470</v>
      </c>
      <c r="Y142">
        <f t="shared" ca="1" si="45"/>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470</v>
      </c>
      <c r="AM142" s="5">
        <f t="shared" ca="1" si="48"/>
        <v>0</v>
      </c>
      <c r="AN142" s="5" t="str">
        <f>IF(Demand!BE151="Yes","Yes","")</f>
        <v/>
      </c>
      <c r="AP142" s="36" t="str">
        <f ca="1">Demand!B151</f>
        <v xml:space="preserve"> </v>
      </c>
      <c r="AQ142" t="str">
        <f ca="1">IF(TEXT(Demand!D151,"MMM")&lt;&gt;TEXT(Demand!D150,"MMM"),TEXT(Demand!D151,"MMM"),"")</f>
        <v/>
      </c>
      <c r="AT142" s="5">
        <f t="shared" ca="1" si="49"/>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
      <c r="A143" s="5">
        <f t="shared" ca="1" si="43"/>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720</v>
      </c>
      <c r="Y143">
        <f t="shared" ca="1" si="45"/>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720</v>
      </c>
      <c r="AM143" s="5">
        <f t="shared" ca="1" si="48"/>
        <v>0</v>
      </c>
      <c r="AN143" s="5" t="str">
        <f>IF(Demand!BE152="Yes","Yes","")</f>
        <v/>
      </c>
      <c r="AP143" s="36" t="str">
        <f ca="1">Demand!B152</f>
        <v xml:space="preserve"> </v>
      </c>
      <c r="AQ143" t="str">
        <f ca="1">IF(TEXT(Demand!D152,"MMM")&lt;&gt;TEXT(Demand!D151,"MMM"),TEXT(Demand!D152,"MMM"),"")</f>
        <v/>
      </c>
      <c r="AT143" s="5">
        <f t="shared" ca="1" si="49"/>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
      <c r="A144" s="5">
        <f t="shared" ca="1" si="43"/>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250</v>
      </c>
      <c r="Y144">
        <f t="shared" ca="1" si="45"/>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250</v>
      </c>
      <c r="AM144" s="5">
        <f t="shared" ca="1" si="48"/>
        <v>0</v>
      </c>
      <c r="AN144" s="5" t="str">
        <f>IF(Demand!BE153="Yes","Yes","")</f>
        <v/>
      </c>
      <c r="AP144" s="36" t="str">
        <f ca="1">Demand!B153</f>
        <v xml:space="preserve"> </v>
      </c>
      <c r="AQ144" t="str">
        <f ca="1">IF(TEXT(Demand!D153,"MMM")&lt;&gt;TEXT(Demand!D152,"MMM"),TEXT(Demand!D153,"MMM"),"")</f>
        <v>Dec</v>
      </c>
      <c r="AT144" s="5">
        <f t="shared" ca="1" si="49"/>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
      <c r="A145" s="5">
        <f t="shared" ca="1" si="43"/>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550</v>
      </c>
      <c r="Y145">
        <f t="shared" ca="1" si="45"/>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550</v>
      </c>
      <c r="AM145" s="5">
        <f t="shared" ca="1" si="48"/>
        <v>0</v>
      </c>
      <c r="AN145" s="5" t="str">
        <f>IF(Demand!BE154="Yes","Yes","")</f>
        <v/>
      </c>
      <c r="AP145" s="36" t="str">
        <f ca="1">Demand!B154</f>
        <v xml:space="preserve"> </v>
      </c>
      <c r="AQ145" t="str">
        <f ca="1">IF(TEXT(Demand!D154,"MMM")&lt;&gt;TEXT(Demand!D153,"MMM"),TEXT(Demand!D154,"MMM"),"")</f>
        <v/>
      </c>
      <c r="AT145" s="5">
        <f t="shared" ca="1" si="49"/>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
      <c r="A146" s="5">
        <f t="shared" ca="1" si="43"/>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690</v>
      </c>
      <c r="Y146">
        <f t="shared" ca="1" si="45"/>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690</v>
      </c>
      <c r="AM146" s="5">
        <f t="shared" ca="1" si="48"/>
        <v>0</v>
      </c>
      <c r="AN146" s="5" t="str">
        <f>IF(Demand!BE155="Yes","Yes","")</f>
        <v/>
      </c>
      <c r="AP146" s="36" t="str">
        <f ca="1">Demand!B155</f>
        <v xml:space="preserve"> </v>
      </c>
      <c r="AQ146" t="str">
        <f ca="1">IF(TEXT(Demand!D155,"MMM")&lt;&gt;TEXT(Demand!D154,"MMM"),TEXT(Demand!D155,"MMM"),"")</f>
        <v/>
      </c>
      <c r="AT146" s="5">
        <f t="shared" ca="1" si="49"/>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
      <c r="A147" s="5">
        <f t="shared" ca="1" si="43"/>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370</v>
      </c>
      <c r="Y147">
        <f t="shared" ca="1" si="45"/>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370</v>
      </c>
      <c r="AM147" s="5">
        <f t="shared" ca="1" si="48"/>
        <v>0</v>
      </c>
      <c r="AN147" s="5" t="str">
        <f>IF(Demand!BE156="Yes","Yes","")</f>
        <v/>
      </c>
      <c r="AP147" s="36" t="str">
        <f ca="1">Demand!B156</f>
        <v xml:space="preserve"> </v>
      </c>
      <c r="AQ147" t="str">
        <f ca="1">IF(TEXT(Demand!D156,"MMM")&lt;&gt;TEXT(Demand!D155,"MMM"),TEXT(Demand!D156,"MMM"),"")</f>
        <v/>
      </c>
      <c r="AT147" s="5">
        <f t="shared" ca="1" si="49"/>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
      <c r="A148" s="5">
        <f t="shared" ca="1" si="43"/>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560</v>
      </c>
      <c r="Y148">
        <f t="shared" ca="1" si="45"/>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560</v>
      </c>
      <c r="AM148" s="5">
        <f t="shared" ca="1" si="48"/>
        <v>0</v>
      </c>
      <c r="AN148" s="5" t="str">
        <f>IF(Demand!BE157="Yes","Yes","")</f>
        <v/>
      </c>
      <c r="AP148" s="36" t="str">
        <f ca="1">Demand!B157</f>
        <v xml:space="preserve"> </v>
      </c>
      <c r="AQ148" t="str">
        <f ca="1">IF(TEXT(Demand!D157,"MMM")&lt;&gt;TEXT(Demand!D156,"MMM"),TEXT(Demand!D157,"MMM"),"")</f>
        <v/>
      </c>
      <c r="AT148" s="5">
        <f t="shared" ca="1" si="49"/>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
      <c r="A149" s="5">
        <f t="shared" ca="1" si="43"/>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270</v>
      </c>
      <c r="Y149">
        <f t="shared" ca="1" si="45"/>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270</v>
      </c>
      <c r="AM149" s="5">
        <f t="shared" ca="1" si="48"/>
        <v>0</v>
      </c>
      <c r="AN149" s="5" t="str">
        <f>IF(Demand!BE158="Yes","Yes","")</f>
        <v/>
      </c>
      <c r="AP149" s="36">
        <f ca="1">Demand!B158</f>
        <v>2019</v>
      </c>
      <c r="AQ149" t="str">
        <f ca="1">IF(TEXT(Demand!D158,"MMM")&lt;&gt;TEXT(Demand!D157,"MMM"),TEXT(Demand!D158,"MMM"),"")</f>
        <v>Jan</v>
      </c>
      <c r="AT149" s="5">
        <f t="shared" ca="1" si="49"/>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
      <c r="A150" s="5">
        <f t="shared" ca="1" si="43"/>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450</v>
      </c>
      <c r="Y150">
        <f t="shared" ca="1" si="45"/>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450</v>
      </c>
      <c r="AM150" s="5">
        <f t="shared" ca="1" si="48"/>
        <v>0</v>
      </c>
      <c r="AN150" s="5" t="str">
        <f>IF(Demand!BE159="Yes","Yes","")</f>
        <v/>
      </c>
      <c r="AP150" s="36" t="str">
        <f ca="1">Demand!B159</f>
        <v xml:space="preserve"> </v>
      </c>
      <c r="AQ150" t="str">
        <f ca="1">IF(TEXT(Demand!D159,"MMM")&lt;&gt;TEXT(Demand!D158,"MMM"),TEXT(Demand!D159,"MMM"),"")</f>
        <v/>
      </c>
      <c r="AT150" s="5">
        <f t="shared" ca="1" si="49"/>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
      <c r="A151" s="5">
        <f t="shared" ca="1" si="43"/>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750</v>
      </c>
      <c r="Y151">
        <f t="shared" ca="1" si="45"/>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750</v>
      </c>
      <c r="AM151" s="5">
        <f t="shared" ca="1" si="48"/>
        <v>0</v>
      </c>
      <c r="AN151" s="5" t="str">
        <f>IF(Demand!BE160="Yes","Yes","")</f>
        <v/>
      </c>
      <c r="AP151" s="36" t="str">
        <f ca="1">Demand!B160</f>
        <v xml:space="preserve"> </v>
      </c>
      <c r="AQ151" t="str">
        <f ca="1">IF(TEXT(Demand!D160,"MMM")&lt;&gt;TEXT(Demand!D159,"MMM"),TEXT(Demand!D160,"MMM"),"")</f>
        <v/>
      </c>
      <c r="AT151" s="5">
        <f t="shared" ca="1" si="49"/>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
      <c r="A152" s="5">
        <f t="shared" ca="1" si="43"/>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390</v>
      </c>
      <c r="Y152">
        <f t="shared" ca="1" si="45"/>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390</v>
      </c>
      <c r="AM152" s="5">
        <f t="shared" ca="1" si="48"/>
        <v>0</v>
      </c>
      <c r="AN152" s="5" t="str">
        <f>IF(Demand!BE161="Yes","Yes","")</f>
        <v/>
      </c>
      <c r="AP152" s="36" t="str">
        <f ca="1">Demand!B161</f>
        <v xml:space="preserve"> </v>
      </c>
      <c r="AQ152" t="str">
        <f ca="1">IF(TEXT(Demand!D161,"MMM")&lt;&gt;TEXT(Demand!D160,"MMM"),TEXT(Demand!D161,"MMM"),"")</f>
        <v/>
      </c>
      <c r="AT152" s="5">
        <f t="shared" ca="1" si="49"/>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
      <c r="A153" s="5">
        <f t="shared" ca="1" si="43"/>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620</v>
      </c>
      <c r="Y153">
        <f t="shared" ca="1" si="45"/>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620</v>
      </c>
      <c r="AM153" s="5">
        <f t="shared" ca="1" si="48"/>
        <v>0</v>
      </c>
      <c r="AN153" s="5" t="str">
        <f>IF(Demand!BE162="Yes","Yes","")</f>
        <v/>
      </c>
      <c r="AP153" s="36" t="str">
        <f ca="1">Demand!B162</f>
        <v xml:space="preserve"> </v>
      </c>
      <c r="AQ153" t="str">
        <f ca="1">IF(TEXT(Demand!D162,"MMM")&lt;&gt;TEXT(Demand!D161,"MMM"),TEXT(Demand!D162,"MMM"),"")</f>
        <v>Feb</v>
      </c>
      <c r="AT153" s="5">
        <f t="shared" ca="1" si="49"/>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
      <c r="A154" s="5">
        <f t="shared" ca="1" si="43"/>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340</v>
      </c>
      <c r="Y154">
        <f t="shared" ca="1" si="45"/>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340</v>
      </c>
      <c r="AM154" s="5">
        <f t="shared" ca="1" si="48"/>
        <v>0</v>
      </c>
      <c r="AN154" s="5" t="str">
        <f>IF(Demand!BE163="Yes","Yes","")</f>
        <v/>
      </c>
      <c r="AP154" s="36" t="str">
        <f ca="1">Demand!B163</f>
        <v xml:space="preserve"> </v>
      </c>
      <c r="AQ154" t="str">
        <f ca="1">IF(TEXT(Demand!D163,"MMM")&lt;&gt;TEXT(Demand!D162,"MMM"),TEXT(Demand!D163,"MMM"),"")</f>
        <v/>
      </c>
      <c r="AT154" s="5">
        <f t="shared" ca="1" si="49"/>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
      <c r="A155" s="5">
        <f t="shared" ca="1" si="43"/>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
      <c r="A156" s="5">
        <f t="shared" ca="1" si="43"/>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
      <c r="A157" s="5">
        <f t="shared" ca="1" si="43"/>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
      <c r="A158" s="5">
        <f t="shared" ca="1" si="43"/>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
      <c r="A159" s="5">
        <f t="shared" ca="1" si="43"/>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
      <c r="A160" s="5">
        <f t="shared" ca="1" si="43"/>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
      <c r="A161" s="5">
        <f t="shared" ca="1" si="43"/>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
      <c r="A162" s="5">
        <f t="shared" ca="1" si="43"/>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
      <c r="A163" s="5">
        <f t="shared" ca="1" si="43"/>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
      <c r="A164" s="5">
        <f t="shared" ca="1" si="43"/>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
      <c r="A165" s="5">
        <f t="shared" ca="1" si="43"/>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
      <c r="A166" s="5">
        <f t="shared" ca="1" si="43"/>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
      <c r="A167" s="5">
        <f t="shared" ca="1" si="43"/>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
      <c r="A168" s="5">
        <f t="shared" ca="1" si="43"/>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
      <c r="A169" s="5">
        <f t="shared" ca="1" si="43"/>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
      <c r="A170" s="5">
        <f t="shared" ca="1" si="43"/>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
      <c r="A171" s="5">
        <f t="shared" ca="1" si="43"/>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
      <c r="A172" s="5">
        <f t="shared" ca="1" si="43"/>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
      <c r="A173" s="5">
        <f t="shared" ca="1" si="43"/>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
      <c r="A174" s="5">
        <f t="shared" ca="1" si="43"/>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
      <c r="A175" s="5">
        <f t="shared" ca="1" si="43"/>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
      <c r="A176" s="5">
        <f t="shared" ca="1" si="43"/>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
      <c r="A177" s="5">
        <f t="shared" ca="1" si="43"/>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
      <c r="A178" s="5">
        <f t="shared" ca="1" si="43"/>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
      <c r="A179" s="5">
        <f t="shared" ca="1" si="43"/>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
      <c r="A180" s="5">
        <f t="shared" ca="1" si="43"/>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
      <c r="A181" s="5">
        <f t="shared" ca="1" si="43"/>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
      <c r="A182" s="5">
        <f t="shared" ca="1" si="43"/>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
      <c r="A183" s="5">
        <f t="shared" ca="1" si="43"/>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
      <c r="A184" s="5">
        <f t="shared" ref="A184:A247" ca="1" si="50">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
      <c r="A185" s="5">
        <f t="shared" ca="1" si="50"/>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
      <c r="A186" s="5">
        <f t="shared" ca="1" si="50"/>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
      <c r="A187" s="5">
        <f t="shared" ca="1" si="50"/>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
      <c r="A188" s="5">
        <f t="shared" ca="1" si="50"/>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
      <c r="A189" s="5">
        <f t="shared" ca="1" si="50"/>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
      <c r="A190" s="5">
        <f t="shared" ca="1" si="50"/>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
      <c r="A191" s="5">
        <f t="shared" ca="1" si="50"/>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
      <c r="A192" s="5">
        <f t="shared" ca="1" si="50"/>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
      <c r="A193" s="5">
        <f t="shared" ca="1" si="50"/>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
      <c r="A194" s="5">
        <f t="shared" ca="1" si="50"/>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
      <c r="A195" s="5">
        <f t="shared" ca="1" si="50"/>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
      <c r="A196" s="5">
        <f t="shared" ca="1" si="50"/>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
      <c r="A197" s="5">
        <f t="shared" ca="1" si="50"/>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
      <c r="A198" s="5">
        <f t="shared" ca="1" si="50"/>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
      <c r="A199" s="5">
        <f t="shared" ca="1" si="50"/>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
      <c r="A200" s="5">
        <f t="shared" ca="1" si="50"/>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
      <c r="A201" s="5">
        <f t="shared" ca="1" si="50"/>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
      <c r="A202" s="5">
        <f t="shared" ca="1" si="50"/>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
      <c r="A203" s="5">
        <f t="shared" ca="1" si="50"/>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
      <c r="A204" s="5">
        <f t="shared" ca="1" si="50"/>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
      <c r="A205" s="5">
        <f t="shared" ca="1" si="50"/>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
      <c r="A206" s="5">
        <f t="shared" ca="1" si="50"/>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
      <c r="A207" s="5">
        <f t="shared" ca="1" si="50"/>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
      <c r="A208" s="5">
        <f t="shared" ca="1" si="50"/>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
      <c r="A209" s="5">
        <f t="shared" ca="1" si="50"/>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
      <c r="A210" s="5">
        <f t="shared" ca="1" si="50"/>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
      <c r="A211" s="5">
        <f t="shared" ca="1" si="50"/>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
      <c r="A212" s="5">
        <f t="shared" ca="1" si="50"/>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
      <c r="A213" s="5">
        <f t="shared" ca="1" si="50"/>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
      <c r="A214" s="5">
        <f t="shared" ca="1" si="50"/>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
      <c r="A215" s="5">
        <f t="shared" ca="1" si="50"/>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
      <c r="A216" s="5">
        <f t="shared" ca="1" si="50"/>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
      <c r="A217" s="5">
        <f t="shared" ca="1" si="50"/>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
      <c r="A218" s="5">
        <f t="shared" ca="1" si="50"/>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
      <c r="A219" s="5">
        <f t="shared" ca="1" si="50"/>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
      <c r="A220" s="5">
        <f t="shared" ca="1" si="50"/>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
      <c r="A221" s="5">
        <f t="shared" ca="1" si="50"/>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
      <c r="A222" s="5">
        <f t="shared" ca="1" si="50"/>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
      <c r="A223" s="5">
        <f t="shared" ca="1" si="50"/>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
      <c r="A224" s="5">
        <f t="shared" ca="1" si="50"/>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
      <c r="A225" s="5">
        <f t="shared" ca="1" si="50"/>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
      <c r="A226" s="5">
        <f t="shared" ca="1" si="50"/>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
      <c r="A227" s="5">
        <f t="shared" ca="1" si="50"/>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
      <c r="A228" s="5">
        <f t="shared" ca="1" si="50"/>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
      <c r="A229" s="5">
        <f t="shared" ca="1" si="50"/>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
      <c r="A230" s="5">
        <f t="shared" ca="1" si="50"/>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
      <c r="A231" s="5">
        <f t="shared" ca="1" si="50"/>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
      <c r="A232" s="5">
        <f t="shared" ca="1" si="50"/>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
      <c r="A233" s="5">
        <f t="shared" ca="1" si="50"/>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
      <c r="A234" s="5">
        <f t="shared" ca="1" si="50"/>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
      <c r="A235" s="5">
        <f t="shared" ca="1" si="50"/>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
      <c r="A236" s="5">
        <f t="shared" ca="1" si="50"/>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
      <c r="A237" s="5">
        <f t="shared" ca="1" si="50"/>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
      <c r="A238" s="5">
        <f t="shared" ca="1" si="50"/>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
      <c r="A239" s="5">
        <f t="shared" ca="1" si="50"/>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
      <c r="A240" s="5">
        <f t="shared" ca="1" si="50"/>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
      <c r="A241" s="5">
        <f t="shared" ca="1" si="50"/>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
      <c r="A242" s="5">
        <f t="shared" ca="1" si="50"/>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
      <c r="A243" s="5">
        <f t="shared" ca="1" si="50"/>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
      <c r="A244" s="5">
        <f t="shared" ca="1" si="50"/>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
      <c r="A245" s="5">
        <f t="shared" ca="1" si="50"/>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
      <c r="A246" s="5">
        <f t="shared" ca="1" si="50"/>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
      <c r="A247" s="5">
        <f t="shared" ca="1" si="50"/>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
      <c r="A248" s="5">
        <f t="shared" ref="A248:A252" ca="1" si="57">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
      <c r="A249" s="5">
        <f t="shared" ca="1" si="57"/>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
      <c r="A250" s="5">
        <f t="shared" ca="1" si="57"/>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
      <c r="A251" s="5">
        <f t="shared" ca="1" si="57"/>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
      <c r="A252" s="5">
        <f t="shared" ca="1" si="57"/>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
      <c r="A253" s="5">
        <f t="shared" ref="A253:A263" ca="1" si="58">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
      <c r="A254" s="5">
        <f t="shared" ca="1" si="58"/>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
      <c r="A255" s="5">
        <f t="shared" ca="1" si="58"/>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
      <c r="A256" s="5">
        <f t="shared" ca="1" si="58"/>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
      <c r="A257" s="5">
        <f t="shared" ca="1" si="58"/>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
      <c r="A258" s="5">
        <f t="shared" ca="1" si="58"/>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
      <c r="A259" s="5">
        <f t="shared" ca="1" si="58"/>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
      <c r="A260" s="5">
        <f t="shared" ca="1" si="58"/>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
      <c r="A261" s="5">
        <f t="shared" ca="1" si="58"/>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
      <c r="A262" s="5">
        <f t="shared" ca="1" si="58"/>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
      <c r="A263" s="5">
        <f t="shared" ca="1" si="58"/>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
      <c r="M264" t="s">
        <v>79</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A3" sqref="A3"/>
    </sheetView>
  </sheetViews>
  <sheetFormatPr defaultColWidth="8.75" defaultRowHeight="14.25" x14ac:dyDescent="0.2"/>
  <cols>
    <col min="1" max="3" width="10.25" style="348" customWidth="1"/>
    <col min="4" max="4" width="17.75" style="348" customWidth="1"/>
    <col min="5" max="5" width="13.75" style="348" customWidth="1"/>
    <col min="6" max="6" width="9.75" style="348" bestFit="1" customWidth="1"/>
    <col min="7" max="16384" width="8.75" style="348"/>
  </cols>
  <sheetData>
    <row r="2" spans="1:18" x14ac:dyDescent="0.2">
      <c r="A2" s="347" t="s">
        <v>1179</v>
      </c>
      <c r="B2" s="347"/>
      <c r="C2" s="347"/>
      <c r="D2" s="347"/>
      <c r="E2" s="347"/>
      <c r="F2" s="347"/>
      <c r="G2" s="347"/>
      <c r="H2" s="347"/>
      <c r="I2" s="347"/>
      <c r="J2" s="347"/>
      <c r="K2" s="347"/>
      <c r="L2" s="347"/>
      <c r="M2" s="347"/>
      <c r="N2" s="347"/>
      <c r="O2" s="347"/>
      <c r="P2" s="347"/>
      <c r="Q2" s="347"/>
      <c r="R2" s="347"/>
    </row>
    <row r="3" spans="1:18" x14ac:dyDescent="0.2">
      <c r="A3" s="349" t="s">
        <v>1180</v>
      </c>
      <c r="B3" s="349"/>
      <c r="C3" s="349"/>
      <c r="D3" s="349"/>
      <c r="E3" s="349"/>
      <c r="F3" s="349"/>
      <c r="G3" s="349"/>
      <c r="H3" s="349"/>
      <c r="I3" s="349"/>
      <c r="J3" s="349"/>
      <c r="K3" s="349"/>
      <c r="L3" s="349"/>
      <c r="M3" s="349"/>
      <c r="N3" s="349"/>
      <c r="O3" s="349"/>
      <c r="P3" s="349"/>
      <c r="Q3" s="349"/>
      <c r="R3" s="349"/>
    </row>
    <row r="5" spans="1:18" x14ac:dyDescent="0.2">
      <c r="A5" s="348" t="s">
        <v>1210</v>
      </c>
    </row>
    <row r="6" spans="1:18" x14ac:dyDescent="0.2">
      <c r="A6" s="348" t="s">
        <v>1188</v>
      </c>
    </row>
    <row r="7" spans="1:18" x14ac:dyDescent="0.2">
      <c r="A7" s="348" t="s">
        <v>1189</v>
      </c>
    </row>
    <row r="9" spans="1:18" ht="15" x14ac:dyDescent="0.25">
      <c r="A9" s="284" t="s">
        <v>1181</v>
      </c>
      <c r="F9" s="336" t="s">
        <v>22</v>
      </c>
    </row>
    <row r="10" spans="1:18" x14ac:dyDescent="0.2">
      <c r="A10" s="350" t="str">
        <f>IF(AND(F9="Yes",Demand!C6="",LEFT(Demand!C8,1)="M"),"You must enter a start date on the 'Demand' sheet, otherwise the model will show errors!","")</f>
        <v/>
      </c>
    </row>
    <row r="11" spans="1:18" ht="15" x14ac:dyDescent="0.25">
      <c r="A11" s="284" t="s">
        <v>1186</v>
      </c>
    </row>
    <row r="12" spans="1:18" x14ac:dyDescent="0.2">
      <c r="A12" s="348" t="s">
        <v>1183</v>
      </c>
      <c r="F12" s="167">
        <v>44242</v>
      </c>
    </row>
    <row r="13" spans="1:18" x14ac:dyDescent="0.2">
      <c r="A13" s="348" t="str">
        <f>"Current (restricted) level of demand ("&amp;Setup!$I$17&amp;"):"</f>
        <v>Current (restricted) level of demand (Minutes):</v>
      </c>
      <c r="D13" s="219"/>
      <c r="F13" s="336">
        <v>200</v>
      </c>
    </row>
    <row r="14" spans="1:18" x14ac:dyDescent="0.2">
      <c r="D14" s="219"/>
      <c r="F14" s="219"/>
    </row>
    <row r="16" spans="1:18" ht="15" x14ac:dyDescent="0.25">
      <c r="A16" s="284" t="s">
        <v>1187</v>
      </c>
    </row>
    <row r="17" spans="1:6" x14ac:dyDescent="0.2">
      <c r="A17" s="348" t="s">
        <v>1185</v>
      </c>
      <c r="F17" s="167">
        <v>44256</v>
      </c>
    </row>
    <row r="18" spans="1:6" x14ac:dyDescent="0.2">
      <c r="A18" s="348" t="s">
        <v>1235</v>
      </c>
      <c r="F18" s="336">
        <v>20</v>
      </c>
    </row>
    <row r="20" spans="1:6" x14ac:dyDescent="0.2">
      <c r="A20" s="348" t="s">
        <v>1182</v>
      </c>
      <c r="F20" s="336" t="s">
        <v>22</v>
      </c>
    </row>
    <row r="23" spans="1:6" ht="15" x14ac:dyDescent="0.25">
      <c r="A23" s="284" t="s">
        <v>1212</v>
      </c>
    </row>
    <row r="24" spans="1:6" x14ac:dyDescent="0.2">
      <c r="A24" s="348" t="s">
        <v>1213</v>
      </c>
    </row>
    <row r="26" spans="1:6" x14ac:dyDescent="0.2">
      <c r="A26" s="348" t="s">
        <v>1214</v>
      </c>
    </row>
    <row r="27" spans="1:6" x14ac:dyDescent="0.2">
      <c r="A27" s="348" t="s">
        <v>1215</v>
      </c>
    </row>
    <row r="28" spans="1:6" x14ac:dyDescent="0.2">
      <c r="A28" s="351" t="s">
        <v>1220</v>
      </c>
    </row>
    <row r="31" spans="1:6" ht="15" x14ac:dyDescent="0.25">
      <c r="A31" s="284" t="s">
        <v>1216</v>
      </c>
    </row>
    <row r="33" spans="1:18" ht="13.9" customHeight="1" x14ac:dyDescent="0.25">
      <c r="D33" s="424" t="str">
        <f>"Number of patients ("&amp;Setup!$I$17&amp;")"</f>
        <v>Number of patients (Minutes)</v>
      </c>
      <c r="E33" s="422" t="s">
        <v>1219</v>
      </c>
      <c r="F33" s="424" t="str">
        <f>Setup!$I$17&amp;" remaining"</f>
        <v>Minutes remaining</v>
      </c>
      <c r="G33" s="352" t="str">
        <f>"Backlog / unseen patients ("&amp;Setup!$I$17&amp;") brought in post-transition, by week"</f>
        <v>Backlog / unseen patients (Minutes) brought in post-transition, by week</v>
      </c>
      <c r="H33" s="353"/>
      <c r="I33" s="353"/>
      <c r="J33" s="353"/>
      <c r="K33" s="353"/>
      <c r="L33" s="353"/>
      <c r="M33" s="353"/>
      <c r="N33" s="353"/>
      <c r="O33" s="353"/>
      <c r="P33" s="353"/>
      <c r="Q33" s="353"/>
      <c r="R33" s="354"/>
    </row>
    <row r="34" spans="1:18" ht="15" x14ac:dyDescent="0.25">
      <c r="D34" s="425"/>
      <c r="E34" s="423"/>
      <c r="F34" s="425"/>
      <c r="G34" s="355">
        <v>1</v>
      </c>
      <c r="H34" s="355">
        <v>2</v>
      </c>
      <c r="I34" s="355">
        <v>3</v>
      </c>
      <c r="J34" s="355">
        <v>4</v>
      </c>
      <c r="K34" s="355">
        <v>5</v>
      </c>
      <c r="L34" s="355">
        <v>6</v>
      </c>
      <c r="M34" s="355">
        <v>7</v>
      </c>
      <c r="N34" s="355">
        <v>8</v>
      </c>
      <c r="O34" s="355">
        <v>9</v>
      </c>
      <c r="P34" s="355">
        <v>10</v>
      </c>
      <c r="Q34" s="355">
        <v>11</v>
      </c>
      <c r="R34" s="355">
        <v>12</v>
      </c>
    </row>
    <row r="35" spans="1:18" ht="15" x14ac:dyDescent="0.25">
      <c r="A35" s="348" t="s">
        <v>1217</v>
      </c>
      <c r="D35" s="358">
        <f ca="1">SUM(OFFSET('Parameters calculator (hide)'!$C$68,0,0,Num_Modalities,1))</f>
        <v>2100</v>
      </c>
      <c r="E35" s="337">
        <v>0.04</v>
      </c>
      <c r="F35" s="356">
        <f ca="1">ROUNDUP(D35*(1-E35),0)-SUM(G35:N35)</f>
        <v>416</v>
      </c>
      <c r="G35" s="336">
        <v>200</v>
      </c>
      <c r="H35" s="336">
        <v>200</v>
      </c>
      <c r="I35" s="336">
        <v>200</v>
      </c>
      <c r="J35" s="336">
        <v>200</v>
      </c>
      <c r="K35" s="336">
        <v>200</v>
      </c>
      <c r="L35" s="336">
        <v>200</v>
      </c>
      <c r="M35" s="336">
        <v>200</v>
      </c>
      <c r="N35" s="336">
        <v>200</v>
      </c>
      <c r="O35" s="336">
        <v>200</v>
      </c>
      <c r="P35" s="336">
        <v>200</v>
      </c>
      <c r="Q35" s="336"/>
      <c r="R35" s="336"/>
    </row>
    <row r="36" spans="1:18" ht="15" x14ac:dyDescent="0.25">
      <c r="A36" s="348" t="s">
        <v>1218</v>
      </c>
      <c r="D36" s="359">
        <f ca="1">'Demand background (hide)'!EA3</f>
        <v>0</v>
      </c>
      <c r="E36" s="337">
        <v>0.05</v>
      </c>
      <c r="F36" s="357">
        <f ca="1">ROUNDUP(D36*(1-E36),0)-SUM(G36:N36)</f>
        <v>-2400</v>
      </c>
      <c r="G36" s="336">
        <v>300</v>
      </c>
      <c r="H36" s="336">
        <v>300</v>
      </c>
      <c r="I36" s="336">
        <v>300</v>
      </c>
      <c r="J36" s="336">
        <v>300</v>
      </c>
      <c r="K36" s="336">
        <v>300</v>
      </c>
      <c r="L36" s="336">
        <v>300</v>
      </c>
      <c r="M36" s="336">
        <v>300</v>
      </c>
      <c r="N36" s="336">
        <v>300</v>
      </c>
      <c r="O36" s="336">
        <v>300</v>
      </c>
      <c r="P36" s="336">
        <v>300</v>
      </c>
      <c r="Q36" s="336"/>
      <c r="R36" s="336"/>
    </row>
    <row r="39" spans="1:18" ht="15" x14ac:dyDescent="0.25">
      <c r="A39" s="348" t="s">
        <v>1227</v>
      </c>
    </row>
  </sheetData>
  <sheetProtection algorithmName="SHA-512" hashValue="w/1M1bLUl9GgwGYZfnSA3rTdoE3nr0SPjqLecdSsRSzFJZ+EAnE5XEc63T4wnNyeRVS2TTIINAUqity+omlcJw==" saltValue="9ov2rlpGjzHzgwX3Ay56Rg==" spinCount="100000" sheet="1" objects="1" scenarios="1"/>
  <mergeCells count="3">
    <mergeCell ref="E33:E34"/>
    <mergeCell ref="D33:D34"/>
    <mergeCell ref="F33:F34"/>
  </mergeCells>
  <conditionalFormatting sqref="F35:F36">
    <cfRule type="expression" dxfId="51" priority="2">
      <formula>IF($F35&lt;0,1,0)</formula>
    </cfRule>
  </conditionalFormatting>
  <conditionalFormatting sqref="A11:R33 A35:R39 A34:C34 G34:R34">
    <cfRule type="expression" dxfId="50"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Normal="100" workbookViewId="0">
      <selection activeCell="C5" sqref="C5"/>
    </sheetView>
  </sheetViews>
  <sheetFormatPr defaultRowHeight="14.25" x14ac:dyDescent="0.2"/>
  <cols>
    <col min="1" max="1" width="19.75" bestFit="1" customWidth="1"/>
    <col min="2" max="2" width="11.25" customWidth="1"/>
    <col min="4" max="4" width="3.25" customWidth="1"/>
  </cols>
  <sheetData>
    <row r="1" spans="1:3" x14ac:dyDescent="0.2">
      <c r="A1" t="s">
        <v>126</v>
      </c>
      <c r="B1" s="246" t="s">
        <v>192</v>
      </c>
    </row>
    <row r="3" spans="1:3" ht="15" x14ac:dyDescent="0.25">
      <c r="A3" s="2" t="s">
        <v>185</v>
      </c>
    </row>
    <row r="4" spans="1:3" ht="14.25" customHeight="1" x14ac:dyDescent="0.2">
      <c r="A4" s="38" t="str">
        <f>IF(SPC_Type="Simple","Sample period","Season 1")&amp;" begins:"</f>
        <v>Season 1 begins:</v>
      </c>
    </row>
    <row r="5" spans="1:3" ht="14.25" customHeight="1" x14ac:dyDescent="0.2">
      <c r="A5" s="38" t="str">
        <f>IF(SPC_Type="Simple","Sample period","Season 1")&amp;" ends:"</f>
        <v>Season 1 ends:</v>
      </c>
      <c r="C5" t="str">
        <f ca="1">'SPC background (hide)'!H5&amp;" weeks"</f>
        <v>52 weeks</v>
      </c>
    </row>
    <row r="6" spans="1:3" ht="14.25" customHeight="1" x14ac:dyDescent="0.2"/>
    <row r="7" spans="1:3" ht="14.25" customHeight="1" x14ac:dyDescent="0.2">
      <c r="A7" s="326" t="s">
        <v>186</v>
      </c>
      <c r="B7" s="377"/>
      <c r="C7" s="377"/>
    </row>
    <row r="8" spans="1:3" ht="14.25" customHeight="1" x14ac:dyDescent="0.2">
      <c r="A8" s="326" t="s">
        <v>187</v>
      </c>
      <c r="B8" s="377"/>
      <c r="C8" s="377" t="str">
        <f ca="1">IF('SPC background (hide)'!H7&lt;&gt;"",'SPC background (hide)'!H7&amp;" weeks","")</f>
        <v/>
      </c>
    </row>
    <row r="9" spans="1:3" ht="14.25" customHeight="1" x14ac:dyDescent="0.2">
      <c r="A9" s="326"/>
      <c r="B9" s="377"/>
      <c r="C9" s="377"/>
    </row>
    <row r="10" spans="1:3" ht="14.25" customHeight="1" x14ac:dyDescent="0.2">
      <c r="A10" s="326" t="s">
        <v>188</v>
      </c>
      <c r="B10" s="377"/>
      <c r="C10" s="377"/>
    </row>
    <row r="11" spans="1:3" ht="14.25" customHeight="1" x14ac:dyDescent="0.2">
      <c r="A11" s="326" t="s">
        <v>189</v>
      </c>
      <c r="B11" s="377"/>
      <c r="C11" s="377" t="str">
        <f ca="1">IF('SPC background (hide)'!H9&lt;&gt;"",'SPC background (hide)'!H9&amp;" weeks","")</f>
        <v/>
      </c>
    </row>
    <row r="12" spans="1:3" ht="14.25" customHeight="1" x14ac:dyDescent="0.2">
      <c r="A12" s="326"/>
      <c r="B12" s="377"/>
      <c r="C12" s="377"/>
    </row>
    <row r="13" spans="1:3" ht="14.25" customHeight="1" x14ac:dyDescent="0.2">
      <c r="A13" s="326" t="s">
        <v>190</v>
      </c>
      <c r="B13" s="377"/>
      <c r="C13" s="377"/>
    </row>
    <row r="14" spans="1:3" ht="14.25" customHeight="1" x14ac:dyDescent="0.2">
      <c r="A14" s="326" t="s">
        <v>191</v>
      </c>
      <c r="B14" s="377"/>
      <c r="C14" s="377" t="str">
        <f ca="1">IF('SPC background (hide)'!H11&lt;&gt;"",'SPC background (hide)'!H11&amp;" weeks","")</f>
        <v/>
      </c>
    </row>
    <row r="15" spans="1:3" ht="14.25" customHeight="1" x14ac:dyDescent="0.2"/>
    <row r="16" spans="1:3" x14ac:dyDescent="0.2">
      <c r="A16" s="37" t="s">
        <v>147</v>
      </c>
    </row>
    <row r="17" spans="1:3" ht="15" x14ac:dyDescent="0.25">
      <c r="A17" s="2" t="str">
        <f ca="1">'SPC background (hide)'!I11&amp;" weeks"</f>
        <v>52 weeks</v>
      </c>
    </row>
    <row r="19" spans="1:3" x14ac:dyDescent="0.2">
      <c r="A19" t="str">
        <f ca="1">IF(AND('SPC background (hide)'!I11&lt;52,SPC_Type="1+ Seasons"),"Remaining wks use season:","")</f>
        <v/>
      </c>
      <c r="C19" s="178">
        <v>1</v>
      </c>
    </row>
    <row r="20" spans="1:3" x14ac:dyDescent="0.2">
      <c r="C20" s="45"/>
    </row>
    <row r="21" spans="1:3" x14ac:dyDescent="0.2">
      <c r="A21" t="s">
        <v>195</v>
      </c>
      <c r="C21" s="178" t="s">
        <v>20</v>
      </c>
    </row>
    <row r="22" spans="1:3" x14ac:dyDescent="0.2">
      <c r="C22" s="45"/>
    </row>
    <row r="23" spans="1:3" x14ac:dyDescent="0.2">
      <c r="A23" t="s">
        <v>196</v>
      </c>
      <c r="C23" s="178" t="s">
        <v>20</v>
      </c>
    </row>
    <row r="25" spans="1:3" hidden="1" x14ac:dyDescent="0.2">
      <c r="A25" t="s">
        <v>284</v>
      </c>
      <c r="C25" s="178" t="s">
        <v>22</v>
      </c>
    </row>
    <row r="29" spans="1:3" ht="15" x14ac:dyDescent="0.25">
      <c r="A29" s="2" t="s">
        <v>178</v>
      </c>
    </row>
    <row r="30" spans="1:3" x14ac:dyDescent="0.2">
      <c r="A30" s="40"/>
      <c r="B30" t="s">
        <v>175</v>
      </c>
    </row>
    <row r="31" spans="1:3" x14ac:dyDescent="0.2">
      <c r="A31" s="41"/>
      <c r="B31" t="s">
        <v>176</v>
      </c>
    </row>
    <row r="32" spans="1:3" x14ac:dyDescent="0.2">
      <c r="A32" s="42"/>
      <c r="B32" t="s">
        <v>197</v>
      </c>
    </row>
    <row r="33" spans="1:2" x14ac:dyDescent="0.2">
      <c r="A33" s="43"/>
      <c r="B33" t="s">
        <v>177</v>
      </c>
    </row>
  </sheetData>
  <sheetProtection algorithmName="SHA-512" hashValue="mwYpxEzVgvkoxL15L5C2Yi4NCpG67YtCtspUBZta6lAXMQ2GYBu+UyOBUDxOZf+GK7T0whJwcvdQ2jwjMktMDQ==" saltValue="kRODBtkuuroJatnxpm9UEQ==" spinCount="100000" sheet="1" objects="1" scenarios="1"/>
  <conditionalFormatting sqref="C19">
    <cfRule type="expression" dxfId="49"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180975</xdr:rowOff>
                  </from>
                  <to>
                    <xdr:col>2</xdr:col>
                    <xdr:colOff>0</xdr:colOff>
                    <xdr:row>4</xdr:row>
                    <xdr:rowOff>180975</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4.25" x14ac:dyDescent="0.2"/>
  <cols>
    <col min="1" max="2" width="9" style="67"/>
    <col min="3" max="3" width="14.125" style="67" customWidth="1"/>
    <col min="4" max="5" width="9" style="67"/>
    <col min="6" max="6" width="13.625" style="67" customWidth="1"/>
    <col min="7" max="7" width="15.625" style="67" customWidth="1"/>
    <col min="8" max="9" width="9" style="67"/>
    <col min="10" max="26" width="9" style="67" customWidth="1"/>
    <col min="27" max="27" width="9" style="67" hidden="1" customWidth="1"/>
    <col min="28" max="30" width="9" style="67" customWidth="1"/>
    <col min="31" max="16384" width="9" style="67"/>
  </cols>
  <sheetData>
    <row r="1" spans="1:46" x14ac:dyDescent="0.2">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
      <c r="A2" s="67" t="s">
        <v>433</v>
      </c>
      <c r="B2" s="67" t="str">
        <f>"Demand - SPC Chart ("&amp;Setup!$I$17&amp;")"</f>
        <v>Demand - SPC Chart (Minutes)</v>
      </c>
      <c r="AG2" s="67">
        <f ca="1">OFFSET(Demand!$C$13,'SPC background (hide)'!$C$4-2+ROW(A1),0,1,1)</f>
        <v>7</v>
      </c>
      <c r="AH2" s="67">
        <v>1</v>
      </c>
      <c r="AI2" s="67">
        <f ca="1">IF(AH2&lt;=($M$4-$L$4+1),1,IF(AND($M$10&gt;=2,AH2&lt;=$M$5-$L$4+1),2,IF(AND($M$10&gt;=3,AH2&lt;=$M$6-$L$4+1),3,IF(AND($M$10=4,AH2&lt;=$M$7-$L$4+1),4,5))))</f>
        <v>1</v>
      </c>
      <c r="AJ2" s="39">
        <f ca="1">VLOOKUP(AI2,$K$4:$Q$9,4,0)</f>
        <v>141.67348608837972</v>
      </c>
      <c r="AK2" s="39">
        <f ca="1">IF($AN2-(3*$AJ2)&lt;=0,0,$AN2-(3*$AJ2))</f>
        <v>69.979541734860845</v>
      </c>
      <c r="AL2" s="39">
        <f ca="1">IF($AN2-(2*$AJ2)&lt;=0,0,$AN2-(2*$AJ2))</f>
        <v>211.65302782324056</v>
      </c>
      <c r="AM2" s="39">
        <f ca="1">IF($AN2-(1*$AJ2)&lt;=0,0,$AN2-(1*$AJ2))</f>
        <v>353.32651391162028</v>
      </c>
      <c r="AN2" s="39">
        <f ca="1">VLOOKUP(AI2,$K$4:$Q$9,5,0)</f>
        <v>495</v>
      </c>
      <c r="AO2" s="39">
        <f t="shared" ref="AO2:AO54" ca="1" si="0">$AN2+(1*$AJ2)</f>
        <v>636.67348608837972</v>
      </c>
      <c r="AP2" s="39">
        <f t="shared" ref="AP2:AP54" ca="1" si="1">$AN2+(2*$AJ2)</f>
        <v>778.34697217675944</v>
      </c>
      <c r="AQ2" s="39">
        <f t="shared" ref="AQ2:AQ54" ca="1" si="2">$AN2+(3*$AJ2)</f>
        <v>920.02045826513915</v>
      </c>
      <c r="AR2" s="5">
        <f ca="1">VLOOKUP($AI2,$K$4:$Q$8,6,0)</f>
        <v>551.5</v>
      </c>
      <c r="AS2" s="5">
        <f t="shared" ref="AS2:AS54" ca="1" si="3">VLOOKUP($AI2,$K$4:$Q$8,7,0)</f>
        <v>664</v>
      </c>
      <c r="AT2" s="5">
        <f ca="1">VLOOKUP(AI2,$K$4:$R$8,8,0)</f>
        <v>0</v>
      </c>
    </row>
    <row r="3" spans="1:46" x14ac:dyDescent="0.2">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8</v>
      </c>
      <c r="AH3" s="67">
        <v>2</v>
      </c>
      <c r="AI3" s="67">
        <f t="shared" ref="AI3:AI54" ca="1" si="4">IF(AH3&lt;=($M$4-$L$4+1),1,IF(AND($M$10&gt;=2,AH3&lt;=$M$5-$L$4+1),2,IF(AND($M$10&gt;=3,AH3&lt;=$M$6-$L$4+1),3,IF(AND($M$10=4,AH3&lt;=$M$7-$L$4+1),4,5))))</f>
        <v>1</v>
      </c>
      <c r="AJ3" s="39">
        <f t="shared" ref="AJ3:AJ54" ca="1" si="5">VLOOKUP(AI3,$K$4:$Q$9,4,0)</f>
        <v>141.67348608837972</v>
      </c>
      <c r="AK3" s="39">
        <f t="shared" ref="AK3:AK54" ca="1" si="6">IF($AN3-(3*$AJ3)&lt;=0,0,$AN3-(3*$AJ3))</f>
        <v>69.979541734860845</v>
      </c>
      <c r="AL3" s="39">
        <f t="shared" ref="AL3:AL54" ca="1" si="7">IF($AN3-(2*$AJ3)&lt;=0,0,$AN3-(2*$AJ3))</f>
        <v>211.65302782324056</v>
      </c>
      <c r="AM3" s="39">
        <f t="shared" ref="AM3:AM54" ca="1" si="8">IF($AN3-(1*$AJ3)&lt;=0,0,$AN3-(1*$AJ3))</f>
        <v>353.32651391162028</v>
      </c>
      <c r="AN3" s="39">
        <f t="shared" ref="AN3:AN54" ca="1" si="9">VLOOKUP(AI3,$K$4:$Q$9,5,0)</f>
        <v>495</v>
      </c>
      <c r="AO3" s="39">
        <f t="shared" ca="1" si="0"/>
        <v>636.67348608837972</v>
      </c>
      <c r="AP3" s="39">
        <f t="shared" ca="1" si="1"/>
        <v>778.34697217675944</v>
      </c>
      <c r="AQ3" s="39">
        <f t="shared" ca="1" si="2"/>
        <v>920.02045826513915</v>
      </c>
      <c r="AR3" s="5">
        <f t="shared" ref="AR3:AR54" ca="1" si="10">VLOOKUP($AI3,$K$4:$Q$8,6,0)</f>
        <v>551.5</v>
      </c>
      <c r="AS3" s="5">
        <f t="shared" ca="1" si="3"/>
        <v>664</v>
      </c>
      <c r="AT3" s="5">
        <f t="shared" ref="AT3:AT54" ca="1" si="11">VLOOKUP(AI3,$K$4:$R$8,8,0)</f>
        <v>0</v>
      </c>
    </row>
    <row r="4" spans="1:46" x14ac:dyDescent="0.2">
      <c r="B4" s="67" t="s">
        <v>118</v>
      </c>
      <c r="C4" s="67">
        <v>99</v>
      </c>
      <c r="D4" s="67">
        <v>1</v>
      </c>
      <c r="E4" s="67">
        <f ca="1">MAX(0,MaxRows-9)</f>
        <v>142</v>
      </c>
      <c r="F4" s="67">
        <f ca="1">E4-D4+1</f>
        <v>142</v>
      </c>
      <c r="K4" s="67">
        <v>1</v>
      </c>
      <c r="L4" s="67">
        <f>C4</f>
        <v>99</v>
      </c>
      <c r="M4" s="67">
        <f ca="1">H5+L4-1</f>
        <v>150</v>
      </c>
      <c r="N4" s="5">
        <f ca="1">Sigma1</f>
        <v>141.67348608837972</v>
      </c>
      <c r="O4" s="5">
        <f ca="1">Mean1</f>
        <v>495</v>
      </c>
      <c r="P4" s="5">
        <f ca="1">PercLower1</f>
        <v>551.5</v>
      </c>
      <c r="Q4" s="5">
        <f ca="1">PercUpper1</f>
        <v>664</v>
      </c>
      <c r="R4" s="5">
        <f ca="1">Emergency1</f>
        <v>0</v>
      </c>
      <c r="S4" s="5">
        <f ca="1">O4*H5</f>
        <v>25740</v>
      </c>
      <c r="T4" s="5"/>
      <c r="AG4" s="67">
        <f t="shared" ref="AG4:AG54" ca="1" si="12">IF(MOD(AG3+1,53)=0,53,MOD(AG3+1,53))</f>
        <v>9</v>
      </c>
      <c r="AH4" s="67">
        <v>3</v>
      </c>
      <c r="AI4" s="67">
        <f t="shared" ca="1" si="4"/>
        <v>1</v>
      </c>
      <c r="AJ4" s="39">
        <f t="shared" ca="1" si="5"/>
        <v>141.67348608837972</v>
      </c>
      <c r="AK4" s="39">
        <f t="shared" ca="1" si="6"/>
        <v>69.979541734860845</v>
      </c>
      <c r="AL4" s="39">
        <f t="shared" ca="1" si="7"/>
        <v>211.65302782324056</v>
      </c>
      <c r="AM4" s="39">
        <f t="shared" ca="1" si="8"/>
        <v>353.32651391162028</v>
      </c>
      <c r="AN4" s="39">
        <f t="shared" ca="1" si="9"/>
        <v>495</v>
      </c>
      <c r="AO4" s="39">
        <f t="shared" ca="1" si="0"/>
        <v>636.67348608837972</v>
      </c>
      <c r="AP4" s="39">
        <f t="shared" ca="1" si="1"/>
        <v>778.34697217675944</v>
      </c>
      <c r="AQ4" s="39">
        <f t="shared" ca="1" si="2"/>
        <v>920.02045826513915</v>
      </c>
      <c r="AR4" s="5">
        <f t="shared" ca="1" si="10"/>
        <v>551.5</v>
      </c>
      <c r="AS4" s="5">
        <f t="shared" ca="1" si="3"/>
        <v>664</v>
      </c>
      <c r="AT4" s="5">
        <f t="shared" ca="1" si="11"/>
        <v>0</v>
      </c>
    </row>
    <row r="5" spans="1:46" x14ac:dyDescent="0.2">
      <c r="B5" s="67" t="s">
        <v>119</v>
      </c>
      <c r="C5" s="67">
        <v>44</v>
      </c>
      <c r="D5" s="67">
        <f>C4+9</f>
        <v>108</v>
      </c>
      <c r="E5" s="67">
        <f ca="1">MIN(C4+52,MaxRows+1)</f>
        <v>151</v>
      </c>
      <c r="F5" s="67">
        <f ca="1">E5-D5+1</f>
        <v>44</v>
      </c>
      <c r="G5" s="67">
        <f ca="1">H5</f>
        <v>52</v>
      </c>
      <c r="H5" s="67">
        <f ca="1">MIN(C5+D5-C4,E5-C4)</f>
        <v>52</v>
      </c>
      <c r="I5" s="67">
        <f ca="1">G5</f>
        <v>52</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10</v>
      </c>
      <c r="AH5" s="67">
        <v>4</v>
      </c>
      <c r="AI5" s="67">
        <f t="shared" ca="1" si="4"/>
        <v>1</v>
      </c>
      <c r="AJ5" s="39">
        <f t="shared" ca="1" si="5"/>
        <v>141.67348608837972</v>
      </c>
      <c r="AK5" s="39">
        <f t="shared" ca="1" si="6"/>
        <v>69.979541734860845</v>
      </c>
      <c r="AL5" s="39">
        <f t="shared" ca="1" si="7"/>
        <v>211.65302782324056</v>
      </c>
      <c r="AM5" s="39">
        <f t="shared" ca="1" si="8"/>
        <v>353.32651391162028</v>
      </c>
      <c r="AN5" s="39">
        <f t="shared" ca="1" si="9"/>
        <v>495</v>
      </c>
      <c r="AO5" s="39">
        <f t="shared" ca="1" si="0"/>
        <v>636.67348608837972</v>
      </c>
      <c r="AP5" s="39">
        <f t="shared" ca="1" si="1"/>
        <v>778.34697217675944</v>
      </c>
      <c r="AQ5" s="39">
        <f t="shared" ca="1" si="2"/>
        <v>920.02045826513915</v>
      </c>
      <c r="AR5" s="5">
        <f t="shared" ca="1" si="10"/>
        <v>551.5</v>
      </c>
      <c r="AS5" s="5">
        <f t="shared" ca="1" si="3"/>
        <v>664</v>
      </c>
      <c r="AT5" s="5">
        <f t="shared" ca="1" si="11"/>
        <v>0</v>
      </c>
    </row>
    <row r="6" spans="1:46" x14ac:dyDescent="0.2">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11</v>
      </c>
      <c r="AH6" s="67">
        <v>5</v>
      </c>
      <c r="AI6" s="67">
        <f t="shared" ca="1" si="4"/>
        <v>1</v>
      </c>
      <c r="AJ6" s="39">
        <f t="shared" ca="1" si="5"/>
        <v>141.67348608837972</v>
      </c>
      <c r="AK6" s="39">
        <f t="shared" ca="1" si="6"/>
        <v>69.979541734860845</v>
      </c>
      <c r="AL6" s="39">
        <f t="shared" ca="1" si="7"/>
        <v>211.65302782324056</v>
      </c>
      <c r="AM6" s="39">
        <f t="shared" ca="1" si="8"/>
        <v>353.32651391162028</v>
      </c>
      <c r="AN6" s="39">
        <f t="shared" ca="1" si="9"/>
        <v>495</v>
      </c>
      <c r="AO6" s="39">
        <f t="shared" ca="1" si="0"/>
        <v>636.67348608837972</v>
      </c>
      <c r="AP6" s="39">
        <f t="shared" ca="1" si="1"/>
        <v>778.34697217675944</v>
      </c>
      <c r="AQ6" s="39">
        <f t="shared" ca="1" si="2"/>
        <v>920.02045826513915</v>
      </c>
      <c r="AR6" s="5">
        <f t="shared" ca="1" si="10"/>
        <v>551.5</v>
      </c>
      <c r="AS6" s="5">
        <f t="shared" ca="1" si="3"/>
        <v>664</v>
      </c>
      <c r="AT6" s="5">
        <f t="shared" ca="1" si="11"/>
        <v>0</v>
      </c>
    </row>
    <row r="7" spans="1:46" x14ac:dyDescent="0.2">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52</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12</v>
      </c>
      <c r="AH7" s="67">
        <v>6</v>
      </c>
      <c r="AI7" s="67">
        <f t="shared" ca="1" si="4"/>
        <v>1</v>
      </c>
      <c r="AJ7" s="39">
        <f t="shared" ca="1" si="5"/>
        <v>141.67348608837972</v>
      </c>
      <c r="AK7" s="39">
        <f t="shared" ca="1" si="6"/>
        <v>69.979541734860845</v>
      </c>
      <c r="AL7" s="39">
        <f t="shared" ca="1" si="7"/>
        <v>211.65302782324056</v>
      </c>
      <c r="AM7" s="39">
        <f t="shared" ca="1" si="8"/>
        <v>353.32651391162028</v>
      </c>
      <c r="AN7" s="39">
        <f t="shared" ca="1" si="9"/>
        <v>495</v>
      </c>
      <c r="AO7" s="39">
        <f t="shared" ca="1" si="0"/>
        <v>636.67348608837972</v>
      </c>
      <c r="AP7" s="39">
        <f t="shared" ca="1" si="1"/>
        <v>778.34697217675944</v>
      </c>
      <c r="AQ7" s="39">
        <f t="shared" ca="1" si="2"/>
        <v>920.02045826513915</v>
      </c>
      <c r="AR7" s="5">
        <f t="shared" ca="1" si="10"/>
        <v>551.5</v>
      </c>
      <c r="AS7" s="5">
        <f t="shared" ca="1" si="3"/>
        <v>664</v>
      </c>
      <c r="AT7" s="5">
        <f t="shared" ca="1" si="11"/>
        <v>0</v>
      </c>
    </row>
    <row r="8" spans="1:46" x14ac:dyDescent="0.2">
      <c r="B8" s="67" t="s">
        <v>122</v>
      </c>
      <c r="C8" s="35">
        <v>2</v>
      </c>
      <c r="D8" s="67" t="e">
        <f ca="1">IF(AND(G7&lt;=42,MaxRows-(G7+$C$4-1)&gt;10),C7+D7,NA())</f>
        <v>#N/A</v>
      </c>
      <c r="E8" s="67" t="e">
        <f ca="1">D8</f>
        <v>#N/A</v>
      </c>
      <c r="F8" s="67" t="e">
        <f ca="1">IF(ISNA(D8),NA(),1)</f>
        <v>#N/A</v>
      </c>
      <c r="K8" s="67">
        <v>5</v>
      </c>
      <c r="L8" s="67">
        <f ca="1">MATCH(5,$AI$2:$AI$54,0)</f>
        <v>53</v>
      </c>
      <c r="M8" s="67">
        <f ca="1">IF(L8&gt;0,52,0)</f>
        <v>52</v>
      </c>
      <c r="N8" s="70">
        <f ca="1">IF(L8&gt;0,INDIRECT("Sigma"&amp;$M$11),"")</f>
        <v>141.67348608837972</v>
      </c>
      <c r="O8" s="70">
        <f ca="1">IF(M8&gt;0,INDIRECT("Mean"&amp;$M$11),"")</f>
        <v>495</v>
      </c>
      <c r="P8" s="67">
        <f ca="1">IF(N8&gt;0,INDIRECT("PercLower"&amp;$M$11),"")</f>
        <v>551.5</v>
      </c>
      <c r="Q8" s="67">
        <f ca="1">IF(O8&gt;0,INDIRECT("PercUpper"&amp;$M$11),"")</f>
        <v>664</v>
      </c>
      <c r="R8" s="67">
        <f ca="1">IF(O8&gt;0,INDIRECT("Emergency"&amp;$M$11),"")</f>
        <v>0</v>
      </c>
      <c r="S8" s="5"/>
      <c r="AG8" s="67">
        <f t="shared" ca="1" si="12"/>
        <v>13</v>
      </c>
      <c r="AH8" s="67">
        <v>7</v>
      </c>
      <c r="AI8" s="67">
        <f t="shared" ca="1" si="4"/>
        <v>1</v>
      </c>
      <c r="AJ8" s="39">
        <f t="shared" ca="1" si="5"/>
        <v>141.67348608837972</v>
      </c>
      <c r="AK8" s="39">
        <f t="shared" ca="1" si="6"/>
        <v>69.979541734860845</v>
      </c>
      <c r="AL8" s="39">
        <f t="shared" ca="1" si="7"/>
        <v>211.65302782324056</v>
      </c>
      <c r="AM8" s="39">
        <f t="shared" ca="1" si="8"/>
        <v>353.32651391162028</v>
      </c>
      <c r="AN8" s="39">
        <f t="shared" ca="1" si="9"/>
        <v>495</v>
      </c>
      <c r="AO8" s="39">
        <f t="shared" ca="1" si="0"/>
        <v>636.67348608837972</v>
      </c>
      <c r="AP8" s="39">
        <f t="shared" ca="1" si="1"/>
        <v>778.34697217675944</v>
      </c>
      <c r="AQ8" s="39">
        <f t="shared" ca="1" si="2"/>
        <v>920.02045826513915</v>
      </c>
      <c r="AR8" s="5">
        <f t="shared" ca="1" si="10"/>
        <v>551.5</v>
      </c>
      <c r="AS8" s="5">
        <f t="shared" ca="1" si="3"/>
        <v>664</v>
      </c>
      <c r="AT8" s="5">
        <f t="shared" ca="1" si="11"/>
        <v>0</v>
      </c>
    </row>
    <row r="9" spans="1:46" x14ac:dyDescent="0.2">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52</v>
      </c>
      <c r="S9" s="5"/>
      <c r="AG9" s="67">
        <f t="shared" ca="1" si="12"/>
        <v>14</v>
      </c>
      <c r="AH9" s="67">
        <v>8</v>
      </c>
      <c r="AI9" s="67">
        <f t="shared" ca="1" si="4"/>
        <v>1</v>
      </c>
      <c r="AJ9" s="39">
        <f t="shared" ca="1" si="5"/>
        <v>141.67348608837972</v>
      </c>
      <c r="AK9" s="39">
        <f t="shared" ca="1" si="6"/>
        <v>69.979541734860845</v>
      </c>
      <c r="AL9" s="39">
        <f t="shared" ca="1" si="7"/>
        <v>211.65302782324056</v>
      </c>
      <c r="AM9" s="39">
        <f t="shared" ca="1" si="8"/>
        <v>353.32651391162028</v>
      </c>
      <c r="AN9" s="39">
        <f t="shared" ca="1" si="9"/>
        <v>495</v>
      </c>
      <c r="AO9" s="39">
        <f t="shared" ca="1" si="0"/>
        <v>636.67348608837972</v>
      </c>
      <c r="AP9" s="39">
        <f t="shared" ca="1" si="1"/>
        <v>778.34697217675944</v>
      </c>
      <c r="AQ9" s="39">
        <f t="shared" ca="1" si="2"/>
        <v>920.02045826513915</v>
      </c>
      <c r="AR9" s="5">
        <f t="shared" ca="1" si="10"/>
        <v>551.5</v>
      </c>
      <c r="AS9" s="5">
        <f t="shared" ca="1" si="3"/>
        <v>664</v>
      </c>
      <c r="AT9" s="5">
        <f t="shared" ca="1" si="11"/>
        <v>0</v>
      </c>
    </row>
    <row r="10" spans="1:46" x14ac:dyDescent="0.2">
      <c r="B10" s="67" t="s">
        <v>124</v>
      </c>
      <c r="C10" s="35">
        <v>2</v>
      </c>
      <c r="D10" s="67" t="e">
        <f ca="1">IF(AND(G9&lt;=42,MaxRows-(G9+$C$4-1)&gt;10),C9+D9,NA())</f>
        <v>#N/A</v>
      </c>
      <c r="E10" s="67" t="e">
        <f ca="1">D10</f>
        <v>#N/A</v>
      </c>
      <c r="F10" s="67" t="e">
        <f ca="1">IF(ISNA(D10),NA(),1)</f>
        <v>#N/A</v>
      </c>
      <c r="L10" s="67" t="s">
        <v>160</v>
      </c>
      <c r="M10" s="67">
        <f ca="1">4-COUNTIF(M4:M7,0)</f>
        <v>1</v>
      </c>
      <c r="S10" s="5">
        <f ca="1">SUM(S4:S7)</f>
        <v>25740</v>
      </c>
      <c r="AG10" s="67">
        <f t="shared" ca="1" si="12"/>
        <v>15</v>
      </c>
      <c r="AH10" s="67">
        <v>9</v>
      </c>
      <c r="AI10" s="67">
        <f t="shared" ca="1" si="4"/>
        <v>1</v>
      </c>
      <c r="AJ10" s="39">
        <f t="shared" ca="1" si="5"/>
        <v>141.67348608837972</v>
      </c>
      <c r="AK10" s="39">
        <f t="shared" ca="1" si="6"/>
        <v>69.979541734860845</v>
      </c>
      <c r="AL10" s="39">
        <f t="shared" ca="1" si="7"/>
        <v>211.65302782324056</v>
      </c>
      <c r="AM10" s="39">
        <f t="shared" ca="1" si="8"/>
        <v>353.32651391162028</v>
      </c>
      <c r="AN10" s="39">
        <f t="shared" ca="1" si="9"/>
        <v>495</v>
      </c>
      <c r="AO10" s="39">
        <f t="shared" ca="1" si="0"/>
        <v>636.67348608837972</v>
      </c>
      <c r="AP10" s="39">
        <f t="shared" ca="1" si="1"/>
        <v>778.34697217675944</v>
      </c>
      <c r="AQ10" s="39">
        <f t="shared" ca="1" si="2"/>
        <v>920.02045826513915</v>
      </c>
      <c r="AR10" s="5">
        <f t="shared" ca="1" si="10"/>
        <v>551.5</v>
      </c>
      <c r="AS10" s="5">
        <f t="shared" ca="1" si="3"/>
        <v>664</v>
      </c>
      <c r="AT10" s="5">
        <f t="shared" ca="1" si="11"/>
        <v>0</v>
      </c>
    </row>
    <row r="11" spans="1:46" x14ac:dyDescent="0.2">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52</v>
      </c>
      <c r="M11" s="67">
        <f>IF(SPC_Type="1 Season",1,IF(AND(M10=1,I11&lt;52),1,IF('SPC Chart'!C19="",1,'SPC Chart'!C19)))</f>
        <v>1</v>
      </c>
      <c r="S11" s="5">
        <f ca="1">S10/I11</f>
        <v>495</v>
      </c>
      <c r="AG11" s="67">
        <f t="shared" ca="1" si="12"/>
        <v>16</v>
      </c>
      <c r="AH11" s="67">
        <v>10</v>
      </c>
      <c r="AI11" s="67">
        <f t="shared" ca="1" si="4"/>
        <v>1</v>
      </c>
      <c r="AJ11" s="39">
        <f t="shared" ca="1" si="5"/>
        <v>141.67348608837972</v>
      </c>
      <c r="AK11" s="39">
        <f t="shared" ca="1" si="6"/>
        <v>69.979541734860845</v>
      </c>
      <c r="AL11" s="39">
        <f t="shared" ca="1" si="7"/>
        <v>211.65302782324056</v>
      </c>
      <c r="AM11" s="39">
        <f t="shared" ca="1" si="8"/>
        <v>353.32651391162028</v>
      </c>
      <c r="AN11" s="39">
        <f t="shared" ca="1" si="9"/>
        <v>495</v>
      </c>
      <c r="AO11" s="39">
        <f t="shared" ca="1" si="0"/>
        <v>636.67348608837972</v>
      </c>
      <c r="AP11" s="39">
        <f t="shared" ca="1" si="1"/>
        <v>778.34697217675944</v>
      </c>
      <c r="AQ11" s="39">
        <f t="shared" ca="1" si="2"/>
        <v>920.02045826513915</v>
      </c>
      <c r="AR11" s="5">
        <f t="shared" ca="1" si="10"/>
        <v>551.5</v>
      </c>
      <c r="AS11" s="5">
        <f t="shared" ca="1" si="3"/>
        <v>664</v>
      </c>
      <c r="AT11" s="5">
        <f t="shared" ca="1" si="11"/>
        <v>0</v>
      </c>
    </row>
    <row r="12" spans="1:46" x14ac:dyDescent="0.2">
      <c r="S12" s="5"/>
      <c r="AG12" s="67">
        <f t="shared" ca="1" si="12"/>
        <v>17</v>
      </c>
      <c r="AH12" s="67">
        <v>11</v>
      </c>
      <c r="AI12" s="67">
        <f t="shared" ca="1" si="4"/>
        <v>1</v>
      </c>
      <c r="AJ12" s="39">
        <f t="shared" ca="1" si="5"/>
        <v>141.67348608837972</v>
      </c>
      <c r="AK12" s="39">
        <f t="shared" ca="1" si="6"/>
        <v>69.979541734860845</v>
      </c>
      <c r="AL12" s="39">
        <f t="shared" ca="1" si="7"/>
        <v>211.65302782324056</v>
      </c>
      <c r="AM12" s="39">
        <f t="shared" ca="1" si="8"/>
        <v>353.32651391162028</v>
      </c>
      <c r="AN12" s="39">
        <f t="shared" ca="1" si="9"/>
        <v>495</v>
      </c>
      <c r="AO12" s="39">
        <f t="shared" ca="1" si="0"/>
        <v>636.67348608837972</v>
      </c>
      <c r="AP12" s="39">
        <f t="shared" ca="1" si="1"/>
        <v>778.34697217675944</v>
      </c>
      <c r="AQ12" s="39">
        <f t="shared" ca="1" si="2"/>
        <v>920.02045826513915</v>
      </c>
      <c r="AR12" s="5">
        <f t="shared" ca="1" si="10"/>
        <v>551.5</v>
      </c>
      <c r="AS12" s="5">
        <f t="shared" ca="1" si="3"/>
        <v>664</v>
      </c>
      <c r="AT12" s="5">
        <f t="shared" ca="1" si="11"/>
        <v>0</v>
      </c>
    </row>
    <row r="13" spans="1:46" x14ac:dyDescent="0.2">
      <c r="Q13" s="67" t="s">
        <v>161</v>
      </c>
      <c r="AG13" s="67">
        <f t="shared" ca="1" si="12"/>
        <v>18</v>
      </c>
      <c r="AH13" s="67">
        <v>12</v>
      </c>
      <c r="AI13" s="67">
        <f t="shared" ca="1" si="4"/>
        <v>1</v>
      </c>
      <c r="AJ13" s="39">
        <f t="shared" ca="1" si="5"/>
        <v>141.67348608837972</v>
      </c>
      <c r="AK13" s="39">
        <f t="shared" ca="1" si="6"/>
        <v>69.979541734860845</v>
      </c>
      <c r="AL13" s="39">
        <f t="shared" ca="1" si="7"/>
        <v>211.65302782324056</v>
      </c>
      <c r="AM13" s="39">
        <f t="shared" ca="1" si="8"/>
        <v>353.32651391162028</v>
      </c>
      <c r="AN13" s="39">
        <f t="shared" ca="1" si="9"/>
        <v>495</v>
      </c>
      <c r="AO13" s="39">
        <f t="shared" ca="1" si="0"/>
        <v>636.67348608837972</v>
      </c>
      <c r="AP13" s="39">
        <f t="shared" ca="1" si="1"/>
        <v>778.34697217675944</v>
      </c>
      <c r="AQ13" s="39">
        <f t="shared" ca="1" si="2"/>
        <v>920.02045826513915</v>
      </c>
      <c r="AR13" s="5">
        <f t="shared" ca="1" si="10"/>
        <v>551.5</v>
      </c>
      <c r="AS13" s="5">
        <f t="shared" ca="1" si="3"/>
        <v>664</v>
      </c>
      <c r="AT13" s="5">
        <f t="shared" ca="1" si="11"/>
        <v>0</v>
      </c>
    </row>
    <row r="14" spans="1:46" x14ac:dyDescent="0.2">
      <c r="Q14" s="67" t="s">
        <v>171</v>
      </c>
      <c r="R14" s="67" t="s">
        <v>172</v>
      </c>
      <c r="T14" s="67" t="s">
        <v>173</v>
      </c>
      <c r="V14" s="67" t="s">
        <v>180</v>
      </c>
      <c r="X14" s="67" t="s">
        <v>179</v>
      </c>
      <c r="Z14" s="67" t="s">
        <v>174</v>
      </c>
      <c r="AC14" s="67" t="s">
        <v>162</v>
      </c>
      <c r="AG14" s="67">
        <f t="shared" ca="1" si="12"/>
        <v>19</v>
      </c>
      <c r="AH14" s="67">
        <v>13</v>
      </c>
      <c r="AI14" s="67">
        <f t="shared" ca="1" si="4"/>
        <v>1</v>
      </c>
      <c r="AJ14" s="39">
        <f t="shared" ca="1" si="5"/>
        <v>141.67348608837972</v>
      </c>
      <c r="AK14" s="39">
        <f t="shared" ca="1" si="6"/>
        <v>69.979541734860845</v>
      </c>
      <c r="AL14" s="39">
        <f t="shared" ca="1" si="7"/>
        <v>211.65302782324056</v>
      </c>
      <c r="AM14" s="39">
        <f t="shared" ca="1" si="8"/>
        <v>353.32651391162028</v>
      </c>
      <c r="AN14" s="39">
        <f t="shared" ca="1" si="9"/>
        <v>495</v>
      </c>
      <c r="AO14" s="39">
        <f t="shared" ca="1" si="0"/>
        <v>636.67348608837972</v>
      </c>
      <c r="AP14" s="39">
        <f t="shared" ca="1" si="1"/>
        <v>778.34697217675944</v>
      </c>
      <c r="AQ14" s="39">
        <f t="shared" ca="1" si="2"/>
        <v>920.02045826513915</v>
      </c>
      <c r="AR14" s="5">
        <f t="shared" ca="1" si="10"/>
        <v>551.5</v>
      </c>
      <c r="AS14" s="5">
        <f t="shared" ca="1" si="3"/>
        <v>664</v>
      </c>
      <c r="AT14" s="5">
        <f t="shared" ca="1" si="11"/>
        <v>0</v>
      </c>
    </row>
    <row r="15" spans="1:46" x14ac:dyDescent="0.2">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20</v>
      </c>
      <c r="AH15" s="67">
        <v>14</v>
      </c>
      <c r="AI15" s="67">
        <f t="shared" ca="1" si="4"/>
        <v>1</v>
      </c>
      <c r="AJ15" s="39">
        <f t="shared" ca="1" si="5"/>
        <v>141.67348608837972</v>
      </c>
      <c r="AK15" s="39">
        <f t="shared" ca="1" si="6"/>
        <v>69.979541734860845</v>
      </c>
      <c r="AL15" s="39">
        <f t="shared" ca="1" si="7"/>
        <v>211.65302782324056</v>
      </c>
      <c r="AM15" s="39">
        <f t="shared" ca="1" si="8"/>
        <v>353.32651391162028</v>
      </c>
      <c r="AN15" s="39">
        <f t="shared" ca="1" si="9"/>
        <v>495</v>
      </c>
      <c r="AO15" s="39">
        <f t="shared" ca="1" si="0"/>
        <v>636.67348608837972</v>
      </c>
      <c r="AP15" s="39">
        <f t="shared" ca="1" si="1"/>
        <v>778.34697217675944</v>
      </c>
      <c r="AQ15" s="39">
        <f t="shared" ca="1" si="2"/>
        <v>920.02045826513915</v>
      </c>
      <c r="AR15" s="5">
        <f t="shared" ca="1" si="10"/>
        <v>551.5</v>
      </c>
      <c r="AS15" s="5">
        <f t="shared" ca="1" si="3"/>
        <v>664</v>
      </c>
      <c r="AT15" s="5">
        <f t="shared" ca="1" si="11"/>
        <v>0</v>
      </c>
    </row>
    <row r="16" spans="1:46" x14ac:dyDescent="0.2">
      <c r="A16" s="67">
        <f>Demand!C13</f>
        <v>13</v>
      </c>
      <c r="B16" s="67">
        <v>1</v>
      </c>
      <c r="C16" s="5">
        <f ca="1">'Demand background (hide)'!Y4</f>
        <v>390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7">
        <f t="shared" ca="1" si="12"/>
        <v>21</v>
      </c>
      <c r="AH16" s="67">
        <v>15</v>
      </c>
      <c r="AI16" s="67">
        <f t="shared" ca="1" si="4"/>
        <v>1</v>
      </c>
      <c r="AJ16" s="39">
        <f t="shared" ca="1" si="5"/>
        <v>141.67348608837972</v>
      </c>
      <c r="AK16" s="39">
        <f t="shared" ca="1" si="6"/>
        <v>69.979541734860845</v>
      </c>
      <c r="AL16" s="39">
        <f t="shared" ca="1" si="7"/>
        <v>211.65302782324056</v>
      </c>
      <c r="AM16" s="39">
        <f t="shared" ca="1" si="8"/>
        <v>353.32651391162028</v>
      </c>
      <c r="AN16" s="39">
        <f t="shared" ca="1" si="9"/>
        <v>495</v>
      </c>
      <c r="AO16" s="39">
        <f t="shared" ca="1" si="0"/>
        <v>636.67348608837972</v>
      </c>
      <c r="AP16" s="39">
        <f t="shared" ca="1" si="1"/>
        <v>778.34697217675944</v>
      </c>
      <c r="AQ16" s="39">
        <f t="shared" ca="1" si="2"/>
        <v>920.02045826513915</v>
      </c>
      <c r="AR16" s="5">
        <f t="shared" ca="1" si="10"/>
        <v>551.5</v>
      </c>
      <c r="AS16" s="5">
        <f t="shared" ca="1" si="3"/>
        <v>664</v>
      </c>
      <c r="AT16" s="5">
        <f t="shared" ca="1" si="11"/>
        <v>0</v>
      </c>
    </row>
    <row r="17" spans="1:46" x14ac:dyDescent="0.2">
      <c r="A17" s="67">
        <f ca="1">Demand!C14</f>
        <v>14</v>
      </c>
      <c r="B17" s="67">
        <v>2</v>
      </c>
      <c r="C17" s="5">
        <f ca="1">'Demand background (hide)'!Y5</f>
        <v>610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7" t="e">
        <f ca="1">IF(ISNA(H17),IF(ABS(SUM(R17:R19))&gt;=5,C17,NA()),NA())</f>
        <v>#N/A</v>
      </c>
      <c r="T17" s="67">
        <f ca="1">IF(C17&gt;N17,2,IF(C17&lt;L17,-2,IF(C17&gt;M17,1,IF(C17&lt;M17,-1,0))))</f>
        <v>1</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7">
        <f t="shared" ca="1" si="12"/>
        <v>22</v>
      </c>
      <c r="AH17" s="67">
        <v>16</v>
      </c>
      <c r="AI17" s="67">
        <f t="shared" ca="1" si="4"/>
        <v>1</v>
      </c>
      <c r="AJ17" s="39">
        <f t="shared" ca="1" si="5"/>
        <v>141.67348608837972</v>
      </c>
      <c r="AK17" s="39">
        <f t="shared" ca="1" si="6"/>
        <v>69.979541734860845</v>
      </c>
      <c r="AL17" s="39">
        <f t="shared" ca="1" si="7"/>
        <v>211.65302782324056</v>
      </c>
      <c r="AM17" s="39">
        <f t="shared" ca="1" si="8"/>
        <v>353.32651391162028</v>
      </c>
      <c r="AN17" s="39">
        <f t="shared" ca="1" si="9"/>
        <v>495</v>
      </c>
      <c r="AO17" s="39">
        <f t="shared" ca="1" si="0"/>
        <v>636.67348608837972</v>
      </c>
      <c r="AP17" s="39">
        <f t="shared" ca="1" si="1"/>
        <v>778.34697217675944</v>
      </c>
      <c r="AQ17" s="39">
        <f t="shared" ca="1" si="2"/>
        <v>920.02045826513915</v>
      </c>
      <c r="AR17" s="5">
        <f t="shared" ca="1" si="10"/>
        <v>551.5</v>
      </c>
      <c r="AS17" s="5">
        <f t="shared" ca="1" si="3"/>
        <v>664</v>
      </c>
      <c r="AT17" s="5">
        <f t="shared" ca="1" si="11"/>
        <v>0</v>
      </c>
    </row>
    <row r="18" spans="1:46" x14ac:dyDescent="0.2">
      <c r="A18" s="67">
        <f ca="1">Demand!C15</f>
        <v>15</v>
      </c>
      <c r="B18" s="67">
        <v>3</v>
      </c>
      <c r="C18" s="5">
        <f ca="1">'Demand background (hide)'!Y6</f>
        <v>380</v>
      </c>
      <c r="D18" s="67">
        <f t="shared" si="15"/>
        <v>0</v>
      </c>
      <c r="E18" s="67" t="e">
        <f t="shared" ca="1" si="16"/>
        <v>#N/A</v>
      </c>
      <c r="F18" s="67" t="e">
        <f t="shared" ca="1" si="17"/>
        <v>#N/A</v>
      </c>
      <c r="G18" s="67" t="e">
        <f t="shared" ca="1" si="18"/>
        <v>#N/A</v>
      </c>
      <c r="H18" s="67" t="e">
        <f>IF('Demand background (hide)'!AN6&lt;&gt;"",'SPC background (hide)'!C18,NA())</f>
        <v>#N/A</v>
      </c>
      <c r="I18" s="67">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551.5</v>
      </c>
      <c r="AD18" s="5">
        <f t="shared" ca="1" si="31"/>
        <v>664</v>
      </c>
      <c r="AG18" s="67">
        <f t="shared" ca="1" si="12"/>
        <v>23</v>
      </c>
      <c r="AH18" s="67">
        <v>17</v>
      </c>
      <c r="AI18" s="67">
        <f t="shared" ca="1" si="4"/>
        <v>1</v>
      </c>
      <c r="AJ18" s="39">
        <f t="shared" ca="1" si="5"/>
        <v>141.67348608837972</v>
      </c>
      <c r="AK18" s="39">
        <f t="shared" ca="1" si="6"/>
        <v>69.979541734860845</v>
      </c>
      <c r="AL18" s="39">
        <f t="shared" ca="1" si="7"/>
        <v>211.65302782324056</v>
      </c>
      <c r="AM18" s="39">
        <f t="shared" ca="1" si="8"/>
        <v>353.32651391162028</v>
      </c>
      <c r="AN18" s="39">
        <f t="shared" ca="1" si="9"/>
        <v>495</v>
      </c>
      <c r="AO18" s="39">
        <f t="shared" ca="1" si="0"/>
        <v>636.67348608837972</v>
      </c>
      <c r="AP18" s="39">
        <f t="shared" ca="1" si="1"/>
        <v>778.34697217675944</v>
      </c>
      <c r="AQ18" s="39">
        <f t="shared" ca="1" si="2"/>
        <v>920.02045826513915</v>
      </c>
      <c r="AR18" s="5">
        <f t="shared" ca="1" si="10"/>
        <v>551.5</v>
      </c>
      <c r="AS18" s="5">
        <f t="shared" ca="1" si="3"/>
        <v>664</v>
      </c>
      <c r="AT18" s="5">
        <f t="shared" ca="1" si="11"/>
        <v>0</v>
      </c>
    </row>
    <row r="19" spans="1:46" x14ac:dyDescent="0.2">
      <c r="A19" s="67">
        <f ca="1">Demand!C16</f>
        <v>16</v>
      </c>
      <c r="B19" s="67">
        <v>4</v>
      </c>
      <c r="C19" s="5">
        <f ca="1">'Demand background (hide)'!Y7</f>
        <v>750</v>
      </c>
      <c r="D19" s="67">
        <f t="shared" si="15"/>
        <v>0</v>
      </c>
      <c r="E19" s="67" t="e">
        <f t="shared" ca="1" si="16"/>
        <v>#N/A</v>
      </c>
      <c r="F19" s="67" t="e">
        <f t="shared" ca="1" si="17"/>
        <v>#N/A</v>
      </c>
      <c r="G19" s="67" t="e">
        <f t="shared" ca="1" si="18"/>
        <v>#N/A</v>
      </c>
      <c r="H19" s="67" t="e">
        <f>IF('Demand background (hide)'!AN7&lt;&gt;"",'SPC background (hide)'!C19,NA())</f>
        <v>#N/A</v>
      </c>
      <c r="I19" s="67">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7" t="e">
        <f t="shared" ca="1" si="33"/>
        <v>#N/A</v>
      </c>
      <c r="T19" s="67">
        <f t="shared" ca="1" si="34"/>
        <v>2</v>
      </c>
      <c r="U19" s="67" t="e">
        <f t="shared" ca="1" si="35"/>
        <v>#N/A</v>
      </c>
      <c r="V19" s="5">
        <f t="shared" ca="1" si="14"/>
        <v>1</v>
      </c>
      <c r="W19" s="5" t="e">
        <f t="shared" ca="1" si="28"/>
        <v>#N/A</v>
      </c>
      <c r="X19" s="67">
        <f t="shared" ca="1" si="29"/>
        <v>1</v>
      </c>
      <c r="Y19" s="67" t="e">
        <f t="shared" ca="1" si="36"/>
        <v>#N/A</v>
      </c>
      <c r="Z19" s="67" t="e">
        <f t="shared" ca="1" si="37"/>
        <v>#N/A</v>
      </c>
      <c r="AA19" s="5" t="str">
        <f>IF(Setup!$I$15="Yes",'Demand background (hide)'!AJ7+'SPC background (hide)'!C19,"")</f>
        <v/>
      </c>
      <c r="AC19" s="5">
        <f t="shared" ca="1" si="30"/>
        <v>551.5</v>
      </c>
      <c r="AD19" s="5">
        <f t="shared" ca="1" si="31"/>
        <v>664</v>
      </c>
      <c r="AG19" s="67">
        <f t="shared" ca="1" si="12"/>
        <v>24</v>
      </c>
      <c r="AH19" s="67">
        <v>18</v>
      </c>
      <c r="AI19" s="67">
        <f t="shared" ca="1" si="4"/>
        <v>1</v>
      </c>
      <c r="AJ19" s="39">
        <f t="shared" ca="1" si="5"/>
        <v>141.67348608837972</v>
      </c>
      <c r="AK19" s="39">
        <f t="shared" ca="1" si="6"/>
        <v>69.979541734860845</v>
      </c>
      <c r="AL19" s="39">
        <f t="shared" ca="1" si="7"/>
        <v>211.65302782324056</v>
      </c>
      <c r="AM19" s="39">
        <f t="shared" ca="1" si="8"/>
        <v>353.32651391162028</v>
      </c>
      <c r="AN19" s="39">
        <f t="shared" ca="1" si="9"/>
        <v>495</v>
      </c>
      <c r="AO19" s="39">
        <f t="shared" ca="1" si="0"/>
        <v>636.67348608837972</v>
      </c>
      <c r="AP19" s="39">
        <f t="shared" ca="1" si="1"/>
        <v>778.34697217675944</v>
      </c>
      <c r="AQ19" s="39">
        <f t="shared" ca="1" si="2"/>
        <v>920.02045826513915</v>
      </c>
      <c r="AR19" s="5">
        <f t="shared" ca="1" si="10"/>
        <v>551.5</v>
      </c>
      <c r="AS19" s="5">
        <f t="shared" ca="1" si="3"/>
        <v>664</v>
      </c>
      <c r="AT19" s="5">
        <f t="shared" ca="1" si="11"/>
        <v>0</v>
      </c>
    </row>
    <row r="20" spans="1:46" x14ac:dyDescent="0.2">
      <c r="A20" s="67">
        <f ca="1">Demand!C17</f>
        <v>17</v>
      </c>
      <c r="B20" s="67">
        <v>5</v>
      </c>
      <c r="C20" s="5">
        <f ca="1">'Demand background (hide)'!Y8</f>
        <v>490</v>
      </c>
      <c r="D20" s="67">
        <f t="shared" si="15"/>
        <v>0</v>
      </c>
      <c r="E20" s="67" t="e">
        <f t="shared" ca="1" si="16"/>
        <v>#N/A</v>
      </c>
      <c r="F20" s="67" t="e">
        <f t="shared" ca="1" si="17"/>
        <v>#N/A</v>
      </c>
      <c r="G20" s="67" t="e">
        <f t="shared" ca="1" si="18"/>
        <v>#N/A</v>
      </c>
      <c r="H20" s="67" t="e">
        <f>IF('Demand background (hide)'!AN8&lt;&gt;"",'SPC background (hide)'!C20,NA())</f>
        <v>#N/A</v>
      </c>
      <c r="I20" s="67">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7" t="e">
        <f t="shared" ca="1" si="33"/>
        <v>#N/A</v>
      </c>
      <c r="T20" s="67">
        <f t="shared" ca="1" si="34"/>
        <v>-1</v>
      </c>
      <c r="U20" s="67" t="e">
        <f t="shared" ca="1" si="35"/>
        <v>#N/A</v>
      </c>
      <c r="V20" s="5">
        <f t="shared" ca="1" si="14"/>
        <v>-1</v>
      </c>
      <c r="W20" s="5" t="e">
        <f t="shared" ca="1" si="28"/>
        <v>#N/A</v>
      </c>
      <c r="X20" s="67">
        <f t="shared" ca="1" si="29"/>
        <v>-1</v>
      </c>
      <c r="Y20" s="67" t="e">
        <f t="shared" ca="1" si="36"/>
        <v>#N/A</v>
      </c>
      <c r="Z20" s="67" t="e">
        <f t="shared" ca="1" si="37"/>
        <v>#N/A</v>
      </c>
      <c r="AA20" s="5" t="str">
        <f>IF(Setup!$I$15="Yes",'Demand background (hide)'!AJ8+'SPC background (hide)'!C20,"")</f>
        <v/>
      </c>
      <c r="AC20" s="5">
        <f t="shared" ca="1" si="30"/>
        <v>551.5</v>
      </c>
      <c r="AD20" s="5">
        <f t="shared" ca="1" si="31"/>
        <v>664</v>
      </c>
      <c r="AG20" s="67">
        <f t="shared" ca="1" si="12"/>
        <v>25</v>
      </c>
      <c r="AH20" s="67">
        <v>19</v>
      </c>
      <c r="AI20" s="67">
        <f t="shared" ca="1" si="4"/>
        <v>1</v>
      </c>
      <c r="AJ20" s="39">
        <f t="shared" ca="1" si="5"/>
        <v>141.67348608837972</v>
      </c>
      <c r="AK20" s="39">
        <f t="shared" ca="1" si="6"/>
        <v>69.979541734860845</v>
      </c>
      <c r="AL20" s="39">
        <f t="shared" ca="1" si="7"/>
        <v>211.65302782324056</v>
      </c>
      <c r="AM20" s="39">
        <f t="shared" ca="1" si="8"/>
        <v>353.32651391162028</v>
      </c>
      <c r="AN20" s="39">
        <f t="shared" ca="1" si="9"/>
        <v>495</v>
      </c>
      <c r="AO20" s="39">
        <f t="shared" ca="1" si="0"/>
        <v>636.67348608837972</v>
      </c>
      <c r="AP20" s="39">
        <f t="shared" ca="1" si="1"/>
        <v>778.34697217675944</v>
      </c>
      <c r="AQ20" s="39">
        <f t="shared" ca="1" si="2"/>
        <v>920.02045826513915</v>
      </c>
      <c r="AR20" s="5">
        <f t="shared" ca="1" si="10"/>
        <v>551.5</v>
      </c>
      <c r="AS20" s="5">
        <f t="shared" ca="1" si="3"/>
        <v>664</v>
      </c>
      <c r="AT20" s="5">
        <f t="shared" ca="1" si="11"/>
        <v>0</v>
      </c>
    </row>
    <row r="21" spans="1:46" x14ac:dyDescent="0.2">
      <c r="A21" s="67">
        <f ca="1">Demand!C18</f>
        <v>18</v>
      </c>
      <c r="B21" s="67">
        <v>6</v>
      </c>
      <c r="C21" s="5">
        <f ca="1">'Demand background (hide)'!Y9</f>
        <v>400</v>
      </c>
      <c r="D21" s="67">
        <f t="shared" si="15"/>
        <v>0</v>
      </c>
      <c r="E21" s="67" t="e">
        <f t="shared" ca="1" si="16"/>
        <v>#N/A</v>
      </c>
      <c r="F21" s="67" t="e">
        <f t="shared" ca="1" si="17"/>
        <v>#N/A</v>
      </c>
      <c r="G21" s="67" t="e">
        <f t="shared" ca="1" si="18"/>
        <v>#N/A</v>
      </c>
      <c r="H21" s="67" t="e">
        <f>IF('Demand background (hide)'!AN9&lt;&gt;"",'SPC background (hide)'!C21,NA())</f>
        <v>#N/A</v>
      </c>
      <c r="I21" s="67">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7" t="e">
        <f t="shared" ca="1" si="33"/>
        <v>#N/A</v>
      </c>
      <c r="T21" s="67">
        <f t="shared" ca="1" si="34"/>
        <v>-1</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551.5</v>
      </c>
      <c r="AD21" s="5">
        <f t="shared" ca="1" si="31"/>
        <v>664</v>
      </c>
      <c r="AG21" s="67">
        <f t="shared" ca="1" si="12"/>
        <v>26</v>
      </c>
      <c r="AH21" s="67">
        <v>20</v>
      </c>
      <c r="AI21" s="67">
        <f t="shared" ca="1" si="4"/>
        <v>1</v>
      </c>
      <c r="AJ21" s="39">
        <f t="shared" ca="1" si="5"/>
        <v>141.67348608837972</v>
      </c>
      <c r="AK21" s="39">
        <f t="shared" ca="1" si="6"/>
        <v>69.979541734860845</v>
      </c>
      <c r="AL21" s="39">
        <f t="shared" ca="1" si="7"/>
        <v>211.65302782324056</v>
      </c>
      <c r="AM21" s="39">
        <f t="shared" ca="1" si="8"/>
        <v>353.32651391162028</v>
      </c>
      <c r="AN21" s="39">
        <f t="shared" ca="1" si="9"/>
        <v>495</v>
      </c>
      <c r="AO21" s="39">
        <f t="shared" ca="1" si="0"/>
        <v>636.67348608837972</v>
      </c>
      <c r="AP21" s="39">
        <f t="shared" ca="1" si="1"/>
        <v>778.34697217675944</v>
      </c>
      <c r="AQ21" s="39">
        <f t="shared" ca="1" si="2"/>
        <v>920.02045826513915</v>
      </c>
      <c r="AR21" s="5">
        <f t="shared" ca="1" si="10"/>
        <v>551.5</v>
      </c>
      <c r="AS21" s="5">
        <f t="shared" ca="1" si="3"/>
        <v>664</v>
      </c>
      <c r="AT21" s="5">
        <f t="shared" ca="1" si="11"/>
        <v>0</v>
      </c>
    </row>
    <row r="22" spans="1:46" x14ac:dyDescent="0.2">
      <c r="A22" s="67">
        <f ca="1">Demand!C19</f>
        <v>19</v>
      </c>
      <c r="B22" s="67">
        <v>7</v>
      </c>
      <c r="C22" s="5">
        <f ca="1">'Demand background (hide)'!Y10</f>
        <v>590</v>
      </c>
      <c r="D22" s="67">
        <f t="shared" si="15"/>
        <v>0</v>
      </c>
      <c r="E22" s="67" t="e">
        <f t="shared" ca="1" si="16"/>
        <v>#N/A</v>
      </c>
      <c r="F22" s="67" t="e">
        <f t="shared" ca="1" si="17"/>
        <v>#N/A</v>
      </c>
      <c r="G22" s="67" t="e">
        <f t="shared" ca="1" si="18"/>
        <v>#N/A</v>
      </c>
      <c r="H22" s="67" t="e">
        <f>IF('Demand background (hide)'!AN10&lt;&gt;"",'SPC background (hide)'!C22,NA())</f>
        <v>#N/A</v>
      </c>
      <c r="I22" s="67">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7" t="e">
        <f t="shared" ca="1" si="33"/>
        <v>#N/A</v>
      </c>
      <c r="T22" s="67">
        <f t="shared" ca="1" si="34"/>
        <v>1</v>
      </c>
      <c r="U22" s="67" t="e">
        <f t="shared" ca="1" si="35"/>
        <v>#N/A</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551.5</v>
      </c>
      <c r="AD22" s="5">
        <f t="shared" ca="1" si="31"/>
        <v>664</v>
      </c>
      <c r="AG22" s="67">
        <f t="shared" ca="1" si="12"/>
        <v>27</v>
      </c>
      <c r="AH22" s="67">
        <v>21</v>
      </c>
      <c r="AI22" s="67">
        <f t="shared" ca="1" si="4"/>
        <v>1</v>
      </c>
      <c r="AJ22" s="39">
        <f t="shared" ca="1" si="5"/>
        <v>141.67348608837972</v>
      </c>
      <c r="AK22" s="39">
        <f t="shared" ca="1" si="6"/>
        <v>69.979541734860845</v>
      </c>
      <c r="AL22" s="39">
        <f t="shared" ca="1" si="7"/>
        <v>211.65302782324056</v>
      </c>
      <c r="AM22" s="39">
        <f t="shared" ca="1" si="8"/>
        <v>353.32651391162028</v>
      </c>
      <c r="AN22" s="39">
        <f t="shared" ca="1" si="9"/>
        <v>495</v>
      </c>
      <c r="AO22" s="39">
        <f t="shared" ca="1" si="0"/>
        <v>636.67348608837972</v>
      </c>
      <c r="AP22" s="39">
        <f t="shared" ca="1" si="1"/>
        <v>778.34697217675944</v>
      </c>
      <c r="AQ22" s="39">
        <f t="shared" ca="1" si="2"/>
        <v>920.02045826513915</v>
      </c>
      <c r="AR22" s="5">
        <f t="shared" ca="1" si="10"/>
        <v>551.5</v>
      </c>
      <c r="AS22" s="5">
        <f t="shared" ca="1" si="3"/>
        <v>664</v>
      </c>
      <c r="AT22" s="5">
        <f t="shared" ca="1" si="11"/>
        <v>0</v>
      </c>
    </row>
    <row r="23" spans="1:46" x14ac:dyDescent="0.2">
      <c r="A23" s="67">
        <f ca="1">Demand!C20</f>
        <v>20</v>
      </c>
      <c r="B23" s="67">
        <v>8</v>
      </c>
      <c r="C23" s="5">
        <f ca="1">'Demand background (hide)'!Y11</f>
        <v>450</v>
      </c>
      <c r="D23" s="67">
        <f t="shared" si="15"/>
        <v>0</v>
      </c>
      <c r="E23" s="67" t="e">
        <f t="shared" ca="1" si="16"/>
        <v>#N/A</v>
      </c>
      <c r="F23" s="67" t="e">
        <f t="shared" ca="1" si="17"/>
        <v>#N/A</v>
      </c>
      <c r="G23" s="67" t="e">
        <f t="shared" ca="1" si="18"/>
        <v>#N/A</v>
      </c>
      <c r="H23" s="67" t="e">
        <f>IF('Demand background (hide)'!AN11&lt;&gt;"",'SPC background (hide)'!C23,NA())</f>
        <v>#N/A</v>
      </c>
      <c r="I23" s="67">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7" t="e">
        <f t="shared" ca="1" si="33"/>
        <v>#N/A</v>
      </c>
      <c r="T23" s="67">
        <f t="shared" ca="1" si="34"/>
        <v>-1</v>
      </c>
      <c r="U23" s="67" t="e">
        <f t="shared" ca="1" si="35"/>
        <v>#N/A</v>
      </c>
      <c r="V23" s="5">
        <f t="shared" ca="1" si="14"/>
        <v>-1</v>
      </c>
      <c r="W23" s="5" t="e">
        <f t="shared" ca="1" si="28"/>
        <v>#N/A</v>
      </c>
      <c r="X23" s="67">
        <f t="shared" ca="1" si="29"/>
        <v>-1</v>
      </c>
      <c r="Y23" s="67" t="e">
        <f t="shared" ca="1" si="36"/>
        <v>#N/A</v>
      </c>
      <c r="Z23" s="67" t="e">
        <f t="shared" ca="1" si="37"/>
        <v>#N/A</v>
      </c>
      <c r="AA23" s="5" t="str">
        <f>IF(Setup!$I$15="Yes",'Demand background (hide)'!AJ11+'SPC background (hide)'!C23,"")</f>
        <v/>
      </c>
      <c r="AC23" s="5">
        <f t="shared" ca="1" si="30"/>
        <v>551.5</v>
      </c>
      <c r="AD23" s="5">
        <f t="shared" ca="1" si="31"/>
        <v>664</v>
      </c>
      <c r="AG23" s="67">
        <f t="shared" ca="1" si="12"/>
        <v>28</v>
      </c>
      <c r="AH23" s="67">
        <v>22</v>
      </c>
      <c r="AI23" s="67">
        <f t="shared" ca="1" si="4"/>
        <v>1</v>
      </c>
      <c r="AJ23" s="39">
        <f t="shared" ca="1" si="5"/>
        <v>141.67348608837972</v>
      </c>
      <c r="AK23" s="39">
        <f t="shared" ca="1" si="6"/>
        <v>69.979541734860845</v>
      </c>
      <c r="AL23" s="39">
        <f t="shared" ca="1" si="7"/>
        <v>211.65302782324056</v>
      </c>
      <c r="AM23" s="39">
        <f t="shared" ca="1" si="8"/>
        <v>353.32651391162028</v>
      </c>
      <c r="AN23" s="39">
        <f t="shared" ca="1" si="9"/>
        <v>495</v>
      </c>
      <c r="AO23" s="39">
        <f t="shared" ca="1" si="0"/>
        <v>636.67348608837972</v>
      </c>
      <c r="AP23" s="39">
        <f t="shared" ca="1" si="1"/>
        <v>778.34697217675944</v>
      </c>
      <c r="AQ23" s="39">
        <f t="shared" ca="1" si="2"/>
        <v>920.02045826513915</v>
      </c>
      <c r="AR23" s="5">
        <f t="shared" ca="1" si="10"/>
        <v>551.5</v>
      </c>
      <c r="AS23" s="5">
        <f t="shared" ca="1" si="3"/>
        <v>664</v>
      </c>
      <c r="AT23" s="5">
        <f t="shared" ca="1" si="11"/>
        <v>0</v>
      </c>
    </row>
    <row r="24" spans="1:46" x14ac:dyDescent="0.2">
      <c r="A24" s="67">
        <f ca="1">Demand!C21</f>
        <v>21</v>
      </c>
      <c r="B24" s="67">
        <v>9</v>
      </c>
      <c r="C24" s="5">
        <f ca="1">'Demand background (hide)'!Y12</f>
        <v>260</v>
      </c>
      <c r="D24" s="67">
        <f t="shared" si="15"/>
        <v>0</v>
      </c>
      <c r="E24" s="67" t="e">
        <f t="shared" ca="1" si="16"/>
        <v>#N/A</v>
      </c>
      <c r="F24" s="67" t="e">
        <f t="shared" ca="1" si="17"/>
        <v>#N/A</v>
      </c>
      <c r="G24" s="67" t="e">
        <f t="shared" ca="1" si="18"/>
        <v>#N/A</v>
      </c>
      <c r="H24" s="67" t="e">
        <f>IF('Demand background (hide)'!AN12&lt;&gt;"",'SPC background (hide)'!C24,NA())</f>
        <v>#N/A</v>
      </c>
      <c r="I24" s="67">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7" t="e">
        <f t="shared" ca="1" si="33"/>
        <v>#N/A</v>
      </c>
      <c r="T24" s="67">
        <f t="shared" ca="1" si="34"/>
        <v>-2</v>
      </c>
      <c r="U24" s="67" t="e">
        <f t="shared" ca="1" si="35"/>
        <v>#N/A</v>
      </c>
      <c r="V24" s="5">
        <f t="shared" ca="1" si="14"/>
        <v>-1</v>
      </c>
      <c r="W24" s="5" t="e">
        <f t="shared" ca="1" si="28"/>
        <v>#N/A</v>
      </c>
      <c r="X24" s="67">
        <f t="shared" ca="1" si="29"/>
        <v>-1</v>
      </c>
      <c r="Y24" s="67" t="e">
        <f t="shared" ca="1" si="36"/>
        <v>#N/A</v>
      </c>
      <c r="Z24" s="67" t="e">
        <f t="shared" ca="1" si="37"/>
        <v>#N/A</v>
      </c>
      <c r="AA24" s="5" t="str">
        <f>IF(Setup!$I$15="Yes",'Demand background (hide)'!AJ12+'SPC background (hide)'!C24,"")</f>
        <v/>
      </c>
      <c r="AC24" s="5">
        <f t="shared" ca="1" si="30"/>
        <v>551.5</v>
      </c>
      <c r="AD24" s="5">
        <f t="shared" ca="1" si="31"/>
        <v>664</v>
      </c>
      <c r="AG24" s="67">
        <f t="shared" ca="1" si="12"/>
        <v>29</v>
      </c>
      <c r="AH24" s="67">
        <v>23</v>
      </c>
      <c r="AI24" s="67">
        <f t="shared" ca="1" si="4"/>
        <v>1</v>
      </c>
      <c r="AJ24" s="39">
        <f t="shared" ca="1" si="5"/>
        <v>141.67348608837972</v>
      </c>
      <c r="AK24" s="39">
        <f t="shared" ca="1" si="6"/>
        <v>69.979541734860845</v>
      </c>
      <c r="AL24" s="39">
        <f t="shared" ca="1" si="7"/>
        <v>211.65302782324056</v>
      </c>
      <c r="AM24" s="39">
        <f t="shared" ca="1" si="8"/>
        <v>353.32651391162028</v>
      </c>
      <c r="AN24" s="39">
        <f t="shared" ca="1" si="9"/>
        <v>495</v>
      </c>
      <c r="AO24" s="39">
        <f t="shared" ca="1" si="0"/>
        <v>636.67348608837972</v>
      </c>
      <c r="AP24" s="39">
        <f t="shared" ca="1" si="1"/>
        <v>778.34697217675944</v>
      </c>
      <c r="AQ24" s="39">
        <f t="shared" ca="1" si="2"/>
        <v>920.02045826513915</v>
      </c>
      <c r="AR24" s="5">
        <f t="shared" ca="1" si="10"/>
        <v>551.5</v>
      </c>
      <c r="AS24" s="5">
        <f t="shared" ca="1" si="3"/>
        <v>664</v>
      </c>
      <c r="AT24" s="5">
        <f t="shared" ca="1" si="11"/>
        <v>0</v>
      </c>
    </row>
    <row r="25" spans="1:46" x14ac:dyDescent="0.2">
      <c r="A25" s="67">
        <f ca="1">Demand!C22</f>
        <v>22</v>
      </c>
      <c r="B25" s="67">
        <v>10</v>
      </c>
      <c r="C25" s="5">
        <f ca="1">'Demand background (hide)'!Y13</f>
        <v>600</v>
      </c>
      <c r="D25" s="67">
        <f t="shared" si="15"/>
        <v>0</v>
      </c>
      <c r="E25" s="67" t="e">
        <f t="shared" ca="1" si="16"/>
        <v>#N/A</v>
      </c>
      <c r="F25" s="67" t="e">
        <f t="shared" ca="1" si="17"/>
        <v>#N/A</v>
      </c>
      <c r="G25" s="67" t="e">
        <f t="shared" ca="1" si="18"/>
        <v>#N/A</v>
      </c>
      <c r="H25" s="67" t="e">
        <f>IF('Demand background (hide)'!AN13&lt;&gt;"",'SPC background (hide)'!C25,NA())</f>
        <v>#N/A</v>
      </c>
      <c r="I25" s="67">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t="str">
        <f>IF(Setup!$I$15="Yes",'Demand background (hide)'!AJ13+'SPC background (hide)'!C25,"")</f>
        <v/>
      </c>
      <c r="AC25" s="5">
        <f t="shared" ca="1" si="30"/>
        <v>551.5</v>
      </c>
      <c r="AD25" s="5">
        <f t="shared" ca="1" si="31"/>
        <v>664</v>
      </c>
      <c r="AG25" s="67">
        <f t="shared" ca="1" si="12"/>
        <v>30</v>
      </c>
      <c r="AH25" s="67">
        <v>24</v>
      </c>
      <c r="AI25" s="67">
        <f t="shared" ca="1" si="4"/>
        <v>1</v>
      </c>
      <c r="AJ25" s="39">
        <f t="shared" ca="1" si="5"/>
        <v>141.67348608837972</v>
      </c>
      <c r="AK25" s="39">
        <f t="shared" ca="1" si="6"/>
        <v>69.979541734860845</v>
      </c>
      <c r="AL25" s="39">
        <f t="shared" ca="1" si="7"/>
        <v>211.65302782324056</v>
      </c>
      <c r="AM25" s="39">
        <f t="shared" ca="1" si="8"/>
        <v>353.32651391162028</v>
      </c>
      <c r="AN25" s="39">
        <f t="shared" ca="1" si="9"/>
        <v>495</v>
      </c>
      <c r="AO25" s="39">
        <f t="shared" ca="1" si="0"/>
        <v>636.67348608837972</v>
      </c>
      <c r="AP25" s="39">
        <f t="shared" ca="1" si="1"/>
        <v>778.34697217675944</v>
      </c>
      <c r="AQ25" s="39">
        <f t="shared" ca="1" si="2"/>
        <v>920.02045826513915</v>
      </c>
      <c r="AR25" s="5">
        <f t="shared" ca="1" si="10"/>
        <v>551.5</v>
      </c>
      <c r="AS25" s="5">
        <f t="shared" ca="1" si="3"/>
        <v>664</v>
      </c>
      <c r="AT25" s="5">
        <f t="shared" ca="1" si="11"/>
        <v>0</v>
      </c>
    </row>
    <row r="26" spans="1:46" x14ac:dyDescent="0.2">
      <c r="A26" s="67">
        <f ca="1">Demand!C23</f>
        <v>23</v>
      </c>
      <c r="B26" s="67">
        <v>11</v>
      </c>
      <c r="C26" s="5">
        <f ca="1">'Demand background (hide)'!Y14</f>
        <v>680</v>
      </c>
      <c r="D26" s="67">
        <f t="shared" si="15"/>
        <v>0</v>
      </c>
      <c r="E26" s="67" t="e">
        <f t="shared" ca="1" si="16"/>
        <v>#N/A</v>
      </c>
      <c r="F26" s="67" t="e">
        <f t="shared" ca="1" si="17"/>
        <v>#N/A</v>
      </c>
      <c r="G26" s="67" t="e">
        <f t="shared" ca="1" si="18"/>
        <v>#N/A</v>
      </c>
      <c r="H26" s="67" t="e">
        <f>IF('Demand background (hide)'!AN14&lt;&gt;"",'SPC background (hide)'!C26,NA())</f>
        <v>#N/A</v>
      </c>
      <c r="I26" s="67">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7" t="e">
        <f t="shared" ca="1" si="33"/>
        <v>#N/A</v>
      </c>
      <c r="T26" s="67">
        <f t="shared" ca="1" si="34"/>
        <v>2</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551.5</v>
      </c>
      <c r="AD26" s="5">
        <f t="shared" ca="1" si="31"/>
        <v>664</v>
      </c>
      <c r="AG26" s="67">
        <f t="shared" ca="1" si="12"/>
        <v>31</v>
      </c>
      <c r="AH26" s="67">
        <v>25</v>
      </c>
      <c r="AI26" s="67">
        <f t="shared" ca="1" si="4"/>
        <v>1</v>
      </c>
      <c r="AJ26" s="39">
        <f t="shared" ca="1" si="5"/>
        <v>141.67348608837972</v>
      </c>
      <c r="AK26" s="39">
        <f t="shared" ca="1" si="6"/>
        <v>69.979541734860845</v>
      </c>
      <c r="AL26" s="39">
        <f t="shared" ca="1" si="7"/>
        <v>211.65302782324056</v>
      </c>
      <c r="AM26" s="39">
        <f t="shared" ca="1" si="8"/>
        <v>353.32651391162028</v>
      </c>
      <c r="AN26" s="39">
        <f t="shared" ca="1" si="9"/>
        <v>495</v>
      </c>
      <c r="AO26" s="39">
        <f t="shared" ca="1" si="0"/>
        <v>636.67348608837972</v>
      </c>
      <c r="AP26" s="39">
        <f t="shared" ca="1" si="1"/>
        <v>778.34697217675944</v>
      </c>
      <c r="AQ26" s="39">
        <f t="shared" ca="1" si="2"/>
        <v>920.02045826513915</v>
      </c>
      <c r="AR26" s="5">
        <f t="shared" ca="1" si="10"/>
        <v>551.5</v>
      </c>
      <c r="AS26" s="5">
        <f t="shared" ca="1" si="3"/>
        <v>664</v>
      </c>
      <c r="AT26" s="5">
        <f t="shared" ca="1" si="11"/>
        <v>0</v>
      </c>
    </row>
    <row r="27" spans="1:46" x14ac:dyDescent="0.2">
      <c r="A27" s="67">
        <f ca="1">Demand!C24</f>
        <v>24</v>
      </c>
      <c r="B27" s="67">
        <v>12</v>
      </c>
      <c r="C27" s="5">
        <f ca="1">'Demand background (hide)'!Y15</f>
        <v>350</v>
      </c>
      <c r="D27" s="67">
        <f t="shared" si="15"/>
        <v>0</v>
      </c>
      <c r="E27" s="67" t="e">
        <f t="shared" ca="1" si="16"/>
        <v>#N/A</v>
      </c>
      <c r="F27" s="67" t="e">
        <f t="shared" ca="1" si="17"/>
        <v>#N/A</v>
      </c>
      <c r="G27" s="67" t="e">
        <f t="shared" ca="1" si="18"/>
        <v>#N/A</v>
      </c>
      <c r="H27" s="67" t="e">
        <f>IF('Demand background (hide)'!AN15&lt;&gt;"",'SPC background (hide)'!C27,NA())</f>
        <v>#N/A</v>
      </c>
      <c r="I27" s="67">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7" t="e">
        <f t="shared" ca="1" si="33"/>
        <v>#N/A</v>
      </c>
      <c r="T27" s="67">
        <f t="shared" ca="1" si="34"/>
        <v>-2</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551.5</v>
      </c>
      <c r="AD27" s="5">
        <f t="shared" ca="1" si="31"/>
        <v>664</v>
      </c>
      <c r="AG27" s="67">
        <f t="shared" ca="1" si="12"/>
        <v>32</v>
      </c>
      <c r="AH27" s="67">
        <v>26</v>
      </c>
      <c r="AI27" s="67">
        <f t="shared" ca="1" si="4"/>
        <v>1</v>
      </c>
      <c r="AJ27" s="39">
        <f t="shared" ca="1" si="5"/>
        <v>141.67348608837972</v>
      </c>
      <c r="AK27" s="39">
        <f t="shared" ca="1" si="6"/>
        <v>69.979541734860845</v>
      </c>
      <c r="AL27" s="39">
        <f t="shared" ca="1" si="7"/>
        <v>211.65302782324056</v>
      </c>
      <c r="AM27" s="39">
        <f t="shared" ca="1" si="8"/>
        <v>353.32651391162028</v>
      </c>
      <c r="AN27" s="39">
        <f t="shared" ca="1" si="9"/>
        <v>495</v>
      </c>
      <c r="AO27" s="39">
        <f t="shared" ca="1" si="0"/>
        <v>636.67348608837972</v>
      </c>
      <c r="AP27" s="39">
        <f t="shared" ca="1" si="1"/>
        <v>778.34697217675944</v>
      </c>
      <c r="AQ27" s="39">
        <f t="shared" ca="1" si="2"/>
        <v>920.02045826513915</v>
      </c>
      <c r="AR27" s="5">
        <f t="shared" ca="1" si="10"/>
        <v>551.5</v>
      </c>
      <c r="AS27" s="5">
        <f t="shared" ca="1" si="3"/>
        <v>664</v>
      </c>
      <c r="AT27" s="5">
        <f t="shared" ca="1" si="11"/>
        <v>0</v>
      </c>
    </row>
    <row r="28" spans="1:46" x14ac:dyDescent="0.2">
      <c r="A28" s="67">
        <f ca="1">Demand!C25</f>
        <v>25</v>
      </c>
      <c r="B28" s="67">
        <v>13</v>
      </c>
      <c r="C28" s="5">
        <f ca="1">'Demand background (hide)'!Y16</f>
        <v>400</v>
      </c>
      <c r="D28" s="67">
        <f t="shared" si="15"/>
        <v>0</v>
      </c>
      <c r="E28" s="67" t="e">
        <f t="shared" ca="1" si="16"/>
        <v>#N/A</v>
      </c>
      <c r="F28" s="67" t="e">
        <f t="shared" ca="1" si="17"/>
        <v>#N/A</v>
      </c>
      <c r="G28" s="67" t="e">
        <f t="shared" ca="1" si="18"/>
        <v>#N/A</v>
      </c>
      <c r="H28" s="67" t="e">
        <f>IF('Demand background (hide)'!AN16&lt;&gt;"",'SPC background (hide)'!C28,NA())</f>
        <v>#N/A</v>
      </c>
      <c r="I28" s="67">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7" t="e">
        <f t="shared" ca="1" si="33"/>
        <v>#N/A</v>
      </c>
      <c r="T28" s="67">
        <f t="shared" ca="1" si="34"/>
        <v>-1</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551.5</v>
      </c>
      <c r="AD28" s="5">
        <f t="shared" ca="1" si="31"/>
        <v>664</v>
      </c>
      <c r="AG28" s="67">
        <f t="shared" ca="1" si="12"/>
        <v>33</v>
      </c>
      <c r="AH28" s="67">
        <v>27</v>
      </c>
      <c r="AI28" s="67">
        <f t="shared" ca="1" si="4"/>
        <v>1</v>
      </c>
      <c r="AJ28" s="39">
        <f t="shared" ca="1" si="5"/>
        <v>141.67348608837972</v>
      </c>
      <c r="AK28" s="39">
        <f t="shared" ca="1" si="6"/>
        <v>69.979541734860845</v>
      </c>
      <c r="AL28" s="39">
        <f t="shared" ca="1" si="7"/>
        <v>211.65302782324056</v>
      </c>
      <c r="AM28" s="39">
        <f t="shared" ca="1" si="8"/>
        <v>353.32651391162028</v>
      </c>
      <c r="AN28" s="39">
        <f t="shared" ca="1" si="9"/>
        <v>495</v>
      </c>
      <c r="AO28" s="39">
        <f t="shared" ca="1" si="0"/>
        <v>636.67348608837972</v>
      </c>
      <c r="AP28" s="39">
        <f t="shared" ca="1" si="1"/>
        <v>778.34697217675944</v>
      </c>
      <c r="AQ28" s="39">
        <f t="shared" ca="1" si="2"/>
        <v>920.02045826513915</v>
      </c>
      <c r="AR28" s="5">
        <f t="shared" ca="1" si="10"/>
        <v>551.5</v>
      </c>
      <c r="AS28" s="5">
        <f t="shared" ca="1" si="3"/>
        <v>664</v>
      </c>
      <c r="AT28" s="5">
        <f t="shared" ca="1" si="11"/>
        <v>0</v>
      </c>
    </row>
    <row r="29" spans="1:46" x14ac:dyDescent="0.2">
      <c r="A29" s="67">
        <f ca="1">Demand!C26</f>
        <v>26</v>
      </c>
      <c r="B29" s="67">
        <v>14</v>
      </c>
      <c r="C29" s="5">
        <f ca="1">'Demand background (hide)'!Y17</f>
        <v>670</v>
      </c>
      <c r="D29" s="67">
        <f t="shared" si="15"/>
        <v>0</v>
      </c>
      <c r="E29" s="67" t="e">
        <f t="shared" ca="1" si="16"/>
        <v>#N/A</v>
      </c>
      <c r="F29" s="67" t="e">
        <f t="shared" ca="1" si="17"/>
        <v>#N/A</v>
      </c>
      <c r="G29" s="67" t="e">
        <f t="shared" ca="1" si="18"/>
        <v>#N/A</v>
      </c>
      <c r="H29" s="67" t="e">
        <f>IF('Demand background (hide)'!AN17&lt;&gt;"",'SPC background (hide)'!C29,NA())</f>
        <v>#N/A</v>
      </c>
      <c r="I29" s="67">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7" t="e">
        <f t="shared" ca="1" si="33"/>
        <v>#N/A</v>
      </c>
      <c r="T29" s="67">
        <f t="shared" ca="1" si="34"/>
        <v>2</v>
      </c>
      <c r="U29" s="67" t="e">
        <f t="shared" ca="1" si="35"/>
        <v>#N/A</v>
      </c>
      <c r="V29" s="5">
        <f t="shared" ca="1" si="14"/>
        <v>1</v>
      </c>
      <c r="W29" s="5">
        <f t="shared" ca="1" si="28"/>
        <v>670</v>
      </c>
      <c r="X29" s="67">
        <f t="shared" ca="1" si="29"/>
        <v>1</v>
      </c>
      <c r="Y29" s="67" t="e">
        <f t="shared" ca="1" si="36"/>
        <v>#N/A</v>
      </c>
      <c r="Z29" s="67" t="e">
        <f t="shared" ca="1" si="37"/>
        <v>#N/A</v>
      </c>
      <c r="AA29" s="5" t="str">
        <f>IF(Setup!$I$15="Yes",'Demand background (hide)'!AJ17+'SPC background (hide)'!C29,"")</f>
        <v/>
      </c>
      <c r="AC29" s="5">
        <f t="shared" ca="1" si="30"/>
        <v>551.5</v>
      </c>
      <c r="AD29" s="5">
        <f t="shared" ca="1" si="31"/>
        <v>664</v>
      </c>
      <c r="AG29" s="67">
        <f t="shared" ca="1" si="12"/>
        <v>34</v>
      </c>
      <c r="AH29" s="67">
        <v>28</v>
      </c>
      <c r="AI29" s="67">
        <f t="shared" ca="1" si="4"/>
        <v>1</v>
      </c>
      <c r="AJ29" s="39">
        <f t="shared" ca="1" si="5"/>
        <v>141.67348608837972</v>
      </c>
      <c r="AK29" s="39">
        <f t="shared" ca="1" si="6"/>
        <v>69.979541734860845</v>
      </c>
      <c r="AL29" s="39">
        <f t="shared" ca="1" si="7"/>
        <v>211.65302782324056</v>
      </c>
      <c r="AM29" s="39">
        <f t="shared" ca="1" si="8"/>
        <v>353.32651391162028</v>
      </c>
      <c r="AN29" s="39">
        <f t="shared" ca="1" si="9"/>
        <v>495</v>
      </c>
      <c r="AO29" s="39">
        <f t="shared" ca="1" si="0"/>
        <v>636.67348608837972</v>
      </c>
      <c r="AP29" s="39">
        <f t="shared" ca="1" si="1"/>
        <v>778.34697217675944</v>
      </c>
      <c r="AQ29" s="39">
        <f t="shared" ca="1" si="2"/>
        <v>920.02045826513915</v>
      </c>
      <c r="AR29" s="5">
        <f t="shared" ca="1" si="10"/>
        <v>551.5</v>
      </c>
      <c r="AS29" s="5">
        <f t="shared" ca="1" si="3"/>
        <v>664</v>
      </c>
      <c r="AT29" s="5">
        <f t="shared" ca="1" si="11"/>
        <v>0</v>
      </c>
    </row>
    <row r="30" spans="1:46" x14ac:dyDescent="0.2">
      <c r="A30" s="67">
        <f ca="1">Demand!C27</f>
        <v>27</v>
      </c>
      <c r="B30" s="67">
        <v>15</v>
      </c>
      <c r="C30" s="5">
        <f ca="1">'Demand background (hide)'!Y18</f>
        <v>530</v>
      </c>
      <c r="D30" s="67">
        <f t="shared" si="15"/>
        <v>0</v>
      </c>
      <c r="E30" s="67" t="e">
        <f t="shared" ca="1" si="16"/>
        <v>#N/A</v>
      </c>
      <c r="F30" s="67" t="e">
        <f t="shared" ca="1" si="17"/>
        <v>#N/A</v>
      </c>
      <c r="G30" s="67" t="e">
        <f t="shared" ca="1" si="18"/>
        <v>#N/A</v>
      </c>
      <c r="H30" s="67" t="e">
        <f>IF('Demand background (hide)'!AN18&lt;&gt;"",'SPC background (hide)'!C30,NA())</f>
        <v>#N/A</v>
      </c>
      <c r="I30" s="67">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7" t="e">
        <f t="shared" ca="1" si="33"/>
        <v>#N/A</v>
      </c>
      <c r="T30" s="67">
        <f t="shared" ca="1" si="34"/>
        <v>1</v>
      </c>
      <c r="U30" s="67" t="e">
        <f t="shared" ca="1" si="35"/>
        <v>#N/A</v>
      </c>
      <c r="V30" s="5">
        <f t="shared" ca="1" si="14"/>
        <v>1</v>
      </c>
      <c r="W30" s="5">
        <f t="shared" ca="1" si="28"/>
        <v>530</v>
      </c>
      <c r="X30" s="67">
        <f t="shared" ca="1" si="29"/>
        <v>-1</v>
      </c>
      <c r="Y30" s="67" t="e">
        <f t="shared" ca="1" si="36"/>
        <v>#N/A</v>
      </c>
      <c r="Z30" s="67" t="e">
        <f t="shared" ca="1" si="37"/>
        <v>#N/A</v>
      </c>
      <c r="AA30" s="5" t="str">
        <f>IF(Setup!$I$15="Yes",'Demand background (hide)'!AJ18+'SPC background (hide)'!C30,"")</f>
        <v/>
      </c>
      <c r="AC30" s="5">
        <f t="shared" ca="1" si="30"/>
        <v>551.5</v>
      </c>
      <c r="AD30" s="5">
        <f t="shared" ca="1" si="31"/>
        <v>664</v>
      </c>
      <c r="AG30" s="67">
        <f t="shared" ca="1" si="12"/>
        <v>35</v>
      </c>
      <c r="AH30" s="67">
        <v>29</v>
      </c>
      <c r="AI30" s="67">
        <f t="shared" ca="1" si="4"/>
        <v>1</v>
      </c>
      <c r="AJ30" s="39">
        <f t="shared" ca="1" si="5"/>
        <v>141.67348608837972</v>
      </c>
      <c r="AK30" s="39">
        <f t="shared" ca="1" si="6"/>
        <v>69.979541734860845</v>
      </c>
      <c r="AL30" s="39">
        <f t="shared" ca="1" si="7"/>
        <v>211.65302782324056</v>
      </c>
      <c r="AM30" s="39">
        <f t="shared" ca="1" si="8"/>
        <v>353.32651391162028</v>
      </c>
      <c r="AN30" s="39">
        <f t="shared" ca="1" si="9"/>
        <v>495</v>
      </c>
      <c r="AO30" s="39">
        <f t="shared" ca="1" si="0"/>
        <v>636.67348608837972</v>
      </c>
      <c r="AP30" s="39">
        <f t="shared" ca="1" si="1"/>
        <v>778.34697217675944</v>
      </c>
      <c r="AQ30" s="39">
        <f t="shared" ca="1" si="2"/>
        <v>920.02045826513915</v>
      </c>
      <c r="AR30" s="5">
        <f t="shared" ca="1" si="10"/>
        <v>551.5</v>
      </c>
      <c r="AS30" s="5">
        <f t="shared" ca="1" si="3"/>
        <v>664</v>
      </c>
      <c r="AT30" s="5">
        <f t="shared" ca="1" si="11"/>
        <v>0</v>
      </c>
    </row>
    <row r="31" spans="1:46" x14ac:dyDescent="0.2">
      <c r="A31" s="67">
        <f ca="1">Demand!C28</f>
        <v>28</v>
      </c>
      <c r="B31" s="67">
        <v>16</v>
      </c>
      <c r="C31" s="5">
        <f ca="1">'Demand background (hide)'!Y19</f>
        <v>510</v>
      </c>
      <c r="D31" s="67">
        <f t="shared" si="15"/>
        <v>0</v>
      </c>
      <c r="E31" s="67" t="e">
        <f t="shared" ca="1" si="16"/>
        <v>#N/A</v>
      </c>
      <c r="F31" s="67" t="e">
        <f t="shared" ca="1" si="17"/>
        <v>#N/A</v>
      </c>
      <c r="G31" s="67" t="e">
        <f t="shared" ca="1" si="18"/>
        <v>#N/A</v>
      </c>
      <c r="H31" s="67" t="e">
        <f>IF('Demand background (hide)'!AN19&lt;&gt;"",'SPC background (hide)'!C31,NA())</f>
        <v>#N/A</v>
      </c>
      <c r="I31" s="67">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7" t="e">
        <f t="shared" ca="1" si="33"/>
        <v>#N/A</v>
      </c>
      <c r="T31" s="67">
        <f t="shared" ca="1" si="34"/>
        <v>1</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551.5</v>
      </c>
      <c r="AD31" s="5">
        <f t="shared" ca="1" si="31"/>
        <v>664</v>
      </c>
      <c r="AG31" s="67">
        <f t="shared" ca="1" si="12"/>
        <v>36</v>
      </c>
      <c r="AH31" s="67">
        <v>30</v>
      </c>
      <c r="AI31" s="67">
        <f t="shared" ca="1" si="4"/>
        <v>1</v>
      </c>
      <c r="AJ31" s="39">
        <f t="shared" ca="1" si="5"/>
        <v>141.67348608837972</v>
      </c>
      <c r="AK31" s="39">
        <f t="shared" ca="1" si="6"/>
        <v>69.979541734860845</v>
      </c>
      <c r="AL31" s="39">
        <f t="shared" ca="1" si="7"/>
        <v>211.65302782324056</v>
      </c>
      <c r="AM31" s="39">
        <f t="shared" ca="1" si="8"/>
        <v>353.32651391162028</v>
      </c>
      <c r="AN31" s="39">
        <f t="shared" ca="1" si="9"/>
        <v>495</v>
      </c>
      <c r="AO31" s="39">
        <f t="shared" ca="1" si="0"/>
        <v>636.67348608837972</v>
      </c>
      <c r="AP31" s="39">
        <f t="shared" ca="1" si="1"/>
        <v>778.34697217675944</v>
      </c>
      <c r="AQ31" s="39">
        <f t="shared" ca="1" si="2"/>
        <v>920.02045826513915</v>
      </c>
      <c r="AR31" s="5">
        <f t="shared" ca="1" si="10"/>
        <v>551.5</v>
      </c>
      <c r="AS31" s="5">
        <f t="shared" ca="1" si="3"/>
        <v>664</v>
      </c>
      <c r="AT31" s="5">
        <f t="shared" ca="1" si="11"/>
        <v>0</v>
      </c>
    </row>
    <row r="32" spans="1:46" x14ac:dyDescent="0.2">
      <c r="A32" s="67">
        <f ca="1">Demand!C29</f>
        <v>29</v>
      </c>
      <c r="B32" s="67">
        <v>17</v>
      </c>
      <c r="C32" s="5">
        <f ca="1">'Demand background (hide)'!Y20</f>
        <v>600</v>
      </c>
      <c r="D32" s="67">
        <f t="shared" si="15"/>
        <v>0</v>
      </c>
      <c r="E32" s="67" t="e">
        <f t="shared" ca="1" si="16"/>
        <v>#N/A</v>
      </c>
      <c r="F32" s="67" t="e">
        <f t="shared" ca="1" si="17"/>
        <v>#N/A</v>
      </c>
      <c r="G32" s="67" t="e">
        <f t="shared" ca="1" si="18"/>
        <v>#N/A</v>
      </c>
      <c r="H32" s="67" t="e">
        <f>IF('Demand background (hide)'!AN20&lt;&gt;"",'SPC background (hide)'!C32,NA())</f>
        <v>#N/A</v>
      </c>
      <c r="I32" s="67">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7" t="e">
        <f t="shared" ca="1" si="33"/>
        <v>#N/A</v>
      </c>
      <c r="T32" s="67">
        <f t="shared" ca="1" si="34"/>
        <v>1</v>
      </c>
      <c r="U32" s="67" t="e">
        <f t="shared" ca="1" si="35"/>
        <v>#N/A</v>
      </c>
      <c r="V32" s="5">
        <f t="shared" ca="1" si="14"/>
        <v>1</v>
      </c>
      <c r="W32" s="5" t="e">
        <f t="shared" ca="1" si="28"/>
        <v>#N/A</v>
      </c>
      <c r="X32" s="67">
        <f t="shared" ca="1" si="29"/>
        <v>1</v>
      </c>
      <c r="Y32" s="67" t="e">
        <f t="shared" ca="1" si="36"/>
        <v>#N/A</v>
      </c>
      <c r="Z32" s="67" t="e">
        <f t="shared" ca="1" si="37"/>
        <v>#N/A</v>
      </c>
      <c r="AA32" s="5" t="str">
        <f>IF(Setup!$I$15="Yes",'Demand background (hide)'!AJ20+'SPC background (hide)'!C32,"")</f>
        <v/>
      </c>
      <c r="AC32" s="5">
        <f t="shared" ca="1" si="30"/>
        <v>551.5</v>
      </c>
      <c r="AD32" s="5">
        <f t="shared" ca="1" si="31"/>
        <v>664</v>
      </c>
      <c r="AG32" s="67">
        <f t="shared" ca="1" si="12"/>
        <v>37</v>
      </c>
      <c r="AH32" s="67">
        <v>31</v>
      </c>
      <c r="AI32" s="67">
        <f t="shared" ca="1" si="4"/>
        <v>1</v>
      </c>
      <c r="AJ32" s="39">
        <f t="shared" ca="1" si="5"/>
        <v>141.67348608837972</v>
      </c>
      <c r="AK32" s="39">
        <f t="shared" ca="1" si="6"/>
        <v>69.979541734860845</v>
      </c>
      <c r="AL32" s="39">
        <f t="shared" ca="1" si="7"/>
        <v>211.65302782324056</v>
      </c>
      <c r="AM32" s="39">
        <f t="shared" ca="1" si="8"/>
        <v>353.32651391162028</v>
      </c>
      <c r="AN32" s="39">
        <f t="shared" ca="1" si="9"/>
        <v>495</v>
      </c>
      <c r="AO32" s="39">
        <f t="shared" ca="1" si="0"/>
        <v>636.67348608837972</v>
      </c>
      <c r="AP32" s="39">
        <f t="shared" ca="1" si="1"/>
        <v>778.34697217675944</v>
      </c>
      <c r="AQ32" s="39">
        <f t="shared" ca="1" si="2"/>
        <v>920.02045826513915</v>
      </c>
      <c r="AR32" s="5">
        <f t="shared" ca="1" si="10"/>
        <v>551.5</v>
      </c>
      <c r="AS32" s="5">
        <f t="shared" ca="1" si="3"/>
        <v>664</v>
      </c>
      <c r="AT32" s="5">
        <f t="shared" ca="1" si="11"/>
        <v>0</v>
      </c>
    </row>
    <row r="33" spans="1:46" x14ac:dyDescent="0.2">
      <c r="A33" s="67">
        <f ca="1">Demand!C30</f>
        <v>30</v>
      </c>
      <c r="B33" s="67">
        <v>18</v>
      </c>
      <c r="C33" s="5">
        <f ca="1">'Demand background (hide)'!Y21</f>
        <v>520</v>
      </c>
      <c r="D33" s="67">
        <f t="shared" si="15"/>
        <v>0</v>
      </c>
      <c r="E33" s="67" t="e">
        <f t="shared" ca="1" si="16"/>
        <v>#N/A</v>
      </c>
      <c r="F33" s="67" t="e">
        <f t="shared" ca="1" si="17"/>
        <v>#N/A</v>
      </c>
      <c r="G33" s="67" t="e">
        <f t="shared" ca="1" si="18"/>
        <v>#N/A</v>
      </c>
      <c r="H33" s="67" t="e">
        <f>IF('Demand background (hide)'!AN21&lt;&gt;"",'SPC background (hide)'!C33,NA())</f>
        <v>#N/A</v>
      </c>
      <c r="I33" s="67">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7" t="e">
        <f t="shared" ca="1" si="33"/>
        <v>#N/A</v>
      </c>
      <c r="T33" s="67">
        <f t="shared" ca="1" si="34"/>
        <v>1</v>
      </c>
      <c r="U33" s="67" t="e">
        <f t="shared" ca="1" si="35"/>
        <v>#N/A</v>
      </c>
      <c r="V33" s="5">
        <f t="shared" ca="1" si="14"/>
        <v>1</v>
      </c>
      <c r="W33" s="5" t="e">
        <f t="shared" ca="1" si="28"/>
        <v>#N/A</v>
      </c>
      <c r="X33" s="67">
        <f t="shared" ca="1" si="29"/>
        <v>-1</v>
      </c>
      <c r="Y33" s="67" t="e">
        <f t="shared" ca="1" si="36"/>
        <v>#N/A</v>
      </c>
      <c r="Z33" s="67" t="e">
        <f t="shared" ca="1" si="37"/>
        <v>#N/A</v>
      </c>
      <c r="AA33" s="5" t="str">
        <f>IF(Setup!$I$15="Yes",'Demand background (hide)'!AJ21+'SPC background (hide)'!C33,"")</f>
        <v/>
      </c>
      <c r="AC33" s="5">
        <f t="shared" ca="1" si="30"/>
        <v>551.5</v>
      </c>
      <c r="AD33" s="5">
        <f t="shared" ca="1" si="31"/>
        <v>664</v>
      </c>
      <c r="AG33" s="67">
        <f t="shared" ca="1" si="12"/>
        <v>38</v>
      </c>
      <c r="AH33" s="67">
        <v>32</v>
      </c>
      <c r="AI33" s="67">
        <f t="shared" ca="1" si="4"/>
        <v>1</v>
      </c>
      <c r="AJ33" s="39">
        <f t="shared" ca="1" si="5"/>
        <v>141.67348608837972</v>
      </c>
      <c r="AK33" s="39">
        <f t="shared" ca="1" si="6"/>
        <v>69.979541734860845</v>
      </c>
      <c r="AL33" s="39">
        <f t="shared" ca="1" si="7"/>
        <v>211.65302782324056</v>
      </c>
      <c r="AM33" s="39">
        <f t="shared" ca="1" si="8"/>
        <v>353.32651391162028</v>
      </c>
      <c r="AN33" s="39">
        <f t="shared" ca="1" si="9"/>
        <v>495</v>
      </c>
      <c r="AO33" s="39">
        <f t="shared" ca="1" si="0"/>
        <v>636.67348608837972</v>
      </c>
      <c r="AP33" s="39">
        <f t="shared" ca="1" si="1"/>
        <v>778.34697217675944</v>
      </c>
      <c r="AQ33" s="39">
        <f t="shared" ca="1" si="2"/>
        <v>920.02045826513915</v>
      </c>
      <c r="AR33" s="5">
        <f t="shared" ca="1" si="10"/>
        <v>551.5</v>
      </c>
      <c r="AS33" s="5">
        <f t="shared" ca="1" si="3"/>
        <v>664</v>
      </c>
      <c r="AT33" s="5">
        <f t="shared" ca="1" si="11"/>
        <v>0</v>
      </c>
    </row>
    <row r="34" spans="1:46" x14ac:dyDescent="0.2">
      <c r="A34" s="67">
        <f ca="1">Demand!C31</f>
        <v>31</v>
      </c>
      <c r="B34" s="67">
        <v>19</v>
      </c>
      <c r="C34" s="5">
        <f ca="1">'Demand background (hide)'!Y22</f>
        <v>600</v>
      </c>
      <c r="D34" s="67">
        <f t="shared" si="15"/>
        <v>0</v>
      </c>
      <c r="E34" s="67" t="e">
        <f t="shared" ca="1" si="16"/>
        <v>#N/A</v>
      </c>
      <c r="F34" s="67" t="e">
        <f t="shared" ca="1" si="17"/>
        <v>#N/A</v>
      </c>
      <c r="G34" s="67" t="e">
        <f t="shared" ca="1" si="18"/>
        <v>#N/A</v>
      </c>
      <c r="H34" s="67" t="e">
        <f>IF('Demand background (hide)'!AN22&lt;&gt;"",'SPC background (hide)'!C34,NA())</f>
        <v>#N/A</v>
      </c>
      <c r="I34" s="67">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7" t="e">
        <f t="shared" ca="1" si="33"/>
        <v>#N/A</v>
      </c>
      <c r="T34" s="67">
        <f t="shared" ca="1" si="34"/>
        <v>1</v>
      </c>
      <c r="U34" s="67" t="e">
        <f t="shared" ca="1" si="35"/>
        <v>#N/A</v>
      </c>
      <c r="V34" s="5">
        <f t="shared" ca="1" si="14"/>
        <v>1</v>
      </c>
      <c r="W34" s="5" t="e">
        <f t="shared" ca="1" si="28"/>
        <v>#N/A</v>
      </c>
      <c r="X34" s="67">
        <f t="shared" ca="1" si="29"/>
        <v>1</v>
      </c>
      <c r="Y34" s="67" t="e">
        <f t="shared" ca="1" si="36"/>
        <v>#N/A</v>
      </c>
      <c r="Z34" s="67" t="e">
        <f t="shared" ca="1" si="37"/>
        <v>#N/A</v>
      </c>
      <c r="AA34" s="5" t="str">
        <f>IF(Setup!$I$15="Yes",'Demand background (hide)'!AJ22+'SPC background (hide)'!C34,"")</f>
        <v/>
      </c>
      <c r="AC34" s="5">
        <f t="shared" ca="1" si="30"/>
        <v>551.5</v>
      </c>
      <c r="AD34" s="5">
        <f t="shared" ca="1" si="31"/>
        <v>664</v>
      </c>
      <c r="AG34" s="67">
        <f ca="1">IF(MOD(AG33+1,53)=0,53,MOD(AG33+1,53))</f>
        <v>39</v>
      </c>
      <c r="AH34" s="67">
        <v>33</v>
      </c>
      <c r="AI34" s="67">
        <f t="shared" ca="1" si="4"/>
        <v>1</v>
      </c>
      <c r="AJ34" s="39">
        <f t="shared" ca="1" si="5"/>
        <v>141.67348608837972</v>
      </c>
      <c r="AK34" s="39">
        <f t="shared" ca="1" si="6"/>
        <v>69.979541734860845</v>
      </c>
      <c r="AL34" s="39">
        <f t="shared" ca="1" si="7"/>
        <v>211.65302782324056</v>
      </c>
      <c r="AM34" s="39">
        <f t="shared" ca="1" si="8"/>
        <v>353.32651391162028</v>
      </c>
      <c r="AN34" s="39">
        <f t="shared" ca="1" si="9"/>
        <v>495</v>
      </c>
      <c r="AO34" s="39">
        <f t="shared" ca="1" si="0"/>
        <v>636.67348608837972</v>
      </c>
      <c r="AP34" s="39">
        <f t="shared" ca="1" si="1"/>
        <v>778.34697217675944</v>
      </c>
      <c r="AQ34" s="39">
        <f t="shared" ca="1" si="2"/>
        <v>920.02045826513915</v>
      </c>
      <c r="AR34" s="5">
        <f t="shared" ca="1" si="10"/>
        <v>551.5</v>
      </c>
      <c r="AS34" s="5">
        <f t="shared" ca="1" si="3"/>
        <v>664</v>
      </c>
      <c r="AT34" s="5">
        <f t="shared" ca="1" si="11"/>
        <v>0</v>
      </c>
    </row>
    <row r="35" spans="1:46" x14ac:dyDescent="0.2">
      <c r="A35" s="67">
        <f ca="1">Demand!C32</f>
        <v>32</v>
      </c>
      <c r="B35" s="67">
        <v>20</v>
      </c>
      <c r="C35" s="5">
        <f ca="1">'Demand background (hide)'!Y23</f>
        <v>710</v>
      </c>
      <c r="D35" s="67">
        <f t="shared" si="15"/>
        <v>0</v>
      </c>
      <c r="E35" s="67" t="e">
        <f t="shared" ca="1" si="16"/>
        <v>#N/A</v>
      </c>
      <c r="F35" s="67" t="e">
        <f t="shared" ca="1" si="17"/>
        <v>#N/A</v>
      </c>
      <c r="G35" s="67" t="e">
        <f t="shared" ca="1" si="18"/>
        <v>#N/A</v>
      </c>
      <c r="H35" s="67" t="e">
        <f>IF('Demand background (hide)'!AN23&lt;&gt;"",'SPC background (hide)'!C35,NA())</f>
        <v>#N/A</v>
      </c>
      <c r="I35" s="67">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7" t="e">
        <f t="shared" ca="1" si="33"/>
        <v>#N/A</v>
      </c>
      <c r="T35" s="67">
        <f t="shared" ca="1" si="34"/>
        <v>2</v>
      </c>
      <c r="U35" s="67" t="e">
        <f t="shared" ca="1" si="35"/>
        <v>#N/A</v>
      </c>
      <c r="V35" s="5">
        <f t="shared" ca="1" si="14"/>
        <v>1</v>
      </c>
      <c r="W35" s="5" t="e">
        <f t="shared" ca="1" si="28"/>
        <v>#N/A</v>
      </c>
      <c r="X35" s="67">
        <f t="shared" ca="1" si="29"/>
        <v>1</v>
      </c>
      <c r="Y35" s="67" t="e">
        <f t="shared" ca="1" si="36"/>
        <v>#N/A</v>
      </c>
      <c r="Z35" s="67" t="e">
        <f t="shared" ca="1" si="37"/>
        <v>#N/A</v>
      </c>
      <c r="AA35" s="5" t="str">
        <f>IF(Setup!$I$15="Yes",'Demand background (hide)'!AJ23+'SPC background (hide)'!C35,"")</f>
        <v/>
      </c>
      <c r="AC35" s="5">
        <f t="shared" ca="1" si="30"/>
        <v>551.5</v>
      </c>
      <c r="AD35" s="5">
        <f t="shared" ca="1" si="31"/>
        <v>664</v>
      </c>
      <c r="AG35" s="67">
        <f t="shared" ca="1" si="12"/>
        <v>40</v>
      </c>
      <c r="AH35" s="67">
        <v>34</v>
      </c>
      <c r="AI35" s="67">
        <f t="shared" ca="1" si="4"/>
        <v>1</v>
      </c>
      <c r="AJ35" s="39">
        <f t="shared" ca="1" si="5"/>
        <v>141.67348608837972</v>
      </c>
      <c r="AK35" s="39">
        <f t="shared" ca="1" si="6"/>
        <v>69.979541734860845</v>
      </c>
      <c r="AL35" s="39">
        <f t="shared" ca="1" si="7"/>
        <v>211.65302782324056</v>
      </c>
      <c r="AM35" s="39">
        <f t="shared" ca="1" si="8"/>
        <v>353.32651391162028</v>
      </c>
      <c r="AN35" s="39">
        <f t="shared" ca="1" si="9"/>
        <v>495</v>
      </c>
      <c r="AO35" s="39">
        <f t="shared" ca="1" si="0"/>
        <v>636.67348608837972</v>
      </c>
      <c r="AP35" s="39">
        <f t="shared" ca="1" si="1"/>
        <v>778.34697217675944</v>
      </c>
      <c r="AQ35" s="39">
        <f t="shared" ca="1" si="2"/>
        <v>920.02045826513915</v>
      </c>
      <c r="AR35" s="5">
        <f t="shared" ca="1" si="10"/>
        <v>551.5</v>
      </c>
      <c r="AS35" s="5">
        <f t="shared" ca="1" si="3"/>
        <v>664</v>
      </c>
      <c r="AT35" s="5">
        <f t="shared" ca="1" si="11"/>
        <v>0</v>
      </c>
    </row>
    <row r="36" spans="1:46" x14ac:dyDescent="0.2">
      <c r="A36" s="67">
        <f ca="1">Demand!C33</f>
        <v>33</v>
      </c>
      <c r="B36" s="67">
        <v>21</v>
      </c>
      <c r="C36" s="5">
        <f ca="1">'Demand background (hide)'!Y24</f>
        <v>670</v>
      </c>
      <c r="D36" s="67">
        <f t="shared" si="15"/>
        <v>0</v>
      </c>
      <c r="E36" s="67" t="e">
        <f t="shared" ca="1" si="16"/>
        <v>#N/A</v>
      </c>
      <c r="F36" s="67" t="e">
        <f t="shared" ca="1" si="17"/>
        <v>#N/A</v>
      </c>
      <c r="G36" s="67" t="e">
        <f t="shared" ca="1" si="18"/>
        <v>#N/A</v>
      </c>
      <c r="H36" s="67" t="e">
        <f>IF('Demand background (hide)'!AN24&lt;&gt;"",'SPC background (hide)'!C36,NA())</f>
        <v>#N/A</v>
      </c>
      <c r="I36" s="67">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7" t="e">
        <f t="shared" ca="1" si="33"/>
        <v>#N/A</v>
      </c>
      <c r="T36" s="67">
        <f t="shared" ca="1" si="34"/>
        <v>2</v>
      </c>
      <c r="U36" s="67" t="e">
        <f t="shared" ca="1" si="35"/>
        <v>#N/A</v>
      </c>
      <c r="V36" s="5">
        <f t="shared" ca="1" si="14"/>
        <v>1</v>
      </c>
      <c r="W36" s="5" t="e">
        <f t="shared" ca="1" si="28"/>
        <v>#N/A</v>
      </c>
      <c r="X36" s="67">
        <f t="shared" ca="1" si="29"/>
        <v>-1</v>
      </c>
      <c r="Y36" s="67" t="e">
        <f t="shared" ca="1" si="36"/>
        <v>#N/A</v>
      </c>
      <c r="Z36" s="67" t="e">
        <f t="shared" ca="1" si="37"/>
        <v>#N/A</v>
      </c>
      <c r="AA36" s="5" t="str">
        <f>IF(Setup!$I$15="Yes",'Demand background (hide)'!AJ24+'SPC background (hide)'!C36,"")</f>
        <v/>
      </c>
      <c r="AC36" s="5">
        <f t="shared" ca="1" si="30"/>
        <v>551.5</v>
      </c>
      <c r="AD36" s="5">
        <f t="shared" ca="1" si="31"/>
        <v>664</v>
      </c>
      <c r="AG36" s="67">
        <f t="shared" ca="1" si="12"/>
        <v>41</v>
      </c>
      <c r="AH36" s="67">
        <v>35</v>
      </c>
      <c r="AI36" s="67">
        <f t="shared" ca="1" si="4"/>
        <v>1</v>
      </c>
      <c r="AJ36" s="39">
        <f t="shared" ca="1" si="5"/>
        <v>141.67348608837972</v>
      </c>
      <c r="AK36" s="39">
        <f t="shared" ca="1" si="6"/>
        <v>69.979541734860845</v>
      </c>
      <c r="AL36" s="39">
        <f t="shared" ca="1" si="7"/>
        <v>211.65302782324056</v>
      </c>
      <c r="AM36" s="39">
        <f t="shared" ca="1" si="8"/>
        <v>353.32651391162028</v>
      </c>
      <c r="AN36" s="39">
        <f t="shared" ca="1" si="9"/>
        <v>495</v>
      </c>
      <c r="AO36" s="39">
        <f t="shared" ca="1" si="0"/>
        <v>636.67348608837972</v>
      </c>
      <c r="AP36" s="39">
        <f t="shared" ca="1" si="1"/>
        <v>778.34697217675944</v>
      </c>
      <c r="AQ36" s="39">
        <f t="shared" ca="1" si="2"/>
        <v>920.02045826513915</v>
      </c>
      <c r="AR36" s="5">
        <f t="shared" ca="1" si="10"/>
        <v>551.5</v>
      </c>
      <c r="AS36" s="5">
        <f t="shared" ca="1" si="3"/>
        <v>664</v>
      </c>
      <c r="AT36" s="5">
        <f t="shared" ca="1" si="11"/>
        <v>0</v>
      </c>
    </row>
    <row r="37" spans="1:46" x14ac:dyDescent="0.2">
      <c r="A37" s="67">
        <f ca="1">Demand!C34</f>
        <v>34</v>
      </c>
      <c r="B37" s="67">
        <v>22</v>
      </c>
      <c r="C37" s="5">
        <f ca="1">'Demand background (hide)'!Y25</f>
        <v>600</v>
      </c>
      <c r="D37" s="67">
        <f t="shared" si="15"/>
        <v>0</v>
      </c>
      <c r="E37" s="67" t="e">
        <f t="shared" ca="1" si="16"/>
        <v>#N/A</v>
      </c>
      <c r="F37" s="67" t="e">
        <f t="shared" ca="1" si="17"/>
        <v>#N/A</v>
      </c>
      <c r="G37" s="67" t="e">
        <f t="shared" ca="1" si="18"/>
        <v>#N/A</v>
      </c>
      <c r="H37" s="67" t="e">
        <f>IF('Demand background (hide)'!AN25&lt;&gt;"",'SPC background (hide)'!C37,NA())</f>
        <v>#N/A</v>
      </c>
      <c r="I37" s="67">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7" t="e">
        <f t="shared" ca="1" si="33"/>
        <v>#N/A</v>
      </c>
      <c r="T37" s="67">
        <f t="shared" ca="1" si="34"/>
        <v>1</v>
      </c>
      <c r="U37" s="67" t="e">
        <f t="shared" ca="1" si="35"/>
        <v>#N/A</v>
      </c>
      <c r="V37" s="5">
        <f t="shared" ca="1" si="14"/>
        <v>1</v>
      </c>
      <c r="W37" s="5" t="e">
        <f t="shared" ca="1" si="28"/>
        <v>#N/A</v>
      </c>
      <c r="X37" s="67">
        <f t="shared" ca="1" si="29"/>
        <v>-1</v>
      </c>
      <c r="Y37" s="67" t="e">
        <f t="shared" ca="1" si="36"/>
        <v>#N/A</v>
      </c>
      <c r="Z37" s="67" t="e">
        <f t="shared" ca="1" si="37"/>
        <v>#N/A</v>
      </c>
      <c r="AA37" s="5" t="str">
        <f>IF(Setup!$I$15="Yes",'Demand background (hide)'!AJ25+'SPC background (hide)'!C37,"")</f>
        <v/>
      </c>
      <c r="AC37" s="5">
        <f t="shared" ca="1" si="30"/>
        <v>551.5</v>
      </c>
      <c r="AD37" s="5">
        <f t="shared" ca="1" si="31"/>
        <v>664</v>
      </c>
      <c r="AG37" s="67">
        <f t="shared" ca="1" si="12"/>
        <v>42</v>
      </c>
      <c r="AH37" s="67">
        <v>36</v>
      </c>
      <c r="AI37" s="67">
        <f t="shared" ca="1" si="4"/>
        <v>1</v>
      </c>
      <c r="AJ37" s="39">
        <f t="shared" ca="1" si="5"/>
        <v>141.67348608837972</v>
      </c>
      <c r="AK37" s="39">
        <f t="shared" ca="1" si="6"/>
        <v>69.979541734860845</v>
      </c>
      <c r="AL37" s="39">
        <f t="shared" ca="1" si="7"/>
        <v>211.65302782324056</v>
      </c>
      <c r="AM37" s="39">
        <f t="shared" ca="1" si="8"/>
        <v>353.32651391162028</v>
      </c>
      <c r="AN37" s="39">
        <f t="shared" ca="1" si="9"/>
        <v>495</v>
      </c>
      <c r="AO37" s="39">
        <f t="shared" ca="1" si="0"/>
        <v>636.67348608837972</v>
      </c>
      <c r="AP37" s="39">
        <f t="shared" ca="1" si="1"/>
        <v>778.34697217675944</v>
      </c>
      <c r="AQ37" s="39">
        <f t="shared" ca="1" si="2"/>
        <v>920.02045826513915</v>
      </c>
      <c r="AR37" s="5">
        <f t="shared" ca="1" si="10"/>
        <v>551.5</v>
      </c>
      <c r="AS37" s="5">
        <f t="shared" ca="1" si="3"/>
        <v>664</v>
      </c>
      <c r="AT37" s="5">
        <f t="shared" ca="1" si="11"/>
        <v>0</v>
      </c>
    </row>
    <row r="38" spans="1:46" x14ac:dyDescent="0.2">
      <c r="A38" s="67">
        <f ca="1">Demand!C35</f>
        <v>35</v>
      </c>
      <c r="B38" s="67">
        <v>23</v>
      </c>
      <c r="C38" s="5">
        <f ca="1">'Demand background (hide)'!Y26</f>
        <v>660</v>
      </c>
      <c r="D38" s="67">
        <f t="shared" si="15"/>
        <v>0</v>
      </c>
      <c r="E38" s="67" t="e">
        <f t="shared" ca="1" si="16"/>
        <v>#N/A</v>
      </c>
      <c r="F38" s="67" t="e">
        <f t="shared" ca="1" si="17"/>
        <v>#N/A</v>
      </c>
      <c r="G38" s="67" t="e">
        <f t="shared" ca="1" si="18"/>
        <v>#N/A</v>
      </c>
      <c r="H38" s="67" t="e">
        <f>IF('Demand background (hide)'!AN26&lt;&gt;"",'SPC background (hide)'!C38,NA())</f>
        <v>#N/A</v>
      </c>
      <c r="I38" s="67">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7" t="e">
        <f t="shared" ca="1" si="33"/>
        <v>#N/A</v>
      </c>
      <c r="T38" s="67">
        <f t="shared" ca="1" si="34"/>
        <v>2</v>
      </c>
      <c r="U38" s="67" t="e">
        <f t="shared" ca="1" si="35"/>
        <v>#N/A</v>
      </c>
      <c r="V38" s="5">
        <f t="shared" ca="1" si="14"/>
        <v>1</v>
      </c>
      <c r="W38" s="5" t="e">
        <f t="shared" ca="1" si="28"/>
        <v>#N/A</v>
      </c>
      <c r="X38" s="67">
        <f t="shared" ca="1" si="29"/>
        <v>1</v>
      </c>
      <c r="Y38" s="67" t="e">
        <f t="shared" ca="1" si="36"/>
        <v>#N/A</v>
      </c>
      <c r="Z38" s="67" t="e">
        <f t="shared" ca="1" si="37"/>
        <v>#N/A</v>
      </c>
      <c r="AA38" s="5" t="str">
        <f>IF(Setup!$I$15="Yes",'Demand background (hide)'!AJ26+'SPC background (hide)'!C38,"")</f>
        <v/>
      </c>
      <c r="AC38" s="5">
        <f t="shared" ca="1" si="30"/>
        <v>551.5</v>
      </c>
      <c r="AD38" s="5">
        <f t="shared" ca="1" si="31"/>
        <v>664</v>
      </c>
      <c r="AG38" s="67">
        <f t="shared" ca="1" si="12"/>
        <v>43</v>
      </c>
      <c r="AH38" s="67">
        <v>37</v>
      </c>
      <c r="AI38" s="67">
        <f t="shared" ca="1" si="4"/>
        <v>1</v>
      </c>
      <c r="AJ38" s="39">
        <f t="shared" ca="1" si="5"/>
        <v>141.67348608837972</v>
      </c>
      <c r="AK38" s="39">
        <f t="shared" ca="1" si="6"/>
        <v>69.979541734860845</v>
      </c>
      <c r="AL38" s="39">
        <f t="shared" ca="1" si="7"/>
        <v>211.65302782324056</v>
      </c>
      <c r="AM38" s="39">
        <f t="shared" ca="1" si="8"/>
        <v>353.32651391162028</v>
      </c>
      <c r="AN38" s="39">
        <f t="shared" ca="1" si="9"/>
        <v>495</v>
      </c>
      <c r="AO38" s="39">
        <f t="shared" ca="1" si="0"/>
        <v>636.67348608837972</v>
      </c>
      <c r="AP38" s="39">
        <f t="shared" ca="1" si="1"/>
        <v>778.34697217675944</v>
      </c>
      <c r="AQ38" s="39">
        <f t="shared" ca="1" si="2"/>
        <v>920.02045826513915</v>
      </c>
      <c r="AR38" s="5">
        <f t="shared" ca="1" si="10"/>
        <v>551.5</v>
      </c>
      <c r="AS38" s="5">
        <f t="shared" ca="1" si="3"/>
        <v>664</v>
      </c>
      <c r="AT38" s="5">
        <f t="shared" ca="1" si="11"/>
        <v>0</v>
      </c>
    </row>
    <row r="39" spans="1:46" x14ac:dyDescent="0.2">
      <c r="A39" s="67">
        <f ca="1">Demand!C36</f>
        <v>36</v>
      </c>
      <c r="B39" s="67">
        <v>24</v>
      </c>
      <c r="C39" s="5">
        <f ca="1">'Demand background (hide)'!Y27</f>
        <v>420</v>
      </c>
      <c r="D39" s="67">
        <f t="shared" si="15"/>
        <v>0</v>
      </c>
      <c r="E39" s="67" t="e">
        <f t="shared" ca="1" si="16"/>
        <v>#N/A</v>
      </c>
      <c r="F39" s="67" t="e">
        <f t="shared" ca="1" si="17"/>
        <v>#N/A</v>
      </c>
      <c r="G39" s="67" t="e">
        <f t="shared" ca="1" si="18"/>
        <v>#N/A</v>
      </c>
      <c r="H39" s="67" t="e">
        <f>IF('Demand background (hide)'!AN27&lt;&gt;"",'SPC background (hide)'!C39,NA())</f>
        <v>#N/A</v>
      </c>
      <c r="I39" s="67">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7" t="e">
        <f t="shared" ca="1" si="33"/>
        <v>#N/A</v>
      </c>
      <c r="T39" s="67">
        <f t="shared" ca="1" si="34"/>
        <v>-1</v>
      </c>
      <c r="U39" s="67" t="e">
        <f t="shared" ca="1" si="35"/>
        <v>#N/A</v>
      </c>
      <c r="V39" s="5">
        <f t="shared" ca="1" si="14"/>
        <v>-1</v>
      </c>
      <c r="W39" s="5" t="e">
        <f t="shared" ca="1" si="28"/>
        <v>#N/A</v>
      </c>
      <c r="X39" s="67">
        <f t="shared" ca="1" si="29"/>
        <v>-1</v>
      </c>
      <c r="Y39" s="67" t="e">
        <f t="shared" ca="1" si="36"/>
        <v>#N/A</v>
      </c>
      <c r="Z39" s="67" t="e">
        <f t="shared" ca="1" si="37"/>
        <v>#N/A</v>
      </c>
      <c r="AA39" s="5" t="str">
        <f>IF(Setup!$I$15="Yes",'Demand background (hide)'!AJ27+'SPC background (hide)'!C39,"")</f>
        <v/>
      </c>
      <c r="AC39" s="5">
        <f t="shared" ca="1" si="30"/>
        <v>551.5</v>
      </c>
      <c r="AD39" s="5">
        <f t="shared" ca="1" si="31"/>
        <v>664</v>
      </c>
      <c r="AG39" s="67">
        <f t="shared" ca="1" si="12"/>
        <v>44</v>
      </c>
      <c r="AH39" s="67">
        <v>38</v>
      </c>
      <c r="AI39" s="67">
        <f t="shared" ca="1" si="4"/>
        <v>1</v>
      </c>
      <c r="AJ39" s="39">
        <f t="shared" ca="1" si="5"/>
        <v>141.67348608837972</v>
      </c>
      <c r="AK39" s="39">
        <f t="shared" ca="1" si="6"/>
        <v>69.979541734860845</v>
      </c>
      <c r="AL39" s="39">
        <f t="shared" ca="1" si="7"/>
        <v>211.65302782324056</v>
      </c>
      <c r="AM39" s="39">
        <f t="shared" ca="1" si="8"/>
        <v>353.32651391162028</v>
      </c>
      <c r="AN39" s="39">
        <f t="shared" ca="1" si="9"/>
        <v>495</v>
      </c>
      <c r="AO39" s="39">
        <f t="shared" ca="1" si="0"/>
        <v>636.67348608837972</v>
      </c>
      <c r="AP39" s="39">
        <f t="shared" ca="1" si="1"/>
        <v>778.34697217675944</v>
      </c>
      <c r="AQ39" s="39">
        <f t="shared" ca="1" si="2"/>
        <v>920.02045826513915</v>
      </c>
      <c r="AR39" s="5">
        <f t="shared" ca="1" si="10"/>
        <v>551.5</v>
      </c>
      <c r="AS39" s="5">
        <f t="shared" ca="1" si="3"/>
        <v>664</v>
      </c>
      <c r="AT39" s="5">
        <f t="shared" ca="1" si="11"/>
        <v>0</v>
      </c>
    </row>
    <row r="40" spans="1:46" x14ac:dyDescent="0.2">
      <c r="A40" s="67">
        <f ca="1">Demand!C37</f>
        <v>37</v>
      </c>
      <c r="B40" s="67">
        <v>25</v>
      </c>
      <c r="C40" s="5">
        <f ca="1">'Demand background (hide)'!Y28</f>
        <v>730</v>
      </c>
      <c r="D40" s="67">
        <f t="shared" si="15"/>
        <v>0</v>
      </c>
      <c r="E40" s="67" t="e">
        <f t="shared" ca="1" si="16"/>
        <v>#N/A</v>
      </c>
      <c r="F40" s="67" t="e">
        <f t="shared" ca="1" si="17"/>
        <v>#N/A</v>
      </c>
      <c r="G40" s="67" t="e">
        <f t="shared" ca="1" si="18"/>
        <v>#N/A</v>
      </c>
      <c r="H40" s="67" t="e">
        <f>IF('Demand background (hide)'!AN28&lt;&gt;"",'SPC background (hide)'!C40,NA())</f>
        <v>#N/A</v>
      </c>
      <c r="I40" s="67">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7" t="e">
        <f t="shared" ca="1" si="33"/>
        <v>#N/A</v>
      </c>
      <c r="T40" s="67">
        <f t="shared" ca="1" si="34"/>
        <v>2</v>
      </c>
      <c r="U40" s="67" t="e">
        <f t="shared" ca="1" si="35"/>
        <v>#N/A</v>
      </c>
      <c r="V40" s="5">
        <f t="shared" ca="1" si="14"/>
        <v>1</v>
      </c>
      <c r="W40" s="5" t="e">
        <f t="shared" ca="1" si="28"/>
        <v>#N/A</v>
      </c>
      <c r="X40" s="67">
        <f t="shared" ca="1" si="29"/>
        <v>1</v>
      </c>
      <c r="Y40" s="67" t="e">
        <f t="shared" ca="1" si="36"/>
        <v>#N/A</v>
      </c>
      <c r="Z40" s="67" t="e">
        <f t="shared" ca="1" si="37"/>
        <v>#N/A</v>
      </c>
      <c r="AA40" s="5" t="str">
        <f>IF(Setup!$I$15="Yes",'Demand background (hide)'!AJ28+'SPC background (hide)'!C40,"")</f>
        <v/>
      </c>
      <c r="AC40" s="5">
        <f t="shared" ca="1" si="30"/>
        <v>551.5</v>
      </c>
      <c r="AD40" s="5">
        <f t="shared" ca="1" si="31"/>
        <v>664</v>
      </c>
      <c r="AG40" s="67">
        <f t="shared" ca="1" si="12"/>
        <v>45</v>
      </c>
      <c r="AH40" s="67">
        <v>39</v>
      </c>
      <c r="AI40" s="67">
        <f t="shared" ca="1" si="4"/>
        <v>1</v>
      </c>
      <c r="AJ40" s="39">
        <f t="shared" ca="1" si="5"/>
        <v>141.67348608837972</v>
      </c>
      <c r="AK40" s="39">
        <f t="shared" ca="1" si="6"/>
        <v>69.979541734860845</v>
      </c>
      <c r="AL40" s="39">
        <f t="shared" ca="1" si="7"/>
        <v>211.65302782324056</v>
      </c>
      <c r="AM40" s="39">
        <f t="shared" ca="1" si="8"/>
        <v>353.32651391162028</v>
      </c>
      <c r="AN40" s="39">
        <f t="shared" ca="1" si="9"/>
        <v>495</v>
      </c>
      <c r="AO40" s="39">
        <f t="shared" ca="1" si="0"/>
        <v>636.67348608837972</v>
      </c>
      <c r="AP40" s="39">
        <f t="shared" ca="1" si="1"/>
        <v>778.34697217675944</v>
      </c>
      <c r="AQ40" s="39">
        <f t="shared" ca="1" si="2"/>
        <v>920.02045826513915</v>
      </c>
      <c r="AR40" s="5">
        <f t="shared" ca="1" si="10"/>
        <v>551.5</v>
      </c>
      <c r="AS40" s="5">
        <f t="shared" ca="1" si="3"/>
        <v>664</v>
      </c>
      <c r="AT40" s="5">
        <f t="shared" ca="1" si="11"/>
        <v>0</v>
      </c>
    </row>
    <row r="41" spans="1:46" x14ac:dyDescent="0.2">
      <c r="A41" s="67">
        <f ca="1">Demand!C38</f>
        <v>38</v>
      </c>
      <c r="B41" s="67">
        <v>26</v>
      </c>
      <c r="C41" s="5">
        <f ca="1">'Demand background (hide)'!Y29</f>
        <v>670</v>
      </c>
      <c r="D41" s="67">
        <f t="shared" si="15"/>
        <v>0</v>
      </c>
      <c r="E41" s="67" t="e">
        <f t="shared" ca="1" si="16"/>
        <v>#N/A</v>
      </c>
      <c r="F41" s="67" t="e">
        <f t="shared" ca="1" si="17"/>
        <v>#N/A</v>
      </c>
      <c r="G41" s="67" t="e">
        <f t="shared" ca="1" si="18"/>
        <v>#N/A</v>
      </c>
      <c r="H41" s="67" t="e">
        <f>IF('Demand background (hide)'!AN29&lt;&gt;"",'SPC background (hide)'!C41,NA())</f>
        <v>#N/A</v>
      </c>
      <c r="I41" s="67">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7" t="e">
        <f t="shared" ca="1" si="33"/>
        <v>#N/A</v>
      </c>
      <c r="T41" s="67">
        <f t="shared" ca="1" si="34"/>
        <v>2</v>
      </c>
      <c r="U41" s="67" t="e">
        <f t="shared" ca="1" si="35"/>
        <v>#N/A</v>
      </c>
      <c r="V41" s="5">
        <f t="shared" ca="1" si="14"/>
        <v>1</v>
      </c>
      <c r="W41" s="5" t="e">
        <f t="shared" ca="1" si="28"/>
        <v>#N/A</v>
      </c>
      <c r="X41" s="67">
        <f t="shared" ca="1" si="29"/>
        <v>-1</v>
      </c>
      <c r="Y41" s="67" t="e">
        <f t="shared" ca="1" si="36"/>
        <v>#N/A</v>
      </c>
      <c r="Z41" s="67" t="e">
        <f t="shared" ca="1" si="37"/>
        <v>#N/A</v>
      </c>
      <c r="AA41" s="5" t="str">
        <f>IF(Setup!$I$15="Yes",'Demand background (hide)'!AJ29+'SPC background (hide)'!C41,"")</f>
        <v/>
      </c>
      <c r="AC41" s="5">
        <f t="shared" ca="1" si="30"/>
        <v>551.5</v>
      </c>
      <c r="AD41" s="5">
        <f t="shared" ca="1" si="31"/>
        <v>664</v>
      </c>
      <c r="AG41" s="67">
        <f t="shared" ca="1" si="12"/>
        <v>46</v>
      </c>
      <c r="AH41" s="67">
        <v>40</v>
      </c>
      <c r="AI41" s="67">
        <f t="shared" ca="1" si="4"/>
        <v>1</v>
      </c>
      <c r="AJ41" s="39">
        <f t="shared" ca="1" si="5"/>
        <v>141.67348608837972</v>
      </c>
      <c r="AK41" s="39">
        <f t="shared" ca="1" si="6"/>
        <v>69.979541734860845</v>
      </c>
      <c r="AL41" s="39">
        <f t="shared" ca="1" si="7"/>
        <v>211.65302782324056</v>
      </c>
      <c r="AM41" s="39">
        <f t="shared" ca="1" si="8"/>
        <v>353.32651391162028</v>
      </c>
      <c r="AN41" s="39">
        <f t="shared" ca="1" si="9"/>
        <v>495</v>
      </c>
      <c r="AO41" s="39">
        <f t="shared" ca="1" si="0"/>
        <v>636.67348608837972</v>
      </c>
      <c r="AP41" s="39">
        <f t="shared" ca="1" si="1"/>
        <v>778.34697217675944</v>
      </c>
      <c r="AQ41" s="39">
        <f t="shared" ca="1" si="2"/>
        <v>920.02045826513915</v>
      </c>
      <c r="AR41" s="5">
        <f t="shared" ca="1" si="10"/>
        <v>551.5</v>
      </c>
      <c r="AS41" s="5">
        <f t="shared" ca="1" si="3"/>
        <v>664</v>
      </c>
      <c r="AT41" s="5">
        <f t="shared" ca="1" si="11"/>
        <v>0</v>
      </c>
    </row>
    <row r="42" spans="1:46" x14ac:dyDescent="0.2">
      <c r="A42" s="67">
        <f ca="1">Demand!C39</f>
        <v>39</v>
      </c>
      <c r="B42" s="67">
        <v>27</v>
      </c>
      <c r="C42" s="5">
        <f ca="1">'Demand background (hide)'!Y30</f>
        <v>580</v>
      </c>
      <c r="D42" s="67">
        <f t="shared" si="15"/>
        <v>0</v>
      </c>
      <c r="E42" s="67" t="e">
        <f t="shared" ca="1" si="16"/>
        <v>#N/A</v>
      </c>
      <c r="F42" s="67" t="e">
        <f t="shared" ca="1" si="17"/>
        <v>#N/A</v>
      </c>
      <c r="G42" s="67" t="e">
        <f t="shared" ca="1" si="18"/>
        <v>#N/A</v>
      </c>
      <c r="H42" s="67" t="e">
        <f>IF('Demand background (hide)'!AN30&lt;&gt;"",'SPC background (hide)'!C42,NA())</f>
        <v>#N/A</v>
      </c>
      <c r="I42" s="67">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7" t="e">
        <f t="shared" ca="1" si="33"/>
        <v>#N/A</v>
      </c>
      <c r="T42" s="67">
        <f t="shared" ca="1" si="34"/>
        <v>1</v>
      </c>
      <c r="U42" s="67" t="e">
        <f t="shared" ca="1" si="35"/>
        <v>#N/A</v>
      </c>
      <c r="V42" s="5">
        <f t="shared" ca="1" si="14"/>
        <v>1</v>
      </c>
      <c r="W42" s="5" t="e">
        <f t="shared" ca="1" si="28"/>
        <v>#N/A</v>
      </c>
      <c r="X42" s="67">
        <f t="shared" ca="1" si="29"/>
        <v>-1</v>
      </c>
      <c r="Y42" s="67" t="e">
        <f t="shared" ca="1" si="36"/>
        <v>#N/A</v>
      </c>
      <c r="Z42" s="67" t="e">
        <f t="shared" ca="1" si="37"/>
        <v>#N/A</v>
      </c>
      <c r="AA42" s="5" t="str">
        <f>IF(Setup!$I$15="Yes",'Demand background (hide)'!AJ30+'SPC background (hide)'!C42,"")</f>
        <v/>
      </c>
      <c r="AC42" s="5">
        <f t="shared" ca="1" si="30"/>
        <v>551.5</v>
      </c>
      <c r="AD42" s="5">
        <f t="shared" ca="1" si="31"/>
        <v>664</v>
      </c>
      <c r="AG42" s="67">
        <f t="shared" ca="1" si="12"/>
        <v>47</v>
      </c>
      <c r="AH42" s="67">
        <v>41</v>
      </c>
      <c r="AI42" s="67">
        <f t="shared" ca="1" si="4"/>
        <v>1</v>
      </c>
      <c r="AJ42" s="39">
        <f t="shared" ca="1" si="5"/>
        <v>141.67348608837972</v>
      </c>
      <c r="AK42" s="39">
        <f t="shared" ca="1" si="6"/>
        <v>69.979541734860845</v>
      </c>
      <c r="AL42" s="39">
        <f t="shared" ca="1" si="7"/>
        <v>211.65302782324056</v>
      </c>
      <c r="AM42" s="39">
        <f t="shared" ca="1" si="8"/>
        <v>353.32651391162028</v>
      </c>
      <c r="AN42" s="39">
        <f t="shared" ca="1" si="9"/>
        <v>495</v>
      </c>
      <c r="AO42" s="39">
        <f t="shared" ca="1" si="0"/>
        <v>636.67348608837972</v>
      </c>
      <c r="AP42" s="39">
        <f t="shared" ca="1" si="1"/>
        <v>778.34697217675944</v>
      </c>
      <c r="AQ42" s="39">
        <f t="shared" ca="1" si="2"/>
        <v>920.02045826513915</v>
      </c>
      <c r="AR42" s="5">
        <f t="shared" ca="1" si="10"/>
        <v>551.5</v>
      </c>
      <c r="AS42" s="5">
        <f t="shared" ca="1" si="3"/>
        <v>664</v>
      </c>
      <c r="AT42" s="5">
        <f t="shared" ca="1" si="11"/>
        <v>0</v>
      </c>
    </row>
    <row r="43" spans="1:46" x14ac:dyDescent="0.2">
      <c r="A43" s="67">
        <f ca="1">Demand!C40</f>
        <v>40</v>
      </c>
      <c r="B43" s="67">
        <v>28</v>
      </c>
      <c r="C43" s="5">
        <f ca="1">'Demand background (hide)'!Y31</f>
        <v>290</v>
      </c>
      <c r="D43" s="67">
        <f t="shared" si="15"/>
        <v>0</v>
      </c>
      <c r="E43" s="67" t="e">
        <f t="shared" ca="1" si="16"/>
        <v>#N/A</v>
      </c>
      <c r="F43" s="67" t="e">
        <f t="shared" ca="1" si="17"/>
        <v>#N/A</v>
      </c>
      <c r="G43" s="67" t="e">
        <f t="shared" ca="1" si="18"/>
        <v>#N/A</v>
      </c>
      <c r="H43" s="67" t="e">
        <f>IF('Demand background (hide)'!AN31&lt;&gt;"",'SPC background (hide)'!C43,NA())</f>
        <v>#N/A</v>
      </c>
      <c r="I43" s="67">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7" t="e">
        <f t="shared" ca="1" si="33"/>
        <v>#N/A</v>
      </c>
      <c r="T43" s="67">
        <f t="shared" ca="1" si="34"/>
        <v>-2</v>
      </c>
      <c r="U43" s="67" t="e">
        <f t="shared" ca="1" si="35"/>
        <v>#N/A</v>
      </c>
      <c r="V43" s="5">
        <f t="shared" ca="1" si="14"/>
        <v>-1</v>
      </c>
      <c r="W43" s="5" t="e">
        <f t="shared" ca="1" si="28"/>
        <v>#N/A</v>
      </c>
      <c r="X43" s="67">
        <f t="shared" ca="1" si="29"/>
        <v>-1</v>
      </c>
      <c r="Y43" s="67" t="e">
        <f t="shared" ca="1" si="36"/>
        <v>#N/A</v>
      </c>
      <c r="Z43" s="67" t="e">
        <f t="shared" ca="1" si="37"/>
        <v>#N/A</v>
      </c>
      <c r="AA43" s="5" t="str">
        <f>IF(Setup!$I$15="Yes",'Demand background (hide)'!AJ31+'SPC background (hide)'!C43,"")</f>
        <v/>
      </c>
      <c r="AC43" s="5">
        <f t="shared" ca="1" si="30"/>
        <v>551.5</v>
      </c>
      <c r="AD43" s="5">
        <f t="shared" ca="1" si="31"/>
        <v>664</v>
      </c>
      <c r="AG43" s="67">
        <f t="shared" ca="1" si="12"/>
        <v>48</v>
      </c>
      <c r="AH43" s="67">
        <v>42</v>
      </c>
      <c r="AI43" s="67">
        <f t="shared" ca="1" si="4"/>
        <v>1</v>
      </c>
      <c r="AJ43" s="39">
        <f t="shared" ca="1" si="5"/>
        <v>141.67348608837972</v>
      </c>
      <c r="AK43" s="39">
        <f t="shared" ca="1" si="6"/>
        <v>69.979541734860845</v>
      </c>
      <c r="AL43" s="39">
        <f t="shared" ca="1" si="7"/>
        <v>211.65302782324056</v>
      </c>
      <c r="AM43" s="39">
        <f t="shared" ca="1" si="8"/>
        <v>353.32651391162028</v>
      </c>
      <c r="AN43" s="39">
        <f t="shared" ca="1" si="9"/>
        <v>495</v>
      </c>
      <c r="AO43" s="39">
        <f t="shared" ca="1" si="0"/>
        <v>636.67348608837972</v>
      </c>
      <c r="AP43" s="39">
        <f t="shared" ca="1" si="1"/>
        <v>778.34697217675944</v>
      </c>
      <c r="AQ43" s="39">
        <f t="shared" ca="1" si="2"/>
        <v>920.02045826513915</v>
      </c>
      <c r="AR43" s="5">
        <f t="shared" ca="1" si="10"/>
        <v>551.5</v>
      </c>
      <c r="AS43" s="5">
        <f t="shared" ca="1" si="3"/>
        <v>664</v>
      </c>
      <c r="AT43" s="5">
        <f t="shared" ca="1" si="11"/>
        <v>0</v>
      </c>
    </row>
    <row r="44" spans="1:46" x14ac:dyDescent="0.2">
      <c r="A44" s="67">
        <f ca="1">Demand!C41</f>
        <v>41</v>
      </c>
      <c r="B44" s="67">
        <v>29</v>
      </c>
      <c r="C44" s="5">
        <f ca="1">'Demand background (hide)'!Y32</f>
        <v>530</v>
      </c>
      <c r="D44" s="67">
        <f t="shared" si="15"/>
        <v>0</v>
      </c>
      <c r="E44" s="67" t="e">
        <f t="shared" ca="1" si="16"/>
        <v>#N/A</v>
      </c>
      <c r="F44" s="67" t="e">
        <f t="shared" ca="1" si="17"/>
        <v>#N/A</v>
      </c>
      <c r="G44" s="67" t="e">
        <f t="shared" ca="1" si="18"/>
        <v>#N/A</v>
      </c>
      <c r="H44" s="67" t="e">
        <f>IF('Demand background (hide)'!AN32&lt;&gt;"",'SPC background (hide)'!C44,NA())</f>
        <v>#N/A</v>
      </c>
      <c r="I44" s="67">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7" t="e">
        <f t="shared" ca="1" si="33"/>
        <v>#N/A</v>
      </c>
      <c r="T44" s="67">
        <f t="shared" ca="1" si="34"/>
        <v>1</v>
      </c>
      <c r="U44" s="67" t="e">
        <f t="shared" ca="1" si="35"/>
        <v>#N/A</v>
      </c>
      <c r="V44" s="5">
        <f t="shared" ca="1" si="14"/>
        <v>1</v>
      </c>
      <c r="W44" s="5" t="e">
        <f t="shared" ca="1" si="28"/>
        <v>#N/A</v>
      </c>
      <c r="X44" s="67">
        <f t="shared" ca="1" si="29"/>
        <v>1</v>
      </c>
      <c r="Y44" s="67" t="e">
        <f t="shared" ca="1" si="36"/>
        <v>#N/A</v>
      </c>
      <c r="Z44" s="67" t="e">
        <f t="shared" ca="1" si="37"/>
        <v>#N/A</v>
      </c>
      <c r="AA44" s="5" t="str">
        <f>IF(Setup!$I$15="Yes",'Demand background (hide)'!AJ32+'SPC background (hide)'!C44,"")</f>
        <v/>
      </c>
      <c r="AC44" s="5">
        <f t="shared" ca="1" si="30"/>
        <v>551.5</v>
      </c>
      <c r="AD44" s="5">
        <f t="shared" ca="1" si="31"/>
        <v>664</v>
      </c>
      <c r="AG44" s="67">
        <f t="shared" ca="1" si="12"/>
        <v>49</v>
      </c>
      <c r="AH44" s="67">
        <v>43</v>
      </c>
      <c r="AI44" s="67">
        <f t="shared" ca="1" si="4"/>
        <v>1</v>
      </c>
      <c r="AJ44" s="39">
        <f t="shared" ca="1" si="5"/>
        <v>141.67348608837972</v>
      </c>
      <c r="AK44" s="39">
        <f t="shared" ca="1" si="6"/>
        <v>69.979541734860845</v>
      </c>
      <c r="AL44" s="39">
        <f t="shared" ca="1" si="7"/>
        <v>211.65302782324056</v>
      </c>
      <c r="AM44" s="39">
        <f t="shared" ca="1" si="8"/>
        <v>353.32651391162028</v>
      </c>
      <c r="AN44" s="39">
        <f t="shared" ca="1" si="9"/>
        <v>495</v>
      </c>
      <c r="AO44" s="39">
        <f t="shared" ca="1" si="0"/>
        <v>636.67348608837972</v>
      </c>
      <c r="AP44" s="39">
        <f t="shared" ca="1" si="1"/>
        <v>778.34697217675944</v>
      </c>
      <c r="AQ44" s="39">
        <f t="shared" ca="1" si="2"/>
        <v>920.02045826513915</v>
      </c>
      <c r="AR44" s="5">
        <f t="shared" ca="1" si="10"/>
        <v>551.5</v>
      </c>
      <c r="AS44" s="5">
        <f t="shared" ca="1" si="3"/>
        <v>664</v>
      </c>
      <c r="AT44" s="5">
        <f t="shared" ca="1" si="11"/>
        <v>0</v>
      </c>
    </row>
    <row r="45" spans="1:46" x14ac:dyDescent="0.2">
      <c r="A45" s="67">
        <f ca="1">Demand!C42</f>
        <v>42</v>
      </c>
      <c r="B45" s="67">
        <v>30</v>
      </c>
      <c r="C45" s="5">
        <f ca="1">'Demand background (hide)'!Y33</f>
        <v>320</v>
      </c>
      <c r="D45" s="67">
        <f t="shared" si="15"/>
        <v>0</v>
      </c>
      <c r="E45" s="67" t="e">
        <f t="shared" ca="1" si="16"/>
        <v>#N/A</v>
      </c>
      <c r="F45" s="67" t="e">
        <f t="shared" ca="1" si="17"/>
        <v>#N/A</v>
      </c>
      <c r="G45" s="67" t="e">
        <f t="shared" ca="1" si="18"/>
        <v>#N/A</v>
      </c>
      <c r="H45" s="67" t="e">
        <f>IF('Demand background (hide)'!AN33&lt;&gt;"",'SPC background (hide)'!C45,NA())</f>
        <v>#N/A</v>
      </c>
      <c r="I45" s="67">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7" t="e">
        <f t="shared" ca="1" si="33"/>
        <v>#N/A</v>
      </c>
      <c r="T45" s="67">
        <f t="shared" ca="1" si="34"/>
        <v>-2</v>
      </c>
      <c r="U45" s="67" t="e">
        <f t="shared" ca="1" si="35"/>
        <v>#N/A</v>
      </c>
      <c r="V45" s="5">
        <f t="shared" ca="1" si="14"/>
        <v>-1</v>
      </c>
      <c r="W45" s="5" t="e">
        <f t="shared" ca="1" si="28"/>
        <v>#N/A</v>
      </c>
      <c r="X45" s="67">
        <f t="shared" ca="1" si="29"/>
        <v>-1</v>
      </c>
      <c r="Y45" s="67" t="e">
        <f t="shared" ca="1" si="36"/>
        <v>#N/A</v>
      </c>
      <c r="Z45" s="67" t="e">
        <f t="shared" ca="1" si="37"/>
        <v>#N/A</v>
      </c>
      <c r="AA45" s="5" t="str">
        <f>IF(Setup!$I$15="Yes",'Demand background (hide)'!AJ33+'SPC background (hide)'!C45,"")</f>
        <v/>
      </c>
      <c r="AC45" s="5">
        <f t="shared" ca="1" si="30"/>
        <v>551.5</v>
      </c>
      <c r="AD45" s="5">
        <f t="shared" ca="1" si="31"/>
        <v>664</v>
      </c>
      <c r="AG45" s="67">
        <f t="shared" ca="1" si="12"/>
        <v>50</v>
      </c>
      <c r="AH45" s="67">
        <v>44</v>
      </c>
      <c r="AI45" s="67">
        <f t="shared" ca="1" si="4"/>
        <v>1</v>
      </c>
      <c r="AJ45" s="39">
        <f t="shared" ca="1" si="5"/>
        <v>141.67348608837972</v>
      </c>
      <c r="AK45" s="39">
        <f t="shared" ca="1" si="6"/>
        <v>69.979541734860845</v>
      </c>
      <c r="AL45" s="39">
        <f t="shared" ca="1" si="7"/>
        <v>211.65302782324056</v>
      </c>
      <c r="AM45" s="39">
        <f t="shared" ca="1" si="8"/>
        <v>353.32651391162028</v>
      </c>
      <c r="AN45" s="39">
        <f t="shared" ca="1" si="9"/>
        <v>495</v>
      </c>
      <c r="AO45" s="39">
        <f t="shared" ca="1" si="0"/>
        <v>636.67348608837972</v>
      </c>
      <c r="AP45" s="39">
        <f t="shared" ca="1" si="1"/>
        <v>778.34697217675944</v>
      </c>
      <c r="AQ45" s="39">
        <f t="shared" ca="1" si="2"/>
        <v>920.02045826513915</v>
      </c>
      <c r="AR45" s="5">
        <f t="shared" ca="1" si="10"/>
        <v>551.5</v>
      </c>
      <c r="AS45" s="5">
        <f t="shared" ca="1" si="3"/>
        <v>664</v>
      </c>
      <c r="AT45" s="5">
        <f t="shared" ca="1" si="11"/>
        <v>0</v>
      </c>
    </row>
    <row r="46" spans="1:46" x14ac:dyDescent="0.2">
      <c r="A46" s="67">
        <f ca="1">Demand!C43</f>
        <v>43</v>
      </c>
      <c r="B46" s="67">
        <v>31</v>
      </c>
      <c r="C46" s="5">
        <f ca="1">'Demand background (hide)'!Y34</f>
        <v>730</v>
      </c>
      <c r="D46" s="67">
        <f t="shared" si="15"/>
        <v>0</v>
      </c>
      <c r="E46" s="67" t="e">
        <f t="shared" ca="1" si="16"/>
        <v>#N/A</v>
      </c>
      <c r="F46" s="67" t="e">
        <f t="shared" ca="1" si="17"/>
        <v>#N/A</v>
      </c>
      <c r="G46" s="67" t="e">
        <f t="shared" ca="1" si="18"/>
        <v>#N/A</v>
      </c>
      <c r="H46" s="67" t="e">
        <f>IF('Demand background (hide)'!AN34&lt;&gt;"",'SPC background (hide)'!C46,NA())</f>
        <v>#N/A</v>
      </c>
      <c r="I46" s="67">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7" t="e">
        <f t="shared" ca="1" si="33"/>
        <v>#N/A</v>
      </c>
      <c r="T46" s="67">
        <f t="shared" ca="1" si="34"/>
        <v>2</v>
      </c>
      <c r="U46" s="67" t="e">
        <f t="shared" ca="1" si="35"/>
        <v>#N/A</v>
      </c>
      <c r="V46" s="5">
        <f t="shared" ca="1" si="14"/>
        <v>1</v>
      </c>
      <c r="W46" s="5" t="e">
        <f t="shared" ca="1" si="28"/>
        <v>#N/A</v>
      </c>
      <c r="X46" s="67">
        <f t="shared" ca="1" si="29"/>
        <v>1</v>
      </c>
      <c r="Y46" s="67" t="e">
        <f t="shared" ca="1" si="36"/>
        <v>#N/A</v>
      </c>
      <c r="Z46" s="67" t="e">
        <f t="shared" ca="1" si="37"/>
        <v>#N/A</v>
      </c>
      <c r="AA46" s="5" t="str">
        <f>IF(Setup!$I$15="Yes",'Demand background (hide)'!AJ34+'SPC background (hide)'!C46,"")</f>
        <v/>
      </c>
      <c r="AC46" s="5">
        <f t="shared" ca="1" si="30"/>
        <v>551.5</v>
      </c>
      <c r="AD46" s="5">
        <f t="shared" ca="1" si="31"/>
        <v>664</v>
      </c>
      <c r="AG46" s="67">
        <f t="shared" ca="1" si="12"/>
        <v>51</v>
      </c>
      <c r="AH46" s="67">
        <v>45</v>
      </c>
      <c r="AI46" s="67">
        <f t="shared" ca="1" si="4"/>
        <v>1</v>
      </c>
      <c r="AJ46" s="39">
        <f t="shared" ca="1" si="5"/>
        <v>141.67348608837972</v>
      </c>
      <c r="AK46" s="39">
        <f t="shared" ca="1" si="6"/>
        <v>69.979541734860845</v>
      </c>
      <c r="AL46" s="39">
        <f t="shared" ca="1" si="7"/>
        <v>211.65302782324056</v>
      </c>
      <c r="AM46" s="39">
        <f t="shared" ca="1" si="8"/>
        <v>353.32651391162028</v>
      </c>
      <c r="AN46" s="39">
        <f t="shared" ca="1" si="9"/>
        <v>495</v>
      </c>
      <c r="AO46" s="39">
        <f t="shared" ca="1" si="0"/>
        <v>636.67348608837972</v>
      </c>
      <c r="AP46" s="39">
        <f t="shared" ca="1" si="1"/>
        <v>778.34697217675944</v>
      </c>
      <c r="AQ46" s="39">
        <f t="shared" ca="1" si="2"/>
        <v>920.02045826513915</v>
      </c>
      <c r="AR46" s="5">
        <f t="shared" ca="1" si="10"/>
        <v>551.5</v>
      </c>
      <c r="AS46" s="5">
        <f t="shared" ca="1" si="3"/>
        <v>664</v>
      </c>
      <c r="AT46" s="5">
        <f t="shared" ca="1" si="11"/>
        <v>0</v>
      </c>
    </row>
    <row r="47" spans="1:46" x14ac:dyDescent="0.2">
      <c r="A47" s="67">
        <f ca="1">Demand!C44</f>
        <v>44</v>
      </c>
      <c r="B47" s="67">
        <v>32</v>
      </c>
      <c r="C47" s="5">
        <f ca="1">'Demand background (hide)'!Y35</f>
        <v>580</v>
      </c>
      <c r="D47" s="67">
        <f t="shared" si="15"/>
        <v>0</v>
      </c>
      <c r="E47" s="67" t="e">
        <f t="shared" ca="1" si="16"/>
        <v>#N/A</v>
      </c>
      <c r="F47" s="67" t="e">
        <f t="shared" ca="1" si="17"/>
        <v>#N/A</v>
      </c>
      <c r="G47" s="67" t="e">
        <f t="shared" ca="1" si="18"/>
        <v>#N/A</v>
      </c>
      <c r="H47" s="67" t="e">
        <f>IF('Demand background (hide)'!AN35&lt;&gt;"",'SPC background (hide)'!C47,NA())</f>
        <v>#N/A</v>
      </c>
      <c r="I47" s="67">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7" t="e">
        <f t="shared" ca="1" si="33"/>
        <v>#N/A</v>
      </c>
      <c r="T47" s="67">
        <f t="shared" ca="1" si="34"/>
        <v>1</v>
      </c>
      <c r="U47" s="67" t="e">
        <f t="shared" ca="1" si="35"/>
        <v>#N/A</v>
      </c>
      <c r="V47" s="5">
        <f t="shared" ca="1" si="14"/>
        <v>1</v>
      </c>
      <c r="W47" s="5" t="e">
        <f t="shared" ca="1" si="28"/>
        <v>#N/A</v>
      </c>
      <c r="X47" s="67">
        <f t="shared" ca="1" si="29"/>
        <v>-1</v>
      </c>
      <c r="Y47" s="67" t="e">
        <f t="shared" ca="1" si="36"/>
        <v>#N/A</v>
      </c>
      <c r="Z47" s="67" t="e">
        <f t="shared" ca="1" si="37"/>
        <v>#N/A</v>
      </c>
      <c r="AA47" s="5" t="str">
        <f>IF(Setup!$I$15="Yes",'Demand background (hide)'!AJ35+'SPC background (hide)'!C47,"")</f>
        <v/>
      </c>
      <c r="AC47" s="5">
        <f t="shared" ca="1" si="30"/>
        <v>551.5</v>
      </c>
      <c r="AD47" s="5">
        <f t="shared" ca="1" si="31"/>
        <v>664</v>
      </c>
      <c r="AG47" s="67">
        <f t="shared" ca="1" si="12"/>
        <v>52</v>
      </c>
      <c r="AH47" s="67">
        <v>46</v>
      </c>
      <c r="AI47" s="67">
        <f t="shared" ca="1" si="4"/>
        <v>1</v>
      </c>
      <c r="AJ47" s="39">
        <f t="shared" ca="1" si="5"/>
        <v>141.67348608837972</v>
      </c>
      <c r="AK47" s="39">
        <f t="shared" ca="1" si="6"/>
        <v>69.979541734860845</v>
      </c>
      <c r="AL47" s="39">
        <f t="shared" ca="1" si="7"/>
        <v>211.65302782324056</v>
      </c>
      <c r="AM47" s="39">
        <f t="shared" ca="1" si="8"/>
        <v>353.32651391162028</v>
      </c>
      <c r="AN47" s="39">
        <f t="shared" ca="1" si="9"/>
        <v>495</v>
      </c>
      <c r="AO47" s="39">
        <f t="shared" ca="1" si="0"/>
        <v>636.67348608837972</v>
      </c>
      <c r="AP47" s="39">
        <f t="shared" ca="1" si="1"/>
        <v>778.34697217675944</v>
      </c>
      <c r="AQ47" s="39">
        <f t="shared" ca="1" si="2"/>
        <v>920.02045826513915</v>
      </c>
      <c r="AR47" s="5">
        <f t="shared" ca="1" si="10"/>
        <v>551.5</v>
      </c>
      <c r="AS47" s="5">
        <f t="shared" ca="1" si="3"/>
        <v>664</v>
      </c>
      <c r="AT47" s="5">
        <f t="shared" ca="1" si="11"/>
        <v>0</v>
      </c>
    </row>
    <row r="48" spans="1:46" x14ac:dyDescent="0.2">
      <c r="A48" s="67">
        <f ca="1">Demand!C45</f>
        <v>45</v>
      </c>
      <c r="B48" s="67">
        <v>33</v>
      </c>
      <c r="C48" s="5">
        <f ca="1">'Demand background (hide)'!Y36</f>
        <v>450</v>
      </c>
      <c r="D48" s="67">
        <f t="shared" si="15"/>
        <v>0</v>
      </c>
      <c r="E48" s="67" t="e">
        <f t="shared" ca="1" si="16"/>
        <v>#N/A</v>
      </c>
      <c r="F48" s="67" t="e">
        <f t="shared" ca="1" si="17"/>
        <v>#N/A</v>
      </c>
      <c r="G48" s="67" t="e">
        <f t="shared" ca="1" si="18"/>
        <v>#N/A</v>
      </c>
      <c r="H48" s="67" t="e">
        <f>IF('Demand background (hide)'!AN36&lt;&gt;"",'SPC background (hide)'!C48,NA())</f>
        <v>#N/A</v>
      </c>
      <c r="I48" s="67">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7" t="e">
        <f t="shared" ca="1" si="33"/>
        <v>#N/A</v>
      </c>
      <c r="T48" s="67">
        <f t="shared" ca="1" si="34"/>
        <v>-1</v>
      </c>
      <c r="U48" s="67" t="e">
        <f t="shared" ca="1" si="35"/>
        <v>#N/A</v>
      </c>
      <c r="V48" s="5">
        <f t="shared" ca="1" si="14"/>
        <v>-1</v>
      </c>
      <c r="W48" s="5" t="e">
        <f t="shared" ca="1" si="28"/>
        <v>#N/A</v>
      </c>
      <c r="X48" s="67">
        <f t="shared" ca="1" si="29"/>
        <v>-1</v>
      </c>
      <c r="Y48" s="67" t="e">
        <f t="shared" ca="1" si="36"/>
        <v>#N/A</v>
      </c>
      <c r="Z48" s="67" t="e">
        <f t="shared" ca="1" si="37"/>
        <v>#N/A</v>
      </c>
      <c r="AA48" s="5" t="str">
        <f>IF(Setup!$I$15="Yes",'Demand background (hide)'!AJ36+'SPC background (hide)'!C48,"")</f>
        <v/>
      </c>
      <c r="AC48" s="5">
        <f t="shared" ca="1" si="30"/>
        <v>551.5</v>
      </c>
      <c r="AD48" s="5">
        <f t="shared" ca="1" si="31"/>
        <v>664</v>
      </c>
      <c r="AG48" s="67">
        <f t="shared" ca="1" si="12"/>
        <v>53</v>
      </c>
      <c r="AH48" s="67">
        <v>47</v>
      </c>
      <c r="AI48" s="67">
        <f t="shared" ca="1" si="4"/>
        <v>1</v>
      </c>
      <c r="AJ48" s="39">
        <f t="shared" ca="1" si="5"/>
        <v>141.67348608837972</v>
      </c>
      <c r="AK48" s="39">
        <f t="shared" ca="1" si="6"/>
        <v>69.979541734860845</v>
      </c>
      <c r="AL48" s="39">
        <f t="shared" ca="1" si="7"/>
        <v>211.65302782324056</v>
      </c>
      <c r="AM48" s="39">
        <f t="shared" ca="1" si="8"/>
        <v>353.32651391162028</v>
      </c>
      <c r="AN48" s="39">
        <f t="shared" ca="1" si="9"/>
        <v>495</v>
      </c>
      <c r="AO48" s="39">
        <f t="shared" ca="1" si="0"/>
        <v>636.67348608837972</v>
      </c>
      <c r="AP48" s="39">
        <f t="shared" ca="1" si="1"/>
        <v>778.34697217675944</v>
      </c>
      <c r="AQ48" s="39">
        <f t="shared" ca="1" si="2"/>
        <v>920.02045826513915</v>
      </c>
      <c r="AR48" s="5">
        <f t="shared" ca="1" si="10"/>
        <v>551.5</v>
      </c>
      <c r="AS48" s="5">
        <f t="shared" ca="1" si="3"/>
        <v>664</v>
      </c>
      <c r="AT48" s="5">
        <f t="shared" ca="1" si="11"/>
        <v>0</v>
      </c>
    </row>
    <row r="49" spans="1:46" x14ac:dyDescent="0.2">
      <c r="A49" s="67">
        <f ca="1">Demand!C46</f>
        <v>46</v>
      </c>
      <c r="B49" s="67">
        <v>34</v>
      </c>
      <c r="C49" s="5">
        <f ca="1">'Demand background (hide)'!Y37</f>
        <v>460</v>
      </c>
      <c r="D49" s="67">
        <f t="shared" si="15"/>
        <v>0</v>
      </c>
      <c r="E49" s="67" t="e">
        <f t="shared" ca="1" si="16"/>
        <v>#N/A</v>
      </c>
      <c r="F49" s="67" t="e">
        <f t="shared" ca="1" si="17"/>
        <v>#N/A</v>
      </c>
      <c r="G49" s="67" t="e">
        <f t="shared" ca="1" si="18"/>
        <v>#N/A</v>
      </c>
      <c r="H49" s="67" t="e">
        <f>IF('Demand background (hide)'!AN37&lt;&gt;"",'SPC background (hide)'!C49,NA())</f>
        <v>#N/A</v>
      </c>
      <c r="I49" s="67">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t="str">
        <f>IF(Setup!$I$15="Yes",'Demand background (hide)'!AJ37+'SPC background (hide)'!C49,"")</f>
        <v/>
      </c>
      <c r="AC49" s="5">
        <f t="shared" ca="1" si="30"/>
        <v>551.5</v>
      </c>
      <c r="AD49" s="5">
        <f t="shared" ca="1" si="31"/>
        <v>664</v>
      </c>
      <c r="AG49" s="67">
        <f t="shared" ca="1" si="12"/>
        <v>1</v>
      </c>
      <c r="AH49" s="67">
        <v>48</v>
      </c>
      <c r="AI49" s="67">
        <f t="shared" ca="1" si="4"/>
        <v>1</v>
      </c>
      <c r="AJ49" s="39">
        <f t="shared" ca="1" si="5"/>
        <v>141.67348608837972</v>
      </c>
      <c r="AK49" s="39">
        <f t="shared" ca="1" si="6"/>
        <v>69.979541734860845</v>
      </c>
      <c r="AL49" s="39">
        <f t="shared" ca="1" si="7"/>
        <v>211.65302782324056</v>
      </c>
      <c r="AM49" s="39">
        <f t="shared" ca="1" si="8"/>
        <v>353.32651391162028</v>
      </c>
      <c r="AN49" s="39">
        <f t="shared" ca="1" si="9"/>
        <v>495</v>
      </c>
      <c r="AO49" s="39">
        <f t="shared" ca="1" si="0"/>
        <v>636.67348608837972</v>
      </c>
      <c r="AP49" s="39">
        <f t="shared" ca="1" si="1"/>
        <v>778.34697217675944</v>
      </c>
      <c r="AQ49" s="39">
        <f t="shared" ca="1" si="2"/>
        <v>920.02045826513915</v>
      </c>
      <c r="AR49" s="5">
        <f t="shared" ca="1" si="10"/>
        <v>551.5</v>
      </c>
      <c r="AS49" s="5">
        <f t="shared" ca="1" si="3"/>
        <v>664</v>
      </c>
      <c r="AT49" s="5">
        <f t="shared" ca="1" si="11"/>
        <v>0</v>
      </c>
    </row>
    <row r="50" spans="1:46" x14ac:dyDescent="0.2">
      <c r="A50" s="67">
        <f ca="1">Demand!C47</f>
        <v>47</v>
      </c>
      <c r="B50" s="67">
        <v>35</v>
      </c>
      <c r="C50" s="5">
        <f ca="1">'Demand background (hide)'!Y38</f>
        <v>700</v>
      </c>
      <c r="D50" s="67">
        <f t="shared" si="15"/>
        <v>0</v>
      </c>
      <c r="E50" s="67" t="e">
        <f t="shared" ca="1" si="16"/>
        <v>#N/A</v>
      </c>
      <c r="F50" s="67" t="e">
        <f t="shared" ca="1" si="17"/>
        <v>#N/A</v>
      </c>
      <c r="G50" s="67" t="e">
        <f t="shared" ca="1" si="18"/>
        <v>#N/A</v>
      </c>
      <c r="H50" s="67" t="e">
        <f>IF('Demand background (hide)'!AN38&lt;&gt;"",'SPC background (hide)'!C50,NA())</f>
        <v>#N/A</v>
      </c>
      <c r="I50" s="67">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7" t="e">
        <f t="shared" ca="1" si="33"/>
        <v>#N/A</v>
      </c>
      <c r="T50" s="67">
        <f t="shared" ca="1" si="34"/>
        <v>2</v>
      </c>
      <c r="U50" s="67" t="e">
        <f t="shared" ca="1" si="35"/>
        <v>#N/A</v>
      </c>
      <c r="V50" s="5">
        <f t="shared" ca="1" si="14"/>
        <v>1</v>
      </c>
      <c r="W50" s="5" t="e">
        <f t="shared" ca="1" si="28"/>
        <v>#N/A</v>
      </c>
      <c r="X50" s="67">
        <f t="shared" ca="1" si="29"/>
        <v>1</v>
      </c>
      <c r="Y50" s="67" t="e">
        <f t="shared" ca="1" si="36"/>
        <v>#N/A</v>
      </c>
      <c r="Z50" s="67" t="e">
        <f t="shared" ca="1" si="37"/>
        <v>#N/A</v>
      </c>
      <c r="AA50" s="5" t="str">
        <f>IF(Setup!$I$15="Yes",'Demand background (hide)'!AJ38+'SPC background (hide)'!C50,"")</f>
        <v/>
      </c>
      <c r="AC50" s="5">
        <f t="shared" ca="1" si="30"/>
        <v>551.5</v>
      </c>
      <c r="AD50" s="5">
        <f t="shared" ca="1" si="31"/>
        <v>664</v>
      </c>
      <c r="AG50" s="67">
        <f t="shared" ca="1" si="12"/>
        <v>2</v>
      </c>
      <c r="AH50" s="67">
        <v>49</v>
      </c>
      <c r="AI50" s="67">
        <f t="shared" ca="1" si="4"/>
        <v>1</v>
      </c>
      <c r="AJ50" s="39">
        <f t="shared" ca="1" si="5"/>
        <v>141.67348608837972</v>
      </c>
      <c r="AK50" s="39">
        <f t="shared" ca="1" si="6"/>
        <v>69.979541734860845</v>
      </c>
      <c r="AL50" s="39">
        <f t="shared" ca="1" si="7"/>
        <v>211.65302782324056</v>
      </c>
      <c r="AM50" s="39">
        <f t="shared" ca="1" si="8"/>
        <v>353.32651391162028</v>
      </c>
      <c r="AN50" s="39">
        <f t="shared" ca="1" si="9"/>
        <v>495</v>
      </c>
      <c r="AO50" s="39">
        <f t="shared" ca="1" si="0"/>
        <v>636.67348608837972</v>
      </c>
      <c r="AP50" s="39">
        <f t="shared" ca="1" si="1"/>
        <v>778.34697217675944</v>
      </c>
      <c r="AQ50" s="39">
        <f t="shared" ca="1" si="2"/>
        <v>920.02045826513915</v>
      </c>
      <c r="AR50" s="5">
        <f t="shared" ca="1" si="10"/>
        <v>551.5</v>
      </c>
      <c r="AS50" s="5">
        <f t="shared" ca="1" si="3"/>
        <v>664</v>
      </c>
      <c r="AT50" s="5">
        <f t="shared" ca="1" si="11"/>
        <v>0</v>
      </c>
    </row>
    <row r="51" spans="1:46" x14ac:dyDescent="0.2">
      <c r="A51" s="67">
        <f ca="1">Demand!C48</f>
        <v>48</v>
      </c>
      <c r="B51" s="67">
        <v>36</v>
      </c>
      <c r="C51" s="5">
        <f ca="1">'Demand background (hide)'!Y39</f>
        <v>570</v>
      </c>
      <c r="D51" s="67">
        <f t="shared" si="15"/>
        <v>0</v>
      </c>
      <c r="E51" s="67" t="e">
        <f t="shared" ca="1" si="16"/>
        <v>#N/A</v>
      </c>
      <c r="F51" s="67" t="e">
        <f t="shared" ca="1" si="17"/>
        <v>#N/A</v>
      </c>
      <c r="G51" s="67" t="e">
        <f t="shared" ca="1" si="18"/>
        <v>#N/A</v>
      </c>
      <c r="H51" s="67" t="e">
        <f>IF('Demand background (hide)'!AN39&lt;&gt;"",'SPC background (hide)'!C51,NA())</f>
        <v>#N/A</v>
      </c>
      <c r="I51" s="67">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7" t="e">
        <f t="shared" ca="1" si="33"/>
        <v>#N/A</v>
      </c>
      <c r="T51" s="67">
        <f t="shared" ca="1" si="34"/>
        <v>1</v>
      </c>
      <c r="U51" s="67" t="e">
        <f t="shared" ca="1" si="35"/>
        <v>#N/A</v>
      </c>
      <c r="V51" s="5">
        <f t="shared" ca="1" si="14"/>
        <v>1</v>
      </c>
      <c r="W51" s="5" t="e">
        <f t="shared" ca="1" si="28"/>
        <v>#N/A</v>
      </c>
      <c r="X51" s="67">
        <f t="shared" ca="1" si="29"/>
        <v>-1</v>
      </c>
      <c r="Y51" s="67" t="e">
        <f t="shared" ca="1" si="36"/>
        <v>#N/A</v>
      </c>
      <c r="Z51" s="67" t="e">
        <f t="shared" ca="1" si="37"/>
        <v>#N/A</v>
      </c>
      <c r="AA51" s="5" t="str">
        <f>IF(Setup!$I$15="Yes",'Demand background (hide)'!AJ39+'SPC background (hide)'!C51,"")</f>
        <v/>
      </c>
      <c r="AC51" s="5">
        <f t="shared" ca="1" si="30"/>
        <v>551.5</v>
      </c>
      <c r="AD51" s="5">
        <f t="shared" ca="1" si="31"/>
        <v>664</v>
      </c>
      <c r="AG51" s="67">
        <f t="shared" ca="1" si="12"/>
        <v>3</v>
      </c>
      <c r="AH51" s="67">
        <v>50</v>
      </c>
      <c r="AI51" s="67">
        <f t="shared" ca="1" si="4"/>
        <v>1</v>
      </c>
      <c r="AJ51" s="39">
        <f t="shared" ca="1" si="5"/>
        <v>141.67348608837972</v>
      </c>
      <c r="AK51" s="39">
        <f t="shared" ca="1" si="6"/>
        <v>69.979541734860845</v>
      </c>
      <c r="AL51" s="39">
        <f t="shared" ca="1" si="7"/>
        <v>211.65302782324056</v>
      </c>
      <c r="AM51" s="39">
        <f t="shared" ca="1" si="8"/>
        <v>353.32651391162028</v>
      </c>
      <c r="AN51" s="39">
        <f t="shared" ca="1" si="9"/>
        <v>495</v>
      </c>
      <c r="AO51" s="39">
        <f t="shared" ca="1" si="0"/>
        <v>636.67348608837972</v>
      </c>
      <c r="AP51" s="39">
        <f t="shared" ca="1" si="1"/>
        <v>778.34697217675944</v>
      </c>
      <c r="AQ51" s="39">
        <f t="shared" ca="1" si="2"/>
        <v>920.02045826513915</v>
      </c>
      <c r="AR51" s="5">
        <f t="shared" ca="1" si="10"/>
        <v>551.5</v>
      </c>
      <c r="AS51" s="5">
        <f t="shared" ca="1" si="3"/>
        <v>664</v>
      </c>
      <c r="AT51" s="5">
        <f t="shared" ca="1" si="11"/>
        <v>0</v>
      </c>
    </row>
    <row r="52" spans="1:46" x14ac:dyDescent="0.2">
      <c r="A52" s="67">
        <f ca="1">Demand!C49</f>
        <v>49</v>
      </c>
      <c r="B52" s="67">
        <v>37</v>
      </c>
      <c r="C52" s="5">
        <f ca="1">'Demand background (hide)'!Y40</f>
        <v>600</v>
      </c>
      <c r="D52" s="67">
        <f t="shared" si="15"/>
        <v>0</v>
      </c>
      <c r="E52" s="67" t="e">
        <f t="shared" ca="1" si="16"/>
        <v>#N/A</v>
      </c>
      <c r="F52" s="67" t="e">
        <f t="shared" ca="1" si="17"/>
        <v>#N/A</v>
      </c>
      <c r="G52" s="67" t="e">
        <f t="shared" ca="1" si="18"/>
        <v>#N/A</v>
      </c>
      <c r="H52" s="67" t="e">
        <f>IF('Demand background (hide)'!AN40&lt;&gt;"",'SPC background (hide)'!C52,NA())</f>
        <v>#N/A</v>
      </c>
      <c r="I52" s="67">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7" t="e">
        <f t="shared" ca="1" si="33"/>
        <v>#N/A</v>
      </c>
      <c r="T52" s="67">
        <f t="shared" ca="1" si="34"/>
        <v>1</v>
      </c>
      <c r="U52" s="67" t="e">
        <f t="shared" ca="1" si="35"/>
        <v>#N/A</v>
      </c>
      <c r="V52" s="5">
        <f t="shared" ca="1" si="14"/>
        <v>1</v>
      </c>
      <c r="W52" s="5" t="e">
        <f t="shared" ca="1" si="28"/>
        <v>#N/A</v>
      </c>
      <c r="X52" s="67">
        <f t="shared" ca="1" si="29"/>
        <v>1</v>
      </c>
      <c r="Y52" s="67" t="e">
        <f t="shared" ca="1" si="36"/>
        <v>#N/A</v>
      </c>
      <c r="Z52" s="67" t="e">
        <f t="shared" ca="1" si="37"/>
        <v>#N/A</v>
      </c>
      <c r="AA52" s="5" t="str">
        <f>IF(Setup!$I$15="Yes",'Demand background (hide)'!AJ40+'SPC background (hide)'!C52,"")</f>
        <v/>
      </c>
      <c r="AC52" s="5">
        <f t="shared" ca="1" si="30"/>
        <v>551.5</v>
      </c>
      <c r="AD52" s="5">
        <f t="shared" ca="1" si="31"/>
        <v>664</v>
      </c>
      <c r="AG52" s="67">
        <f t="shared" ca="1" si="12"/>
        <v>4</v>
      </c>
      <c r="AH52" s="67">
        <v>51</v>
      </c>
      <c r="AI52" s="67">
        <f t="shared" ca="1" si="4"/>
        <v>1</v>
      </c>
      <c r="AJ52" s="39">
        <f t="shared" ca="1" si="5"/>
        <v>141.67348608837972</v>
      </c>
      <c r="AK52" s="39">
        <f t="shared" ca="1" si="6"/>
        <v>69.979541734860845</v>
      </c>
      <c r="AL52" s="39">
        <f t="shared" ca="1" si="7"/>
        <v>211.65302782324056</v>
      </c>
      <c r="AM52" s="39">
        <f t="shared" ca="1" si="8"/>
        <v>353.32651391162028</v>
      </c>
      <c r="AN52" s="39">
        <f t="shared" ca="1" si="9"/>
        <v>495</v>
      </c>
      <c r="AO52" s="39">
        <f t="shared" ca="1" si="0"/>
        <v>636.67348608837972</v>
      </c>
      <c r="AP52" s="39">
        <f t="shared" ca="1" si="1"/>
        <v>778.34697217675944</v>
      </c>
      <c r="AQ52" s="39">
        <f t="shared" ca="1" si="2"/>
        <v>920.02045826513915</v>
      </c>
      <c r="AR52" s="5">
        <f t="shared" ca="1" si="10"/>
        <v>551.5</v>
      </c>
      <c r="AS52" s="5">
        <f t="shared" ca="1" si="3"/>
        <v>664</v>
      </c>
      <c r="AT52" s="5">
        <f t="shared" ca="1" si="11"/>
        <v>0</v>
      </c>
    </row>
    <row r="53" spans="1:46" x14ac:dyDescent="0.2">
      <c r="A53" s="67">
        <f ca="1">Demand!C50</f>
        <v>50</v>
      </c>
      <c r="B53" s="67">
        <v>38</v>
      </c>
      <c r="C53" s="5">
        <f ca="1">'Demand background (hide)'!Y41</f>
        <v>510</v>
      </c>
      <c r="D53" s="67">
        <f t="shared" si="15"/>
        <v>0</v>
      </c>
      <c r="E53" s="67" t="e">
        <f t="shared" ca="1" si="16"/>
        <v>#N/A</v>
      </c>
      <c r="F53" s="67" t="e">
        <f t="shared" ca="1" si="17"/>
        <v>#N/A</v>
      </c>
      <c r="G53" s="67" t="e">
        <f t="shared" ca="1" si="18"/>
        <v>#N/A</v>
      </c>
      <c r="H53" s="67" t="e">
        <f>IF('Demand background (hide)'!AN41&lt;&gt;"",'SPC background (hide)'!C53,NA())</f>
        <v>#N/A</v>
      </c>
      <c r="I53" s="67">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7" t="e">
        <f t="shared" ca="1" si="33"/>
        <v>#N/A</v>
      </c>
      <c r="T53" s="67">
        <f t="shared" ca="1" si="34"/>
        <v>1</v>
      </c>
      <c r="U53" s="67" t="e">
        <f t="shared" ca="1" si="35"/>
        <v>#N/A</v>
      </c>
      <c r="V53" s="5">
        <f t="shared" ca="1" si="14"/>
        <v>1</v>
      </c>
      <c r="W53" s="5" t="e">
        <f t="shared" ca="1" si="28"/>
        <v>#N/A</v>
      </c>
      <c r="X53" s="67">
        <f t="shared" ca="1" si="29"/>
        <v>-1</v>
      </c>
      <c r="Y53" s="67" t="e">
        <f t="shared" ca="1" si="36"/>
        <v>#N/A</v>
      </c>
      <c r="Z53" s="67" t="e">
        <f t="shared" ca="1" si="37"/>
        <v>#N/A</v>
      </c>
      <c r="AA53" s="5" t="str">
        <f>IF(Setup!$I$15="Yes",'Demand background (hide)'!AJ41+'SPC background (hide)'!C53,"")</f>
        <v/>
      </c>
      <c r="AC53" s="5">
        <f t="shared" ca="1" si="30"/>
        <v>551.5</v>
      </c>
      <c r="AD53" s="5">
        <f t="shared" ca="1" si="31"/>
        <v>664</v>
      </c>
      <c r="AG53" s="67">
        <f t="shared" ca="1" si="12"/>
        <v>5</v>
      </c>
      <c r="AH53" s="67">
        <v>52</v>
      </c>
      <c r="AI53" s="67">
        <f t="shared" ca="1" si="4"/>
        <v>1</v>
      </c>
      <c r="AJ53" s="39">
        <f t="shared" ca="1" si="5"/>
        <v>141.67348608837972</v>
      </c>
      <c r="AK53" s="39">
        <f t="shared" ca="1" si="6"/>
        <v>69.979541734860845</v>
      </c>
      <c r="AL53" s="39">
        <f t="shared" ca="1" si="7"/>
        <v>211.65302782324056</v>
      </c>
      <c r="AM53" s="39">
        <f t="shared" ca="1" si="8"/>
        <v>353.32651391162028</v>
      </c>
      <c r="AN53" s="39">
        <f t="shared" ca="1" si="9"/>
        <v>495</v>
      </c>
      <c r="AO53" s="39">
        <f t="shared" ca="1" si="0"/>
        <v>636.67348608837972</v>
      </c>
      <c r="AP53" s="39">
        <f t="shared" ca="1" si="1"/>
        <v>778.34697217675944</v>
      </c>
      <c r="AQ53" s="39">
        <f t="shared" ca="1" si="2"/>
        <v>920.02045826513915</v>
      </c>
      <c r="AR53" s="5">
        <f t="shared" ca="1" si="10"/>
        <v>551.5</v>
      </c>
      <c r="AS53" s="5">
        <f t="shared" ca="1" si="3"/>
        <v>664</v>
      </c>
      <c r="AT53" s="5">
        <f t="shared" ca="1" si="11"/>
        <v>0</v>
      </c>
    </row>
    <row r="54" spans="1:46" x14ac:dyDescent="0.2">
      <c r="A54" s="67">
        <f ca="1">Demand!C51</f>
        <v>51</v>
      </c>
      <c r="B54" s="67">
        <v>39</v>
      </c>
      <c r="C54" s="5">
        <f ca="1">'Demand background (hide)'!Y42</f>
        <v>300</v>
      </c>
      <c r="D54" s="67">
        <f t="shared" si="15"/>
        <v>0</v>
      </c>
      <c r="E54" s="67" t="e">
        <f t="shared" ca="1" si="16"/>
        <v>#N/A</v>
      </c>
      <c r="F54" s="67" t="e">
        <f t="shared" ca="1" si="17"/>
        <v>#N/A</v>
      </c>
      <c r="G54" s="67" t="e">
        <f t="shared" ca="1" si="18"/>
        <v>#N/A</v>
      </c>
      <c r="H54" s="67" t="e">
        <f>IF('Demand background (hide)'!AN42&lt;&gt;"",'SPC background (hide)'!C54,NA())</f>
        <v>#N/A</v>
      </c>
      <c r="I54" s="67">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7" t="e">
        <f t="shared" ca="1" si="33"/>
        <v>#N/A</v>
      </c>
      <c r="T54" s="67">
        <f t="shared" ca="1" si="34"/>
        <v>-2</v>
      </c>
      <c r="U54" s="67" t="e">
        <f t="shared" ca="1" si="35"/>
        <v>#N/A</v>
      </c>
      <c r="V54" s="5">
        <f t="shared" ca="1" si="14"/>
        <v>-1</v>
      </c>
      <c r="W54" s="5" t="e">
        <f t="shared" ca="1" si="28"/>
        <v>#N/A</v>
      </c>
      <c r="X54" s="67">
        <f t="shared" ca="1" si="29"/>
        <v>-1</v>
      </c>
      <c r="Y54" s="67" t="e">
        <f t="shared" ca="1" si="36"/>
        <v>#N/A</v>
      </c>
      <c r="Z54" s="67" t="e">
        <f t="shared" ca="1" si="37"/>
        <v>#N/A</v>
      </c>
      <c r="AA54" s="5" t="str">
        <f>IF(Setup!$I$15="Yes",'Demand background (hide)'!AJ42+'SPC background (hide)'!C54,"")</f>
        <v/>
      </c>
      <c r="AC54" s="5">
        <f t="shared" ca="1" si="30"/>
        <v>551.5</v>
      </c>
      <c r="AD54" s="5">
        <f t="shared" ca="1" si="31"/>
        <v>664</v>
      </c>
      <c r="AG54" s="67">
        <f t="shared" ca="1" si="12"/>
        <v>6</v>
      </c>
      <c r="AH54" s="67">
        <v>53</v>
      </c>
      <c r="AI54" s="67">
        <f t="shared" ca="1" si="4"/>
        <v>5</v>
      </c>
      <c r="AJ54" s="39">
        <f t="shared" ca="1" si="5"/>
        <v>141.67348608837972</v>
      </c>
      <c r="AK54" s="39">
        <f t="shared" ca="1" si="6"/>
        <v>69.979541734860845</v>
      </c>
      <c r="AL54" s="39">
        <f t="shared" ca="1" si="7"/>
        <v>211.65302782324056</v>
      </c>
      <c r="AM54" s="39">
        <f t="shared" ca="1" si="8"/>
        <v>353.32651391162028</v>
      </c>
      <c r="AN54" s="39">
        <f t="shared" ca="1" si="9"/>
        <v>495</v>
      </c>
      <c r="AO54" s="39">
        <f t="shared" ca="1" si="0"/>
        <v>636.67348608837972</v>
      </c>
      <c r="AP54" s="39">
        <f t="shared" ca="1" si="1"/>
        <v>778.34697217675944</v>
      </c>
      <c r="AQ54" s="39">
        <f t="shared" ca="1" si="2"/>
        <v>920.02045826513915</v>
      </c>
      <c r="AR54" s="5">
        <f t="shared" ca="1" si="10"/>
        <v>551.5</v>
      </c>
      <c r="AS54" s="5">
        <f t="shared" ca="1" si="3"/>
        <v>664</v>
      </c>
      <c r="AT54" s="5">
        <f t="shared" ca="1" si="11"/>
        <v>0</v>
      </c>
    </row>
    <row r="55" spans="1:46" x14ac:dyDescent="0.2">
      <c r="A55" s="67">
        <f ca="1">Demand!C52</f>
        <v>52</v>
      </c>
      <c r="B55" s="67">
        <v>40</v>
      </c>
      <c r="C55" s="5">
        <f ca="1">'Demand background (hide)'!Y43</f>
        <v>770</v>
      </c>
      <c r="D55" s="67">
        <f t="shared" si="15"/>
        <v>0</v>
      </c>
      <c r="E55" s="67" t="e">
        <f t="shared" ca="1" si="16"/>
        <v>#N/A</v>
      </c>
      <c r="F55" s="67" t="e">
        <f t="shared" ca="1" si="17"/>
        <v>#N/A</v>
      </c>
      <c r="G55" s="67" t="e">
        <f t="shared" ca="1" si="18"/>
        <v>#N/A</v>
      </c>
      <c r="H55" s="67" t="e">
        <f>IF('Demand background (hide)'!AN43&lt;&gt;"",'SPC background (hide)'!C55,NA())</f>
        <v>#N/A</v>
      </c>
      <c r="I55" s="67">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t="str">
        <f>IF(Setup!$I$15="Yes",'Demand background (hide)'!AJ43+'SPC background (hide)'!C55,"")</f>
        <v/>
      </c>
      <c r="AC55" s="5">
        <f t="shared" ca="1" si="30"/>
        <v>551.5</v>
      </c>
      <c r="AD55" s="5">
        <f t="shared" ca="1" si="31"/>
        <v>664</v>
      </c>
    </row>
    <row r="56" spans="1:46" x14ac:dyDescent="0.2">
      <c r="A56" s="67">
        <f ca="1">Demand!C53</f>
        <v>1</v>
      </c>
      <c r="B56" s="67">
        <v>41</v>
      </c>
      <c r="C56" s="5">
        <f ca="1">'Demand background (hide)'!Y44</f>
        <v>510</v>
      </c>
      <c r="D56" s="67">
        <f t="shared" si="15"/>
        <v>0</v>
      </c>
      <c r="E56" s="67" t="e">
        <f t="shared" ca="1" si="16"/>
        <v>#N/A</v>
      </c>
      <c r="F56" s="67" t="e">
        <f t="shared" ca="1" si="17"/>
        <v>#N/A</v>
      </c>
      <c r="G56" s="67" t="e">
        <f t="shared" ca="1" si="18"/>
        <v>#N/A</v>
      </c>
      <c r="H56" s="67" t="e">
        <f>IF('Demand background (hide)'!AN44&lt;&gt;"",'SPC background (hide)'!C56,NA())</f>
        <v>#N/A</v>
      </c>
      <c r="I56" s="67">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7" t="e">
        <f t="shared" ca="1" si="33"/>
        <v>#N/A</v>
      </c>
      <c r="T56" s="67">
        <f t="shared" ca="1" si="34"/>
        <v>1</v>
      </c>
      <c r="U56" s="67" t="e">
        <f t="shared" ca="1" si="35"/>
        <v>#N/A</v>
      </c>
      <c r="V56" s="5">
        <f t="shared" ca="1" si="14"/>
        <v>1</v>
      </c>
      <c r="W56" s="5" t="e">
        <f t="shared" ca="1" si="28"/>
        <v>#N/A</v>
      </c>
      <c r="X56" s="67">
        <f t="shared" ca="1" si="29"/>
        <v>-1</v>
      </c>
      <c r="Y56" s="67" t="e">
        <f t="shared" ca="1" si="36"/>
        <v>#N/A</v>
      </c>
      <c r="Z56" s="67" t="e">
        <f t="shared" ca="1" si="37"/>
        <v>#N/A</v>
      </c>
      <c r="AA56" s="5" t="str">
        <f>IF(Setup!$I$15="Yes",'Demand background (hide)'!AJ44+'SPC background (hide)'!C56,"")</f>
        <v/>
      </c>
      <c r="AC56" s="5">
        <f t="shared" ca="1" si="30"/>
        <v>551.5</v>
      </c>
      <c r="AD56" s="5">
        <f t="shared" ca="1" si="31"/>
        <v>664</v>
      </c>
    </row>
    <row r="57" spans="1:46" x14ac:dyDescent="0.2">
      <c r="A57" s="67">
        <f ca="1">Demand!C54</f>
        <v>2</v>
      </c>
      <c r="B57" s="67">
        <v>42</v>
      </c>
      <c r="C57" s="5">
        <f ca="1">'Demand background (hide)'!Y45</f>
        <v>440</v>
      </c>
      <c r="D57" s="67">
        <f t="shared" si="15"/>
        <v>0</v>
      </c>
      <c r="E57" s="67" t="e">
        <f t="shared" ca="1" si="16"/>
        <v>#N/A</v>
      </c>
      <c r="F57" s="67" t="e">
        <f t="shared" ca="1" si="17"/>
        <v>#N/A</v>
      </c>
      <c r="G57" s="67" t="e">
        <f t="shared" ca="1" si="18"/>
        <v>#N/A</v>
      </c>
      <c r="H57" s="67" t="e">
        <f>IF('Demand background (hide)'!AN45&lt;&gt;"",'SPC background (hide)'!C57,NA())</f>
        <v>#N/A</v>
      </c>
      <c r="I57" s="67">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7" t="e">
        <f t="shared" ca="1" si="33"/>
        <v>#N/A</v>
      </c>
      <c r="T57" s="67">
        <f t="shared" ca="1" si="34"/>
        <v>-1</v>
      </c>
      <c r="U57" s="67" t="e">
        <f t="shared" ca="1" si="35"/>
        <v>#N/A</v>
      </c>
      <c r="V57" s="5">
        <f t="shared" ca="1" si="14"/>
        <v>-1</v>
      </c>
      <c r="W57" s="5" t="e">
        <f t="shared" ca="1" si="28"/>
        <v>#N/A</v>
      </c>
      <c r="X57" s="67">
        <f t="shared" ca="1" si="29"/>
        <v>-1</v>
      </c>
      <c r="Y57" s="67" t="e">
        <f t="shared" ca="1" si="36"/>
        <v>#N/A</v>
      </c>
      <c r="Z57" s="67" t="e">
        <f t="shared" ca="1" si="37"/>
        <v>#N/A</v>
      </c>
      <c r="AA57" s="5" t="str">
        <f>IF(Setup!$I$15="Yes",'Demand background (hide)'!AJ45+'SPC background (hide)'!C57,"")</f>
        <v/>
      </c>
      <c r="AC57" s="5">
        <f t="shared" ca="1" si="30"/>
        <v>551.5</v>
      </c>
      <c r="AD57" s="5">
        <f t="shared" ca="1" si="31"/>
        <v>664</v>
      </c>
    </row>
    <row r="58" spans="1:46" x14ac:dyDescent="0.2">
      <c r="A58" s="67">
        <f ca="1">Demand!C55</f>
        <v>3</v>
      </c>
      <c r="B58" s="67">
        <v>43</v>
      </c>
      <c r="C58" s="5">
        <f ca="1">'Demand background (hide)'!Y46</f>
        <v>650</v>
      </c>
      <c r="D58" s="67">
        <f t="shared" si="15"/>
        <v>0</v>
      </c>
      <c r="E58" s="67" t="e">
        <f t="shared" ca="1" si="16"/>
        <v>#N/A</v>
      </c>
      <c r="F58" s="67" t="e">
        <f t="shared" ca="1" si="17"/>
        <v>#N/A</v>
      </c>
      <c r="G58" s="67" t="e">
        <f t="shared" ca="1" si="18"/>
        <v>#N/A</v>
      </c>
      <c r="H58" s="67" t="e">
        <f>IF('Demand background (hide)'!AN46&lt;&gt;"",'SPC background (hide)'!C58,NA())</f>
        <v>#N/A</v>
      </c>
      <c r="I58" s="67">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7" t="e">
        <f t="shared" ca="1" si="33"/>
        <v>#N/A</v>
      </c>
      <c r="T58" s="67">
        <f t="shared" ca="1" si="34"/>
        <v>2</v>
      </c>
      <c r="U58" s="67" t="e">
        <f t="shared" ca="1" si="35"/>
        <v>#N/A</v>
      </c>
      <c r="V58" s="5">
        <f t="shared" ca="1" si="14"/>
        <v>1</v>
      </c>
      <c r="W58" s="5" t="e">
        <f t="shared" ca="1" si="28"/>
        <v>#N/A</v>
      </c>
      <c r="X58" s="67">
        <f t="shared" ca="1" si="29"/>
        <v>1</v>
      </c>
      <c r="Y58" s="67" t="e">
        <f t="shared" ca="1" si="36"/>
        <v>#N/A</v>
      </c>
      <c r="Z58" s="67" t="e">
        <f t="shared" ca="1" si="37"/>
        <v>#N/A</v>
      </c>
      <c r="AA58" s="5" t="str">
        <f>IF(Setup!$I$15="Yes",'Demand background (hide)'!AJ46+'SPC background (hide)'!C58,"")</f>
        <v/>
      </c>
      <c r="AC58" s="5">
        <f t="shared" ca="1" si="30"/>
        <v>551.5</v>
      </c>
      <c r="AD58" s="5">
        <f t="shared" ca="1" si="31"/>
        <v>664</v>
      </c>
    </row>
    <row r="59" spans="1:46" x14ac:dyDescent="0.2">
      <c r="A59" s="67">
        <f ca="1">Demand!C56</f>
        <v>4</v>
      </c>
      <c r="B59" s="67">
        <v>44</v>
      </c>
      <c r="C59" s="5">
        <f ca="1">'Demand background (hide)'!Y47</f>
        <v>620</v>
      </c>
      <c r="D59" s="67">
        <f t="shared" si="15"/>
        <v>0</v>
      </c>
      <c r="E59" s="67" t="e">
        <f t="shared" ca="1" si="16"/>
        <v>#N/A</v>
      </c>
      <c r="F59" s="67" t="e">
        <f t="shared" ca="1" si="17"/>
        <v>#N/A</v>
      </c>
      <c r="G59" s="67" t="e">
        <f t="shared" ca="1" si="18"/>
        <v>#N/A</v>
      </c>
      <c r="H59" s="67" t="e">
        <f>IF('Demand background (hide)'!AN47&lt;&gt;"",'SPC background (hide)'!C59,NA())</f>
        <v>#N/A</v>
      </c>
      <c r="I59" s="67">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7" t="e">
        <f t="shared" ca="1" si="33"/>
        <v>#N/A</v>
      </c>
      <c r="T59" s="67">
        <f t="shared" ca="1" si="34"/>
        <v>1</v>
      </c>
      <c r="U59" s="67" t="e">
        <f t="shared" ca="1" si="35"/>
        <v>#N/A</v>
      </c>
      <c r="V59" s="5">
        <f t="shared" ca="1" si="14"/>
        <v>1</v>
      </c>
      <c r="W59" s="5" t="e">
        <f t="shared" ca="1" si="28"/>
        <v>#N/A</v>
      </c>
      <c r="X59" s="67">
        <f t="shared" ca="1" si="29"/>
        <v>-1</v>
      </c>
      <c r="Y59" s="67" t="e">
        <f t="shared" ca="1" si="36"/>
        <v>#N/A</v>
      </c>
      <c r="Z59" s="67" t="e">
        <f t="shared" ca="1" si="37"/>
        <v>#N/A</v>
      </c>
      <c r="AA59" s="5" t="str">
        <f>IF(Setup!$I$15="Yes",'Demand background (hide)'!AJ47+'SPC background (hide)'!C59,"")</f>
        <v/>
      </c>
      <c r="AC59" s="5">
        <f t="shared" ca="1" si="30"/>
        <v>551.5</v>
      </c>
      <c r="AD59" s="5">
        <f t="shared" ca="1" si="31"/>
        <v>664</v>
      </c>
    </row>
    <row r="60" spans="1:46" x14ac:dyDescent="0.2">
      <c r="A60" s="67">
        <f ca="1">Demand!C57</f>
        <v>5</v>
      </c>
      <c r="B60" s="67">
        <v>45</v>
      </c>
      <c r="C60" s="5">
        <f ca="1">'Demand background (hide)'!Y48</f>
        <v>320</v>
      </c>
      <c r="D60" s="67">
        <f t="shared" si="15"/>
        <v>0</v>
      </c>
      <c r="E60" s="67" t="e">
        <f t="shared" ca="1" si="16"/>
        <v>#N/A</v>
      </c>
      <c r="F60" s="67" t="e">
        <f t="shared" ca="1" si="17"/>
        <v>#N/A</v>
      </c>
      <c r="G60" s="67" t="e">
        <f t="shared" ca="1" si="18"/>
        <v>#N/A</v>
      </c>
      <c r="H60" s="67" t="e">
        <f>IF('Demand background (hide)'!AN48&lt;&gt;"",'SPC background (hide)'!C60,NA())</f>
        <v>#N/A</v>
      </c>
      <c r="I60" s="67">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7" t="e">
        <f t="shared" ca="1" si="33"/>
        <v>#N/A</v>
      </c>
      <c r="T60" s="67">
        <f t="shared" ca="1" si="34"/>
        <v>-2</v>
      </c>
      <c r="U60" s="67" t="e">
        <f t="shared" ca="1" si="35"/>
        <v>#N/A</v>
      </c>
      <c r="V60" s="5">
        <f t="shared" ca="1" si="14"/>
        <v>-1</v>
      </c>
      <c r="W60" s="5" t="e">
        <f t="shared" ca="1" si="28"/>
        <v>#N/A</v>
      </c>
      <c r="X60" s="67">
        <f t="shared" ca="1" si="29"/>
        <v>-1</v>
      </c>
      <c r="Y60" s="67" t="e">
        <f t="shared" ca="1" si="36"/>
        <v>#N/A</v>
      </c>
      <c r="Z60" s="67" t="e">
        <f t="shared" ca="1" si="37"/>
        <v>#N/A</v>
      </c>
      <c r="AA60" s="5" t="str">
        <f>IF(Setup!$I$15="Yes",'Demand background (hide)'!AJ48+'SPC background (hide)'!C60,"")</f>
        <v/>
      </c>
      <c r="AC60" s="5">
        <f t="shared" ca="1" si="30"/>
        <v>551.5</v>
      </c>
      <c r="AD60" s="5">
        <f t="shared" ca="1" si="31"/>
        <v>664</v>
      </c>
    </row>
    <row r="61" spans="1:46" x14ac:dyDescent="0.2">
      <c r="A61" s="67">
        <f ca="1">Demand!C58</f>
        <v>6</v>
      </c>
      <c r="B61" s="67">
        <v>46</v>
      </c>
      <c r="C61" s="5">
        <f ca="1">'Demand background (hide)'!Y49</f>
        <v>450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7" t="e">
        <f t="shared" ca="1" si="33"/>
        <v>#N/A</v>
      </c>
      <c r="T61" s="67">
        <f t="shared" ca="1" si="34"/>
        <v>-1</v>
      </c>
      <c r="U61" s="67" t="e">
        <f t="shared" ca="1" si="35"/>
        <v>#N/A</v>
      </c>
      <c r="V61" s="5">
        <f t="shared" ca="1" si="14"/>
        <v>-1</v>
      </c>
      <c r="W61" s="5" t="e">
        <f t="shared" ca="1" si="28"/>
        <v>#N/A</v>
      </c>
      <c r="X61" s="67">
        <f t="shared" ca="1" si="29"/>
        <v>1</v>
      </c>
      <c r="Y61" s="67" t="e">
        <f t="shared" ca="1" si="36"/>
        <v>#N/A</v>
      </c>
      <c r="Z61" s="67" t="e">
        <f t="shared" ca="1" si="37"/>
        <v>#N/A</v>
      </c>
      <c r="AA61" s="5" t="str">
        <f>IF(Setup!$I$15="Yes",'Demand background (hide)'!AJ49+'SPC background (hide)'!C61,"")</f>
        <v/>
      </c>
      <c r="AC61" s="5">
        <f t="shared" ca="1" si="30"/>
        <v>551.5</v>
      </c>
      <c r="AD61" s="5">
        <f t="shared" ca="1" si="31"/>
        <v>664</v>
      </c>
    </row>
    <row r="62" spans="1:46" x14ac:dyDescent="0.2">
      <c r="A62" s="67">
        <f ca="1">Demand!C59</f>
        <v>7</v>
      </c>
      <c r="B62" s="67">
        <v>47</v>
      </c>
      <c r="C62" s="5">
        <f ca="1">'Demand background (hide)'!Y50</f>
        <v>480</v>
      </c>
      <c r="D62" s="67">
        <f t="shared" si="15"/>
        <v>0</v>
      </c>
      <c r="E62" s="67" t="e">
        <f t="shared" ca="1" si="16"/>
        <v>#N/A</v>
      </c>
      <c r="F62" s="67" t="e">
        <f t="shared" ca="1" si="17"/>
        <v>#N/A</v>
      </c>
      <c r="G62" s="67" t="e">
        <f t="shared" ca="1" si="18"/>
        <v>#N/A</v>
      </c>
      <c r="H62" s="67" t="e">
        <f>IF('Demand background (hide)'!AN50&lt;&gt;"",'SPC background (hide)'!C62,NA())</f>
        <v>#N/A</v>
      </c>
      <c r="I62" s="67">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7" t="e">
        <f t="shared" ca="1" si="33"/>
        <v>#N/A</v>
      </c>
      <c r="T62" s="67">
        <f t="shared" ca="1" si="34"/>
        <v>-1</v>
      </c>
      <c r="U62" s="67" t="e">
        <f t="shared" ca="1" si="35"/>
        <v>#N/A</v>
      </c>
      <c r="V62" s="5">
        <f t="shared" ca="1" si="14"/>
        <v>-1</v>
      </c>
      <c r="W62" s="5" t="e">
        <f t="shared" ca="1" si="28"/>
        <v>#N/A</v>
      </c>
      <c r="X62" s="67">
        <f t="shared" ca="1" si="29"/>
        <v>1</v>
      </c>
      <c r="Y62" s="67" t="e">
        <f t="shared" ca="1" si="36"/>
        <v>#N/A</v>
      </c>
      <c r="Z62" s="67" t="e">
        <f t="shared" ca="1" si="37"/>
        <v>#N/A</v>
      </c>
      <c r="AA62" s="5" t="str">
        <f>IF(Setup!$I$15="Yes",'Demand background (hide)'!AJ50+'SPC background (hide)'!C62,"")</f>
        <v/>
      </c>
      <c r="AC62" s="5">
        <f t="shared" ca="1" si="30"/>
        <v>551.5</v>
      </c>
      <c r="AD62" s="5">
        <f t="shared" ca="1" si="31"/>
        <v>664</v>
      </c>
    </row>
    <row r="63" spans="1:46" x14ac:dyDescent="0.2">
      <c r="A63" s="67">
        <f ca="1">Demand!C60</f>
        <v>8</v>
      </c>
      <c r="B63" s="67">
        <v>48</v>
      </c>
      <c r="C63" s="5">
        <f ca="1">'Demand background (hide)'!Y51</f>
        <v>790</v>
      </c>
      <c r="D63" s="67">
        <f t="shared" si="15"/>
        <v>0</v>
      </c>
      <c r="E63" s="67" t="e">
        <f t="shared" ca="1" si="16"/>
        <v>#N/A</v>
      </c>
      <c r="F63" s="67" t="e">
        <f t="shared" ca="1" si="17"/>
        <v>#N/A</v>
      </c>
      <c r="G63" s="67" t="e">
        <f t="shared" ca="1" si="18"/>
        <v>#N/A</v>
      </c>
      <c r="H63" s="67" t="e">
        <f>IF('Demand background (hide)'!AN51&lt;&gt;"",'SPC background (hide)'!C63,NA())</f>
        <v>#N/A</v>
      </c>
      <c r="I63" s="67">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7" t="e">
        <f t="shared" ca="1" si="33"/>
        <v>#N/A</v>
      </c>
      <c r="T63" s="67">
        <f t="shared" ca="1" si="34"/>
        <v>2</v>
      </c>
      <c r="U63" s="67" t="e">
        <f t="shared" ca="1" si="35"/>
        <v>#N/A</v>
      </c>
      <c r="V63" s="5">
        <f t="shared" ca="1" si="14"/>
        <v>1</v>
      </c>
      <c r="W63" s="5" t="e">
        <f t="shared" ca="1" si="28"/>
        <v>#N/A</v>
      </c>
      <c r="X63" s="67">
        <f t="shared" ca="1" si="29"/>
        <v>1</v>
      </c>
      <c r="Y63" s="67" t="e">
        <f t="shared" ca="1" si="36"/>
        <v>#N/A</v>
      </c>
      <c r="Z63" s="67" t="e">
        <f t="shared" ca="1" si="37"/>
        <v>#N/A</v>
      </c>
      <c r="AA63" s="5" t="str">
        <f>IF(Setup!$I$15="Yes",'Demand background (hide)'!AJ51+'SPC background (hide)'!C63,"")</f>
        <v/>
      </c>
      <c r="AC63" s="5">
        <f t="shared" ca="1" si="30"/>
        <v>551.5</v>
      </c>
      <c r="AD63" s="5">
        <f t="shared" ca="1" si="31"/>
        <v>664</v>
      </c>
    </row>
    <row r="64" spans="1:46" x14ac:dyDescent="0.2">
      <c r="A64" s="67">
        <f ca="1">Demand!C61</f>
        <v>9</v>
      </c>
      <c r="B64" s="67">
        <v>49</v>
      </c>
      <c r="C64" s="5">
        <f ca="1">'Demand background (hide)'!Y52</f>
        <v>330</v>
      </c>
      <c r="D64" s="67">
        <f t="shared" si="15"/>
        <v>0</v>
      </c>
      <c r="E64" s="67" t="e">
        <f t="shared" ca="1" si="16"/>
        <v>#N/A</v>
      </c>
      <c r="F64" s="67" t="e">
        <f t="shared" ca="1" si="17"/>
        <v>#N/A</v>
      </c>
      <c r="G64" s="67" t="e">
        <f t="shared" ca="1" si="18"/>
        <v>#N/A</v>
      </c>
      <c r="H64" s="67" t="e">
        <f>IF('Demand background (hide)'!AN52&lt;&gt;"",'SPC background (hide)'!C64,NA())</f>
        <v>#N/A</v>
      </c>
      <c r="I64" s="67">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7" t="e">
        <f t="shared" ca="1" si="33"/>
        <v>#N/A</v>
      </c>
      <c r="T64" s="67">
        <f t="shared" ca="1" si="34"/>
        <v>-2</v>
      </c>
      <c r="U64" s="67" t="e">
        <f t="shared" ca="1" si="35"/>
        <v>#N/A</v>
      </c>
      <c r="V64" s="5">
        <f t="shared" ca="1" si="14"/>
        <v>-1</v>
      </c>
      <c r="W64" s="5" t="e">
        <f t="shared" ca="1" si="28"/>
        <v>#N/A</v>
      </c>
      <c r="X64" s="67">
        <f t="shared" ca="1" si="29"/>
        <v>-1</v>
      </c>
      <c r="Y64" s="67" t="e">
        <f t="shared" ca="1" si="36"/>
        <v>#N/A</v>
      </c>
      <c r="Z64" s="67" t="e">
        <f t="shared" ca="1" si="37"/>
        <v>#N/A</v>
      </c>
      <c r="AA64" s="5" t="str">
        <f>IF(Setup!$I$15="Yes",'Demand background (hide)'!AJ52+'SPC background (hide)'!C64,"")</f>
        <v/>
      </c>
      <c r="AC64" s="5">
        <f t="shared" ca="1" si="30"/>
        <v>551.5</v>
      </c>
      <c r="AD64" s="5">
        <f t="shared" ca="1" si="31"/>
        <v>664</v>
      </c>
    </row>
    <row r="65" spans="1:30" x14ac:dyDescent="0.2">
      <c r="A65" s="67">
        <f ca="1">Demand!C62</f>
        <v>10</v>
      </c>
      <c r="B65" s="67">
        <v>50</v>
      </c>
      <c r="C65" s="5">
        <f ca="1">'Demand background (hide)'!Y53</f>
        <v>590</v>
      </c>
      <c r="D65" s="67">
        <f t="shared" si="15"/>
        <v>0</v>
      </c>
      <c r="E65" s="67" t="e">
        <f t="shared" ca="1" si="16"/>
        <v>#N/A</v>
      </c>
      <c r="F65" s="67" t="e">
        <f t="shared" ca="1" si="17"/>
        <v>#N/A</v>
      </c>
      <c r="G65" s="67" t="e">
        <f t="shared" ca="1" si="18"/>
        <v>#N/A</v>
      </c>
      <c r="H65" s="67" t="e">
        <f>IF('Demand background (hide)'!AN53&lt;&gt;"",'SPC background (hide)'!C65,NA())</f>
        <v>#N/A</v>
      </c>
      <c r="I65" s="67">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7" t="e">
        <f t="shared" ca="1" si="33"/>
        <v>#N/A</v>
      </c>
      <c r="T65" s="67">
        <f t="shared" ca="1" si="34"/>
        <v>1</v>
      </c>
      <c r="U65" s="67" t="e">
        <f t="shared" ca="1" si="35"/>
        <v>#N/A</v>
      </c>
      <c r="V65" s="5">
        <f t="shared" ca="1" si="14"/>
        <v>1</v>
      </c>
      <c r="W65" s="5" t="e">
        <f t="shared" ca="1" si="28"/>
        <v>#N/A</v>
      </c>
      <c r="X65" s="67">
        <f t="shared" ca="1" si="29"/>
        <v>1</v>
      </c>
      <c r="Y65" s="67" t="e">
        <f t="shared" ca="1" si="36"/>
        <v>#N/A</v>
      </c>
      <c r="Z65" s="67" t="e">
        <f t="shared" ca="1" si="37"/>
        <v>#N/A</v>
      </c>
      <c r="AA65" s="5" t="str">
        <f>IF(Setup!$I$15="Yes",'Demand background (hide)'!AJ53+'SPC background (hide)'!C65,"")</f>
        <v/>
      </c>
      <c r="AC65" s="5">
        <f t="shared" ca="1" si="30"/>
        <v>551.5</v>
      </c>
      <c r="AD65" s="5">
        <f t="shared" ca="1" si="31"/>
        <v>664</v>
      </c>
    </row>
    <row r="66" spans="1:30" x14ac:dyDescent="0.2">
      <c r="A66" s="67">
        <f ca="1">Demand!C63</f>
        <v>11</v>
      </c>
      <c r="B66" s="67">
        <v>51</v>
      </c>
      <c r="C66" s="5">
        <f ca="1">'Demand background (hide)'!Y54</f>
        <v>420</v>
      </c>
      <c r="D66" s="67">
        <f t="shared" si="15"/>
        <v>0</v>
      </c>
      <c r="E66" s="67" t="e">
        <f t="shared" ca="1" si="16"/>
        <v>#N/A</v>
      </c>
      <c r="F66" s="67" t="e">
        <f t="shared" ca="1" si="17"/>
        <v>#N/A</v>
      </c>
      <c r="G66" s="67" t="e">
        <f t="shared" ca="1" si="18"/>
        <v>#N/A</v>
      </c>
      <c r="H66" s="67" t="e">
        <f>IF('Demand background (hide)'!AN54&lt;&gt;"",'SPC background (hide)'!C66,NA())</f>
        <v>#N/A</v>
      </c>
      <c r="I66" s="67">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7" t="e">
        <f t="shared" ca="1" si="33"/>
        <v>#N/A</v>
      </c>
      <c r="T66" s="67">
        <f t="shared" ca="1" si="34"/>
        <v>-1</v>
      </c>
      <c r="U66" s="67" t="e">
        <f t="shared" ca="1" si="35"/>
        <v>#N/A</v>
      </c>
      <c r="V66" s="5">
        <f t="shared" ca="1" si="14"/>
        <v>-1</v>
      </c>
      <c r="W66" s="5" t="e">
        <f t="shared" ca="1" si="28"/>
        <v>#N/A</v>
      </c>
      <c r="X66" s="67">
        <f t="shared" ca="1" si="29"/>
        <v>-1</v>
      </c>
      <c r="Y66" s="67" t="e">
        <f t="shared" ca="1" si="36"/>
        <v>#N/A</v>
      </c>
      <c r="Z66" s="67" t="e">
        <f t="shared" ca="1" si="37"/>
        <v>#N/A</v>
      </c>
      <c r="AA66" s="5" t="str">
        <f>IF(Setup!$I$15="Yes",'Demand background (hide)'!AJ54+'SPC background (hide)'!C66,"")</f>
        <v/>
      </c>
      <c r="AC66" s="5">
        <f t="shared" ca="1" si="30"/>
        <v>551.5</v>
      </c>
      <c r="AD66" s="5">
        <f t="shared" ca="1" si="31"/>
        <v>664</v>
      </c>
    </row>
    <row r="67" spans="1:30" x14ac:dyDescent="0.2">
      <c r="A67" s="67">
        <f ca="1">Demand!C64</f>
        <v>12</v>
      </c>
      <c r="B67" s="67">
        <v>52</v>
      </c>
      <c r="C67" s="5">
        <f ca="1">'Demand background (hide)'!Y55</f>
        <v>780</v>
      </c>
      <c r="D67" s="67">
        <f t="shared" si="15"/>
        <v>0</v>
      </c>
      <c r="E67" s="67" t="e">
        <f t="shared" ca="1" si="16"/>
        <v>#N/A</v>
      </c>
      <c r="F67" s="67" t="e">
        <f t="shared" ca="1" si="17"/>
        <v>#N/A</v>
      </c>
      <c r="G67" s="67" t="e">
        <f t="shared" ca="1" si="18"/>
        <v>#N/A</v>
      </c>
      <c r="H67" s="67" t="e">
        <f>IF('Demand background (hide)'!AN55&lt;&gt;"",'SPC background (hide)'!C67,NA())</f>
        <v>#N/A</v>
      </c>
      <c r="I67" s="67">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7" t="e">
        <f t="shared" ca="1" si="33"/>
        <v>#N/A</v>
      </c>
      <c r="T67" s="67">
        <f t="shared" ca="1" si="34"/>
        <v>2</v>
      </c>
      <c r="U67" s="67" t="e">
        <f t="shared" ca="1" si="35"/>
        <v>#N/A</v>
      </c>
      <c r="V67" s="5">
        <f t="shared" ca="1" si="14"/>
        <v>1</v>
      </c>
      <c r="W67" s="5" t="e">
        <f t="shared" ca="1" si="28"/>
        <v>#N/A</v>
      </c>
      <c r="X67" s="67">
        <f t="shared" ca="1" si="29"/>
        <v>1</v>
      </c>
      <c r="Y67" s="67" t="e">
        <f t="shared" ca="1" si="36"/>
        <v>#N/A</v>
      </c>
      <c r="Z67" s="67" t="e">
        <f t="shared" ca="1" si="37"/>
        <v>#N/A</v>
      </c>
      <c r="AA67" s="5" t="str">
        <f>IF(Setup!$I$15="Yes",'Demand background (hide)'!AJ55+'SPC background (hide)'!C67,"")</f>
        <v/>
      </c>
      <c r="AC67" s="5">
        <f t="shared" ca="1" si="30"/>
        <v>551.5</v>
      </c>
      <c r="AD67" s="5">
        <f t="shared" ca="1" si="31"/>
        <v>664</v>
      </c>
    </row>
    <row r="68" spans="1:30" x14ac:dyDescent="0.2">
      <c r="A68" s="67">
        <f ca="1">Demand!C65</f>
        <v>13</v>
      </c>
      <c r="B68" s="67">
        <v>53</v>
      </c>
      <c r="C68" s="5">
        <f ca="1">'Demand background (hide)'!Y56</f>
        <v>370</v>
      </c>
      <c r="D68" s="67">
        <f t="shared" si="15"/>
        <v>0</v>
      </c>
      <c r="E68" s="67" t="e">
        <f t="shared" ca="1" si="16"/>
        <v>#N/A</v>
      </c>
      <c r="F68" s="67" t="e">
        <f t="shared" ca="1" si="17"/>
        <v>#N/A</v>
      </c>
      <c r="G68" s="67" t="e">
        <f t="shared" ca="1" si="18"/>
        <v>#N/A</v>
      </c>
      <c r="H68" s="67" t="e">
        <f>IF('Demand background (hide)'!AN56&lt;&gt;"",'SPC background (hide)'!C68,NA())</f>
        <v>#N/A</v>
      </c>
      <c r="I68" s="67">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7" t="e">
        <f t="shared" ca="1" si="33"/>
        <v>#N/A</v>
      </c>
      <c r="T68" s="67">
        <f t="shared" ca="1" si="34"/>
        <v>-1</v>
      </c>
      <c r="U68" s="67" t="e">
        <f t="shared" ca="1" si="35"/>
        <v>#N/A</v>
      </c>
      <c r="V68" s="5">
        <f t="shared" ca="1" si="14"/>
        <v>-1</v>
      </c>
      <c r="W68" s="5" t="e">
        <f t="shared" ca="1" si="28"/>
        <v>#N/A</v>
      </c>
      <c r="X68" s="67">
        <f t="shared" ca="1" si="29"/>
        <v>-1</v>
      </c>
      <c r="Y68" s="67" t="e">
        <f t="shared" ca="1" si="36"/>
        <v>#N/A</v>
      </c>
      <c r="Z68" s="67" t="e">
        <f t="shared" ca="1" si="37"/>
        <v>#N/A</v>
      </c>
      <c r="AA68" s="5" t="str">
        <f>IF(Setup!$I$15="Yes",'Demand background (hide)'!AJ56+'SPC background (hide)'!C68,"")</f>
        <v/>
      </c>
      <c r="AC68" s="5">
        <f t="shared" ca="1" si="30"/>
        <v>551.5</v>
      </c>
      <c r="AD68" s="5">
        <f t="shared" ca="1" si="31"/>
        <v>664</v>
      </c>
    </row>
    <row r="69" spans="1:30" x14ac:dyDescent="0.2">
      <c r="A69" s="67">
        <f ca="1">Demand!C66</f>
        <v>14</v>
      </c>
      <c r="B69" s="67">
        <v>54</v>
      </c>
      <c r="C69" s="5">
        <f ca="1">'Demand background (hide)'!Y57</f>
        <v>450</v>
      </c>
      <c r="D69" s="67">
        <f t="shared" si="15"/>
        <v>0</v>
      </c>
      <c r="E69" s="67" t="e">
        <f t="shared" ca="1" si="16"/>
        <v>#N/A</v>
      </c>
      <c r="F69" s="67" t="e">
        <f t="shared" ca="1" si="17"/>
        <v>#N/A</v>
      </c>
      <c r="G69" s="67" t="e">
        <f t="shared" ca="1" si="18"/>
        <v>#N/A</v>
      </c>
      <c r="H69" s="67" t="e">
        <f>IF('Demand background (hide)'!AN57&lt;&gt;"",'SPC background (hide)'!C69,NA())</f>
        <v>#N/A</v>
      </c>
      <c r="I69" s="67">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7" t="e">
        <f t="shared" ca="1" si="33"/>
        <v>#N/A</v>
      </c>
      <c r="T69" s="67">
        <f t="shared" ca="1" si="34"/>
        <v>-1</v>
      </c>
      <c r="U69" s="67" t="e">
        <f t="shared" ca="1" si="35"/>
        <v>#N/A</v>
      </c>
      <c r="V69" s="5">
        <f t="shared" ca="1" si="14"/>
        <v>-1</v>
      </c>
      <c r="W69" s="5" t="e">
        <f t="shared" ca="1" si="28"/>
        <v>#N/A</v>
      </c>
      <c r="X69" s="67">
        <f t="shared" ca="1" si="29"/>
        <v>1</v>
      </c>
      <c r="Y69" s="67" t="e">
        <f t="shared" ca="1" si="36"/>
        <v>#N/A</v>
      </c>
      <c r="Z69" s="67" t="e">
        <f t="shared" ca="1" si="37"/>
        <v>#N/A</v>
      </c>
      <c r="AA69" s="5" t="str">
        <f>IF(Setup!$I$15="Yes",'Demand background (hide)'!AJ57+'SPC background (hide)'!C69,"")</f>
        <v/>
      </c>
      <c r="AC69" s="5">
        <f t="shared" ca="1" si="30"/>
        <v>551.5</v>
      </c>
      <c r="AD69" s="5">
        <f t="shared" ca="1" si="31"/>
        <v>664</v>
      </c>
    </row>
    <row r="70" spans="1:30" x14ac:dyDescent="0.2">
      <c r="A70" s="67">
        <f ca="1">Demand!C67</f>
        <v>15</v>
      </c>
      <c r="B70" s="67">
        <v>55</v>
      </c>
      <c r="C70" s="5">
        <f ca="1">'Demand background (hide)'!Y58</f>
        <v>430</v>
      </c>
      <c r="D70" s="67">
        <f t="shared" si="15"/>
        <v>0</v>
      </c>
      <c r="E70" s="67" t="e">
        <f t="shared" ca="1" si="16"/>
        <v>#N/A</v>
      </c>
      <c r="F70" s="67" t="e">
        <f t="shared" ca="1" si="17"/>
        <v>#N/A</v>
      </c>
      <c r="G70" s="67" t="e">
        <f t="shared" ca="1" si="18"/>
        <v>#N/A</v>
      </c>
      <c r="H70" s="67" t="e">
        <f>IF('Demand background (hide)'!AN58&lt;&gt;"",'SPC background (hide)'!C70,NA())</f>
        <v>#N/A</v>
      </c>
      <c r="I70" s="67">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7" t="e">
        <f t="shared" ca="1" si="33"/>
        <v>#N/A</v>
      </c>
      <c r="T70" s="67">
        <f t="shared" ca="1" si="34"/>
        <v>-1</v>
      </c>
      <c r="U70" s="67" t="e">
        <f t="shared" ca="1" si="35"/>
        <v>#N/A</v>
      </c>
      <c r="V70" s="5">
        <f t="shared" ca="1" si="14"/>
        <v>-1</v>
      </c>
      <c r="W70" s="5" t="e">
        <f t="shared" ca="1" si="28"/>
        <v>#N/A</v>
      </c>
      <c r="X70" s="67">
        <f t="shared" ca="1" si="29"/>
        <v>-1</v>
      </c>
      <c r="Y70" s="67" t="e">
        <f t="shared" ca="1" si="36"/>
        <v>#N/A</v>
      </c>
      <c r="Z70" s="67" t="e">
        <f t="shared" ca="1" si="37"/>
        <v>#N/A</v>
      </c>
      <c r="AA70" s="5" t="str">
        <f>IF(Setup!$I$15="Yes",'Demand background (hide)'!AJ58+'SPC background (hide)'!C70,"")</f>
        <v/>
      </c>
      <c r="AC70" s="5">
        <f t="shared" ca="1" si="30"/>
        <v>551.5</v>
      </c>
      <c r="AD70" s="5">
        <f t="shared" ca="1" si="31"/>
        <v>664</v>
      </c>
    </row>
    <row r="71" spans="1:30" x14ac:dyDescent="0.2">
      <c r="A71" s="67">
        <f ca="1">Demand!C68</f>
        <v>16</v>
      </c>
      <c r="B71" s="67">
        <v>56</v>
      </c>
      <c r="C71" s="5">
        <f ca="1">'Demand background (hide)'!Y59</f>
        <v>620</v>
      </c>
      <c r="D71" s="67">
        <f t="shared" si="15"/>
        <v>0</v>
      </c>
      <c r="E71" s="67" t="e">
        <f t="shared" ca="1" si="16"/>
        <v>#N/A</v>
      </c>
      <c r="F71" s="67" t="e">
        <f t="shared" ca="1" si="17"/>
        <v>#N/A</v>
      </c>
      <c r="G71" s="67" t="e">
        <f t="shared" ca="1" si="18"/>
        <v>#N/A</v>
      </c>
      <c r="H71" s="67" t="e">
        <f>IF('Demand background (hide)'!AN59&lt;&gt;"",'SPC background (hide)'!C71,NA())</f>
        <v>#N/A</v>
      </c>
      <c r="I71" s="67">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7" t="e">
        <f t="shared" ca="1" si="33"/>
        <v>#N/A</v>
      </c>
      <c r="T71" s="67">
        <f t="shared" ca="1" si="34"/>
        <v>1</v>
      </c>
      <c r="U71" s="67" t="e">
        <f t="shared" ca="1" si="35"/>
        <v>#N/A</v>
      </c>
      <c r="V71" s="5">
        <f t="shared" ca="1" si="14"/>
        <v>1</v>
      </c>
      <c r="W71" s="5" t="e">
        <f t="shared" ca="1" si="28"/>
        <v>#N/A</v>
      </c>
      <c r="X71" s="67">
        <f t="shared" ca="1" si="29"/>
        <v>1</v>
      </c>
      <c r="Y71" s="67" t="e">
        <f t="shared" ca="1" si="36"/>
        <v>#N/A</v>
      </c>
      <c r="Z71" s="67" t="e">
        <f t="shared" ca="1" si="37"/>
        <v>#N/A</v>
      </c>
      <c r="AA71" s="5" t="str">
        <f>IF(Setup!$I$15="Yes",'Demand background (hide)'!AJ59+'SPC background (hide)'!C71,"")</f>
        <v/>
      </c>
      <c r="AC71" s="5">
        <f t="shared" ca="1" si="30"/>
        <v>551.5</v>
      </c>
      <c r="AD71" s="5">
        <f t="shared" ca="1" si="31"/>
        <v>664</v>
      </c>
    </row>
    <row r="72" spans="1:30" x14ac:dyDescent="0.2">
      <c r="A72" s="67">
        <f ca="1">Demand!C69</f>
        <v>17</v>
      </c>
      <c r="B72" s="67">
        <v>57</v>
      </c>
      <c r="C72" s="5">
        <f ca="1">'Demand background (hide)'!Y60</f>
        <v>430</v>
      </c>
      <c r="D72" s="67">
        <f t="shared" si="15"/>
        <v>0</v>
      </c>
      <c r="E72" s="67" t="e">
        <f t="shared" ca="1" si="16"/>
        <v>#N/A</v>
      </c>
      <c r="F72" s="67" t="e">
        <f t="shared" ca="1" si="17"/>
        <v>#N/A</v>
      </c>
      <c r="G72" s="67" t="e">
        <f t="shared" ca="1" si="18"/>
        <v>#N/A</v>
      </c>
      <c r="H72" s="67" t="e">
        <f>IF('Demand background (hide)'!AN60&lt;&gt;"",'SPC background (hide)'!C72,NA())</f>
        <v>#N/A</v>
      </c>
      <c r="I72" s="67">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7" t="e">
        <f t="shared" ca="1" si="33"/>
        <v>#N/A</v>
      </c>
      <c r="T72" s="67">
        <f t="shared" ca="1" si="34"/>
        <v>-1</v>
      </c>
      <c r="U72" s="67" t="e">
        <f t="shared" ca="1" si="35"/>
        <v>#N/A</v>
      </c>
      <c r="V72" s="5">
        <f t="shared" ca="1" si="14"/>
        <v>-1</v>
      </c>
      <c r="W72" s="5" t="e">
        <f t="shared" ca="1" si="28"/>
        <v>#N/A</v>
      </c>
      <c r="X72" s="67">
        <f t="shared" ca="1" si="29"/>
        <v>-1</v>
      </c>
      <c r="Y72" s="67" t="e">
        <f t="shared" ca="1" si="36"/>
        <v>#N/A</v>
      </c>
      <c r="Z72" s="67" t="e">
        <f t="shared" ca="1" si="37"/>
        <v>#N/A</v>
      </c>
      <c r="AA72" s="5" t="str">
        <f>IF(Setup!$I$15="Yes",'Demand background (hide)'!AJ60+'SPC background (hide)'!C72,"")</f>
        <v/>
      </c>
      <c r="AC72" s="5">
        <f t="shared" ca="1" si="30"/>
        <v>551.5</v>
      </c>
      <c r="AD72" s="5">
        <f t="shared" ca="1" si="31"/>
        <v>664</v>
      </c>
    </row>
    <row r="73" spans="1:30" x14ac:dyDescent="0.2">
      <c r="A73" s="67">
        <f ca="1">Demand!C70</f>
        <v>18</v>
      </c>
      <c r="B73" s="67">
        <v>58</v>
      </c>
      <c r="C73" s="5">
        <f ca="1">'Demand background (hide)'!Y61</f>
        <v>620</v>
      </c>
      <c r="D73" s="67">
        <f t="shared" si="15"/>
        <v>0</v>
      </c>
      <c r="E73" s="67" t="e">
        <f t="shared" ca="1" si="16"/>
        <v>#N/A</v>
      </c>
      <c r="F73" s="67" t="e">
        <f t="shared" ca="1" si="17"/>
        <v>#N/A</v>
      </c>
      <c r="G73" s="67" t="e">
        <f t="shared" ca="1" si="18"/>
        <v>#N/A</v>
      </c>
      <c r="H73" s="67" t="e">
        <f>IF('Demand background (hide)'!AN61&lt;&gt;"",'SPC background (hide)'!C73,NA())</f>
        <v>#N/A</v>
      </c>
      <c r="I73" s="67">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7" t="e">
        <f t="shared" ca="1" si="33"/>
        <v>#N/A</v>
      </c>
      <c r="T73" s="67">
        <f t="shared" ca="1" si="34"/>
        <v>1</v>
      </c>
      <c r="U73" s="67" t="e">
        <f t="shared" ca="1" si="35"/>
        <v>#N/A</v>
      </c>
      <c r="V73" s="5">
        <f t="shared" ca="1" si="14"/>
        <v>1</v>
      </c>
      <c r="W73" s="5" t="e">
        <f t="shared" ca="1" si="28"/>
        <v>#N/A</v>
      </c>
      <c r="X73" s="67">
        <f t="shared" ca="1" si="29"/>
        <v>1</v>
      </c>
      <c r="Y73" s="67" t="e">
        <f t="shared" ca="1" si="36"/>
        <v>#N/A</v>
      </c>
      <c r="Z73" s="67" t="e">
        <f t="shared" ca="1" si="37"/>
        <v>#N/A</v>
      </c>
      <c r="AA73" s="5" t="str">
        <f>IF(Setup!$I$15="Yes",'Demand background (hide)'!AJ61+'SPC background (hide)'!C73,"")</f>
        <v/>
      </c>
      <c r="AC73" s="5">
        <f t="shared" ca="1" si="30"/>
        <v>551.5</v>
      </c>
      <c r="AD73" s="5">
        <f t="shared" ca="1" si="31"/>
        <v>664</v>
      </c>
    </row>
    <row r="74" spans="1:30" x14ac:dyDescent="0.2">
      <c r="A74" s="67">
        <f ca="1">Demand!C71</f>
        <v>19</v>
      </c>
      <c r="B74" s="67">
        <v>59</v>
      </c>
      <c r="C74" s="5">
        <f ca="1">'Demand background (hide)'!Y62</f>
        <v>270</v>
      </c>
      <c r="D74" s="67">
        <f t="shared" si="15"/>
        <v>0</v>
      </c>
      <c r="E74" s="67" t="e">
        <f t="shared" ca="1" si="16"/>
        <v>#N/A</v>
      </c>
      <c r="F74" s="67" t="e">
        <f t="shared" ca="1" si="17"/>
        <v>#N/A</v>
      </c>
      <c r="G74" s="67" t="e">
        <f t="shared" ca="1" si="18"/>
        <v>#N/A</v>
      </c>
      <c r="H74" s="67" t="e">
        <f>IF('Demand background (hide)'!AN62&lt;&gt;"",'SPC background (hide)'!C74,NA())</f>
        <v>#N/A</v>
      </c>
      <c r="I74" s="67">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7" t="e">
        <f t="shared" ca="1" si="33"/>
        <v>#N/A</v>
      </c>
      <c r="T74" s="67">
        <f t="shared" ca="1" si="34"/>
        <v>-2</v>
      </c>
      <c r="U74" s="67" t="e">
        <f t="shared" ca="1" si="35"/>
        <v>#N/A</v>
      </c>
      <c r="V74" s="5">
        <f t="shared" ca="1" si="14"/>
        <v>-1</v>
      </c>
      <c r="W74" s="5" t="e">
        <f t="shared" ca="1" si="28"/>
        <v>#N/A</v>
      </c>
      <c r="X74" s="67">
        <f t="shared" ca="1" si="29"/>
        <v>-1</v>
      </c>
      <c r="Y74" s="67" t="e">
        <f t="shared" ca="1" si="36"/>
        <v>#N/A</v>
      </c>
      <c r="Z74" s="67" t="e">
        <f t="shared" ca="1" si="37"/>
        <v>#N/A</v>
      </c>
      <c r="AA74" s="5" t="str">
        <f>IF(Setup!$I$15="Yes",'Demand background (hide)'!AJ62+'SPC background (hide)'!C74,"")</f>
        <v/>
      </c>
      <c r="AC74" s="5">
        <f t="shared" ca="1" si="30"/>
        <v>551.5</v>
      </c>
      <c r="AD74" s="5">
        <f t="shared" ca="1" si="31"/>
        <v>664</v>
      </c>
    </row>
    <row r="75" spans="1:30" x14ac:dyDescent="0.2">
      <c r="A75" s="67">
        <f ca="1">Demand!C72</f>
        <v>20</v>
      </c>
      <c r="B75" s="67">
        <v>60</v>
      </c>
      <c r="C75" s="5">
        <f ca="1">'Demand background (hide)'!Y63</f>
        <v>510</v>
      </c>
      <c r="D75" s="67">
        <f t="shared" si="15"/>
        <v>0</v>
      </c>
      <c r="E75" s="67" t="e">
        <f t="shared" ca="1" si="16"/>
        <v>#N/A</v>
      </c>
      <c r="F75" s="67" t="e">
        <f t="shared" ca="1" si="17"/>
        <v>#N/A</v>
      </c>
      <c r="G75" s="67" t="e">
        <f t="shared" ca="1" si="18"/>
        <v>#N/A</v>
      </c>
      <c r="H75" s="67" t="e">
        <f>IF('Demand background (hide)'!AN63&lt;&gt;"",'SPC background (hide)'!C75,NA())</f>
        <v>#N/A</v>
      </c>
      <c r="I75" s="67">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7" t="e">
        <f t="shared" ca="1" si="33"/>
        <v>#N/A</v>
      </c>
      <c r="T75" s="67">
        <f t="shared" ca="1" si="34"/>
        <v>1</v>
      </c>
      <c r="U75" s="67" t="e">
        <f t="shared" ca="1" si="35"/>
        <v>#N/A</v>
      </c>
      <c r="V75" s="5">
        <f t="shared" ca="1" si="14"/>
        <v>1</v>
      </c>
      <c r="W75" s="5" t="e">
        <f t="shared" ca="1" si="28"/>
        <v>#N/A</v>
      </c>
      <c r="X75" s="67">
        <f t="shared" ca="1" si="29"/>
        <v>1</v>
      </c>
      <c r="Y75" s="67" t="e">
        <f t="shared" ca="1" si="36"/>
        <v>#N/A</v>
      </c>
      <c r="Z75" s="67" t="e">
        <f t="shared" ca="1" si="37"/>
        <v>#N/A</v>
      </c>
      <c r="AA75" s="5" t="str">
        <f>IF(Setup!$I$15="Yes",'Demand background (hide)'!AJ63+'SPC background (hide)'!C75,"")</f>
        <v/>
      </c>
      <c r="AC75" s="5">
        <f t="shared" ca="1" si="30"/>
        <v>551.5</v>
      </c>
      <c r="AD75" s="5">
        <f t="shared" ca="1" si="31"/>
        <v>664</v>
      </c>
    </row>
    <row r="76" spans="1:30" x14ac:dyDescent="0.2">
      <c r="A76" s="67">
        <f ca="1">Demand!C73</f>
        <v>21</v>
      </c>
      <c r="B76" s="67">
        <v>61</v>
      </c>
      <c r="C76" s="5">
        <f ca="1">'Demand background (hide)'!Y64</f>
        <v>280</v>
      </c>
      <c r="D76" s="67">
        <f t="shared" si="15"/>
        <v>0</v>
      </c>
      <c r="E76" s="67" t="e">
        <f t="shared" ca="1" si="16"/>
        <v>#N/A</v>
      </c>
      <c r="F76" s="67" t="e">
        <f t="shared" ca="1" si="17"/>
        <v>#N/A</v>
      </c>
      <c r="G76" s="67" t="e">
        <f t="shared" ca="1" si="18"/>
        <v>#N/A</v>
      </c>
      <c r="H76" s="67" t="e">
        <f>IF('Demand background (hide)'!AN64&lt;&gt;"",'SPC background (hide)'!C76,NA())</f>
        <v>#N/A</v>
      </c>
      <c r="I76" s="67">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7" t="e">
        <f t="shared" ca="1" si="33"/>
        <v>#N/A</v>
      </c>
      <c r="T76" s="67">
        <f t="shared" ca="1" si="34"/>
        <v>-2</v>
      </c>
      <c r="U76" s="67" t="e">
        <f t="shared" ca="1" si="35"/>
        <v>#N/A</v>
      </c>
      <c r="V76" s="5">
        <f t="shared" ca="1" si="14"/>
        <v>-1</v>
      </c>
      <c r="W76" s="5" t="e">
        <f t="shared" ca="1" si="28"/>
        <v>#N/A</v>
      </c>
      <c r="X76" s="67">
        <f t="shared" ca="1" si="29"/>
        <v>-1</v>
      </c>
      <c r="Y76" s="67" t="e">
        <f t="shared" ca="1" si="36"/>
        <v>#N/A</v>
      </c>
      <c r="Z76" s="67" t="e">
        <f t="shared" ca="1" si="37"/>
        <v>#N/A</v>
      </c>
      <c r="AA76" s="5" t="str">
        <f>IF(Setup!$I$15="Yes",'Demand background (hide)'!AJ64+'SPC background (hide)'!C76,"")</f>
        <v/>
      </c>
      <c r="AC76" s="5">
        <f t="shared" ca="1" si="30"/>
        <v>551.5</v>
      </c>
      <c r="AD76" s="5">
        <f t="shared" ca="1" si="31"/>
        <v>664</v>
      </c>
    </row>
    <row r="77" spans="1:30" x14ac:dyDescent="0.2">
      <c r="A77" s="67">
        <f ca="1">Demand!C74</f>
        <v>22</v>
      </c>
      <c r="B77" s="67">
        <v>62</v>
      </c>
      <c r="C77" s="5">
        <f ca="1">'Demand background (hide)'!Y65</f>
        <v>720</v>
      </c>
      <c r="D77" s="67">
        <f t="shared" si="15"/>
        <v>0</v>
      </c>
      <c r="E77" s="67" t="e">
        <f t="shared" ca="1" si="16"/>
        <v>#N/A</v>
      </c>
      <c r="F77" s="67" t="e">
        <f t="shared" ca="1" si="17"/>
        <v>#N/A</v>
      </c>
      <c r="G77" s="67" t="e">
        <f t="shared" ca="1" si="18"/>
        <v>#N/A</v>
      </c>
      <c r="H77" s="67" t="e">
        <f>IF('Demand background (hide)'!AN65&lt;&gt;"",'SPC background (hide)'!C77,NA())</f>
        <v>#N/A</v>
      </c>
      <c r="I77" s="67">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7" t="e">
        <f t="shared" ca="1" si="33"/>
        <v>#N/A</v>
      </c>
      <c r="T77" s="67">
        <f t="shared" ca="1" si="34"/>
        <v>2</v>
      </c>
      <c r="U77" s="67" t="e">
        <f t="shared" ca="1" si="35"/>
        <v>#N/A</v>
      </c>
      <c r="V77" s="5">
        <f t="shared" ca="1" si="14"/>
        <v>1</v>
      </c>
      <c r="W77" s="5" t="e">
        <f t="shared" ca="1" si="28"/>
        <v>#N/A</v>
      </c>
      <c r="X77" s="67">
        <f t="shared" ca="1" si="29"/>
        <v>1</v>
      </c>
      <c r="Y77" s="67" t="e">
        <f t="shared" ca="1" si="36"/>
        <v>#N/A</v>
      </c>
      <c r="Z77" s="67" t="e">
        <f t="shared" ca="1" si="37"/>
        <v>#N/A</v>
      </c>
      <c r="AA77" s="5" t="str">
        <f>IF(Setup!$I$15="Yes",'Demand background (hide)'!AJ65+'SPC background (hide)'!C77,"")</f>
        <v/>
      </c>
      <c r="AC77" s="5">
        <f t="shared" ca="1" si="30"/>
        <v>551.5</v>
      </c>
      <c r="AD77" s="5">
        <f t="shared" ca="1" si="31"/>
        <v>664</v>
      </c>
    </row>
    <row r="78" spans="1:30" x14ac:dyDescent="0.2">
      <c r="A78" s="67">
        <f ca="1">Demand!C75</f>
        <v>23</v>
      </c>
      <c r="B78" s="67">
        <v>63</v>
      </c>
      <c r="C78" s="5">
        <f ca="1">'Demand background (hide)'!Y66</f>
        <v>270</v>
      </c>
      <c r="D78" s="67">
        <f t="shared" si="15"/>
        <v>0</v>
      </c>
      <c r="E78" s="67" t="e">
        <f t="shared" ca="1" si="16"/>
        <v>#N/A</v>
      </c>
      <c r="F78" s="67" t="e">
        <f t="shared" ca="1" si="17"/>
        <v>#N/A</v>
      </c>
      <c r="G78" s="67" t="e">
        <f t="shared" ca="1" si="18"/>
        <v>#N/A</v>
      </c>
      <c r="H78" s="67" t="e">
        <f>IF('Demand background (hide)'!AN66&lt;&gt;"",'SPC background (hide)'!C78,NA())</f>
        <v>#N/A</v>
      </c>
      <c r="I78" s="67">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7" t="e">
        <f t="shared" ca="1" si="33"/>
        <v>#N/A</v>
      </c>
      <c r="T78" s="67">
        <f t="shared" ca="1" si="34"/>
        <v>-2</v>
      </c>
      <c r="U78" s="67" t="e">
        <f t="shared" ca="1" si="35"/>
        <v>#N/A</v>
      </c>
      <c r="V78" s="5">
        <f t="shared" ca="1" si="14"/>
        <v>-1</v>
      </c>
      <c r="W78" s="5" t="e">
        <f t="shared" ca="1" si="28"/>
        <v>#N/A</v>
      </c>
      <c r="X78" s="67">
        <f t="shared" ca="1" si="29"/>
        <v>-1</v>
      </c>
      <c r="Y78" s="67" t="e">
        <f t="shared" ca="1" si="36"/>
        <v>#N/A</v>
      </c>
      <c r="Z78" s="67" t="e">
        <f t="shared" ca="1" si="37"/>
        <v>#N/A</v>
      </c>
      <c r="AA78" s="5" t="str">
        <f>IF(Setup!$I$15="Yes",'Demand background (hide)'!AJ66+'SPC background (hide)'!C78,"")</f>
        <v/>
      </c>
      <c r="AC78" s="5">
        <f t="shared" ca="1" si="30"/>
        <v>551.5</v>
      </c>
      <c r="AD78" s="5">
        <f t="shared" ca="1" si="31"/>
        <v>664</v>
      </c>
    </row>
    <row r="79" spans="1:30" x14ac:dyDescent="0.2">
      <c r="A79" s="67">
        <f ca="1">Demand!C76</f>
        <v>24</v>
      </c>
      <c r="B79" s="67">
        <v>64</v>
      </c>
      <c r="C79" s="5">
        <f ca="1">'Demand background (hide)'!Y67</f>
        <v>390</v>
      </c>
      <c r="D79" s="67">
        <f t="shared" si="15"/>
        <v>0</v>
      </c>
      <c r="E79" s="67" t="e">
        <f t="shared" ca="1" si="16"/>
        <v>#N/A</v>
      </c>
      <c r="F79" s="67" t="e">
        <f t="shared" ca="1" si="17"/>
        <v>#N/A</v>
      </c>
      <c r="G79" s="67" t="e">
        <f t="shared" ca="1" si="18"/>
        <v>#N/A</v>
      </c>
      <c r="H79" s="67" t="e">
        <f>IF('Demand background (hide)'!AN67&lt;&gt;"",'SPC background (hide)'!C79,NA())</f>
        <v>#N/A</v>
      </c>
      <c r="I79" s="67">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7" t="e">
        <f t="shared" ca="1" si="33"/>
        <v>#N/A</v>
      </c>
      <c r="T79" s="67">
        <f t="shared" ca="1" si="34"/>
        <v>-1</v>
      </c>
      <c r="U79" s="67" t="e">
        <f t="shared" ca="1" si="35"/>
        <v>#N/A</v>
      </c>
      <c r="V79" s="5">
        <f t="shared" ca="1" si="14"/>
        <v>-1</v>
      </c>
      <c r="W79" s="5" t="e">
        <f t="shared" ca="1" si="28"/>
        <v>#N/A</v>
      </c>
      <c r="X79" s="67">
        <f t="shared" ca="1" si="29"/>
        <v>1</v>
      </c>
      <c r="Y79" s="67" t="e">
        <f t="shared" ca="1" si="36"/>
        <v>#N/A</v>
      </c>
      <c r="Z79" s="67" t="e">
        <f t="shared" ca="1" si="37"/>
        <v>#N/A</v>
      </c>
      <c r="AA79" s="5" t="str">
        <f>IF(Setup!$I$15="Yes",'Demand background (hide)'!AJ67+'SPC background (hide)'!C79,"")</f>
        <v/>
      </c>
      <c r="AC79" s="5">
        <f t="shared" ca="1" si="30"/>
        <v>551.5</v>
      </c>
      <c r="AD79" s="5">
        <f t="shared" ca="1" si="31"/>
        <v>664</v>
      </c>
    </row>
    <row r="80" spans="1:30" x14ac:dyDescent="0.2">
      <c r="A80" s="67">
        <f ca="1">Demand!C77</f>
        <v>25</v>
      </c>
      <c r="B80" s="67">
        <v>65</v>
      </c>
      <c r="C80" s="5">
        <f ca="1">'Demand background (hide)'!Y68</f>
        <v>500</v>
      </c>
      <c r="D80" s="67">
        <f t="shared" si="15"/>
        <v>0</v>
      </c>
      <c r="E80" s="67" t="e">
        <f t="shared" ca="1" si="16"/>
        <v>#N/A</v>
      </c>
      <c r="F80" s="67" t="e">
        <f t="shared" ca="1" si="17"/>
        <v>#N/A</v>
      </c>
      <c r="G80" s="67" t="e">
        <f t="shared" ca="1" si="18"/>
        <v>#N/A</v>
      </c>
      <c r="H80" s="67" t="e">
        <f>IF('Demand background (hide)'!AN68&lt;&gt;"",'SPC background (hide)'!C80,NA())</f>
        <v>#N/A</v>
      </c>
      <c r="I80" s="67">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7" t="e">
        <f t="shared" ca="1" si="33"/>
        <v>#N/A</v>
      </c>
      <c r="T80" s="67">
        <f t="shared" ca="1" si="34"/>
        <v>1</v>
      </c>
      <c r="U80" s="67" t="e">
        <f t="shared" ca="1" si="35"/>
        <v>#N/A</v>
      </c>
      <c r="V80" s="5">
        <f t="shared" ref="V80:V143" ca="1" si="38">IF(C80&lt;M80,-1,IF(C80&gt;M80,1,0))</f>
        <v>1</v>
      </c>
      <c r="W80" s="5" t="e">
        <f t="shared" ca="1" si="28"/>
        <v>#N/A</v>
      </c>
      <c r="X80" s="67">
        <f t="shared" ca="1" si="29"/>
        <v>1</v>
      </c>
      <c r="Y80" s="67" t="e">
        <f t="shared" ca="1" si="36"/>
        <v>#N/A</v>
      </c>
      <c r="Z80" s="67" t="e">
        <f t="shared" ca="1" si="37"/>
        <v>#N/A</v>
      </c>
      <c r="AA80" s="5" t="str">
        <f>IF(Setup!$I$15="Yes",'Demand background (hide)'!AJ68+'SPC background (hide)'!C80,"")</f>
        <v/>
      </c>
      <c r="AC80" s="5">
        <f t="shared" ca="1" si="30"/>
        <v>551.5</v>
      </c>
      <c r="AD80" s="5">
        <f t="shared" ca="1" si="31"/>
        <v>664</v>
      </c>
    </row>
    <row r="81" spans="1:30" x14ac:dyDescent="0.2">
      <c r="A81" s="67">
        <f ca="1">Demand!C78</f>
        <v>26</v>
      </c>
      <c r="B81" s="67">
        <v>66</v>
      </c>
      <c r="C81" s="5">
        <f ca="1">'Demand background (hide)'!Y69</f>
        <v>310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7" t="e">
        <f t="shared" ca="1" si="33"/>
        <v>#N/A</v>
      </c>
      <c r="T81" s="67">
        <f t="shared" ca="1" si="34"/>
        <v>-2</v>
      </c>
      <c r="U81" s="67" t="e">
        <f t="shared" ca="1" si="35"/>
        <v>#N/A</v>
      </c>
      <c r="V81" s="5">
        <f t="shared" ca="1" si="38"/>
        <v>-1</v>
      </c>
      <c r="W81" s="5" t="e">
        <f t="shared" ref="W81:W144" ca="1" si="52">IF(ISNA(H81)=TRUE,IF(ABS(SUM(V81:V89))=9,C81,NA()),NA())</f>
        <v>#N/A</v>
      </c>
      <c r="X81" s="67">
        <f t="shared" ref="X81:X144" ca="1" si="53">IF(C81&gt;C80,1,IF(C81&lt;C80,-1,0))</f>
        <v>-1</v>
      </c>
      <c r="Y81" s="67" t="e">
        <f t="shared" ca="1" si="36"/>
        <v>#N/A</v>
      </c>
      <c r="Z81" s="67"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2">
      <c r="A82" s="67">
        <f ca="1">Demand!C79</f>
        <v>27</v>
      </c>
      <c r="B82" s="67">
        <v>67</v>
      </c>
      <c r="C82" s="5">
        <f ca="1">'Demand background (hide)'!Y70</f>
        <v>820</v>
      </c>
      <c r="D82" s="67">
        <f t="shared" si="39"/>
        <v>0</v>
      </c>
      <c r="E82" s="67" t="e">
        <f t="shared" ca="1" si="40"/>
        <v>#N/A</v>
      </c>
      <c r="F82" s="67" t="e">
        <f t="shared" ca="1" si="41"/>
        <v>#N/A</v>
      </c>
      <c r="G82" s="67" t="e">
        <f t="shared" ca="1" si="42"/>
        <v>#N/A</v>
      </c>
      <c r="H82" s="67" t="e">
        <f>IF('Demand background (hide)'!AN70&lt;&gt;"",'SPC background (hide)'!C82,NA())</f>
        <v>#N/A</v>
      </c>
      <c r="I82" s="67">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7" t="e">
        <f t="shared" ref="S82:S145" ca="1" si="57">IF(ISNA(H82),IF(ABS(SUM(R82:R84))&gt;=5,C82,NA()),NA())</f>
        <v>#N/A</v>
      </c>
      <c r="T82" s="67">
        <f t="shared" ref="T82:T145" ca="1" si="58">IF(C82&gt;N82,2,IF(C82&lt;L82,-2,IF(C82&gt;M82,1,IF(C82&lt;M82,-1,0))))</f>
        <v>2</v>
      </c>
      <c r="U82" s="67" t="e">
        <f t="shared" ref="U82:U145" ca="1" si="59">IF(ISNA(H82)=TRUE,IF(ABS(SUM(T82:T86))&gt;=9,C82,NA()),NA())</f>
        <v>#N/A</v>
      </c>
      <c r="V82" s="5">
        <f t="shared" ca="1" si="38"/>
        <v>1</v>
      </c>
      <c r="W82" s="5" t="e">
        <f t="shared" ca="1" si="52"/>
        <v>#N/A</v>
      </c>
      <c r="X82" s="67">
        <f t="shared" ca="1" si="53"/>
        <v>1</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2">
      <c r="A83" s="67">
        <f ca="1">Demand!C80</f>
        <v>28</v>
      </c>
      <c r="B83" s="67">
        <v>68</v>
      </c>
      <c r="C83" s="5">
        <f ca="1">'Demand background (hide)'!Y71</f>
        <v>640</v>
      </c>
      <c r="D83" s="67">
        <f t="shared" si="39"/>
        <v>0</v>
      </c>
      <c r="E83" s="67" t="e">
        <f t="shared" ca="1" si="40"/>
        <v>#N/A</v>
      </c>
      <c r="F83" s="67" t="e">
        <f t="shared" ca="1" si="41"/>
        <v>#N/A</v>
      </c>
      <c r="G83" s="67" t="e">
        <f t="shared" ca="1" si="42"/>
        <v>#N/A</v>
      </c>
      <c r="H83" s="67" t="e">
        <f>IF('Demand background (hide)'!AN71&lt;&gt;"",'SPC background (hide)'!C83,NA())</f>
        <v>#N/A</v>
      </c>
      <c r="I83" s="67">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7" t="e">
        <f t="shared" ca="1" si="57"/>
        <v>#N/A</v>
      </c>
      <c r="T83" s="67">
        <f t="shared" ca="1" si="58"/>
        <v>2</v>
      </c>
      <c r="U83" s="67" t="e">
        <f t="shared" ca="1" si="59"/>
        <v>#N/A</v>
      </c>
      <c r="V83" s="5">
        <f t="shared" ca="1" si="38"/>
        <v>1</v>
      </c>
      <c r="W83" s="5" t="e">
        <f t="shared" ca="1" si="52"/>
        <v>#N/A</v>
      </c>
      <c r="X83" s="67">
        <f t="shared" ca="1" si="53"/>
        <v>-1</v>
      </c>
      <c r="Y83" s="67" t="e">
        <f t="shared" ca="1" si="60"/>
        <v>#N/A</v>
      </c>
      <c r="Z83" s="67" t="e">
        <f t="shared" ca="1" si="61"/>
        <v>#N/A</v>
      </c>
      <c r="AA83" s="5" t="str">
        <f>IF(Setup!$I$15="Yes",'Demand background (hide)'!AJ71+'SPC background (hide)'!C83,"")</f>
        <v/>
      </c>
      <c r="AC83" s="5">
        <f t="shared" ca="1" si="54"/>
        <v>551.5</v>
      </c>
      <c r="AD83" s="5">
        <f t="shared" ca="1" si="55"/>
        <v>664</v>
      </c>
    </row>
    <row r="84" spans="1:30" x14ac:dyDescent="0.2">
      <c r="A84" s="67">
        <f ca="1">Demand!C81</f>
        <v>29</v>
      </c>
      <c r="B84" s="67">
        <v>69</v>
      </c>
      <c r="C84" s="5">
        <f ca="1">'Demand background (hide)'!Y72</f>
        <v>460</v>
      </c>
      <c r="D84" s="67">
        <f t="shared" si="39"/>
        <v>0</v>
      </c>
      <c r="E84" s="67" t="e">
        <f t="shared" ca="1" si="40"/>
        <v>#N/A</v>
      </c>
      <c r="F84" s="67" t="e">
        <f t="shared" ca="1" si="41"/>
        <v>#N/A</v>
      </c>
      <c r="G84" s="67" t="e">
        <f t="shared" ca="1" si="42"/>
        <v>#N/A</v>
      </c>
      <c r="H84" s="67" t="e">
        <f>IF('Demand background (hide)'!AN72&lt;&gt;"",'SPC background (hide)'!C84,NA())</f>
        <v>#N/A</v>
      </c>
      <c r="I84" s="67">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7" t="e">
        <f t="shared" ca="1" si="57"/>
        <v>#N/A</v>
      </c>
      <c r="T84" s="67">
        <f t="shared" ca="1" si="58"/>
        <v>-1</v>
      </c>
      <c r="U84" s="67" t="e">
        <f t="shared" ca="1" si="59"/>
        <v>#N/A</v>
      </c>
      <c r="V84" s="5">
        <f t="shared" ca="1" si="38"/>
        <v>-1</v>
      </c>
      <c r="W84" s="5" t="e">
        <f t="shared" ca="1" si="52"/>
        <v>#N/A</v>
      </c>
      <c r="X84" s="67">
        <f t="shared" ca="1" si="53"/>
        <v>-1</v>
      </c>
      <c r="Y84" s="67" t="e">
        <f t="shared" ca="1" si="60"/>
        <v>#N/A</v>
      </c>
      <c r="Z84" s="67" t="e">
        <f t="shared" ca="1" si="61"/>
        <v>#N/A</v>
      </c>
      <c r="AA84" s="5" t="str">
        <f>IF(Setup!$I$15="Yes",'Demand background (hide)'!AJ72+'SPC background (hide)'!C84,"")</f>
        <v/>
      </c>
      <c r="AC84" s="5">
        <f t="shared" ca="1" si="54"/>
        <v>551.5</v>
      </c>
      <c r="AD84" s="5">
        <f t="shared" ca="1" si="55"/>
        <v>664</v>
      </c>
    </row>
    <row r="85" spans="1:30" x14ac:dyDescent="0.2">
      <c r="A85" s="67">
        <f ca="1">Demand!C82</f>
        <v>30</v>
      </c>
      <c r="B85" s="67">
        <v>70</v>
      </c>
      <c r="C85" s="5">
        <f ca="1">'Demand background (hide)'!Y73</f>
        <v>770</v>
      </c>
      <c r="D85" s="67">
        <f t="shared" si="39"/>
        <v>0</v>
      </c>
      <c r="E85" s="67" t="e">
        <f t="shared" ca="1" si="40"/>
        <v>#N/A</v>
      </c>
      <c r="F85" s="67" t="e">
        <f t="shared" ca="1" si="41"/>
        <v>#N/A</v>
      </c>
      <c r="G85" s="67" t="e">
        <f t="shared" ca="1" si="42"/>
        <v>#N/A</v>
      </c>
      <c r="H85" s="67" t="e">
        <f>IF('Demand background (hide)'!AN73&lt;&gt;"",'SPC background (hide)'!C85,NA())</f>
        <v>#N/A</v>
      </c>
      <c r="I85" s="67">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7" t="e">
        <f t="shared" ca="1" si="57"/>
        <v>#N/A</v>
      </c>
      <c r="T85" s="67">
        <f t="shared" ca="1" si="58"/>
        <v>2</v>
      </c>
      <c r="U85" s="67" t="e">
        <f t="shared" ca="1" si="59"/>
        <v>#N/A</v>
      </c>
      <c r="V85" s="5">
        <f t="shared" ca="1" si="38"/>
        <v>1</v>
      </c>
      <c r="W85" s="5" t="e">
        <f t="shared" ca="1" si="52"/>
        <v>#N/A</v>
      </c>
      <c r="X85" s="67">
        <f t="shared" ca="1" si="53"/>
        <v>1</v>
      </c>
      <c r="Y85" s="67" t="e">
        <f t="shared" ca="1" si="60"/>
        <v>#N/A</v>
      </c>
      <c r="Z85" s="67" t="e">
        <f t="shared" ca="1" si="61"/>
        <v>#N/A</v>
      </c>
      <c r="AA85" s="5" t="str">
        <f>IF(Setup!$I$15="Yes",'Demand background (hide)'!AJ73+'SPC background (hide)'!C85,"")</f>
        <v/>
      </c>
      <c r="AC85" s="5">
        <f t="shared" ca="1" si="54"/>
        <v>551.5</v>
      </c>
      <c r="AD85" s="5">
        <f t="shared" ca="1" si="55"/>
        <v>664</v>
      </c>
    </row>
    <row r="86" spans="1:30" x14ac:dyDescent="0.2">
      <c r="A86" s="67">
        <f ca="1">Demand!C83</f>
        <v>31</v>
      </c>
      <c r="B86" s="67">
        <v>71</v>
      </c>
      <c r="C86" s="5">
        <f ca="1">'Demand background (hide)'!Y74</f>
        <v>430</v>
      </c>
      <c r="D86" s="67">
        <f t="shared" si="39"/>
        <v>0</v>
      </c>
      <c r="E86" s="67" t="e">
        <f t="shared" ca="1" si="40"/>
        <v>#N/A</v>
      </c>
      <c r="F86" s="67" t="e">
        <f t="shared" ca="1" si="41"/>
        <v>#N/A</v>
      </c>
      <c r="G86" s="67" t="e">
        <f t="shared" ca="1" si="42"/>
        <v>#N/A</v>
      </c>
      <c r="H86" s="67" t="e">
        <f>IF('Demand background (hide)'!AN74&lt;&gt;"",'SPC background (hide)'!C86,NA())</f>
        <v>#N/A</v>
      </c>
      <c r="I86" s="67">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7" t="e">
        <f t="shared" ca="1" si="57"/>
        <v>#N/A</v>
      </c>
      <c r="T86" s="67">
        <f t="shared" ca="1" si="58"/>
        <v>-1</v>
      </c>
      <c r="U86" s="67" t="e">
        <f t="shared" ca="1" si="59"/>
        <v>#N/A</v>
      </c>
      <c r="V86" s="5">
        <f t="shared" ca="1" si="38"/>
        <v>-1</v>
      </c>
      <c r="W86" s="5" t="e">
        <f t="shared" ca="1" si="52"/>
        <v>#N/A</v>
      </c>
      <c r="X86" s="67">
        <f t="shared" ca="1" si="53"/>
        <v>-1</v>
      </c>
      <c r="Y86" s="67" t="e">
        <f t="shared" ca="1" si="60"/>
        <v>#N/A</v>
      </c>
      <c r="Z86" s="67" t="e">
        <f t="shared" ca="1" si="61"/>
        <v>#N/A</v>
      </c>
      <c r="AA86" s="5" t="str">
        <f>IF(Setup!$I$15="Yes",'Demand background (hide)'!AJ74+'SPC background (hide)'!C86,"")</f>
        <v/>
      </c>
      <c r="AC86" s="5">
        <f t="shared" ca="1" si="54"/>
        <v>551.5</v>
      </c>
      <c r="AD86" s="5">
        <f t="shared" ca="1" si="55"/>
        <v>664</v>
      </c>
    </row>
    <row r="87" spans="1:30" x14ac:dyDescent="0.2">
      <c r="A87" s="67">
        <f ca="1">Demand!C84</f>
        <v>32</v>
      </c>
      <c r="B87" s="67">
        <v>72</v>
      </c>
      <c r="C87" s="5">
        <f ca="1">'Demand background (hide)'!Y75</f>
        <v>490</v>
      </c>
      <c r="D87" s="67">
        <f t="shared" si="39"/>
        <v>0</v>
      </c>
      <c r="E87" s="67" t="e">
        <f t="shared" ca="1" si="40"/>
        <v>#N/A</v>
      </c>
      <c r="F87" s="67" t="e">
        <f t="shared" ca="1" si="41"/>
        <v>#N/A</v>
      </c>
      <c r="G87" s="67" t="e">
        <f t="shared" ca="1" si="42"/>
        <v>#N/A</v>
      </c>
      <c r="H87" s="67" t="e">
        <f>IF('Demand background (hide)'!AN75&lt;&gt;"",'SPC background (hide)'!C87,NA())</f>
        <v>#N/A</v>
      </c>
      <c r="I87" s="67">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7" t="e">
        <f t="shared" ca="1" si="57"/>
        <v>#N/A</v>
      </c>
      <c r="T87" s="67">
        <f t="shared" ca="1" si="58"/>
        <v>-1</v>
      </c>
      <c r="U87" s="67" t="e">
        <f t="shared" ca="1" si="59"/>
        <v>#N/A</v>
      </c>
      <c r="V87" s="5">
        <f t="shared" ca="1" si="38"/>
        <v>-1</v>
      </c>
      <c r="W87" s="5" t="e">
        <f t="shared" ca="1" si="52"/>
        <v>#N/A</v>
      </c>
      <c r="X87" s="67">
        <f t="shared" ca="1" si="53"/>
        <v>1</v>
      </c>
      <c r="Y87" s="67" t="e">
        <f t="shared" ca="1" si="60"/>
        <v>#N/A</v>
      </c>
      <c r="Z87" s="67" t="e">
        <f t="shared" ca="1" si="61"/>
        <v>#N/A</v>
      </c>
      <c r="AA87" s="5" t="str">
        <f>IF(Setup!$I$15="Yes",'Demand background (hide)'!AJ75+'SPC background (hide)'!C87,"")</f>
        <v/>
      </c>
      <c r="AC87" s="5">
        <f t="shared" ca="1" si="54"/>
        <v>551.5</v>
      </c>
      <c r="AD87" s="5">
        <f t="shared" ca="1" si="55"/>
        <v>664</v>
      </c>
    </row>
    <row r="88" spans="1:30" x14ac:dyDescent="0.2">
      <c r="A88" s="67">
        <f ca="1">Demand!C85</f>
        <v>33</v>
      </c>
      <c r="B88" s="67">
        <v>73</v>
      </c>
      <c r="C88" s="5">
        <f ca="1">'Demand background (hide)'!Y76</f>
        <v>600</v>
      </c>
      <c r="D88" s="67">
        <f t="shared" si="39"/>
        <v>0</v>
      </c>
      <c r="E88" s="67" t="e">
        <f t="shared" ca="1" si="40"/>
        <v>#N/A</v>
      </c>
      <c r="F88" s="67" t="e">
        <f t="shared" ca="1" si="41"/>
        <v>#N/A</v>
      </c>
      <c r="G88" s="67" t="e">
        <f t="shared" ca="1" si="42"/>
        <v>#N/A</v>
      </c>
      <c r="H88" s="67" t="e">
        <f>IF('Demand background (hide)'!AN76&lt;&gt;"",'SPC background (hide)'!C88,NA())</f>
        <v>#N/A</v>
      </c>
      <c r="I88" s="67">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7" t="e">
        <f t="shared" ca="1" si="57"/>
        <v>#N/A</v>
      </c>
      <c r="T88" s="67">
        <f t="shared" ca="1" si="58"/>
        <v>1</v>
      </c>
      <c r="U88" s="67" t="e">
        <f t="shared" ca="1" si="59"/>
        <v>#N/A</v>
      </c>
      <c r="V88" s="5">
        <f t="shared" ca="1" si="38"/>
        <v>1</v>
      </c>
      <c r="W88" s="5" t="e">
        <f t="shared" ca="1" si="52"/>
        <v>#N/A</v>
      </c>
      <c r="X88" s="67">
        <f t="shared" ca="1" si="53"/>
        <v>1</v>
      </c>
      <c r="Y88" s="67" t="e">
        <f t="shared" ca="1" si="60"/>
        <v>#N/A</v>
      </c>
      <c r="Z88" s="67" t="e">
        <f t="shared" ca="1" si="61"/>
        <v>#N/A</v>
      </c>
      <c r="AA88" s="5" t="str">
        <f>IF(Setup!$I$15="Yes",'Demand background (hide)'!AJ76+'SPC background (hide)'!C88,"")</f>
        <v/>
      </c>
      <c r="AC88" s="5">
        <f t="shared" ca="1" si="54"/>
        <v>551.5</v>
      </c>
      <c r="AD88" s="5">
        <f t="shared" ca="1" si="55"/>
        <v>664</v>
      </c>
    </row>
    <row r="89" spans="1:30" x14ac:dyDescent="0.2">
      <c r="A89" s="67">
        <f ca="1">Demand!C86</f>
        <v>34</v>
      </c>
      <c r="B89" s="67">
        <v>74</v>
      </c>
      <c r="C89" s="5">
        <f ca="1">'Demand background (hide)'!Y77</f>
        <v>590</v>
      </c>
      <c r="D89" s="67">
        <f t="shared" si="39"/>
        <v>0</v>
      </c>
      <c r="E89" s="67" t="e">
        <f t="shared" ca="1" si="40"/>
        <v>#N/A</v>
      </c>
      <c r="F89" s="67" t="e">
        <f t="shared" ca="1" si="41"/>
        <v>#N/A</v>
      </c>
      <c r="G89" s="67" t="e">
        <f t="shared" ca="1" si="42"/>
        <v>#N/A</v>
      </c>
      <c r="H89" s="67" t="e">
        <f>IF('Demand background (hide)'!AN77&lt;&gt;"",'SPC background (hide)'!C89,NA())</f>
        <v>#N/A</v>
      </c>
      <c r="I89" s="67">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7" t="e">
        <f t="shared" ca="1" si="57"/>
        <v>#N/A</v>
      </c>
      <c r="T89" s="67">
        <f t="shared" ca="1" si="58"/>
        <v>1</v>
      </c>
      <c r="U89" s="67" t="e">
        <f t="shared" ca="1" si="59"/>
        <v>#N/A</v>
      </c>
      <c r="V89" s="5">
        <f t="shared" ca="1" si="38"/>
        <v>1</v>
      </c>
      <c r="W89" s="5" t="e">
        <f t="shared" ca="1" si="52"/>
        <v>#N/A</v>
      </c>
      <c r="X89" s="67">
        <f t="shared" ca="1" si="53"/>
        <v>-1</v>
      </c>
      <c r="Y89" s="67" t="e">
        <f t="shared" ca="1" si="60"/>
        <v>#N/A</v>
      </c>
      <c r="Z89" s="67" t="e">
        <f t="shared" ca="1" si="61"/>
        <v>#N/A</v>
      </c>
      <c r="AA89" s="5" t="str">
        <f>IF(Setup!$I$15="Yes",'Demand background (hide)'!AJ77+'SPC background (hide)'!C89,"")</f>
        <v/>
      </c>
      <c r="AC89" s="5">
        <f t="shared" ca="1" si="54"/>
        <v>551.5</v>
      </c>
      <c r="AD89" s="5">
        <f t="shared" ca="1" si="55"/>
        <v>664</v>
      </c>
    </row>
    <row r="90" spans="1:30" x14ac:dyDescent="0.2">
      <c r="A90" s="67">
        <f ca="1">Demand!C87</f>
        <v>35</v>
      </c>
      <c r="B90" s="67">
        <v>75</v>
      </c>
      <c r="C90" s="5">
        <f ca="1">'Demand background (hide)'!Y78</f>
        <v>730</v>
      </c>
      <c r="D90" s="67">
        <f t="shared" si="39"/>
        <v>0</v>
      </c>
      <c r="E90" s="67" t="e">
        <f t="shared" ca="1" si="40"/>
        <v>#N/A</v>
      </c>
      <c r="F90" s="67" t="e">
        <f t="shared" ca="1" si="41"/>
        <v>#N/A</v>
      </c>
      <c r="G90" s="67" t="e">
        <f t="shared" ca="1" si="42"/>
        <v>#N/A</v>
      </c>
      <c r="H90" s="67" t="e">
        <f>IF('Demand background (hide)'!AN78&lt;&gt;"",'SPC background (hide)'!C90,NA())</f>
        <v>#N/A</v>
      </c>
      <c r="I90" s="67">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7" t="e">
        <f t="shared" ca="1" si="57"/>
        <v>#N/A</v>
      </c>
      <c r="T90" s="67">
        <f t="shared" ca="1" si="58"/>
        <v>2</v>
      </c>
      <c r="U90" s="67" t="e">
        <f t="shared" ca="1" si="59"/>
        <v>#N/A</v>
      </c>
      <c r="V90" s="5">
        <f t="shared" ca="1" si="38"/>
        <v>1</v>
      </c>
      <c r="W90" s="5" t="e">
        <f t="shared" ca="1" si="52"/>
        <v>#N/A</v>
      </c>
      <c r="X90" s="67">
        <f t="shared" ca="1" si="53"/>
        <v>1</v>
      </c>
      <c r="Y90" s="67" t="e">
        <f t="shared" ca="1" si="60"/>
        <v>#N/A</v>
      </c>
      <c r="Z90" s="67" t="e">
        <f t="shared" ca="1" si="61"/>
        <v>#N/A</v>
      </c>
      <c r="AA90" s="5" t="str">
        <f>IF(Setup!$I$15="Yes",'Demand background (hide)'!AJ78+'SPC background (hide)'!C90,"")</f>
        <v/>
      </c>
      <c r="AC90" s="5">
        <f t="shared" ca="1" si="54"/>
        <v>551.5</v>
      </c>
      <c r="AD90" s="5">
        <f t="shared" ca="1" si="55"/>
        <v>664</v>
      </c>
    </row>
    <row r="91" spans="1:30" x14ac:dyDescent="0.2">
      <c r="A91" s="67">
        <f ca="1">Demand!C88</f>
        <v>36</v>
      </c>
      <c r="B91" s="67">
        <v>76</v>
      </c>
      <c r="C91" s="5">
        <f ca="1">'Demand background (hide)'!Y79</f>
        <v>500</v>
      </c>
      <c r="D91" s="67">
        <f t="shared" si="39"/>
        <v>0</v>
      </c>
      <c r="E91" s="67" t="e">
        <f t="shared" ca="1" si="40"/>
        <v>#N/A</v>
      </c>
      <c r="F91" s="67" t="e">
        <f t="shared" ca="1" si="41"/>
        <v>#N/A</v>
      </c>
      <c r="G91" s="67" t="e">
        <f t="shared" ca="1" si="42"/>
        <v>#N/A</v>
      </c>
      <c r="H91" s="67" t="e">
        <f>IF('Demand background (hide)'!AN79&lt;&gt;"",'SPC background (hide)'!C91,NA())</f>
        <v>#N/A</v>
      </c>
      <c r="I91" s="67">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7" t="e">
        <f t="shared" ca="1" si="57"/>
        <v>#N/A</v>
      </c>
      <c r="T91" s="67">
        <f t="shared" ca="1" si="58"/>
        <v>1</v>
      </c>
      <c r="U91" s="67" t="e">
        <f t="shared" ca="1" si="59"/>
        <v>#N/A</v>
      </c>
      <c r="V91" s="5">
        <f t="shared" ca="1" si="38"/>
        <v>1</v>
      </c>
      <c r="W91" s="5" t="e">
        <f t="shared" ca="1" si="52"/>
        <v>#N/A</v>
      </c>
      <c r="X91" s="67">
        <f t="shared" ca="1" si="53"/>
        <v>-1</v>
      </c>
      <c r="Y91" s="67" t="e">
        <f t="shared" ca="1" si="60"/>
        <v>#N/A</v>
      </c>
      <c r="Z91" s="67" t="e">
        <f t="shared" ca="1" si="61"/>
        <v>#N/A</v>
      </c>
      <c r="AA91" s="5" t="str">
        <f>IF(Setup!$I$15="Yes",'Demand background (hide)'!AJ79+'SPC background (hide)'!C91,"")</f>
        <v/>
      </c>
      <c r="AC91" s="5">
        <f t="shared" ca="1" si="54"/>
        <v>551.5</v>
      </c>
      <c r="AD91" s="5">
        <f t="shared" ca="1" si="55"/>
        <v>664</v>
      </c>
    </row>
    <row r="92" spans="1:30" x14ac:dyDescent="0.2">
      <c r="A92" s="67">
        <f ca="1">Demand!C89</f>
        <v>37</v>
      </c>
      <c r="B92" s="67">
        <v>77</v>
      </c>
      <c r="C92" s="5">
        <f ca="1">'Demand background (hide)'!Y80</f>
        <v>700</v>
      </c>
      <c r="D92" s="67">
        <f t="shared" si="39"/>
        <v>0</v>
      </c>
      <c r="E92" s="67" t="e">
        <f t="shared" ca="1" si="40"/>
        <v>#N/A</v>
      </c>
      <c r="F92" s="67" t="e">
        <f t="shared" ca="1" si="41"/>
        <v>#N/A</v>
      </c>
      <c r="G92" s="67" t="e">
        <f t="shared" ca="1" si="42"/>
        <v>#N/A</v>
      </c>
      <c r="H92" s="67" t="e">
        <f>IF('Demand background (hide)'!AN80&lt;&gt;"",'SPC background (hide)'!C92,NA())</f>
        <v>#N/A</v>
      </c>
      <c r="I92" s="67">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7" t="e">
        <f t="shared" ca="1" si="57"/>
        <v>#N/A</v>
      </c>
      <c r="T92" s="67">
        <f t="shared" ca="1" si="58"/>
        <v>2</v>
      </c>
      <c r="U92" s="67" t="e">
        <f t="shared" ca="1" si="59"/>
        <v>#N/A</v>
      </c>
      <c r="V92" s="5">
        <f t="shared" ca="1" si="38"/>
        <v>1</v>
      </c>
      <c r="W92" s="5" t="e">
        <f t="shared" ca="1" si="52"/>
        <v>#N/A</v>
      </c>
      <c r="X92" s="67">
        <f t="shared" ca="1" si="53"/>
        <v>1</v>
      </c>
      <c r="Y92" s="67" t="e">
        <f t="shared" ca="1" si="60"/>
        <v>#N/A</v>
      </c>
      <c r="Z92" s="67" t="e">
        <f t="shared" ca="1" si="61"/>
        <v>#N/A</v>
      </c>
      <c r="AA92" s="5" t="str">
        <f>IF(Setup!$I$15="Yes",'Demand background (hide)'!AJ80+'SPC background (hide)'!C92,"")</f>
        <v/>
      </c>
      <c r="AC92" s="5">
        <f t="shared" ca="1" si="54"/>
        <v>551.5</v>
      </c>
      <c r="AD92" s="5">
        <f t="shared" ca="1" si="55"/>
        <v>664</v>
      </c>
    </row>
    <row r="93" spans="1:30" x14ac:dyDescent="0.2">
      <c r="A93" s="67">
        <f ca="1">Demand!C90</f>
        <v>38</v>
      </c>
      <c r="B93" s="67">
        <v>78</v>
      </c>
      <c r="C93" s="5">
        <f ca="1">'Demand background (hide)'!Y81</f>
        <v>520</v>
      </c>
      <c r="D93" s="67">
        <f t="shared" si="39"/>
        <v>0</v>
      </c>
      <c r="E93" s="67" t="e">
        <f t="shared" ca="1" si="40"/>
        <v>#N/A</v>
      </c>
      <c r="F93" s="67" t="e">
        <f t="shared" ca="1" si="41"/>
        <v>#N/A</v>
      </c>
      <c r="G93" s="67" t="e">
        <f t="shared" ca="1" si="42"/>
        <v>#N/A</v>
      </c>
      <c r="H93" s="67" t="e">
        <f>IF('Demand background (hide)'!AN81&lt;&gt;"",'SPC background (hide)'!C93,NA())</f>
        <v>#N/A</v>
      </c>
      <c r="I93" s="67">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7" t="e">
        <f t="shared" ca="1" si="57"/>
        <v>#N/A</v>
      </c>
      <c r="T93" s="67">
        <f t="shared" ca="1" si="58"/>
        <v>1</v>
      </c>
      <c r="U93" s="67" t="e">
        <f t="shared" ca="1" si="59"/>
        <v>#N/A</v>
      </c>
      <c r="V93" s="5">
        <f t="shared" ca="1" si="38"/>
        <v>1</v>
      </c>
      <c r="W93" s="5" t="e">
        <f t="shared" ca="1" si="52"/>
        <v>#N/A</v>
      </c>
      <c r="X93" s="67">
        <f t="shared" ca="1" si="53"/>
        <v>-1</v>
      </c>
      <c r="Y93" s="67" t="e">
        <f t="shared" ca="1" si="60"/>
        <v>#N/A</v>
      </c>
      <c r="Z93" s="67" t="e">
        <f t="shared" ca="1" si="61"/>
        <v>#N/A</v>
      </c>
      <c r="AA93" s="5" t="str">
        <f>IF(Setup!$I$15="Yes",'Demand background (hide)'!AJ81+'SPC background (hide)'!C93,"")</f>
        <v/>
      </c>
      <c r="AC93" s="5">
        <f t="shared" ca="1" si="54"/>
        <v>551.5</v>
      </c>
      <c r="AD93" s="5">
        <f t="shared" ca="1" si="55"/>
        <v>664</v>
      </c>
    </row>
    <row r="94" spans="1:30" x14ac:dyDescent="0.2">
      <c r="A94" s="67">
        <f ca="1">Demand!C91</f>
        <v>39</v>
      </c>
      <c r="B94" s="67">
        <v>79</v>
      </c>
      <c r="C94" s="5">
        <f ca="1">'Demand background (hide)'!Y82</f>
        <v>560</v>
      </c>
      <c r="D94" s="67">
        <f t="shared" si="39"/>
        <v>0</v>
      </c>
      <c r="E94" s="67" t="e">
        <f t="shared" ca="1" si="40"/>
        <v>#N/A</v>
      </c>
      <c r="F94" s="67" t="e">
        <f t="shared" ca="1" si="41"/>
        <v>#N/A</v>
      </c>
      <c r="G94" s="67" t="e">
        <f t="shared" ca="1" si="42"/>
        <v>#N/A</v>
      </c>
      <c r="H94" s="67" t="e">
        <f>IF('Demand background (hide)'!AN82&lt;&gt;"",'SPC background (hide)'!C94,NA())</f>
        <v>#N/A</v>
      </c>
      <c r="I94" s="67">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7" t="e">
        <f t="shared" ca="1" si="57"/>
        <v>#N/A</v>
      </c>
      <c r="T94" s="67">
        <f t="shared" ca="1" si="58"/>
        <v>1</v>
      </c>
      <c r="U94" s="67" t="e">
        <f t="shared" ca="1" si="59"/>
        <v>#N/A</v>
      </c>
      <c r="V94" s="5">
        <f t="shared" ca="1" si="38"/>
        <v>1</v>
      </c>
      <c r="W94" s="5" t="e">
        <f t="shared" ca="1" si="52"/>
        <v>#N/A</v>
      </c>
      <c r="X94" s="67">
        <f t="shared" ca="1" si="53"/>
        <v>1</v>
      </c>
      <c r="Y94" s="67" t="e">
        <f t="shared" ca="1" si="60"/>
        <v>#N/A</v>
      </c>
      <c r="Z94" s="67" t="e">
        <f t="shared" ca="1" si="61"/>
        <v>#N/A</v>
      </c>
      <c r="AA94" s="5" t="str">
        <f>IF(Setup!$I$15="Yes",'Demand background (hide)'!AJ82+'SPC background (hide)'!C94,"")</f>
        <v/>
      </c>
      <c r="AC94" s="5">
        <f t="shared" ca="1" si="54"/>
        <v>551.5</v>
      </c>
      <c r="AD94" s="5">
        <f t="shared" ca="1" si="55"/>
        <v>664</v>
      </c>
    </row>
    <row r="95" spans="1:30" x14ac:dyDescent="0.2">
      <c r="A95" s="67">
        <f ca="1">Demand!C92</f>
        <v>40</v>
      </c>
      <c r="B95" s="67">
        <v>80</v>
      </c>
      <c r="C95" s="5">
        <f ca="1">'Demand background (hide)'!Y83</f>
        <v>490</v>
      </c>
      <c r="D95" s="67">
        <f t="shared" si="39"/>
        <v>0</v>
      </c>
      <c r="E95" s="67" t="e">
        <f t="shared" ca="1" si="40"/>
        <v>#N/A</v>
      </c>
      <c r="F95" s="67" t="e">
        <f t="shared" ca="1" si="41"/>
        <v>#N/A</v>
      </c>
      <c r="G95" s="67" t="e">
        <f t="shared" ca="1" si="42"/>
        <v>#N/A</v>
      </c>
      <c r="H95" s="67" t="e">
        <f>IF('Demand background (hide)'!AN83&lt;&gt;"",'SPC background (hide)'!C95,NA())</f>
        <v>#N/A</v>
      </c>
      <c r="I95" s="67">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7" t="e">
        <f t="shared" ca="1" si="57"/>
        <v>#N/A</v>
      </c>
      <c r="T95" s="67">
        <f t="shared" ca="1" si="58"/>
        <v>-1</v>
      </c>
      <c r="U95" s="67" t="e">
        <f t="shared" ca="1" si="59"/>
        <v>#N/A</v>
      </c>
      <c r="V95" s="5">
        <f t="shared" ca="1" si="38"/>
        <v>-1</v>
      </c>
      <c r="W95" s="5" t="e">
        <f t="shared" ca="1" si="52"/>
        <v>#N/A</v>
      </c>
      <c r="X95" s="67">
        <f t="shared" ca="1" si="53"/>
        <v>-1</v>
      </c>
      <c r="Y95" s="67" t="e">
        <f t="shared" ca="1" si="60"/>
        <v>#N/A</v>
      </c>
      <c r="Z95" s="67" t="e">
        <f t="shared" ca="1" si="61"/>
        <v>#N/A</v>
      </c>
      <c r="AA95" s="5" t="str">
        <f>IF(Setup!$I$15="Yes",'Demand background (hide)'!AJ83+'SPC background (hide)'!C95,"")</f>
        <v/>
      </c>
      <c r="AC95" s="5">
        <f t="shared" ca="1" si="54"/>
        <v>551.5</v>
      </c>
      <c r="AD95" s="5">
        <f t="shared" ca="1" si="55"/>
        <v>664</v>
      </c>
    </row>
    <row r="96" spans="1:30" x14ac:dyDescent="0.2">
      <c r="A96" s="67">
        <f ca="1">Demand!C93</f>
        <v>41</v>
      </c>
      <c r="B96" s="67">
        <v>81</v>
      </c>
      <c r="C96" s="5">
        <f ca="1">'Demand background (hide)'!Y84</f>
        <v>320</v>
      </c>
      <c r="D96" s="67">
        <f t="shared" si="39"/>
        <v>0</v>
      </c>
      <c r="E96" s="67" t="e">
        <f t="shared" ca="1" si="40"/>
        <v>#N/A</v>
      </c>
      <c r="F96" s="67" t="e">
        <f t="shared" ca="1" si="41"/>
        <v>#N/A</v>
      </c>
      <c r="G96" s="67" t="e">
        <f t="shared" ca="1" si="42"/>
        <v>#N/A</v>
      </c>
      <c r="H96" s="67" t="e">
        <f>IF('Demand background (hide)'!AN84&lt;&gt;"",'SPC background (hide)'!C96,NA())</f>
        <v>#N/A</v>
      </c>
      <c r="I96" s="67">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7" t="e">
        <f t="shared" ca="1" si="57"/>
        <v>#N/A</v>
      </c>
      <c r="T96" s="67">
        <f t="shared" ca="1" si="58"/>
        <v>-2</v>
      </c>
      <c r="U96" s="67" t="e">
        <f t="shared" ca="1" si="59"/>
        <v>#N/A</v>
      </c>
      <c r="V96" s="5">
        <f t="shared" ca="1" si="38"/>
        <v>-1</v>
      </c>
      <c r="W96" s="5" t="e">
        <f t="shared" ca="1" si="52"/>
        <v>#N/A</v>
      </c>
      <c r="X96" s="67">
        <f t="shared" ca="1" si="53"/>
        <v>-1</v>
      </c>
      <c r="Y96" s="67" t="e">
        <f t="shared" ca="1" si="60"/>
        <v>#N/A</v>
      </c>
      <c r="Z96" s="67" t="e">
        <f t="shared" ca="1" si="61"/>
        <v>#N/A</v>
      </c>
      <c r="AA96" s="5" t="str">
        <f>IF(Setup!$I$15="Yes",'Demand background (hide)'!AJ84+'SPC background (hide)'!C96,"")</f>
        <v/>
      </c>
      <c r="AC96" s="5">
        <f t="shared" ca="1" si="54"/>
        <v>551.5</v>
      </c>
      <c r="AD96" s="5">
        <f t="shared" ca="1" si="55"/>
        <v>664</v>
      </c>
    </row>
    <row r="97" spans="1:30" x14ac:dyDescent="0.2">
      <c r="A97" s="67">
        <f ca="1">Demand!C94</f>
        <v>42</v>
      </c>
      <c r="B97" s="67">
        <v>82</v>
      </c>
      <c r="C97" s="5">
        <f ca="1">'Demand background (hide)'!Y85</f>
        <v>470</v>
      </c>
      <c r="D97" s="67">
        <f t="shared" si="39"/>
        <v>0</v>
      </c>
      <c r="E97" s="67" t="e">
        <f t="shared" ca="1" si="40"/>
        <v>#N/A</v>
      </c>
      <c r="F97" s="67" t="e">
        <f t="shared" ca="1" si="41"/>
        <v>#N/A</v>
      </c>
      <c r="G97" s="67" t="e">
        <f t="shared" ca="1" si="42"/>
        <v>#N/A</v>
      </c>
      <c r="H97" s="67" t="e">
        <f>IF('Demand background (hide)'!AN85&lt;&gt;"",'SPC background (hide)'!C97,NA())</f>
        <v>#N/A</v>
      </c>
      <c r="I97" s="67">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7" t="e">
        <f t="shared" ca="1" si="57"/>
        <v>#N/A</v>
      </c>
      <c r="T97" s="67">
        <f t="shared" ca="1" si="58"/>
        <v>-1</v>
      </c>
      <c r="U97" s="67" t="e">
        <f t="shared" ca="1" si="59"/>
        <v>#N/A</v>
      </c>
      <c r="V97" s="5">
        <f t="shared" ca="1" si="38"/>
        <v>-1</v>
      </c>
      <c r="W97" s="5" t="e">
        <f t="shared" ca="1" si="52"/>
        <v>#N/A</v>
      </c>
      <c r="X97" s="67">
        <f t="shared" ca="1" si="53"/>
        <v>1</v>
      </c>
      <c r="Y97" s="67" t="e">
        <f t="shared" ca="1" si="60"/>
        <v>#N/A</v>
      </c>
      <c r="Z97" s="67" t="e">
        <f t="shared" ca="1" si="61"/>
        <v>#N/A</v>
      </c>
      <c r="AA97" s="5" t="str">
        <f>IF(Setup!$I$15="Yes",'Demand background (hide)'!AJ85+'SPC background (hide)'!C97,"")</f>
        <v/>
      </c>
      <c r="AC97" s="5">
        <f t="shared" ca="1" si="54"/>
        <v>551.5</v>
      </c>
      <c r="AD97" s="5">
        <f t="shared" ca="1" si="55"/>
        <v>664</v>
      </c>
    </row>
    <row r="98" spans="1:30" x14ac:dyDescent="0.2">
      <c r="A98" s="67">
        <f ca="1">Demand!C95</f>
        <v>43</v>
      </c>
      <c r="B98" s="67">
        <v>83</v>
      </c>
      <c r="C98" s="5">
        <f ca="1">'Demand background (hide)'!Y86</f>
        <v>540</v>
      </c>
      <c r="D98" s="67">
        <f t="shared" si="39"/>
        <v>0</v>
      </c>
      <c r="E98" s="67" t="e">
        <f t="shared" ca="1" si="40"/>
        <v>#N/A</v>
      </c>
      <c r="F98" s="67" t="e">
        <f t="shared" ca="1" si="41"/>
        <v>#N/A</v>
      </c>
      <c r="G98" s="67" t="e">
        <f t="shared" ca="1" si="42"/>
        <v>#N/A</v>
      </c>
      <c r="H98" s="67" t="e">
        <f>IF('Demand background (hide)'!AN86&lt;&gt;"",'SPC background (hide)'!C98,NA())</f>
        <v>#N/A</v>
      </c>
      <c r="I98" s="67">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7" t="e">
        <f t="shared" ca="1" si="57"/>
        <v>#N/A</v>
      </c>
      <c r="T98" s="67">
        <f t="shared" ca="1" si="58"/>
        <v>1</v>
      </c>
      <c r="U98" s="67" t="e">
        <f t="shared" ca="1" si="59"/>
        <v>#N/A</v>
      </c>
      <c r="V98" s="5">
        <f t="shared" ca="1" si="38"/>
        <v>1</v>
      </c>
      <c r="W98" s="5" t="e">
        <f t="shared" ca="1" si="52"/>
        <v>#N/A</v>
      </c>
      <c r="X98" s="67">
        <f t="shared" ca="1" si="53"/>
        <v>1</v>
      </c>
      <c r="Y98" s="67" t="e">
        <f t="shared" ca="1" si="60"/>
        <v>#N/A</v>
      </c>
      <c r="Z98" s="67" t="e">
        <f t="shared" ca="1" si="61"/>
        <v>#N/A</v>
      </c>
      <c r="AA98" s="5" t="str">
        <f>IF(Setup!$I$15="Yes",'Demand background (hide)'!AJ86+'SPC background (hide)'!C98,"")</f>
        <v/>
      </c>
      <c r="AC98" s="5">
        <f t="shared" ca="1" si="54"/>
        <v>551.5</v>
      </c>
      <c r="AD98" s="5">
        <f t="shared" ca="1" si="55"/>
        <v>664</v>
      </c>
    </row>
    <row r="99" spans="1:30" x14ac:dyDescent="0.2">
      <c r="A99" s="67">
        <f ca="1">Demand!C96</f>
        <v>44</v>
      </c>
      <c r="B99" s="67">
        <v>84</v>
      </c>
      <c r="C99" s="5">
        <f ca="1">'Demand background (hide)'!Y87</f>
        <v>340</v>
      </c>
      <c r="D99" s="67">
        <f t="shared" si="39"/>
        <v>0</v>
      </c>
      <c r="E99" s="67" t="e">
        <f t="shared" ca="1" si="40"/>
        <v>#N/A</v>
      </c>
      <c r="F99" s="67" t="e">
        <f t="shared" ca="1" si="41"/>
        <v>#N/A</v>
      </c>
      <c r="G99" s="67" t="e">
        <f t="shared" ca="1" si="42"/>
        <v>#N/A</v>
      </c>
      <c r="H99" s="67" t="e">
        <f>IF('Demand background (hide)'!AN87&lt;&gt;"",'SPC background (hide)'!C99,NA())</f>
        <v>#N/A</v>
      </c>
      <c r="I99" s="67">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7" t="e">
        <f t="shared" ca="1" si="57"/>
        <v>#N/A</v>
      </c>
      <c r="T99" s="67">
        <f t="shared" ca="1" si="58"/>
        <v>-2</v>
      </c>
      <c r="U99" s="67" t="e">
        <f t="shared" ca="1" si="59"/>
        <v>#N/A</v>
      </c>
      <c r="V99" s="5">
        <f t="shared" ca="1" si="38"/>
        <v>-1</v>
      </c>
      <c r="W99" s="5" t="e">
        <f t="shared" ca="1" si="52"/>
        <v>#N/A</v>
      </c>
      <c r="X99" s="67">
        <f t="shared" ca="1" si="53"/>
        <v>-1</v>
      </c>
      <c r="Y99" s="67" t="e">
        <f t="shared" ca="1" si="60"/>
        <v>#N/A</v>
      </c>
      <c r="Z99" s="67" t="e">
        <f t="shared" ca="1" si="61"/>
        <v>#N/A</v>
      </c>
      <c r="AA99" s="5" t="str">
        <f>IF(Setup!$I$15="Yes",'Demand background (hide)'!AJ87+'SPC background (hide)'!C99,"")</f>
        <v/>
      </c>
      <c r="AC99" s="5">
        <f t="shared" ca="1" si="54"/>
        <v>551.5</v>
      </c>
      <c r="AD99" s="5">
        <f t="shared" ca="1" si="55"/>
        <v>664</v>
      </c>
    </row>
    <row r="100" spans="1:30" x14ac:dyDescent="0.2">
      <c r="A100" s="67">
        <f ca="1">Demand!C97</f>
        <v>45</v>
      </c>
      <c r="B100" s="67">
        <v>85</v>
      </c>
      <c r="C100" s="5">
        <f ca="1">'Demand background (hide)'!Y88</f>
        <v>530</v>
      </c>
      <c r="D100" s="67">
        <f t="shared" si="39"/>
        <v>0</v>
      </c>
      <c r="E100" s="67" t="e">
        <f t="shared" ca="1" si="40"/>
        <v>#N/A</v>
      </c>
      <c r="F100" s="67" t="e">
        <f t="shared" ca="1" si="41"/>
        <v>#N/A</v>
      </c>
      <c r="G100" s="67" t="e">
        <f t="shared" ca="1" si="42"/>
        <v>#N/A</v>
      </c>
      <c r="H100" s="67" t="e">
        <f>IF('Demand background (hide)'!AN88&lt;&gt;"",'SPC background (hide)'!C100,NA())</f>
        <v>#N/A</v>
      </c>
      <c r="I100" s="67">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7" t="e">
        <f t="shared" ca="1" si="57"/>
        <v>#N/A</v>
      </c>
      <c r="T100" s="67">
        <f t="shared" ca="1" si="58"/>
        <v>1</v>
      </c>
      <c r="U100" s="67" t="e">
        <f t="shared" ca="1" si="59"/>
        <v>#N/A</v>
      </c>
      <c r="V100" s="5">
        <f t="shared" ca="1" si="38"/>
        <v>1</v>
      </c>
      <c r="W100" s="5" t="e">
        <f t="shared" ca="1" si="52"/>
        <v>#N/A</v>
      </c>
      <c r="X100" s="67">
        <f t="shared" ca="1" si="53"/>
        <v>1</v>
      </c>
      <c r="Y100" s="67" t="e">
        <f t="shared" ca="1" si="60"/>
        <v>#N/A</v>
      </c>
      <c r="Z100" s="67" t="e">
        <f t="shared" ca="1" si="61"/>
        <v>#N/A</v>
      </c>
      <c r="AA100" s="5" t="str">
        <f>IF(Setup!$I$15="Yes",'Demand background (hide)'!AJ88+'SPC background (hide)'!C100,"")</f>
        <v/>
      </c>
      <c r="AC100" s="5">
        <f t="shared" ca="1" si="54"/>
        <v>551.5</v>
      </c>
      <c r="AD100" s="5">
        <f t="shared" ca="1" si="55"/>
        <v>664</v>
      </c>
    </row>
    <row r="101" spans="1:30" x14ac:dyDescent="0.2">
      <c r="A101" s="67">
        <f ca="1">Demand!C98</f>
        <v>46</v>
      </c>
      <c r="B101" s="67">
        <v>86</v>
      </c>
      <c r="C101" s="5">
        <f ca="1">'Demand background (hide)'!Y89</f>
        <v>580</v>
      </c>
      <c r="D101" s="67">
        <f t="shared" si="39"/>
        <v>0</v>
      </c>
      <c r="E101" s="67" t="e">
        <f t="shared" ca="1" si="40"/>
        <v>#N/A</v>
      </c>
      <c r="F101" s="67" t="e">
        <f t="shared" ca="1" si="41"/>
        <v>#N/A</v>
      </c>
      <c r="G101" s="67" t="e">
        <f t="shared" ca="1" si="42"/>
        <v>#N/A</v>
      </c>
      <c r="H101" s="67" t="e">
        <f>IF('Demand background (hide)'!AN89&lt;&gt;"",'SPC background (hide)'!C101,NA())</f>
        <v>#N/A</v>
      </c>
      <c r="I101" s="67">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7" t="e">
        <f t="shared" ca="1" si="57"/>
        <v>#N/A</v>
      </c>
      <c r="T101" s="67">
        <f t="shared" ca="1" si="58"/>
        <v>1</v>
      </c>
      <c r="U101" s="67" t="e">
        <f t="shared" ca="1" si="59"/>
        <v>#N/A</v>
      </c>
      <c r="V101" s="5">
        <f t="shared" ca="1" si="38"/>
        <v>1</v>
      </c>
      <c r="W101" s="5" t="e">
        <f t="shared" ca="1" si="52"/>
        <v>#N/A</v>
      </c>
      <c r="X101" s="67">
        <f t="shared" ca="1" si="53"/>
        <v>1</v>
      </c>
      <c r="Y101" s="67" t="e">
        <f t="shared" ca="1" si="60"/>
        <v>#N/A</v>
      </c>
      <c r="Z101" s="67" t="e">
        <f t="shared" ca="1" si="61"/>
        <v>#N/A</v>
      </c>
      <c r="AA101" s="5" t="str">
        <f>IF(Setup!$I$15="Yes",'Demand background (hide)'!AJ89+'SPC background (hide)'!C101,"")</f>
        <v/>
      </c>
      <c r="AC101" s="5">
        <f t="shared" ca="1" si="54"/>
        <v>551.5</v>
      </c>
      <c r="AD101" s="5">
        <f t="shared" ca="1" si="55"/>
        <v>664</v>
      </c>
    </row>
    <row r="102" spans="1:30" x14ac:dyDescent="0.2">
      <c r="A102" s="67">
        <f ca="1">Demand!C99</f>
        <v>47</v>
      </c>
      <c r="B102" s="67">
        <v>87</v>
      </c>
      <c r="C102" s="5">
        <f ca="1">'Demand background (hide)'!Y90</f>
        <v>460</v>
      </c>
      <c r="D102" s="67">
        <f t="shared" si="39"/>
        <v>0</v>
      </c>
      <c r="E102" s="67" t="e">
        <f t="shared" ca="1" si="40"/>
        <v>#N/A</v>
      </c>
      <c r="F102" s="67" t="e">
        <f t="shared" ca="1" si="41"/>
        <v>#N/A</v>
      </c>
      <c r="G102" s="67" t="e">
        <f t="shared" ca="1" si="42"/>
        <v>#N/A</v>
      </c>
      <c r="H102" s="67" t="e">
        <f>IF('Demand background (hide)'!AN90&lt;&gt;"",'SPC background (hide)'!C102,NA())</f>
        <v>#N/A</v>
      </c>
      <c r="I102" s="67">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7" t="e">
        <f t="shared" ca="1" si="57"/>
        <v>#N/A</v>
      </c>
      <c r="T102" s="67">
        <f t="shared" ca="1" si="58"/>
        <v>-1</v>
      </c>
      <c r="U102" s="67" t="e">
        <f t="shared" ca="1" si="59"/>
        <v>#N/A</v>
      </c>
      <c r="V102" s="5">
        <f t="shared" ca="1" si="38"/>
        <v>-1</v>
      </c>
      <c r="W102" s="5" t="e">
        <f t="shared" ca="1" si="52"/>
        <v>#N/A</v>
      </c>
      <c r="X102" s="67">
        <f t="shared" ca="1" si="53"/>
        <v>-1</v>
      </c>
      <c r="Y102" s="67" t="e">
        <f t="shared" ca="1" si="60"/>
        <v>#N/A</v>
      </c>
      <c r="Z102" s="67" t="e">
        <f t="shared" ca="1" si="61"/>
        <v>#N/A</v>
      </c>
      <c r="AA102" s="5" t="str">
        <f>IF(Setup!$I$15="Yes",'Demand background (hide)'!AJ90+'SPC background (hide)'!C102,"")</f>
        <v/>
      </c>
      <c r="AC102" s="5">
        <f t="shared" ca="1" si="54"/>
        <v>551.5</v>
      </c>
      <c r="AD102" s="5">
        <f t="shared" ca="1" si="55"/>
        <v>664</v>
      </c>
    </row>
    <row r="103" spans="1:30" x14ac:dyDescent="0.2">
      <c r="A103" s="67">
        <f ca="1">Demand!C100</f>
        <v>48</v>
      </c>
      <c r="B103" s="67">
        <v>88</v>
      </c>
      <c r="C103" s="5">
        <f ca="1">'Demand background (hide)'!Y91</f>
        <v>500</v>
      </c>
      <c r="D103" s="67">
        <f t="shared" si="39"/>
        <v>0</v>
      </c>
      <c r="E103" s="67" t="e">
        <f t="shared" ca="1" si="40"/>
        <v>#N/A</v>
      </c>
      <c r="F103" s="67" t="e">
        <f t="shared" ca="1" si="41"/>
        <v>#N/A</v>
      </c>
      <c r="G103" s="67" t="e">
        <f t="shared" ca="1" si="42"/>
        <v>#N/A</v>
      </c>
      <c r="H103" s="67" t="e">
        <f>IF('Demand background (hide)'!AN91&lt;&gt;"",'SPC background (hide)'!C103,NA())</f>
        <v>#N/A</v>
      </c>
      <c r="I103" s="67">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7" t="e">
        <f t="shared" ca="1" si="57"/>
        <v>#N/A</v>
      </c>
      <c r="T103" s="67">
        <f t="shared" ca="1" si="58"/>
        <v>1</v>
      </c>
      <c r="U103" s="67" t="e">
        <f t="shared" ca="1" si="59"/>
        <v>#N/A</v>
      </c>
      <c r="V103" s="5">
        <f t="shared" ca="1" si="38"/>
        <v>1</v>
      </c>
      <c r="W103" s="5" t="e">
        <f t="shared" ca="1" si="52"/>
        <v>#N/A</v>
      </c>
      <c r="X103" s="67">
        <f t="shared" ca="1" si="53"/>
        <v>1</v>
      </c>
      <c r="Y103" s="67" t="e">
        <f t="shared" ca="1" si="60"/>
        <v>#N/A</v>
      </c>
      <c r="Z103" s="67" t="e">
        <f t="shared" ca="1" si="61"/>
        <v>#N/A</v>
      </c>
      <c r="AA103" s="5" t="str">
        <f>IF(Setup!$I$15="Yes",'Demand background (hide)'!AJ91+'SPC background (hide)'!C103,"")</f>
        <v/>
      </c>
      <c r="AC103" s="5">
        <f t="shared" ca="1" si="54"/>
        <v>551.5</v>
      </c>
      <c r="AD103" s="5">
        <f t="shared" ca="1" si="55"/>
        <v>664</v>
      </c>
    </row>
    <row r="104" spans="1:30" x14ac:dyDescent="0.2">
      <c r="A104" s="67">
        <f ca="1">Demand!C101</f>
        <v>49</v>
      </c>
      <c r="B104" s="67">
        <v>89</v>
      </c>
      <c r="C104" s="5">
        <f ca="1">'Demand background (hide)'!Y92</f>
        <v>510</v>
      </c>
      <c r="D104" s="67">
        <f t="shared" si="39"/>
        <v>0</v>
      </c>
      <c r="E104" s="67" t="e">
        <f t="shared" ca="1" si="40"/>
        <v>#N/A</v>
      </c>
      <c r="F104" s="67" t="e">
        <f t="shared" ca="1" si="41"/>
        <v>#N/A</v>
      </c>
      <c r="G104" s="67" t="e">
        <f t="shared" ca="1" si="42"/>
        <v>#N/A</v>
      </c>
      <c r="H104" s="67" t="e">
        <f>IF('Demand background (hide)'!AN92&lt;&gt;"",'SPC background (hide)'!C104,NA())</f>
        <v>#N/A</v>
      </c>
      <c r="I104" s="67">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7" t="e">
        <f t="shared" ca="1" si="57"/>
        <v>#N/A</v>
      </c>
      <c r="T104" s="67">
        <f t="shared" ca="1" si="58"/>
        <v>1</v>
      </c>
      <c r="U104" s="67" t="e">
        <f t="shared" ca="1" si="59"/>
        <v>#N/A</v>
      </c>
      <c r="V104" s="5">
        <f t="shared" ca="1" si="38"/>
        <v>1</v>
      </c>
      <c r="W104" s="5" t="e">
        <f t="shared" ca="1" si="52"/>
        <v>#N/A</v>
      </c>
      <c r="X104" s="67">
        <f t="shared" ca="1" si="53"/>
        <v>1</v>
      </c>
      <c r="Y104" s="67" t="e">
        <f t="shared" ca="1" si="60"/>
        <v>#N/A</v>
      </c>
      <c r="Z104" s="67" t="e">
        <f t="shared" ca="1" si="61"/>
        <v>#N/A</v>
      </c>
      <c r="AA104" s="5" t="str">
        <f>IF(Setup!$I$15="Yes",'Demand background (hide)'!AJ92+'SPC background (hide)'!C104,"")</f>
        <v/>
      </c>
      <c r="AC104" s="5">
        <f t="shared" ca="1" si="54"/>
        <v>551.5</v>
      </c>
      <c r="AD104" s="5">
        <f t="shared" ca="1" si="55"/>
        <v>664</v>
      </c>
    </row>
    <row r="105" spans="1:30" x14ac:dyDescent="0.2">
      <c r="A105" s="67">
        <f ca="1">Demand!C102</f>
        <v>50</v>
      </c>
      <c r="B105" s="67">
        <v>90</v>
      </c>
      <c r="C105" s="5">
        <f ca="1">'Demand background (hide)'!Y93</f>
        <v>510</v>
      </c>
      <c r="D105" s="67">
        <f t="shared" si="39"/>
        <v>0</v>
      </c>
      <c r="E105" s="67" t="e">
        <f t="shared" ca="1" si="40"/>
        <v>#N/A</v>
      </c>
      <c r="F105" s="67" t="e">
        <f t="shared" ca="1" si="41"/>
        <v>#N/A</v>
      </c>
      <c r="G105" s="67" t="e">
        <f t="shared" ca="1" si="42"/>
        <v>#N/A</v>
      </c>
      <c r="H105" s="67" t="e">
        <f>IF('Demand background (hide)'!AN93&lt;&gt;"",'SPC background (hide)'!C105,NA())</f>
        <v>#N/A</v>
      </c>
      <c r="I105" s="67">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7" t="e">
        <f t="shared" ca="1" si="57"/>
        <v>#N/A</v>
      </c>
      <c r="T105" s="67">
        <f t="shared" ca="1" si="58"/>
        <v>1</v>
      </c>
      <c r="U105" s="67" t="e">
        <f t="shared" ca="1" si="59"/>
        <v>#N/A</v>
      </c>
      <c r="V105" s="5">
        <f t="shared" ca="1" si="38"/>
        <v>1</v>
      </c>
      <c r="W105" s="5" t="e">
        <f t="shared" ca="1" si="52"/>
        <v>#N/A</v>
      </c>
      <c r="X105" s="67">
        <f t="shared" ca="1" si="53"/>
        <v>0</v>
      </c>
      <c r="Y105" s="67" t="e">
        <f t="shared" ca="1" si="60"/>
        <v>#N/A</v>
      </c>
      <c r="Z105" s="67" t="e">
        <f t="shared" ca="1" si="61"/>
        <v>#N/A</v>
      </c>
      <c r="AA105" s="5" t="str">
        <f>IF(Setup!$I$15="Yes",'Demand background (hide)'!AJ93+'SPC background (hide)'!C105,"")</f>
        <v/>
      </c>
      <c r="AC105" s="5">
        <f t="shared" ca="1" si="54"/>
        <v>551.5</v>
      </c>
      <c r="AD105" s="5">
        <f t="shared" ca="1" si="55"/>
        <v>664</v>
      </c>
    </row>
    <row r="106" spans="1:30" x14ac:dyDescent="0.2">
      <c r="A106" s="67">
        <f ca="1">Demand!C103</f>
        <v>51</v>
      </c>
      <c r="B106" s="67">
        <v>91</v>
      </c>
      <c r="C106" s="5">
        <f ca="1">'Demand background (hide)'!Y94</f>
        <v>390</v>
      </c>
      <c r="D106" s="67">
        <f t="shared" si="39"/>
        <v>0</v>
      </c>
      <c r="E106" s="67" t="e">
        <f t="shared" ca="1" si="40"/>
        <v>#N/A</v>
      </c>
      <c r="F106" s="67" t="e">
        <f t="shared" ca="1" si="41"/>
        <v>#N/A</v>
      </c>
      <c r="G106" s="67" t="e">
        <f t="shared" ca="1" si="42"/>
        <v>#N/A</v>
      </c>
      <c r="H106" s="67" t="e">
        <f>IF('Demand background (hide)'!AN94&lt;&gt;"",'SPC background (hide)'!C106,NA())</f>
        <v>#N/A</v>
      </c>
      <c r="I106" s="67">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7" t="e">
        <f t="shared" ca="1" si="57"/>
        <v>#N/A</v>
      </c>
      <c r="T106" s="67">
        <f t="shared" ca="1" si="58"/>
        <v>-1</v>
      </c>
      <c r="U106" s="67" t="e">
        <f t="shared" ca="1" si="59"/>
        <v>#N/A</v>
      </c>
      <c r="V106" s="5">
        <f t="shared" ca="1" si="38"/>
        <v>-1</v>
      </c>
      <c r="W106" s="5" t="e">
        <f t="shared" ca="1" si="52"/>
        <v>#N/A</v>
      </c>
      <c r="X106" s="67">
        <f t="shared" ca="1" si="53"/>
        <v>-1</v>
      </c>
      <c r="Y106" s="67" t="e">
        <f t="shared" ca="1" si="60"/>
        <v>#N/A</v>
      </c>
      <c r="Z106" s="67" t="e">
        <f t="shared" ca="1" si="61"/>
        <v>#N/A</v>
      </c>
      <c r="AA106" s="5" t="str">
        <f>IF(Setup!$I$15="Yes",'Demand background (hide)'!AJ94+'SPC background (hide)'!C106,"")</f>
        <v/>
      </c>
      <c r="AC106" s="5">
        <f t="shared" ca="1" si="54"/>
        <v>551.5</v>
      </c>
      <c r="AD106" s="5">
        <f t="shared" ca="1" si="55"/>
        <v>664</v>
      </c>
    </row>
    <row r="107" spans="1:30" x14ac:dyDescent="0.2">
      <c r="A107" s="67">
        <f ca="1">Demand!C104</f>
        <v>52</v>
      </c>
      <c r="B107" s="67">
        <v>92</v>
      </c>
      <c r="C107" s="5">
        <f ca="1">'Demand background (hide)'!Y95</f>
        <v>440</v>
      </c>
      <c r="D107" s="67">
        <f t="shared" si="39"/>
        <v>0</v>
      </c>
      <c r="E107" s="67" t="e">
        <f t="shared" ca="1" si="40"/>
        <v>#N/A</v>
      </c>
      <c r="F107" s="67" t="e">
        <f t="shared" ca="1" si="41"/>
        <v>#N/A</v>
      </c>
      <c r="G107" s="67" t="e">
        <f t="shared" ca="1" si="42"/>
        <v>#N/A</v>
      </c>
      <c r="H107" s="67" t="e">
        <f>IF('Demand background (hide)'!AN95&lt;&gt;"",'SPC background (hide)'!C107,NA())</f>
        <v>#N/A</v>
      </c>
      <c r="I107" s="67">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7" t="e">
        <f t="shared" ca="1" si="57"/>
        <v>#N/A</v>
      </c>
      <c r="T107" s="67">
        <f t="shared" ca="1" si="58"/>
        <v>-1</v>
      </c>
      <c r="U107" s="67" t="e">
        <f t="shared" ca="1" si="59"/>
        <v>#N/A</v>
      </c>
      <c r="V107" s="5">
        <f t="shared" ca="1" si="38"/>
        <v>-1</v>
      </c>
      <c r="W107" s="5" t="e">
        <f t="shared" ca="1" si="52"/>
        <v>#N/A</v>
      </c>
      <c r="X107" s="67">
        <f t="shared" ca="1" si="53"/>
        <v>1</v>
      </c>
      <c r="Y107" s="67" t="e">
        <f t="shared" ca="1" si="60"/>
        <v>#N/A</v>
      </c>
      <c r="Z107" s="67" t="e">
        <f t="shared" ca="1" si="61"/>
        <v>#N/A</v>
      </c>
      <c r="AA107" s="5" t="str">
        <f>IF(Setup!$I$15="Yes",'Demand background (hide)'!AJ95+'SPC background (hide)'!C107,"")</f>
        <v/>
      </c>
      <c r="AC107" s="5">
        <f t="shared" ca="1" si="54"/>
        <v>551.5</v>
      </c>
      <c r="AD107" s="5">
        <f t="shared" ca="1" si="55"/>
        <v>664</v>
      </c>
    </row>
    <row r="108" spans="1:30" x14ac:dyDescent="0.2">
      <c r="A108" s="67">
        <f ca="1">Demand!C105</f>
        <v>1</v>
      </c>
      <c r="B108" s="67">
        <v>93</v>
      </c>
      <c r="C108" s="5">
        <f ca="1">'Demand background (hide)'!Y96</f>
        <v>700</v>
      </c>
      <c r="D108" s="67">
        <f t="shared" si="39"/>
        <v>0</v>
      </c>
      <c r="E108" s="67" t="e">
        <f t="shared" ca="1" si="40"/>
        <v>#N/A</v>
      </c>
      <c r="F108" s="67" t="e">
        <f t="shared" ca="1" si="41"/>
        <v>#N/A</v>
      </c>
      <c r="G108" s="67" t="e">
        <f t="shared" ca="1" si="42"/>
        <v>#N/A</v>
      </c>
      <c r="H108" s="67" t="e">
        <f>IF('Demand background (hide)'!AN96&lt;&gt;"",'SPC background (hide)'!C108,NA())</f>
        <v>#N/A</v>
      </c>
      <c r="I108" s="67">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7" t="e">
        <f t="shared" ca="1" si="57"/>
        <v>#N/A</v>
      </c>
      <c r="T108" s="67">
        <f t="shared" ca="1" si="58"/>
        <v>2</v>
      </c>
      <c r="U108" s="67" t="e">
        <f t="shared" ca="1" si="59"/>
        <v>#N/A</v>
      </c>
      <c r="V108" s="5">
        <f t="shared" ca="1" si="38"/>
        <v>1</v>
      </c>
      <c r="W108" s="5" t="e">
        <f t="shared" ca="1" si="52"/>
        <v>#N/A</v>
      </c>
      <c r="X108" s="67">
        <f t="shared" ca="1" si="53"/>
        <v>1</v>
      </c>
      <c r="Y108" s="67" t="e">
        <f t="shared" ca="1" si="60"/>
        <v>#N/A</v>
      </c>
      <c r="Z108" s="67" t="e">
        <f t="shared" ca="1" si="61"/>
        <v>#N/A</v>
      </c>
      <c r="AA108" s="5" t="str">
        <f>IF(Setup!$I$15="Yes",'Demand background (hide)'!AJ96+'SPC background (hide)'!C108,"")</f>
        <v/>
      </c>
      <c r="AC108" s="5">
        <f t="shared" ca="1" si="54"/>
        <v>551.5</v>
      </c>
      <c r="AD108" s="5">
        <f t="shared" ca="1" si="55"/>
        <v>664</v>
      </c>
    </row>
    <row r="109" spans="1:30" x14ac:dyDescent="0.2">
      <c r="A109" s="67">
        <f ca="1">Demand!C106</f>
        <v>2</v>
      </c>
      <c r="B109" s="67">
        <v>94</v>
      </c>
      <c r="C109" s="5">
        <f ca="1">'Demand background (hide)'!Y97</f>
        <v>570</v>
      </c>
      <c r="D109" s="67">
        <f t="shared" si="39"/>
        <v>0</v>
      </c>
      <c r="E109" s="67" t="e">
        <f t="shared" ca="1" si="40"/>
        <v>#N/A</v>
      </c>
      <c r="F109" s="67" t="e">
        <f t="shared" ca="1" si="41"/>
        <v>#N/A</v>
      </c>
      <c r="G109" s="67" t="e">
        <f t="shared" ca="1" si="42"/>
        <v>#N/A</v>
      </c>
      <c r="H109" s="67" t="e">
        <f>IF('Demand background (hide)'!AN97&lt;&gt;"",'SPC background (hide)'!C109,NA())</f>
        <v>#N/A</v>
      </c>
      <c r="I109" s="67">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7" t="e">
        <f t="shared" ca="1" si="57"/>
        <v>#N/A</v>
      </c>
      <c r="T109" s="67">
        <f t="shared" ca="1" si="58"/>
        <v>1</v>
      </c>
      <c r="U109" s="67" t="e">
        <f t="shared" ca="1" si="59"/>
        <v>#N/A</v>
      </c>
      <c r="V109" s="5">
        <f t="shared" ca="1" si="38"/>
        <v>1</v>
      </c>
      <c r="W109" s="5" t="e">
        <f t="shared" ca="1" si="52"/>
        <v>#N/A</v>
      </c>
      <c r="X109" s="67">
        <f t="shared" ca="1" si="53"/>
        <v>-1</v>
      </c>
      <c r="Y109" s="67" t="e">
        <f t="shared" ca="1" si="60"/>
        <v>#N/A</v>
      </c>
      <c r="Z109" s="67" t="e">
        <f t="shared" ca="1" si="61"/>
        <v>#N/A</v>
      </c>
      <c r="AA109" s="5" t="str">
        <f>IF(Setup!$I$15="Yes",'Demand background (hide)'!AJ97+'SPC background (hide)'!C109,"")</f>
        <v/>
      </c>
      <c r="AC109" s="5">
        <f t="shared" ca="1" si="54"/>
        <v>551.5</v>
      </c>
      <c r="AD109" s="5">
        <f t="shared" ca="1" si="55"/>
        <v>664</v>
      </c>
    </row>
    <row r="110" spans="1:30" x14ac:dyDescent="0.2">
      <c r="A110" s="67">
        <f ca="1">Demand!C107</f>
        <v>3</v>
      </c>
      <c r="B110" s="67">
        <v>95</v>
      </c>
      <c r="C110" s="5">
        <f ca="1">'Demand background (hide)'!Y98</f>
        <v>520</v>
      </c>
      <c r="D110" s="67">
        <f t="shared" si="39"/>
        <v>0</v>
      </c>
      <c r="E110" s="67" t="e">
        <f t="shared" ca="1" si="40"/>
        <v>#N/A</v>
      </c>
      <c r="F110" s="67" t="e">
        <f t="shared" ca="1" si="41"/>
        <v>#N/A</v>
      </c>
      <c r="G110" s="67" t="e">
        <f t="shared" ca="1" si="42"/>
        <v>#N/A</v>
      </c>
      <c r="H110" s="67" t="e">
        <f>IF('Demand background (hide)'!AN98&lt;&gt;"",'SPC background (hide)'!C110,NA())</f>
        <v>#N/A</v>
      </c>
      <c r="I110" s="67">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7" t="e">
        <f t="shared" ca="1" si="57"/>
        <v>#N/A</v>
      </c>
      <c r="T110" s="67">
        <f t="shared" ca="1" si="58"/>
        <v>1</v>
      </c>
      <c r="U110" s="67" t="e">
        <f t="shared" ca="1" si="59"/>
        <v>#N/A</v>
      </c>
      <c r="V110" s="5">
        <f t="shared" ca="1" si="38"/>
        <v>1</v>
      </c>
      <c r="W110" s="5" t="e">
        <f t="shared" ca="1" si="52"/>
        <v>#N/A</v>
      </c>
      <c r="X110" s="67">
        <f t="shared" ca="1" si="53"/>
        <v>-1</v>
      </c>
      <c r="Y110" s="67" t="e">
        <f t="shared" ca="1" si="60"/>
        <v>#N/A</v>
      </c>
      <c r="Z110" s="67" t="e">
        <f t="shared" ca="1" si="61"/>
        <v>#N/A</v>
      </c>
      <c r="AA110" s="5" t="str">
        <f>IF(Setup!$I$15="Yes",'Demand background (hide)'!AJ98+'SPC background (hide)'!C110,"")</f>
        <v/>
      </c>
      <c r="AC110" s="5">
        <f t="shared" ca="1" si="54"/>
        <v>551.5</v>
      </c>
      <c r="AD110" s="5">
        <f t="shared" ca="1" si="55"/>
        <v>664</v>
      </c>
    </row>
    <row r="111" spans="1:30" x14ac:dyDescent="0.2">
      <c r="A111" s="67">
        <f ca="1">Demand!C108</f>
        <v>4</v>
      </c>
      <c r="B111" s="67">
        <v>96</v>
      </c>
      <c r="C111" s="5">
        <f ca="1">'Demand background (hide)'!Y99</f>
        <v>630</v>
      </c>
      <c r="D111" s="67">
        <f t="shared" si="39"/>
        <v>0</v>
      </c>
      <c r="E111" s="67" t="e">
        <f t="shared" ca="1" si="40"/>
        <v>#N/A</v>
      </c>
      <c r="F111" s="67" t="e">
        <f t="shared" ca="1" si="41"/>
        <v>#N/A</v>
      </c>
      <c r="G111" s="67" t="e">
        <f t="shared" ca="1" si="42"/>
        <v>#N/A</v>
      </c>
      <c r="H111" s="67" t="e">
        <f>IF('Demand background (hide)'!AN99&lt;&gt;"",'SPC background (hide)'!C111,NA())</f>
        <v>#N/A</v>
      </c>
      <c r="I111" s="67">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7" t="e">
        <f t="shared" ca="1" si="57"/>
        <v>#N/A</v>
      </c>
      <c r="T111" s="67">
        <f t="shared" ca="1" si="58"/>
        <v>1</v>
      </c>
      <c r="U111" s="67" t="e">
        <f t="shared" ca="1" si="59"/>
        <v>#N/A</v>
      </c>
      <c r="V111" s="5">
        <f t="shared" ca="1" si="38"/>
        <v>1</v>
      </c>
      <c r="W111" s="5" t="e">
        <f t="shared" ca="1" si="52"/>
        <v>#N/A</v>
      </c>
      <c r="X111" s="67">
        <f t="shared" ca="1" si="53"/>
        <v>1</v>
      </c>
      <c r="Y111" s="67" t="e">
        <f t="shared" ca="1" si="60"/>
        <v>#N/A</v>
      </c>
      <c r="Z111" s="67" t="e">
        <f t="shared" ca="1" si="61"/>
        <v>#N/A</v>
      </c>
      <c r="AA111" s="5" t="str">
        <f>IF(Setup!$I$15="Yes",'Demand background (hide)'!AJ99+'SPC background (hide)'!C111,"")</f>
        <v/>
      </c>
      <c r="AC111" s="5">
        <f t="shared" ca="1" si="54"/>
        <v>551.5</v>
      </c>
      <c r="AD111" s="5">
        <f t="shared" ca="1" si="55"/>
        <v>664</v>
      </c>
    </row>
    <row r="112" spans="1:30" x14ac:dyDescent="0.2">
      <c r="A112" s="67">
        <f ca="1">Demand!C109</f>
        <v>5</v>
      </c>
      <c r="B112" s="67">
        <v>97</v>
      </c>
      <c r="C112" s="5">
        <f ca="1">'Demand background (hide)'!Y100</f>
        <v>550</v>
      </c>
      <c r="D112" s="67">
        <f t="shared" si="39"/>
        <v>0</v>
      </c>
      <c r="E112" s="67" t="e">
        <f t="shared" ca="1" si="40"/>
        <v>#N/A</v>
      </c>
      <c r="F112" s="67" t="e">
        <f t="shared" ca="1" si="41"/>
        <v>#N/A</v>
      </c>
      <c r="G112" s="67" t="e">
        <f t="shared" ca="1" si="42"/>
        <v>#N/A</v>
      </c>
      <c r="H112" s="67" t="e">
        <f>IF('Demand background (hide)'!AN100&lt;&gt;"",'SPC background (hide)'!C112,NA())</f>
        <v>#N/A</v>
      </c>
      <c r="I112" s="67">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7" t="e">
        <f t="shared" ca="1" si="57"/>
        <v>#N/A</v>
      </c>
      <c r="T112" s="67">
        <f t="shared" ca="1" si="58"/>
        <v>1</v>
      </c>
      <c r="U112" s="67" t="e">
        <f t="shared" ca="1" si="59"/>
        <v>#N/A</v>
      </c>
      <c r="V112" s="5">
        <f t="shared" ca="1" si="38"/>
        <v>1</v>
      </c>
      <c r="W112" s="5" t="e">
        <f t="shared" ca="1" si="52"/>
        <v>#N/A</v>
      </c>
      <c r="X112" s="67">
        <f t="shared" ca="1" si="53"/>
        <v>-1</v>
      </c>
      <c r="Y112" s="67" t="e">
        <f t="shared" ca="1" si="60"/>
        <v>#N/A</v>
      </c>
      <c r="Z112" s="67" t="e">
        <f t="shared" ca="1" si="61"/>
        <v>#N/A</v>
      </c>
      <c r="AA112" s="5" t="str">
        <f>IF(Setup!$I$15="Yes",'Demand background (hide)'!AJ100+'SPC background (hide)'!C112,"")</f>
        <v/>
      </c>
      <c r="AC112" s="5">
        <f t="shared" ca="1" si="54"/>
        <v>551.5</v>
      </c>
      <c r="AD112" s="5">
        <f t="shared" ca="1" si="55"/>
        <v>664</v>
      </c>
    </row>
    <row r="113" spans="1:30" x14ac:dyDescent="0.2">
      <c r="A113" s="67">
        <f ca="1">Demand!C110</f>
        <v>6</v>
      </c>
      <c r="B113" s="67">
        <v>98</v>
      </c>
      <c r="C113" s="5">
        <f ca="1">'Demand background (hide)'!Y101</f>
        <v>350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7" t="e">
        <f t="shared" ca="1" si="57"/>
        <v>#N/A</v>
      </c>
      <c r="T113" s="67">
        <f t="shared" ca="1" si="58"/>
        <v>-2</v>
      </c>
      <c r="U113" s="67" t="e">
        <f t="shared" ca="1" si="59"/>
        <v>#N/A</v>
      </c>
      <c r="V113" s="5">
        <f t="shared" ca="1" si="38"/>
        <v>-1</v>
      </c>
      <c r="W113" s="5" t="e">
        <f t="shared" ca="1" si="52"/>
        <v>#N/A</v>
      </c>
      <c r="X113" s="67">
        <f t="shared" ca="1" si="53"/>
        <v>-1</v>
      </c>
      <c r="Y113" s="67" t="e">
        <f t="shared" ca="1" si="60"/>
        <v>#N/A</v>
      </c>
      <c r="Z113" s="67" t="e">
        <f t="shared" ca="1" si="61"/>
        <v>#N/A</v>
      </c>
      <c r="AA113" s="5" t="str">
        <f>IF(Setup!$I$15="Yes",'Demand background (hide)'!AJ101+'SPC background (hide)'!C113,"")</f>
        <v/>
      </c>
      <c r="AC113" s="5">
        <f t="shared" ca="1" si="54"/>
        <v>551.5</v>
      </c>
      <c r="AD113" s="5">
        <f t="shared" ca="1" si="55"/>
        <v>664</v>
      </c>
    </row>
    <row r="114" spans="1:30" x14ac:dyDescent="0.2">
      <c r="A114" s="67">
        <f ca="1">Demand!C111</f>
        <v>7</v>
      </c>
      <c r="B114" s="67">
        <v>99</v>
      </c>
      <c r="C114" s="5">
        <f ca="1">'Demand background (hide)'!Y102</f>
        <v>410</v>
      </c>
      <c r="D114" s="67">
        <f t="shared" si="39"/>
        <v>1</v>
      </c>
      <c r="E114" s="67" t="e">
        <f t="shared" ca="1" si="40"/>
        <v>#N/A</v>
      </c>
      <c r="F114" s="67" t="e">
        <f t="shared" ca="1" si="41"/>
        <v>#N/A</v>
      </c>
      <c r="G114" s="67" t="e">
        <f t="shared" ca="1" si="42"/>
        <v>#N/A</v>
      </c>
      <c r="H114" s="67" t="e">
        <f>IF('Demand background (hide)'!AN102&lt;&gt;"",'SPC background (hide)'!C114,NA())</f>
        <v>#N/A</v>
      </c>
      <c r="I114" s="67">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7" t="e">
        <f t="shared" ca="1" si="57"/>
        <v>#N/A</v>
      </c>
      <c r="T114" s="67">
        <f t="shared" ca="1" si="58"/>
        <v>-1</v>
      </c>
      <c r="U114" s="67" t="e">
        <f t="shared" ca="1" si="59"/>
        <v>#N/A</v>
      </c>
      <c r="V114" s="5">
        <f t="shared" ca="1" si="38"/>
        <v>-1</v>
      </c>
      <c r="W114" s="5" t="e">
        <f t="shared" ca="1" si="52"/>
        <v>#N/A</v>
      </c>
      <c r="X114" s="67">
        <f t="shared" ca="1" si="53"/>
        <v>1</v>
      </c>
      <c r="Y114" s="67" t="e">
        <f t="shared" ca="1" si="60"/>
        <v>#N/A</v>
      </c>
      <c r="Z114" s="67" t="e">
        <f t="shared" ca="1" si="61"/>
        <v>#N/A</v>
      </c>
      <c r="AA114" s="5" t="str">
        <f>IF(Setup!$I$15="Yes",'Demand background (hide)'!AJ102+'SPC background (hide)'!C114,"")</f>
        <v/>
      </c>
      <c r="AC114" s="5">
        <f t="shared" ca="1" si="54"/>
        <v>551.5</v>
      </c>
      <c r="AD114" s="5">
        <f t="shared" ca="1" si="55"/>
        <v>664</v>
      </c>
    </row>
    <row r="115" spans="1:30" x14ac:dyDescent="0.2">
      <c r="A115" s="67">
        <f ca="1">Demand!C112</f>
        <v>8</v>
      </c>
      <c r="B115" s="67">
        <v>100</v>
      </c>
      <c r="C115" s="5">
        <f ca="1">'Demand background (hide)'!Y103</f>
        <v>450</v>
      </c>
      <c r="D115" s="67">
        <f t="shared" si="39"/>
        <v>1</v>
      </c>
      <c r="E115" s="67" t="e">
        <f t="shared" ca="1" si="40"/>
        <v>#N/A</v>
      </c>
      <c r="F115" s="67" t="e">
        <f t="shared" ca="1" si="41"/>
        <v>#N/A</v>
      </c>
      <c r="G115" s="67" t="e">
        <f t="shared" ca="1" si="42"/>
        <v>#N/A</v>
      </c>
      <c r="H115" s="67" t="e">
        <f>IF('Demand background (hide)'!AN103&lt;&gt;"",'SPC background (hide)'!C115,NA())</f>
        <v>#N/A</v>
      </c>
      <c r="I115" s="67">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7" t="e">
        <f t="shared" ca="1" si="57"/>
        <v>#N/A</v>
      </c>
      <c r="T115" s="67">
        <f t="shared" ca="1" si="58"/>
        <v>-1</v>
      </c>
      <c r="U115" s="67" t="e">
        <f t="shared" ca="1" si="59"/>
        <v>#N/A</v>
      </c>
      <c r="V115" s="5">
        <f t="shared" ca="1" si="38"/>
        <v>-1</v>
      </c>
      <c r="W115" s="5" t="e">
        <f t="shared" ca="1" si="52"/>
        <v>#N/A</v>
      </c>
      <c r="X115" s="67">
        <f t="shared" ca="1" si="53"/>
        <v>1</v>
      </c>
      <c r="Y115" s="67" t="e">
        <f t="shared" ca="1" si="60"/>
        <v>#N/A</v>
      </c>
      <c r="Z115" s="67" t="e">
        <f t="shared" ca="1" si="61"/>
        <v>#N/A</v>
      </c>
      <c r="AA115" s="5" t="str">
        <f>IF(Setup!$I$15="Yes",'Demand background (hide)'!AJ103+'SPC background (hide)'!C115,"")</f>
        <v/>
      </c>
      <c r="AC115" s="5">
        <f t="shared" ca="1" si="54"/>
        <v>551.5</v>
      </c>
      <c r="AD115" s="5">
        <f t="shared" ca="1" si="55"/>
        <v>664</v>
      </c>
    </row>
    <row r="116" spans="1:30" x14ac:dyDescent="0.2">
      <c r="A116" s="67">
        <f ca="1">Demand!C113</f>
        <v>9</v>
      </c>
      <c r="B116" s="67">
        <v>101</v>
      </c>
      <c r="C116" s="5">
        <f ca="1">'Demand background (hide)'!Y104</f>
        <v>270</v>
      </c>
      <c r="D116" s="67">
        <f t="shared" si="39"/>
        <v>1</v>
      </c>
      <c r="E116" s="67" t="e">
        <f t="shared" ca="1" si="40"/>
        <v>#N/A</v>
      </c>
      <c r="F116" s="67" t="e">
        <f t="shared" ca="1" si="41"/>
        <v>#N/A</v>
      </c>
      <c r="G116" s="67" t="e">
        <f t="shared" ca="1" si="42"/>
        <v>#N/A</v>
      </c>
      <c r="H116" s="67" t="e">
        <f>IF('Demand background (hide)'!AN104&lt;&gt;"",'SPC background (hide)'!C116,NA())</f>
        <v>#N/A</v>
      </c>
      <c r="I116" s="67">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7" t="e">
        <f t="shared" ca="1" si="57"/>
        <v>#N/A</v>
      </c>
      <c r="T116" s="67">
        <f t="shared" ca="1" si="58"/>
        <v>-2</v>
      </c>
      <c r="U116" s="67" t="e">
        <f t="shared" ca="1" si="59"/>
        <v>#N/A</v>
      </c>
      <c r="V116" s="5">
        <f t="shared" ca="1" si="38"/>
        <v>-1</v>
      </c>
      <c r="W116" s="5" t="e">
        <f t="shared" ca="1" si="52"/>
        <v>#N/A</v>
      </c>
      <c r="X116" s="67">
        <f t="shared" ca="1" si="53"/>
        <v>-1</v>
      </c>
      <c r="Y116" s="67" t="e">
        <f t="shared" ca="1" si="60"/>
        <v>#N/A</v>
      </c>
      <c r="Z116" s="67" t="e">
        <f t="shared" ca="1" si="61"/>
        <v>#N/A</v>
      </c>
      <c r="AA116" s="5" t="str">
        <f>IF(Setup!$I$15="Yes",'Demand background (hide)'!AJ104+'SPC background (hide)'!C116,"")</f>
        <v/>
      </c>
      <c r="AC116" s="5">
        <f t="shared" ca="1" si="54"/>
        <v>551.5</v>
      </c>
      <c r="AD116" s="5">
        <f t="shared" ca="1" si="55"/>
        <v>664</v>
      </c>
    </row>
    <row r="117" spans="1:30" x14ac:dyDescent="0.2">
      <c r="A117" s="67">
        <f ca="1">Demand!C114</f>
        <v>10</v>
      </c>
      <c r="B117" s="67">
        <v>102</v>
      </c>
      <c r="C117" s="5">
        <f ca="1">'Demand background (hide)'!Y105</f>
        <v>780</v>
      </c>
      <c r="D117" s="67">
        <f t="shared" si="39"/>
        <v>1</v>
      </c>
      <c r="E117" s="67" t="e">
        <f t="shared" ca="1" si="40"/>
        <v>#N/A</v>
      </c>
      <c r="F117" s="67" t="e">
        <f t="shared" ca="1" si="41"/>
        <v>#N/A</v>
      </c>
      <c r="G117" s="67" t="e">
        <f t="shared" ca="1" si="42"/>
        <v>#N/A</v>
      </c>
      <c r="H117" s="67" t="e">
        <f>IF('Demand background (hide)'!AN105&lt;&gt;"",'SPC background (hide)'!C117,NA())</f>
        <v>#N/A</v>
      </c>
      <c r="I117" s="67">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7" t="e">
        <f t="shared" ca="1" si="57"/>
        <v>#N/A</v>
      </c>
      <c r="T117" s="67">
        <f t="shared" ca="1" si="58"/>
        <v>2</v>
      </c>
      <c r="U117" s="67" t="e">
        <f t="shared" ca="1" si="59"/>
        <v>#N/A</v>
      </c>
      <c r="V117" s="5">
        <f t="shared" ca="1" si="38"/>
        <v>1</v>
      </c>
      <c r="W117" s="5" t="e">
        <f t="shared" ca="1" si="52"/>
        <v>#N/A</v>
      </c>
      <c r="X117" s="67">
        <f t="shared" ca="1" si="53"/>
        <v>1</v>
      </c>
      <c r="Y117" s="67" t="e">
        <f t="shared" ca="1" si="60"/>
        <v>#N/A</v>
      </c>
      <c r="Z117" s="67" t="e">
        <f t="shared" ca="1" si="61"/>
        <v>#N/A</v>
      </c>
      <c r="AA117" s="5" t="str">
        <f>IF(Setup!$I$15="Yes",'Demand background (hide)'!AJ105+'SPC background (hide)'!C117,"")</f>
        <v/>
      </c>
      <c r="AC117" s="5">
        <f t="shared" ca="1" si="54"/>
        <v>551.5</v>
      </c>
      <c r="AD117" s="5">
        <f t="shared" ca="1" si="55"/>
        <v>664</v>
      </c>
    </row>
    <row r="118" spans="1:30" x14ac:dyDescent="0.2">
      <c r="A118" s="67">
        <f ca="1">Demand!C115</f>
        <v>11</v>
      </c>
      <c r="B118" s="67">
        <v>103</v>
      </c>
      <c r="C118" s="5">
        <f ca="1">'Demand background (hide)'!Y106</f>
        <v>740</v>
      </c>
      <c r="D118" s="67">
        <f t="shared" si="39"/>
        <v>1</v>
      </c>
      <c r="E118" s="67" t="e">
        <f t="shared" ca="1" si="40"/>
        <v>#N/A</v>
      </c>
      <c r="F118" s="67" t="e">
        <f t="shared" ca="1" si="41"/>
        <v>#N/A</v>
      </c>
      <c r="G118" s="67" t="e">
        <f t="shared" ca="1" si="42"/>
        <v>#N/A</v>
      </c>
      <c r="H118" s="67" t="e">
        <f>IF('Demand background (hide)'!AN106&lt;&gt;"",'SPC background (hide)'!C118,NA())</f>
        <v>#N/A</v>
      </c>
      <c r="I118" s="67">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7" t="e">
        <f t="shared" ca="1" si="57"/>
        <v>#N/A</v>
      </c>
      <c r="T118" s="67">
        <f t="shared" ca="1" si="58"/>
        <v>2</v>
      </c>
      <c r="U118" s="67" t="e">
        <f t="shared" ca="1" si="59"/>
        <v>#N/A</v>
      </c>
      <c r="V118" s="5">
        <f t="shared" ca="1" si="38"/>
        <v>1</v>
      </c>
      <c r="W118" s="5" t="e">
        <f t="shared" ca="1" si="52"/>
        <v>#N/A</v>
      </c>
      <c r="X118" s="67">
        <f t="shared" ca="1" si="53"/>
        <v>-1</v>
      </c>
      <c r="Y118" s="67" t="e">
        <f t="shared" ca="1" si="60"/>
        <v>#N/A</v>
      </c>
      <c r="Z118" s="67" t="e">
        <f t="shared" ca="1" si="61"/>
        <v>#N/A</v>
      </c>
      <c r="AA118" s="5" t="str">
        <f>IF(Setup!$I$15="Yes",'Demand background (hide)'!AJ106+'SPC background (hide)'!C118,"")</f>
        <v/>
      </c>
      <c r="AC118" s="5">
        <f t="shared" ca="1" si="54"/>
        <v>551.5</v>
      </c>
      <c r="AD118" s="5">
        <f t="shared" ca="1" si="55"/>
        <v>664</v>
      </c>
    </row>
    <row r="119" spans="1:30" x14ac:dyDescent="0.2">
      <c r="A119" s="67">
        <f ca="1">Demand!C116</f>
        <v>12</v>
      </c>
      <c r="B119" s="67">
        <v>104</v>
      </c>
      <c r="C119" s="5">
        <f ca="1">'Demand background (hide)'!Y107</f>
        <v>510</v>
      </c>
      <c r="D119" s="67">
        <f t="shared" si="39"/>
        <v>1</v>
      </c>
      <c r="E119" s="67" t="e">
        <f t="shared" ca="1" si="40"/>
        <v>#N/A</v>
      </c>
      <c r="F119" s="67" t="e">
        <f t="shared" ca="1" si="41"/>
        <v>#N/A</v>
      </c>
      <c r="G119" s="67" t="e">
        <f t="shared" ca="1" si="42"/>
        <v>#N/A</v>
      </c>
      <c r="H119" s="67" t="e">
        <f>IF('Demand background (hide)'!AN107&lt;&gt;"",'SPC background (hide)'!C119,NA())</f>
        <v>#N/A</v>
      </c>
      <c r="I119" s="67">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7" t="e">
        <f t="shared" ca="1" si="57"/>
        <v>#N/A</v>
      </c>
      <c r="T119" s="67">
        <f t="shared" ca="1" si="58"/>
        <v>1</v>
      </c>
      <c r="U119" s="67" t="e">
        <f t="shared" ca="1" si="59"/>
        <v>#N/A</v>
      </c>
      <c r="V119" s="5">
        <f t="shared" ca="1" si="38"/>
        <v>1</v>
      </c>
      <c r="W119" s="5" t="e">
        <f t="shared" ca="1" si="52"/>
        <v>#N/A</v>
      </c>
      <c r="X119" s="67">
        <f t="shared" ca="1" si="53"/>
        <v>-1</v>
      </c>
      <c r="Y119" s="67" t="e">
        <f t="shared" ca="1" si="60"/>
        <v>#N/A</v>
      </c>
      <c r="Z119" s="67" t="e">
        <f t="shared" ca="1" si="61"/>
        <v>#N/A</v>
      </c>
      <c r="AA119" s="5" t="str">
        <f>IF(Setup!$I$15="Yes",'Demand background (hide)'!AJ107+'SPC background (hide)'!C119,"")</f>
        <v/>
      </c>
      <c r="AC119" s="5">
        <f t="shared" ca="1" si="54"/>
        <v>551.5</v>
      </c>
      <c r="AD119" s="5">
        <f t="shared" ca="1" si="55"/>
        <v>664</v>
      </c>
    </row>
    <row r="120" spans="1:30" x14ac:dyDescent="0.2">
      <c r="A120" s="67">
        <f ca="1">Demand!C117</f>
        <v>13</v>
      </c>
      <c r="B120" s="67">
        <v>105</v>
      </c>
      <c r="C120" s="5">
        <f ca="1">'Demand background (hide)'!Y108</f>
        <v>390</v>
      </c>
      <c r="D120" s="67">
        <f t="shared" si="39"/>
        <v>1</v>
      </c>
      <c r="E120" s="67" t="e">
        <f t="shared" ca="1" si="40"/>
        <v>#N/A</v>
      </c>
      <c r="F120" s="67" t="e">
        <f t="shared" ca="1" si="41"/>
        <v>#N/A</v>
      </c>
      <c r="G120" s="67" t="e">
        <f t="shared" ca="1" si="42"/>
        <v>#N/A</v>
      </c>
      <c r="H120" s="67" t="e">
        <f>IF('Demand background (hide)'!AN108&lt;&gt;"",'SPC background (hide)'!C120,NA())</f>
        <v>#N/A</v>
      </c>
      <c r="I120" s="67">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7" t="e">
        <f t="shared" ca="1" si="57"/>
        <v>#N/A</v>
      </c>
      <c r="T120" s="67">
        <f t="shared" ca="1" si="58"/>
        <v>-1</v>
      </c>
      <c r="U120" s="67" t="e">
        <f t="shared" ca="1" si="59"/>
        <v>#N/A</v>
      </c>
      <c r="V120" s="5">
        <f t="shared" ca="1" si="38"/>
        <v>-1</v>
      </c>
      <c r="W120" s="5" t="e">
        <f t="shared" ca="1" si="52"/>
        <v>#N/A</v>
      </c>
      <c r="X120" s="67">
        <f t="shared" ca="1" si="53"/>
        <v>-1</v>
      </c>
      <c r="Y120" s="67" t="e">
        <f t="shared" ca="1" si="60"/>
        <v>#N/A</v>
      </c>
      <c r="Z120" s="67" t="e">
        <f t="shared" ca="1" si="61"/>
        <v>#N/A</v>
      </c>
      <c r="AA120" s="5" t="str">
        <f>IF(Setup!$I$15="Yes",'Demand background (hide)'!AJ108+'SPC background (hide)'!C120,"")</f>
        <v/>
      </c>
      <c r="AC120" s="5">
        <f t="shared" ca="1" si="54"/>
        <v>551.5</v>
      </c>
      <c r="AD120" s="5">
        <f t="shared" ca="1" si="55"/>
        <v>664</v>
      </c>
    </row>
    <row r="121" spans="1:30" x14ac:dyDescent="0.2">
      <c r="A121" s="67">
        <f ca="1">Demand!C118</f>
        <v>14</v>
      </c>
      <c r="B121" s="67">
        <v>106</v>
      </c>
      <c r="C121" s="5">
        <f ca="1">'Demand background (hide)'!Y109</f>
        <v>270</v>
      </c>
      <c r="D121" s="67">
        <f t="shared" si="39"/>
        <v>1</v>
      </c>
      <c r="E121" s="67" t="e">
        <f t="shared" ca="1" si="40"/>
        <v>#N/A</v>
      </c>
      <c r="F121" s="67" t="e">
        <f t="shared" ca="1" si="41"/>
        <v>#N/A</v>
      </c>
      <c r="G121" s="67" t="e">
        <f t="shared" ca="1" si="42"/>
        <v>#N/A</v>
      </c>
      <c r="H121" s="67" t="e">
        <f>IF('Demand background (hide)'!AN109&lt;&gt;"",'SPC background (hide)'!C121,NA())</f>
        <v>#N/A</v>
      </c>
      <c r="I121" s="67">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7" t="e">
        <f t="shared" ca="1" si="57"/>
        <v>#N/A</v>
      </c>
      <c r="T121" s="67">
        <f t="shared" ca="1" si="58"/>
        <v>-2</v>
      </c>
      <c r="U121" s="67" t="e">
        <f t="shared" ca="1" si="59"/>
        <v>#N/A</v>
      </c>
      <c r="V121" s="5">
        <f t="shared" ca="1" si="38"/>
        <v>-1</v>
      </c>
      <c r="W121" s="5" t="e">
        <f t="shared" ca="1" si="52"/>
        <v>#N/A</v>
      </c>
      <c r="X121" s="67">
        <f t="shared" ca="1" si="53"/>
        <v>-1</v>
      </c>
      <c r="Y121" s="67" t="e">
        <f t="shared" ca="1" si="60"/>
        <v>#N/A</v>
      </c>
      <c r="Z121" s="67" t="e">
        <f t="shared" ca="1" si="61"/>
        <v>#N/A</v>
      </c>
      <c r="AA121" s="5" t="str">
        <f>IF(Setup!$I$15="Yes",'Demand background (hide)'!AJ109+'SPC background (hide)'!C121,"")</f>
        <v/>
      </c>
      <c r="AC121" s="5">
        <f t="shared" ca="1" si="54"/>
        <v>551.5</v>
      </c>
      <c r="AD121" s="5">
        <f t="shared" ca="1" si="55"/>
        <v>664</v>
      </c>
    </row>
    <row r="122" spans="1:30" x14ac:dyDescent="0.2">
      <c r="A122" s="67">
        <f ca="1">Demand!C119</f>
        <v>15</v>
      </c>
      <c r="B122" s="67">
        <v>107</v>
      </c>
      <c r="C122" s="5">
        <f ca="1">'Demand background (hide)'!Y110</f>
        <v>570</v>
      </c>
      <c r="D122" s="67">
        <f t="shared" si="39"/>
        <v>1</v>
      </c>
      <c r="E122" s="67" t="e">
        <f t="shared" ca="1" si="40"/>
        <v>#N/A</v>
      </c>
      <c r="F122" s="67" t="e">
        <f t="shared" ca="1" si="41"/>
        <v>#N/A</v>
      </c>
      <c r="G122" s="67" t="e">
        <f t="shared" ca="1" si="42"/>
        <v>#N/A</v>
      </c>
      <c r="H122" s="67" t="e">
        <f>IF('Demand background (hide)'!AN110&lt;&gt;"",'SPC background (hide)'!C122,NA())</f>
        <v>#N/A</v>
      </c>
      <c r="I122" s="67">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7" t="e">
        <f t="shared" ca="1" si="57"/>
        <v>#N/A</v>
      </c>
      <c r="T122" s="67">
        <f t="shared" ca="1" si="58"/>
        <v>1</v>
      </c>
      <c r="U122" s="67" t="e">
        <f t="shared" ca="1" si="59"/>
        <v>#N/A</v>
      </c>
      <c r="V122" s="5">
        <f t="shared" ca="1" si="38"/>
        <v>1</v>
      </c>
      <c r="W122" s="5" t="e">
        <f t="shared" ca="1" si="52"/>
        <v>#N/A</v>
      </c>
      <c r="X122" s="67">
        <f t="shared" ca="1" si="53"/>
        <v>1</v>
      </c>
      <c r="Y122" s="67" t="e">
        <f t="shared" ca="1" si="60"/>
        <v>#N/A</v>
      </c>
      <c r="Z122" s="67" t="e">
        <f t="shared" ca="1" si="61"/>
        <v>#N/A</v>
      </c>
      <c r="AA122" s="5" t="str">
        <f>IF(Setup!$I$15="Yes",'Demand background (hide)'!AJ110+'SPC background (hide)'!C122,"")</f>
        <v/>
      </c>
      <c r="AC122" s="5">
        <f t="shared" ca="1" si="54"/>
        <v>551.5</v>
      </c>
      <c r="AD122" s="5">
        <f t="shared" ca="1" si="55"/>
        <v>664</v>
      </c>
    </row>
    <row r="123" spans="1:30" x14ac:dyDescent="0.2">
      <c r="A123" s="67">
        <f ca="1">Demand!C120</f>
        <v>16</v>
      </c>
      <c r="B123" s="67">
        <v>108</v>
      </c>
      <c r="C123" s="5">
        <f ca="1">'Demand background (hide)'!Y111</f>
        <v>690</v>
      </c>
      <c r="D123" s="67">
        <f t="shared" si="39"/>
        <v>1</v>
      </c>
      <c r="E123" s="67" t="e">
        <f t="shared" ca="1" si="40"/>
        <v>#N/A</v>
      </c>
      <c r="F123" s="67" t="e">
        <f t="shared" ca="1" si="41"/>
        <v>#N/A</v>
      </c>
      <c r="G123" s="67" t="e">
        <f t="shared" ca="1" si="42"/>
        <v>#N/A</v>
      </c>
      <c r="H123" s="67" t="e">
        <f>IF('Demand background (hide)'!AN111&lt;&gt;"",'SPC background (hide)'!C123,NA())</f>
        <v>#N/A</v>
      </c>
      <c r="I123" s="67">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7" t="e">
        <f t="shared" ca="1" si="57"/>
        <v>#N/A</v>
      </c>
      <c r="T123" s="67">
        <f t="shared" ca="1" si="58"/>
        <v>2</v>
      </c>
      <c r="U123" s="67" t="e">
        <f t="shared" ca="1" si="59"/>
        <v>#N/A</v>
      </c>
      <c r="V123" s="5">
        <f t="shared" ca="1" si="38"/>
        <v>1</v>
      </c>
      <c r="W123" s="5" t="e">
        <f t="shared" ca="1" si="52"/>
        <v>#N/A</v>
      </c>
      <c r="X123" s="67">
        <f t="shared" ca="1" si="53"/>
        <v>1</v>
      </c>
      <c r="Y123" s="67" t="e">
        <f t="shared" ca="1" si="60"/>
        <v>#N/A</v>
      </c>
      <c r="Z123" s="67" t="e">
        <f t="shared" ca="1" si="61"/>
        <v>#N/A</v>
      </c>
      <c r="AA123" s="5" t="str">
        <f>IF(Setup!$I$15="Yes",'Demand background (hide)'!AJ111+'SPC background (hide)'!C123,"")</f>
        <v/>
      </c>
      <c r="AC123" s="5">
        <f t="shared" ca="1" si="54"/>
        <v>551.5</v>
      </c>
      <c r="AD123" s="5">
        <f t="shared" ca="1" si="55"/>
        <v>664</v>
      </c>
    </row>
    <row r="124" spans="1:30" x14ac:dyDescent="0.2">
      <c r="A124" s="67">
        <f ca="1">Demand!C121</f>
        <v>17</v>
      </c>
      <c r="B124" s="67">
        <v>109</v>
      </c>
      <c r="C124" s="5">
        <f ca="1">'Demand background (hide)'!Y112</f>
        <v>410</v>
      </c>
      <c r="D124" s="67">
        <f t="shared" si="39"/>
        <v>1</v>
      </c>
      <c r="E124" s="67" t="e">
        <f t="shared" ca="1" si="40"/>
        <v>#N/A</v>
      </c>
      <c r="F124" s="67" t="e">
        <f t="shared" ca="1" si="41"/>
        <v>#N/A</v>
      </c>
      <c r="G124" s="67" t="e">
        <f t="shared" ca="1" si="42"/>
        <v>#N/A</v>
      </c>
      <c r="H124" s="67" t="e">
        <f>IF('Demand background (hide)'!AN112&lt;&gt;"",'SPC background (hide)'!C124,NA())</f>
        <v>#N/A</v>
      </c>
      <c r="I124" s="67">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7" t="e">
        <f t="shared" ca="1" si="57"/>
        <v>#N/A</v>
      </c>
      <c r="T124" s="67">
        <f t="shared" ca="1" si="58"/>
        <v>-1</v>
      </c>
      <c r="U124" s="67" t="e">
        <f t="shared" ca="1" si="59"/>
        <v>#N/A</v>
      </c>
      <c r="V124" s="5">
        <f t="shared" ca="1" si="38"/>
        <v>-1</v>
      </c>
      <c r="W124" s="5" t="e">
        <f t="shared" ca="1" si="52"/>
        <v>#N/A</v>
      </c>
      <c r="X124" s="67">
        <f t="shared" ca="1" si="53"/>
        <v>-1</v>
      </c>
      <c r="Y124" s="67" t="e">
        <f t="shared" ca="1" si="60"/>
        <v>#N/A</v>
      </c>
      <c r="Z124" s="67" t="e">
        <f t="shared" ca="1" si="61"/>
        <v>#N/A</v>
      </c>
      <c r="AA124" s="5" t="str">
        <f>IF(Setup!$I$15="Yes",'Demand background (hide)'!AJ112+'SPC background (hide)'!C124,"")</f>
        <v/>
      </c>
      <c r="AC124" s="5">
        <f t="shared" ca="1" si="54"/>
        <v>551.5</v>
      </c>
      <c r="AD124" s="5">
        <f t="shared" ca="1" si="55"/>
        <v>664</v>
      </c>
    </row>
    <row r="125" spans="1:30" x14ac:dyDescent="0.2">
      <c r="A125" s="67">
        <f ca="1">Demand!C122</f>
        <v>18</v>
      </c>
      <c r="B125" s="67">
        <v>110</v>
      </c>
      <c r="C125" s="5">
        <f ca="1">'Demand background (hide)'!Y113</f>
        <v>400</v>
      </c>
      <c r="D125" s="67">
        <f t="shared" si="39"/>
        <v>1</v>
      </c>
      <c r="E125" s="67" t="e">
        <f t="shared" ca="1" si="40"/>
        <v>#N/A</v>
      </c>
      <c r="F125" s="67" t="e">
        <f t="shared" ca="1" si="41"/>
        <v>#N/A</v>
      </c>
      <c r="G125" s="67" t="e">
        <f t="shared" ca="1" si="42"/>
        <v>#N/A</v>
      </c>
      <c r="H125" s="67" t="e">
        <f>IF('Demand background (hide)'!AN113&lt;&gt;"",'SPC background (hide)'!C125,NA())</f>
        <v>#N/A</v>
      </c>
      <c r="I125" s="67">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7" t="e">
        <f t="shared" ca="1" si="57"/>
        <v>#N/A</v>
      </c>
      <c r="T125" s="67">
        <f t="shared" ca="1" si="58"/>
        <v>-1</v>
      </c>
      <c r="U125" s="67" t="e">
        <f t="shared" ca="1" si="59"/>
        <v>#N/A</v>
      </c>
      <c r="V125" s="5">
        <f t="shared" ca="1" si="38"/>
        <v>-1</v>
      </c>
      <c r="W125" s="5" t="e">
        <f t="shared" ca="1" si="52"/>
        <v>#N/A</v>
      </c>
      <c r="X125" s="67">
        <f t="shared" ca="1" si="53"/>
        <v>-1</v>
      </c>
      <c r="Y125" s="67" t="e">
        <f t="shared" ca="1" si="60"/>
        <v>#N/A</v>
      </c>
      <c r="Z125" s="67" t="e">
        <f t="shared" ca="1" si="61"/>
        <v>#N/A</v>
      </c>
      <c r="AA125" s="5" t="str">
        <f>IF(Setup!$I$15="Yes",'Demand background (hide)'!AJ113+'SPC background (hide)'!C125,"")</f>
        <v/>
      </c>
      <c r="AC125" s="5">
        <f t="shared" ca="1" si="54"/>
        <v>551.5</v>
      </c>
      <c r="AD125" s="5">
        <f t="shared" ca="1" si="55"/>
        <v>664</v>
      </c>
    </row>
    <row r="126" spans="1:30" x14ac:dyDescent="0.2">
      <c r="A126" s="67">
        <f ca="1">Demand!C123</f>
        <v>19</v>
      </c>
      <c r="B126" s="67">
        <v>111</v>
      </c>
      <c r="C126" s="5">
        <f ca="1">'Demand background (hide)'!Y114</f>
        <v>650</v>
      </c>
      <c r="D126" s="67">
        <f t="shared" si="39"/>
        <v>1</v>
      </c>
      <c r="E126" s="67" t="e">
        <f t="shared" ca="1" si="40"/>
        <v>#N/A</v>
      </c>
      <c r="F126" s="67" t="e">
        <f t="shared" ca="1" si="41"/>
        <v>#N/A</v>
      </c>
      <c r="G126" s="67" t="e">
        <f t="shared" ca="1" si="42"/>
        <v>#N/A</v>
      </c>
      <c r="H126" s="67" t="e">
        <f>IF('Demand background (hide)'!AN114&lt;&gt;"",'SPC background (hide)'!C126,NA())</f>
        <v>#N/A</v>
      </c>
      <c r="I126" s="67">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7" t="e">
        <f t="shared" ca="1" si="57"/>
        <v>#N/A</v>
      </c>
      <c r="T126" s="67">
        <f t="shared" ca="1" si="58"/>
        <v>2</v>
      </c>
      <c r="U126" s="67" t="e">
        <f t="shared" ca="1" si="59"/>
        <v>#N/A</v>
      </c>
      <c r="V126" s="5">
        <f t="shared" ca="1" si="38"/>
        <v>1</v>
      </c>
      <c r="W126" s="5" t="e">
        <f t="shared" ca="1" si="52"/>
        <v>#N/A</v>
      </c>
      <c r="X126" s="67">
        <f t="shared" ca="1" si="53"/>
        <v>1</v>
      </c>
      <c r="Y126" s="67" t="e">
        <f t="shared" ca="1" si="60"/>
        <v>#N/A</v>
      </c>
      <c r="Z126" s="67" t="e">
        <f t="shared" ca="1" si="61"/>
        <v>#N/A</v>
      </c>
      <c r="AA126" s="5" t="str">
        <f>IF(Setup!$I$15="Yes",'Demand background (hide)'!AJ114+'SPC background (hide)'!C126,"")</f>
        <v/>
      </c>
      <c r="AC126" s="5">
        <f t="shared" ca="1" si="54"/>
        <v>551.5</v>
      </c>
      <c r="AD126" s="5">
        <f t="shared" ca="1" si="55"/>
        <v>664</v>
      </c>
    </row>
    <row r="127" spans="1:30" x14ac:dyDescent="0.2">
      <c r="A127" s="67">
        <f ca="1">Demand!C124</f>
        <v>20</v>
      </c>
      <c r="B127" s="67">
        <v>112</v>
      </c>
      <c r="C127" s="5">
        <f ca="1">'Demand background (hide)'!Y115</f>
        <v>470</v>
      </c>
      <c r="D127" s="67">
        <f t="shared" si="39"/>
        <v>1</v>
      </c>
      <c r="E127" s="67" t="e">
        <f t="shared" ca="1" si="40"/>
        <v>#N/A</v>
      </c>
      <c r="F127" s="67" t="e">
        <f t="shared" ca="1" si="41"/>
        <v>#N/A</v>
      </c>
      <c r="G127" s="67" t="e">
        <f t="shared" ca="1" si="42"/>
        <v>#N/A</v>
      </c>
      <c r="H127" s="67" t="e">
        <f>IF('Demand background (hide)'!AN115&lt;&gt;"",'SPC background (hide)'!C127,NA())</f>
        <v>#N/A</v>
      </c>
      <c r="I127" s="67">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7" t="e">
        <f t="shared" ca="1" si="57"/>
        <v>#N/A</v>
      </c>
      <c r="T127" s="67">
        <f t="shared" ca="1" si="58"/>
        <v>-1</v>
      </c>
      <c r="U127" s="67" t="e">
        <f t="shared" ca="1" si="59"/>
        <v>#N/A</v>
      </c>
      <c r="V127" s="5">
        <f t="shared" ca="1" si="38"/>
        <v>-1</v>
      </c>
      <c r="W127" s="5" t="e">
        <f t="shared" ca="1" si="52"/>
        <v>#N/A</v>
      </c>
      <c r="X127" s="67">
        <f t="shared" ca="1" si="53"/>
        <v>-1</v>
      </c>
      <c r="Y127" s="67" t="e">
        <f t="shared" ca="1" si="60"/>
        <v>#N/A</v>
      </c>
      <c r="Z127" s="67" t="e">
        <f t="shared" ca="1" si="61"/>
        <v>#N/A</v>
      </c>
      <c r="AA127" s="5" t="str">
        <f>IF(Setup!$I$15="Yes",'Demand background (hide)'!AJ115+'SPC background (hide)'!C127,"")</f>
        <v/>
      </c>
      <c r="AC127" s="5">
        <f t="shared" ca="1" si="54"/>
        <v>551.5</v>
      </c>
      <c r="AD127" s="5">
        <f t="shared" ca="1" si="55"/>
        <v>664</v>
      </c>
    </row>
    <row r="128" spans="1:30" x14ac:dyDescent="0.2">
      <c r="A128" s="67">
        <f ca="1">Demand!C125</f>
        <v>21</v>
      </c>
      <c r="B128" s="67">
        <v>113</v>
      </c>
      <c r="C128" s="5">
        <f ca="1">'Demand background (hide)'!Y116</f>
        <v>410</v>
      </c>
      <c r="D128" s="67">
        <f t="shared" si="39"/>
        <v>1</v>
      </c>
      <c r="E128" s="67" t="e">
        <f t="shared" ca="1" si="40"/>
        <v>#N/A</v>
      </c>
      <c r="F128" s="67" t="e">
        <f t="shared" ca="1" si="41"/>
        <v>#N/A</v>
      </c>
      <c r="G128" s="67" t="e">
        <f t="shared" ca="1" si="42"/>
        <v>#N/A</v>
      </c>
      <c r="H128" s="67" t="e">
        <f>IF('Demand background (hide)'!AN116&lt;&gt;"",'SPC background (hide)'!C128,NA())</f>
        <v>#N/A</v>
      </c>
      <c r="I128" s="67">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7" t="e">
        <f t="shared" ca="1" si="57"/>
        <v>#N/A</v>
      </c>
      <c r="T128" s="67">
        <f t="shared" ca="1" si="58"/>
        <v>-1</v>
      </c>
      <c r="U128" s="67" t="e">
        <f t="shared" ca="1" si="59"/>
        <v>#N/A</v>
      </c>
      <c r="V128" s="5">
        <f t="shared" ca="1" si="38"/>
        <v>-1</v>
      </c>
      <c r="W128" s="5" t="e">
        <f t="shared" ca="1" si="52"/>
        <v>#N/A</v>
      </c>
      <c r="X128" s="67">
        <f t="shared" ca="1" si="53"/>
        <v>-1</v>
      </c>
      <c r="Y128" s="67" t="e">
        <f t="shared" ca="1" si="60"/>
        <v>#N/A</v>
      </c>
      <c r="Z128" s="67" t="e">
        <f t="shared" ca="1" si="61"/>
        <v>#N/A</v>
      </c>
      <c r="AA128" s="5" t="str">
        <f>IF(Setup!$I$15="Yes",'Demand background (hide)'!AJ116+'SPC background (hide)'!C128,"")</f>
        <v/>
      </c>
      <c r="AC128" s="5">
        <f t="shared" ca="1" si="54"/>
        <v>551.5</v>
      </c>
      <c r="AD128" s="5">
        <f t="shared" ca="1" si="55"/>
        <v>664</v>
      </c>
    </row>
    <row r="129" spans="1:30" x14ac:dyDescent="0.2">
      <c r="A129" s="67">
        <f ca="1">Demand!C126</f>
        <v>22</v>
      </c>
      <c r="B129" s="67">
        <v>114</v>
      </c>
      <c r="C129" s="5">
        <f ca="1">'Demand background (hide)'!Y117</f>
        <v>370</v>
      </c>
      <c r="D129" s="67">
        <f t="shared" si="39"/>
        <v>1</v>
      </c>
      <c r="E129" s="67" t="e">
        <f t="shared" ca="1" si="40"/>
        <v>#N/A</v>
      </c>
      <c r="F129" s="67" t="e">
        <f t="shared" ca="1" si="41"/>
        <v>#N/A</v>
      </c>
      <c r="G129" s="67" t="e">
        <f t="shared" ca="1" si="42"/>
        <v>#N/A</v>
      </c>
      <c r="H129" s="67" t="e">
        <f>IF('Demand background (hide)'!AN117&lt;&gt;"",'SPC background (hide)'!C129,NA())</f>
        <v>#N/A</v>
      </c>
      <c r="I129" s="67">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7" t="e">
        <f t="shared" ca="1" si="57"/>
        <v>#N/A</v>
      </c>
      <c r="T129" s="67">
        <f t="shared" ca="1" si="58"/>
        <v>-1</v>
      </c>
      <c r="U129" s="67" t="e">
        <f t="shared" ca="1" si="59"/>
        <v>#N/A</v>
      </c>
      <c r="V129" s="5">
        <f t="shared" ca="1" si="38"/>
        <v>-1</v>
      </c>
      <c r="W129" s="5" t="e">
        <f t="shared" ca="1" si="52"/>
        <v>#N/A</v>
      </c>
      <c r="X129" s="67">
        <f t="shared" ca="1" si="53"/>
        <v>-1</v>
      </c>
      <c r="Y129" s="67" t="e">
        <f t="shared" ca="1" si="60"/>
        <v>#N/A</v>
      </c>
      <c r="Z129" s="67" t="e">
        <f t="shared" ca="1" si="61"/>
        <v>#N/A</v>
      </c>
      <c r="AA129" s="5" t="str">
        <f>IF(Setup!$I$15="Yes",'Demand background (hide)'!AJ117+'SPC background (hide)'!C129,"")</f>
        <v/>
      </c>
      <c r="AC129" s="5">
        <f t="shared" ca="1" si="54"/>
        <v>551.5</v>
      </c>
      <c r="AD129" s="5">
        <f t="shared" ca="1" si="55"/>
        <v>664</v>
      </c>
    </row>
    <row r="130" spans="1:30" x14ac:dyDescent="0.2">
      <c r="A130" s="67">
        <f ca="1">Demand!C127</f>
        <v>23</v>
      </c>
      <c r="B130" s="67">
        <v>115</v>
      </c>
      <c r="C130" s="5">
        <f ca="1">'Demand background (hide)'!Y118</f>
        <v>430</v>
      </c>
      <c r="D130" s="67">
        <f t="shared" si="39"/>
        <v>1</v>
      </c>
      <c r="E130" s="67" t="e">
        <f t="shared" ca="1" si="40"/>
        <v>#N/A</v>
      </c>
      <c r="F130" s="67" t="e">
        <f t="shared" ca="1" si="41"/>
        <v>#N/A</v>
      </c>
      <c r="G130" s="67" t="e">
        <f t="shared" ca="1" si="42"/>
        <v>#N/A</v>
      </c>
      <c r="H130" s="67" t="e">
        <f>IF('Demand background (hide)'!AN118&lt;&gt;"",'SPC background (hide)'!C130,NA())</f>
        <v>#N/A</v>
      </c>
      <c r="I130" s="67">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7" t="e">
        <f t="shared" ca="1" si="57"/>
        <v>#N/A</v>
      </c>
      <c r="T130" s="67">
        <f t="shared" ca="1" si="58"/>
        <v>-1</v>
      </c>
      <c r="U130" s="67" t="e">
        <f t="shared" ca="1" si="59"/>
        <v>#N/A</v>
      </c>
      <c r="V130" s="5">
        <f t="shared" ca="1" si="38"/>
        <v>-1</v>
      </c>
      <c r="W130" s="5" t="e">
        <f t="shared" ca="1" si="52"/>
        <v>#N/A</v>
      </c>
      <c r="X130" s="67">
        <f t="shared" ca="1" si="53"/>
        <v>1</v>
      </c>
      <c r="Y130" s="67" t="e">
        <f t="shared" ca="1" si="60"/>
        <v>#N/A</v>
      </c>
      <c r="Z130" s="67" t="e">
        <f t="shared" ca="1" si="61"/>
        <v>#N/A</v>
      </c>
      <c r="AA130" s="5" t="str">
        <f>IF(Setup!$I$15="Yes",'Demand background (hide)'!AJ118+'SPC background (hide)'!C130,"")</f>
        <v/>
      </c>
      <c r="AC130" s="5">
        <f t="shared" ca="1" si="54"/>
        <v>551.5</v>
      </c>
      <c r="AD130" s="5">
        <f t="shared" ca="1" si="55"/>
        <v>664</v>
      </c>
    </row>
    <row r="131" spans="1:30" x14ac:dyDescent="0.2">
      <c r="A131" s="67">
        <f ca="1">Demand!C128</f>
        <v>24</v>
      </c>
      <c r="B131" s="67">
        <v>116</v>
      </c>
      <c r="C131" s="5">
        <f ca="1">'Demand background (hide)'!Y119</f>
        <v>630</v>
      </c>
      <c r="D131" s="67">
        <f t="shared" si="39"/>
        <v>1</v>
      </c>
      <c r="E131" s="67" t="e">
        <f t="shared" ca="1" si="40"/>
        <v>#N/A</v>
      </c>
      <c r="F131" s="67" t="e">
        <f t="shared" ca="1" si="41"/>
        <v>#N/A</v>
      </c>
      <c r="G131" s="67" t="e">
        <f t="shared" ca="1" si="42"/>
        <v>#N/A</v>
      </c>
      <c r="H131" s="67" t="e">
        <f>IF('Demand background (hide)'!AN119&lt;&gt;"",'SPC background (hide)'!C131,NA())</f>
        <v>#N/A</v>
      </c>
      <c r="I131" s="67">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7" t="e">
        <f t="shared" ca="1" si="57"/>
        <v>#N/A</v>
      </c>
      <c r="T131" s="67">
        <f t="shared" ca="1" si="58"/>
        <v>1</v>
      </c>
      <c r="U131" s="67" t="e">
        <f t="shared" ca="1" si="59"/>
        <v>#N/A</v>
      </c>
      <c r="V131" s="5">
        <f t="shared" ca="1" si="38"/>
        <v>1</v>
      </c>
      <c r="W131" s="5" t="e">
        <f t="shared" ca="1" si="52"/>
        <v>#N/A</v>
      </c>
      <c r="X131" s="67">
        <f t="shared" ca="1" si="53"/>
        <v>1</v>
      </c>
      <c r="Y131" s="67" t="e">
        <f t="shared" ca="1" si="60"/>
        <v>#N/A</v>
      </c>
      <c r="Z131" s="67" t="e">
        <f t="shared" ca="1" si="61"/>
        <v>#N/A</v>
      </c>
      <c r="AA131" s="5" t="str">
        <f>IF(Setup!$I$15="Yes",'Demand background (hide)'!AJ119+'SPC background (hide)'!C131,"")</f>
        <v/>
      </c>
      <c r="AC131" s="5">
        <f t="shared" ca="1" si="54"/>
        <v>551.5</v>
      </c>
      <c r="AD131" s="5">
        <f t="shared" ca="1" si="55"/>
        <v>664</v>
      </c>
    </row>
    <row r="132" spans="1:30" x14ac:dyDescent="0.2">
      <c r="A132" s="67">
        <f ca="1">Demand!C129</f>
        <v>25</v>
      </c>
      <c r="B132" s="67">
        <v>117</v>
      </c>
      <c r="C132" s="5">
        <f ca="1">'Demand background (hide)'!Y120</f>
        <v>540</v>
      </c>
      <c r="D132" s="67">
        <f t="shared" si="39"/>
        <v>1</v>
      </c>
      <c r="E132" s="67" t="e">
        <f t="shared" ca="1" si="40"/>
        <v>#N/A</v>
      </c>
      <c r="F132" s="67" t="e">
        <f t="shared" ca="1" si="41"/>
        <v>#N/A</v>
      </c>
      <c r="G132" s="67" t="e">
        <f t="shared" ca="1" si="42"/>
        <v>#N/A</v>
      </c>
      <c r="H132" s="67" t="e">
        <f>IF('Demand background (hide)'!AN120&lt;&gt;"",'SPC background (hide)'!C132,NA())</f>
        <v>#N/A</v>
      </c>
      <c r="I132" s="67">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7" t="e">
        <f t="shared" ca="1" si="57"/>
        <v>#N/A</v>
      </c>
      <c r="T132" s="67">
        <f t="shared" ca="1" si="58"/>
        <v>1</v>
      </c>
      <c r="U132" s="67" t="e">
        <f t="shared" ca="1" si="59"/>
        <v>#N/A</v>
      </c>
      <c r="V132" s="5">
        <f t="shared" ca="1" si="38"/>
        <v>1</v>
      </c>
      <c r="W132" s="5" t="e">
        <f t="shared" ca="1" si="52"/>
        <v>#N/A</v>
      </c>
      <c r="X132" s="67">
        <f t="shared" ca="1" si="53"/>
        <v>-1</v>
      </c>
      <c r="Y132" s="67" t="e">
        <f t="shared" ca="1" si="60"/>
        <v>#N/A</v>
      </c>
      <c r="Z132" s="67" t="e">
        <f t="shared" ca="1" si="61"/>
        <v>#N/A</v>
      </c>
      <c r="AA132" s="5" t="str">
        <f>IF(Setup!$I$15="Yes",'Demand background (hide)'!AJ120+'SPC background (hide)'!C132,"")</f>
        <v/>
      </c>
      <c r="AC132" s="5">
        <f t="shared" ca="1" si="54"/>
        <v>551.5</v>
      </c>
      <c r="AD132" s="5">
        <f t="shared" ca="1" si="55"/>
        <v>664</v>
      </c>
    </row>
    <row r="133" spans="1:30" x14ac:dyDescent="0.2">
      <c r="A133" s="67">
        <f ca="1">Demand!C130</f>
        <v>26</v>
      </c>
      <c r="B133" s="67">
        <v>118</v>
      </c>
      <c r="C133" s="5">
        <f ca="1">'Demand background (hide)'!Y121</f>
        <v>410</v>
      </c>
      <c r="D133" s="67">
        <f t="shared" si="39"/>
        <v>1</v>
      </c>
      <c r="E133" s="67" t="e">
        <f t="shared" ca="1" si="40"/>
        <v>#N/A</v>
      </c>
      <c r="F133" s="67" t="e">
        <f t="shared" ca="1" si="41"/>
        <v>#N/A</v>
      </c>
      <c r="G133" s="67" t="e">
        <f t="shared" ca="1" si="42"/>
        <v>#N/A</v>
      </c>
      <c r="H133" s="67" t="e">
        <f>IF('Demand background (hide)'!AN121&lt;&gt;"",'SPC background (hide)'!C133,NA())</f>
        <v>#N/A</v>
      </c>
      <c r="I133" s="67">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7" t="e">
        <f t="shared" ca="1" si="57"/>
        <v>#N/A</v>
      </c>
      <c r="T133" s="67">
        <f t="shared" ca="1" si="58"/>
        <v>-1</v>
      </c>
      <c r="U133" s="67" t="e">
        <f t="shared" ca="1" si="59"/>
        <v>#N/A</v>
      </c>
      <c r="V133" s="5">
        <f t="shared" ca="1" si="38"/>
        <v>-1</v>
      </c>
      <c r="W133" s="5" t="e">
        <f t="shared" ca="1" si="52"/>
        <v>#N/A</v>
      </c>
      <c r="X133" s="67">
        <f t="shared" ca="1" si="53"/>
        <v>-1</v>
      </c>
      <c r="Y133" s="67" t="e">
        <f t="shared" ca="1" si="60"/>
        <v>#N/A</v>
      </c>
      <c r="Z133" s="67" t="e">
        <f t="shared" ca="1" si="61"/>
        <v>#N/A</v>
      </c>
      <c r="AA133" s="5" t="str">
        <f>IF(Setup!$I$15="Yes",'Demand background (hide)'!AJ121+'SPC background (hide)'!C133,"")</f>
        <v/>
      </c>
      <c r="AC133" s="5">
        <f t="shared" ca="1" si="54"/>
        <v>551.5</v>
      </c>
      <c r="AD133" s="5">
        <f t="shared" ca="1" si="55"/>
        <v>664</v>
      </c>
    </row>
    <row r="134" spans="1:30" x14ac:dyDescent="0.2">
      <c r="A134" s="67">
        <f ca="1">Demand!C131</f>
        <v>27</v>
      </c>
      <c r="B134" s="67">
        <v>119</v>
      </c>
      <c r="C134" s="5">
        <f ca="1">'Demand background (hide)'!Y122</f>
        <v>460</v>
      </c>
      <c r="D134" s="67">
        <f t="shared" si="39"/>
        <v>1</v>
      </c>
      <c r="E134" s="67" t="e">
        <f t="shared" ca="1" si="40"/>
        <v>#N/A</v>
      </c>
      <c r="F134" s="67" t="e">
        <f t="shared" ca="1" si="41"/>
        <v>#N/A</v>
      </c>
      <c r="G134" s="67" t="e">
        <f t="shared" ca="1" si="42"/>
        <v>#N/A</v>
      </c>
      <c r="H134" s="67" t="e">
        <f>IF('Demand background (hide)'!AN122&lt;&gt;"",'SPC background (hide)'!C134,NA())</f>
        <v>#N/A</v>
      </c>
      <c r="I134" s="67">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7" t="e">
        <f t="shared" ca="1" si="57"/>
        <v>#N/A</v>
      </c>
      <c r="T134" s="67">
        <f t="shared" ca="1" si="58"/>
        <v>-1</v>
      </c>
      <c r="U134" s="67" t="e">
        <f t="shared" ca="1" si="59"/>
        <v>#N/A</v>
      </c>
      <c r="V134" s="5">
        <f t="shared" ca="1" si="38"/>
        <v>-1</v>
      </c>
      <c r="W134" s="5" t="e">
        <f t="shared" ca="1" si="52"/>
        <v>#N/A</v>
      </c>
      <c r="X134" s="67">
        <f t="shared" ca="1" si="53"/>
        <v>1</v>
      </c>
      <c r="Y134" s="67" t="e">
        <f t="shared" ca="1" si="60"/>
        <v>#N/A</v>
      </c>
      <c r="Z134" s="67" t="e">
        <f t="shared" ca="1" si="61"/>
        <v>#N/A</v>
      </c>
      <c r="AA134" s="5" t="str">
        <f>IF(Setup!$I$15="Yes",'Demand background (hide)'!AJ122+'SPC background (hide)'!C134,"")</f>
        <v/>
      </c>
      <c r="AC134" s="5">
        <f t="shared" ca="1" si="54"/>
        <v>551.5</v>
      </c>
      <c r="AD134" s="5">
        <f t="shared" ca="1" si="55"/>
        <v>664</v>
      </c>
    </row>
    <row r="135" spans="1:30" x14ac:dyDescent="0.2">
      <c r="A135" s="67">
        <f ca="1">Demand!C132</f>
        <v>28</v>
      </c>
      <c r="B135" s="67">
        <v>120</v>
      </c>
      <c r="C135" s="5">
        <f ca="1">'Demand background (hide)'!Y123</f>
        <v>620</v>
      </c>
      <c r="D135" s="67">
        <f t="shared" si="39"/>
        <v>1</v>
      </c>
      <c r="E135" s="67" t="e">
        <f t="shared" ca="1" si="40"/>
        <v>#N/A</v>
      </c>
      <c r="F135" s="67" t="e">
        <f t="shared" ca="1" si="41"/>
        <v>#N/A</v>
      </c>
      <c r="G135" s="67" t="e">
        <f t="shared" ca="1" si="42"/>
        <v>#N/A</v>
      </c>
      <c r="H135" s="67" t="e">
        <f>IF('Demand background (hide)'!AN123&lt;&gt;"",'SPC background (hide)'!C135,NA())</f>
        <v>#N/A</v>
      </c>
      <c r="I135" s="67">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7" t="e">
        <f t="shared" ca="1" si="57"/>
        <v>#N/A</v>
      </c>
      <c r="T135" s="67">
        <f t="shared" ca="1" si="58"/>
        <v>1</v>
      </c>
      <c r="U135" s="67" t="e">
        <f t="shared" ca="1" si="59"/>
        <v>#N/A</v>
      </c>
      <c r="V135" s="5">
        <f t="shared" ca="1" si="38"/>
        <v>1</v>
      </c>
      <c r="W135" s="5" t="e">
        <f t="shared" ca="1" si="52"/>
        <v>#N/A</v>
      </c>
      <c r="X135" s="67">
        <f t="shared" ca="1" si="53"/>
        <v>1</v>
      </c>
      <c r="Y135" s="67" t="e">
        <f t="shared" ca="1" si="60"/>
        <v>#N/A</v>
      </c>
      <c r="Z135" s="67" t="e">
        <f t="shared" ca="1" si="61"/>
        <v>#N/A</v>
      </c>
      <c r="AA135" s="5" t="str">
        <f>IF(Setup!$I$15="Yes",'Demand background (hide)'!AJ123+'SPC background (hide)'!C135,"")</f>
        <v/>
      </c>
      <c r="AC135" s="5">
        <f t="shared" ca="1" si="54"/>
        <v>551.5</v>
      </c>
      <c r="AD135" s="5">
        <f t="shared" ca="1" si="55"/>
        <v>664</v>
      </c>
    </row>
    <row r="136" spans="1:30" x14ac:dyDescent="0.2">
      <c r="A136" s="67">
        <f ca="1">Demand!C133</f>
        <v>29</v>
      </c>
      <c r="B136" s="67">
        <v>121</v>
      </c>
      <c r="C136" s="5">
        <f ca="1">'Demand background (hide)'!Y124</f>
        <v>410</v>
      </c>
      <c r="D136" s="67">
        <f t="shared" si="39"/>
        <v>1</v>
      </c>
      <c r="E136" s="67" t="e">
        <f t="shared" ca="1" si="40"/>
        <v>#N/A</v>
      </c>
      <c r="F136" s="67" t="e">
        <f t="shared" ca="1" si="41"/>
        <v>#N/A</v>
      </c>
      <c r="G136" s="67" t="e">
        <f t="shared" ca="1" si="42"/>
        <v>#N/A</v>
      </c>
      <c r="H136" s="67" t="e">
        <f>IF('Demand background (hide)'!AN124&lt;&gt;"",'SPC background (hide)'!C136,NA())</f>
        <v>#N/A</v>
      </c>
      <c r="I136" s="67">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7" t="e">
        <f t="shared" ca="1" si="57"/>
        <v>#N/A</v>
      </c>
      <c r="T136" s="67">
        <f t="shared" ca="1" si="58"/>
        <v>-1</v>
      </c>
      <c r="U136" s="67" t="e">
        <f t="shared" ca="1" si="59"/>
        <v>#N/A</v>
      </c>
      <c r="V136" s="5">
        <f t="shared" ca="1" si="38"/>
        <v>-1</v>
      </c>
      <c r="W136" s="5" t="e">
        <f t="shared" ca="1" si="52"/>
        <v>#N/A</v>
      </c>
      <c r="X136" s="67">
        <f t="shared" ca="1" si="53"/>
        <v>-1</v>
      </c>
      <c r="Y136" s="67" t="e">
        <f t="shared" ca="1" si="60"/>
        <v>#N/A</v>
      </c>
      <c r="Z136" s="67" t="e">
        <f t="shared" ca="1" si="61"/>
        <v>#N/A</v>
      </c>
      <c r="AA136" s="5" t="str">
        <f>IF(Setup!$I$15="Yes",'Demand background (hide)'!AJ124+'SPC background (hide)'!C136,"")</f>
        <v/>
      </c>
      <c r="AC136" s="5">
        <f t="shared" ca="1" si="54"/>
        <v>551.5</v>
      </c>
      <c r="AD136" s="5">
        <f t="shared" ca="1" si="55"/>
        <v>664</v>
      </c>
    </row>
    <row r="137" spans="1:30" x14ac:dyDescent="0.2">
      <c r="A137" s="67">
        <f ca="1">Demand!C134</f>
        <v>30</v>
      </c>
      <c r="B137" s="67">
        <v>122</v>
      </c>
      <c r="C137" s="5">
        <f ca="1">'Demand background (hide)'!Y125</f>
        <v>420</v>
      </c>
      <c r="D137" s="67">
        <f t="shared" si="39"/>
        <v>1</v>
      </c>
      <c r="E137" s="67" t="e">
        <f t="shared" ca="1" si="40"/>
        <v>#N/A</v>
      </c>
      <c r="F137" s="67" t="e">
        <f t="shared" ca="1" si="41"/>
        <v>#N/A</v>
      </c>
      <c r="G137" s="67" t="e">
        <f t="shared" ca="1" si="42"/>
        <v>#N/A</v>
      </c>
      <c r="H137" s="67" t="e">
        <f>IF('Demand background (hide)'!AN125&lt;&gt;"",'SPC background (hide)'!C137,NA())</f>
        <v>#N/A</v>
      </c>
      <c r="I137" s="67">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7" t="e">
        <f t="shared" ca="1" si="57"/>
        <v>#N/A</v>
      </c>
      <c r="T137" s="67">
        <f t="shared" ca="1" si="58"/>
        <v>-1</v>
      </c>
      <c r="U137" s="67" t="e">
        <f t="shared" ca="1" si="59"/>
        <v>#N/A</v>
      </c>
      <c r="V137" s="5">
        <f t="shared" ca="1" si="38"/>
        <v>-1</v>
      </c>
      <c r="W137" s="5" t="e">
        <f t="shared" ca="1" si="52"/>
        <v>#N/A</v>
      </c>
      <c r="X137" s="67">
        <f t="shared" ca="1" si="53"/>
        <v>1</v>
      </c>
      <c r="Y137" s="67" t="e">
        <f t="shared" ca="1" si="60"/>
        <v>#N/A</v>
      </c>
      <c r="Z137" s="67" t="e">
        <f t="shared" ca="1" si="61"/>
        <v>#N/A</v>
      </c>
      <c r="AA137" s="5" t="str">
        <f>IF(Setup!$I$15="Yes",'Demand background (hide)'!AJ125+'SPC background (hide)'!C137,"")</f>
        <v/>
      </c>
      <c r="AC137" s="5">
        <f t="shared" ca="1" si="54"/>
        <v>551.5</v>
      </c>
      <c r="AD137" s="5">
        <f t="shared" ca="1" si="55"/>
        <v>664</v>
      </c>
    </row>
    <row r="138" spans="1:30" x14ac:dyDescent="0.2">
      <c r="A138" s="67">
        <f ca="1">Demand!C135</f>
        <v>31</v>
      </c>
      <c r="B138" s="67">
        <v>123</v>
      </c>
      <c r="C138" s="5">
        <f ca="1">'Demand background (hide)'!Y126</f>
        <v>270</v>
      </c>
      <c r="D138" s="67">
        <f t="shared" si="39"/>
        <v>1</v>
      </c>
      <c r="E138" s="67" t="e">
        <f t="shared" ca="1" si="40"/>
        <v>#N/A</v>
      </c>
      <c r="F138" s="67" t="e">
        <f t="shared" ca="1" si="41"/>
        <v>#N/A</v>
      </c>
      <c r="G138" s="67" t="e">
        <f t="shared" ca="1" si="42"/>
        <v>#N/A</v>
      </c>
      <c r="H138" s="67" t="e">
        <f>IF('Demand background (hide)'!AN126&lt;&gt;"",'SPC background (hide)'!C138,NA())</f>
        <v>#N/A</v>
      </c>
      <c r="I138" s="67">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7" t="e">
        <f t="shared" ca="1" si="57"/>
        <v>#N/A</v>
      </c>
      <c r="T138" s="67">
        <f t="shared" ca="1" si="58"/>
        <v>-2</v>
      </c>
      <c r="U138" s="67" t="e">
        <f t="shared" ca="1" si="59"/>
        <v>#N/A</v>
      </c>
      <c r="V138" s="5">
        <f t="shared" ca="1" si="38"/>
        <v>-1</v>
      </c>
      <c r="W138" s="5" t="e">
        <f t="shared" ca="1" si="52"/>
        <v>#N/A</v>
      </c>
      <c r="X138" s="67">
        <f t="shared" ca="1" si="53"/>
        <v>-1</v>
      </c>
      <c r="Y138" s="67" t="e">
        <f t="shared" ca="1" si="60"/>
        <v>#N/A</v>
      </c>
      <c r="Z138" s="67" t="e">
        <f t="shared" ca="1" si="61"/>
        <v>#N/A</v>
      </c>
      <c r="AA138" s="5" t="str">
        <f>IF(Setup!$I$15="Yes",'Demand background (hide)'!AJ126+'SPC background (hide)'!C138,"")</f>
        <v/>
      </c>
      <c r="AC138" s="5">
        <f t="shared" ca="1" si="54"/>
        <v>551.5</v>
      </c>
      <c r="AD138" s="5">
        <f t="shared" ca="1" si="55"/>
        <v>664</v>
      </c>
    </row>
    <row r="139" spans="1:30" x14ac:dyDescent="0.2">
      <c r="A139" s="67">
        <f ca="1">Demand!C136</f>
        <v>32</v>
      </c>
      <c r="B139" s="67">
        <v>124</v>
      </c>
      <c r="C139" s="5">
        <f ca="1">'Demand background (hide)'!Y127</f>
        <v>510</v>
      </c>
      <c r="D139" s="67">
        <f t="shared" si="39"/>
        <v>1</v>
      </c>
      <c r="E139" s="67" t="e">
        <f t="shared" ca="1" si="40"/>
        <v>#N/A</v>
      </c>
      <c r="F139" s="67" t="e">
        <f t="shared" ca="1" si="41"/>
        <v>#N/A</v>
      </c>
      <c r="G139" s="67" t="e">
        <f t="shared" ca="1" si="42"/>
        <v>#N/A</v>
      </c>
      <c r="H139" s="67" t="e">
        <f>IF('Demand background (hide)'!AN127&lt;&gt;"",'SPC background (hide)'!C139,NA())</f>
        <v>#N/A</v>
      </c>
      <c r="I139" s="67">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7" t="e">
        <f t="shared" ca="1" si="57"/>
        <v>#N/A</v>
      </c>
      <c r="T139" s="67">
        <f t="shared" ca="1" si="58"/>
        <v>1</v>
      </c>
      <c r="U139" s="67" t="e">
        <f t="shared" ca="1" si="59"/>
        <v>#N/A</v>
      </c>
      <c r="V139" s="5">
        <f t="shared" ca="1" si="38"/>
        <v>1</v>
      </c>
      <c r="W139" s="5" t="e">
        <f t="shared" ca="1" si="52"/>
        <v>#N/A</v>
      </c>
      <c r="X139" s="67">
        <f t="shared" ca="1" si="53"/>
        <v>1</v>
      </c>
      <c r="Y139" s="67" t="e">
        <f t="shared" ca="1" si="60"/>
        <v>#N/A</v>
      </c>
      <c r="Z139" s="67" t="e">
        <f t="shared" ca="1" si="61"/>
        <v>#N/A</v>
      </c>
      <c r="AA139" s="5" t="str">
        <f>IF(Setup!$I$15="Yes",'Demand background (hide)'!AJ127+'SPC background (hide)'!C139,"")</f>
        <v/>
      </c>
      <c r="AC139" s="5">
        <f t="shared" ca="1" si="54"/>
        <v>551.5</v>
      </c>
      <c r="AD139" s="5">
        <f t="shared" ca="1" si="55"/>
        <v>664</v>
      </c>
    </row>
    <row r="140" spans="1:30" x14ac:dyDescent="0.2">
      <c r="A140" s="67">
        <f ca="1">Demand!C137</f>
        <v>33</v>
      </c>
      <c r="B140" s="67">
        <v>125</v>
      </c>
      <c r="C140" s="5">
        <f ca="1">'Demand background (hide)'!Y128</f>
        <v>710</v>
      </c>
      <c r="D140" s="67">
        <f t="shared" si="39"/>
        <v>1</v>
      </c>
      <c r="E140" s="67" t="e">
        <f t="shared" ca="1" si="40"/>
        <v>#N/A</v>
      </c>
      <c r="F140" s="67" t="e">
        <f t="shared" ca="1" si="41"/>
        <v>#N/A</v>
      </c>
      <c r="G140" s="67" t="e">
        <f t="shared" ca="1" si="42"/>
        <v>#N/A</v>
      </c>
      <c r="H140" s="67" t="e">
        <f>IF('Demand background (hide)'!AN128&lt;&gt;"",'SPC background (hide)'!C140,NA())</f>
        <v>#N/A</v>
      </c>
      <c r="I140" s="67">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7" t="e">
        <f t="shared" ca="1" si="57"/>
        <v>#N/A</v>
      </c>
      <c r="T140" s="67">
        <f t="shared" ca="1" si="58"/>
        <v>2</v>
      </c>
      <c r="U140" s="67" t="e">
        <f t="shared" ca="1" si="59"/>
        <v>#N/A</v>
      </c>
      <c r="V140" s="5">
        <f t="shared" ca="1" si="38"/>
        <v>1</v>
      </c>
      <c r="W140" s="5" t="e">
        <f t="shared" ca="1" si="52"/>
        <v>#N/A</v>
      </c>
      <c r="X140" s="67">
        <f t="shared" ca="1" si="53"/>
        <v>1</v>
      </c>
      <c r="Y140" s="67" t="e">
        <f t="shared" ca="1" si="60"/>
        <v>#N/A</v>
      </c>
      <c r="Z140" s="67" t="e">
        <f t="shared" ca="1" si="61"/>
        <v>#N/A</v>
      </c>
      <c r="AA140" s="5" t="str">
        <f>IF(Setup!$I$15="Yes",'Demand background (hide)'!AJ128+'SPC background (hide)'!C140,"")</f>
        <v/>
      </c>
      <c r="AC140" s="5">
        <f t="shared" ca="1" si="54"/>
        <v>551.5</v>
      </c>
      <c r="AD140" s="5">
        <f t="shared" ca="1" si="55"/>
        <v>664</v>
      </c>
    </row>
    <row r="141" spans="1:30" x14ac:dyDescent="0.2">
      <c r="A141" s="67">
        <f ca="1">Demand!C138</f>
        <v>34</v>
      </c>
      <c r="B141" s="67">
        <v>126</v>
      </c>
      <c r="C141" s="5">
        <f ca="1">'Demand background (hide)'!Y129</f>
        <v>690</v>
      </c>
      <c r="D141" s="67">
        <f t="shared" si="39"/>
        <v>1</v>
      </c>
      <c r="E141" s="67" t="e">
        <f t="shared" ca="1" si="40"/>
        <v>#N/A</v>
      </c>
      <c r="F141" s="67" t="e">
        <f t="shared" ca="1" si="41"/>
        <v>#N/A</v>
      </c>
      <c r="G141" s="67" t="e">
        <f t="shared" ca="1" si="42"/>
        <v>#N/A</v>
      </c>
      <c r="H141" s="67" t="e">
        <f>IF('Demand background (hide)'!AN129&lt;&gt;"",'SPC background (hide)'!C141,NA())</f>
        <v>#N/A</v>
      </c>
      <c r="I141" s="67">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7" t="e">
        <f t="shared" ca="1" si="57"/>
        <v>#N/A</v>
      </c>
      <c r="T141" s="67">
        <f t="shared" ca="1" si="58"/>
        <v>2</v>
      </c>
      <c r="U141" s="67" t="e">
        <f t="shared" ca="1" si="59"/>
        <v>#N/A</v>
      </c>
      <c r="V141" s="5">
        <f t="shared" ca="1" si="38"/>
        <v>1</v>
      </c>
      <c r="W141" s="5" t="e">
        <f t="shared" ca="1" si="52"/>
        <v>#N/A</v>
      </c>
      <c r="X141" s="67">
        <f t="shared" ca="1" si="53"/>
        <v>-1</v>
      </c>
      <c r="Y141" s="67" t="e">
        <f t="shared" ca="1" si="60"/>
        <v>#N/A</v>
      </c>
      <c r="Z141" s="67" t="e">
        <f t="shared" ca="1" si="61"/>
        <v>#N/A</v>
      </c>
      <c r="AA141" s="5" t="str">
        <f>IF(Setup!$I$15="Yes",'Demand background (hide)'!AJ129+'SPC background (hide)'!C141,"")</f>
        <v/>
      </c>
      <c r="AC141" s="5">
        <f t="shared" ca="1" si="54"/>
        <v>551.5</v>
      </c>
      <c r="AD141" s="5">
        <f t="shared" ca="1" si="55"/>
        <v>664</v>
      </c>
    </row>
    <row r="142" spans="1:30" x14ac:dyDescent="0.2">
      <c r="A142" s="67">
        <f ca="1">Demand!C139</f>
        <v>35</v>
      </c>
      <c r="B142" s="67">
        <v>127</v>
      </c>
      <c r="C142" s="5">
        <f ca="1">'Demand background (hide)'!Y130</f>
        <v>580</v>
      </c>
      <c r="D142" s="67">
        <f t="shared" si="39"/>
        <v>1</v>
      </c>
      <c r="E142" s="67" t="e">
        <f t="shared" ca="1" si="40"/>
        <v>#N/A</v>
      </c>
      <c r="F142" s="67" t="e">
        <f t="shared" ca="1" si="41"/>
        <v>#N/A</v>
      </c>
      <c r="G142" s="67" t="e">
        <f t="shared" ca="1" si="42"/>
        <v>#N/A</v>
      </c>
      <c r="H142" s="67" t="e">
        <f>IF('Demand background (hide)'!AN130&lt;&gt;"",'SPC background (hide)'!C142,NA())</f>
        <v>#N/A</v>
      </c>
      <c r="I142" s="67">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7" t="e">
        <f t="shared" ca="1" si="57"/>
        <v>#N/A</v>
      </c>
      <c r="T142" s="67">
        <f t="shared" ca="1" si="58"/>
        <v>1</v>
      </c>
      <c r="U142" s="67" t="e">
        <f t="shared" ca="1" si="59"/>
        <v>#N/A</v>
      </c>
      <c r="V142" s="5">
        <f t="shared" ca="1" si="38"/>
        <v>1</v>
      </c>
      <c r="W142" s="5" t="e">
        <f t="shared" ca="1" si="52"/>
        <v>#N/A</v>
      </c>
      <c r="X142" s="67">
        <f t="shared" ca="1" si="53"/>
        <v>-1</v>
      </c>
      <c r="Y142" s="67" t="e">
        <f t="shared" ca="1" si="60"/>
        <v>#N/A</v>
      </c>
      <c r="Z142" s="67" t="e">
        <f t="shared" ca="1" si="61"/>
        <v>#N/A</v>
      </c>
      <c r="AA142" s="5" t="str">
        <f>IF(Setup!$I$15="Yes",'Demand background (hide)'!AJ130+'SPC background (hide)'!C142,"")</f>
        <v/>
      </c>
      <c r="AC142" s="5">
        <f t="shared" ca="1" si="54"/>
        <v>551.5</v>
      </c>
      <c r="AD142" s="5">
        <f t="shared" ca="1" si="55"/>
        <v>664</v>
      </c>
    </row>
    <row r="143" spans="1:30" x14ac:dyDescent="0.2">
      <c r="A143" s="67">
        <f ca="1">Demand!C140</f>
        <v>36</v>
      </c>
      <c r="B143" s="67">
        <v>128</v>
      </c>
      <c r="C143" s="5">
        <f ca="1">'Demand background (hide)'!Y131</f>
        <v>410</v>
      </c>
      <c r="D143" s="67">
        <f t="shared" si="39"/>
        <v>1</v>
      </c>
      <c r="E143" s="67" t="e">
        <f t="shared" ca="1" si="40"/>
        <v>#N/A</v>
      </c>
      <c r="F143" s="67" t="e">
        <f t="shared" ca="1" si="41"/>
        <v>#N/A</v>
      </c>
      <c r="G143" s="67" t="e">
        <f t="shared" ca="1" si="42"/>
        <v>#N/A</v>
      </c>
      <c r="H143" s="67" t="e">
        <f>IF('Demand background (hide)'!AN131&lt;&gt;"",'SPC background (hide)'!C143,NA())</f>
        <v>#N/A</v>
      </c>
      <c r="I143" s="67">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7" t="e">
        <f t="shared" ca="1" si="57"/>
        <v>#N/A</v>
      </c>
      <c r="T143" s="67">
        <f t="shared" ca="1" si="58"/>
        <v>-1</v>
      </c>
      <c r="U143" s="67" t="e">
        <f t="shared" ca="1" si="59"/>
        <v>#N/A</v>
      </c>
      <c r="V143" s="5">
        <f t="shared" ca="1" si="38"/>
        <v>-1</v>
      </c>
      <c r="W143" s="5" t="e">
        <f t="shared" ca="1" si="52"/>
        <v>#N/A</v>
      </c>
      <c r="X143" s="67">
        <f t="shared" ca="1" si="53"/>
        <v>-1</v>
      </c>
      <c r="Y143" s="67" t="e">
        <f t="shared" ca="1" si="60"/>
        <v>#N/A</v>
      </c>
      <c r="Z143" s="67" t="e">
        <f t="shared" ca="1" si="61"/>
        <v>#N/A</v>
      </c>
      <c r="AA143" s="5" t="str">
        <f>IF(Setup!$I$15="Yes",'Demand background (hide)'!AJ131+'SPC background (hide)'!C143,"")</f>
        <v/>
      </c>
      <c r="AC143" s="5">
        <f t="shared" ca="1" si="54"/>
        <v>551.5</v>
      </c>
      <c r="AD143" s="5">
        <f t="shared" ca="1" si="55"/>
        <v>664</v>
      </c>
    </row>
    <row r="144" spans="1:30" x14ac:dyDescent="0.2">
      <c r="A144" s="67">
        <f ca="1">Demand!C141</f>
        <v>37</v>
      </c>
      <c r="B144" s="67">
        <v>129</v>
      </c>
      <c r="C144" s="5">
        <f ca="1">'Demand background (hide)'!Y132</f>
        <v>370</v>
      </c>
      <c r="D144" s="67">
        <f t="shared" si="39"/>
        <v>1</v>
      </c>
      <c r="E144" s="67" t="e">
        <f t="shared" ca="1" si="40"/>
        <v>#N/A</v>
      </c>
      <c r="F144" s="67" t="e">
        <f t="shared" ca="1" si="41"/>
        <v>#N/A</v>
      </c>
      <c r="G144" s="67" t="e">
        <f t="shared" ca="1" si="42"/>
        <v>#N/A</v>
      </c>
      <c r="H144" s="67" t="e">
        <f>IF('Demand background (hide)'!AN132&lt;&gt;"",'SPC background (hide)'!C144,NA())</f>
        <v>#N/A</v>
      </c>
      <c r="I144" s="67">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7" t="e">
        <f t="shared" ca="1" si="57"/>
        <v>#N/A</v>
      </c>
      <c r="T144" s="67">
        <f t="shared" ca="1" si="58"/>
        <v>-1</v>
      </c>
      <c r="U144" s="67" t="e">
        <f t="shared" ca="1" si="59"/>
        <v>#N/A</v>
      </c>
      <c r="V144" s="5">
        <f t="shared" ref="V144:V207" ca="1" si="62">IF(C144&lt;M144,-1,IF(C144&gt;M144,1,0))</f>
        <v>-1</v>
      </c>
      <c r="W144" s="5" t="e">
        <f t="shared" ca="1" si="52"/>
        <v>#N/A</v>
      </c>
      <c r="X144" s="67">
        <f t="shared" ca="1" si="53"/>
        <v>-1</v>
      </c>
      <c r="Y144" s="67" t="e">
        <f t="shared" ca="1" si="60"/>
        <v>#N/A</v>
      </c>
      <c r="Z144" s="67" t="e">
        <f t="shared" ca="1" si="61"/>
        <v>#N/A</v>
      </c>
      <c r="AA144" s="5" t="str">
        <f>IF(Setup!$I$15="Yes",'Demand background (hide)'!AJ132+'SPC background (hide)'!C144,"")</f>
        <v/>
      </c>
      <c r="AC144" s="5">
        <f t="shared" ca="1" si="54"/>
        <v>551.5</v>
      </c>
      <c r="AD144" s="5">
        <f t="shared" ca="1" si="55"/>
        <v>664</v>
      </c>
    </row>
    <row r="145" spans="1:30" x14ac:dyDescent="0.2">
      <c r="A145" s="67">
        <f ca="1">Demand!C142</f>
        <v>38</v>
      </c>
      <c r="B145" s="67">
        <v>130</v>
      </c>
      <c r="C145" s="5">
        <f ca="1">'Demand background (hide)'!Y133</f>
        <v>590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7" t="e">
        <f t="shared" ca="1" si="57"/>
        <v>#N/A</v>
      </c>
      <c r="T145" s="67">
        <f t="shared" ca="1" si="58"/>
        <v>1</v>
      </c>
      <c r="U145" s="67" t="e">
        <f t="shared" ca="1" si="59"/>
        <v>#N/A</v>
      </c>
      <c r="V145" s="5">
        <f t="shared" ca="1" si="62"/>
        <v>1</v>
      </c>
      <c r="W145" s="5" t="e">
        <f t="shared" ref="W145:W208" ca="1" si="76">IF(ISNA(H145)=TRUE,IF(ABS(SUM(V145:V153))=9,C145,NA()),NA())</f>
        <v>#N/A</v>
      </c>
      <c r="X145" s="67">
        <f t="shared" ref="X145:X208" ca="1" si="77">IF(C145&gt;C144,1,IF(C145&lt;C144,-1,0))</f>
        <v>1</v>
      </c>
      <c r="Y145" s="67" t="e">
        <f t="shared" ca="1" si="60"/>
        <v>#N/A</v>
      </c>
      <c r="Z145" s="67"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2">
      <c r="A146" s="67">
        <f ca="1">Demand!C143</f>
        <v>39</v>
      </c>
      <c r="B146" s="67">
        <v>131</v>
      </c>
      <c r="C146" s="5">
        <f ca="1">'Demand background (hide)'!Y134</f>
        <v>570</v>
      </c>
      <c r="D146" s="67">
        <f t="shared" si="63"/>
        <v>1</v>
      </c>
      <c r="E146" s="67" t="e">
        <f t="shared" ca="1" si="64"/>
        <v>#N/A</v>
      </c>
      <c r="F146" s="67" t="e">
        <f t="shared" ca="1" si="65"/>
        <v>#N/A</v>
      </c>
      <c r="G146" s="67" t="e">
        <f t="shared" ca="1" si="66"/>
        <v>#N/A</v>
      </c>
      <c r="H146" s="67" t="e">
        <f>IF('Demand background (hide)'!AN134&lt;&gt;"",'SPC background (hide)'!C146,NA())</f>
        <v>#N/A</v>
      </c>
      <c r="I146" s="67">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7" t="e">
        <f t="shared" ref="S146:S209" ca="1" si="81">IF(ISNA(H146),IF(ABS(SUM(R146:R148))&gt;=5,C146,NA()),NA())</f>
        <v>#N/A</v>
      </c>
      <c r="T146" s="67">
        <f t="shared" ref="T146:T209" ca="1" si="82">IF(C146&gt;N146,2,IF(C146&lt;L146,-2,IF(C146&gt;M146,1,IF(C146&lt;M146,-1,0))))</f>
        <v>1</v>
      </c>
      <c r="U146" s="67" t="e">
        <f t="shared" ref="U146:U209" ca="1" si="83">IF(ISNA(H146)=TRUE,IF(ABS(SUM(T146:T150))&gt;=9,C146,NA()),NA())</f>
        <v>#N/A</v>
      </c>
      <c r="V146" s="5">
        <f t="shared" ca="1" si="62"/>
        <v>1</v>
      </c>
      <c r="W146" s="5" t="e">
        <f t="shared" ca="1" si="76"/>
        <v>#N/A</v>
      </c>
      <c r="X146" s="67">
        <f t="shared" ca="1" si="77"/>
        <v>-1</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2">
      <c r="A147" s="67">
        <f ca="1">Demand!C144</f>
        <v>40</v>
      </c>
      <c r="B147" s="67">
        <v>132</v>
      </c>
      <c r="C147" s="5">
        <f ca="1">'Demand background (hide)'!Y135</f>
        <v>490</v>
      </c>
      <c r="D147" s="67">
        <f t="shared" si="63"/>
        <v>1</v>
      </c>
      <c r="E147" s="67" t="e">
        <f t="shared" ca="1" si="64"/>
        <v>#N/A</v>
      </c>
      <c r="F147" s="67" t="e">
        <f t="shared" ca="1" si="65"/>
        <v>#N/A</v>
      </c>
      <c r="G147" s="67" t="e">
        <f t="shared" ca="1" si="66"/>
        <v>#N/A</v>
      </c>
      <c r="H147" s="67" t="e">
        <f>IF('Demand background (hide)'!AN135&lt;&gt;"",'SPC background (hide)'!C147,NA())</f>
        <v>#N/A</v>
      </c>
      <c r="I147" s="67">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7" t="e">
        <f t="shared" ca="1" si="81"/>
        <v>#N/A</v>
      </c>
      <c r="T147" s="67">
        <f t="shared" ca="1" si="82"/>
        <v>-1</v>
      </c>
      <c r="U147" s="67" t="e">
        <f t="shared" ca="1" si="83"/>
        <v>#N/A</v>
      </c>
      <c r="V147" s="5">
        <f t="shared" ca="1" si="62"/>
        <v>-1</v>
      </c>
      <c r="W147" s="5" t="e">
        <f t="shared" ca="1" si="76"/>
        <v>#N/A</v>
      </c>
      <c r="X147" s="67">
        <f t="shared" ca="1" si="77"/>
        <v>-1</v>
      </c>
      <c r="Y147" s="67" t="e">
        <f t="shared" ca="1" si="84"/>
        <v>#N/A</v>
      </c>
      <c r="Z147" s="67" t="e">
        <f t="shared" ca="1" si="85"/>
        <v>#N/A</v>
      </c>
      <c r="AA147" s="5" t="str">
        <f>IF(Setup!$I$15="Yes",'Demand background (hide)'!AJ135+'SPC background (hide)'!C147,"")</f>
        <v/>
      </c>
      <c r="AC147" s="5">
        <f t="shared" ca="1" si="78"/>
        <v>551.5</v>
      </c>
      <c r="AD147" s="5">
        <f t="shared" ca="1" si="79"/>
        <v>664</v>
      </c>
    </row>
    <row r="148" spans="1:30" x14ac:dyDescent="0.2">
      <c r="A148" s="67">
        <f ca="1">Demand!C145</f>
        <v>41</v>
      </c>
      <c r="B148" s="67">
        <v>133</v>
      </c>
      <c r="C148" s="5">
        <f ca="1">'Demand background (hide)'!Y136</f>
        <v>570</v>
      </c>
      <c r="D148" s="67">
        <f t="shared" si="63"/>
        <v>1</v>
      </c>
      <c r="E148" s="67" t="e">
        <f t="shared" ca="1" si="64"/>
        <v>#N/A</v>
      </c>
      <c r="F148" s="67" t="e">
        <f t="shared" ca="1" si="65"/>
        <v>#N/A</v>
      </c>
      <c r="G148" s="67" t="e">
        <f t="shared" ca="1" si="66"/>
        <v>#N/A</v>
      </c>
      <c r="H148" s="67" t="e">
        <f>IF('Demand background (hide)'!AN136&lt;&gt;"",'SPC background (hide)'!C148,NA())</f>
        <v>#N/A</v>
      </c>
      <c r="I148" s="67">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7" t="e">
        <f t="shared" ca="1" si="81"/>
        <v>#N/A</v>
      </c>
      <c r="T148" s="67">
        <f t="shared" ca="1" si="82"/>
        <v>1</v>
      </c>
      <c r="U148" s="67" t="e">
        <f t="shared" ca="1" si="83"/>
        <v>#N/A</v>
      </c>
      <c r="V148" s="5">
        <f t="shared" ca="1" si="62"/>
        <v>1</v>
      </c>
      <c r="W148" s="5" t="e">
        <f t="shared" ca="1" si="76"/>
        <v>#N/A</v>
      </c>
      <c r="X148" s="67">
        <f t="shared" ca="1" si="77"/>
        <v>1</v>
      </c>
      <c r="Y148" s="67" t="e">
        <f t="shared" ca="1" si="84"/>
        <v>#N/A</v>
      </c>
      <c r="Z148" s="67" t="e">
        <f t="shared" ca="1" si="85"/>
        <v>#N/A</v>
      </c>
      <c r="AA148" s="5" t="str">
        <f>IF(Setup!$I$15="Yes",'Demand background (hide)'!AJ136+'SPC background (hide)'!C148,"")</f>
        <v/>
      </c>
      <c r="AC148" s="5">
        <f t="shared" ca="1" si="78"/>
        <v>551.5</v>
      </c>
      <c r="AD148" s="5">
        <f t="shared" ca="1" si="79"/>
        <v>664</v>
      </c>
    </row>
    <row r="149" spans="1:30" x14ac:dyDescent="0.2">
      <c r="A149" s="67">
        <f ca="1">Demand!C146</f>
        <v>42</v>
      </c>
      <c r="B149" s="67">
        <v>134</v>
      </c>
      <c r="C149" s="5">
        <f ca="1">'Demand background (hide)'!Y137</f>
        <v>330</v>
      </c>
      <c r="D149" s="67">
        <f t="shared" si="63"/>
        <v>1</v>
      </c>
      <c r="E149" s="67" t="e">
        <f t="shared" ca="1" si="64"/>
        <v>#N/A</v>
      </c>
      <c r="F149" s="67" t="e">
        <f t="shared" ca="1" si="65"/>
        <v>#N/A</v>
      </c>
      <c r="G149" s="67" t="e">
        <f t="shared" ca="1" si="66"/>
        <v>#N/A</v>
      </c>
      <c r="H149" s="67" t="e">
        <f>IF('Demand background (hide)'!AN137&lt;&gt;"",'SPC background (hide)'!C149,NA())</f>
        <v>#N/A</v>
      </c>
      <c r="I149" s="67">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7" t="e">
        <f t="shared" ca="1" si="81"/>
        <v>#N/A</v>
      </c>
      <c r="T149" s="67">
        <f t="shared" ca="1" si="82"/>
        <v>-2</v>
      </c>
      <c r="U149" s="67" t="e">
        <f t="shared" ca="1" si="83"/>
        <v>#N/A</v>
      </c>
      <c r="V149" s="5">
        <f t="shared" ca="1" si="62"/>
        <v>-1</v>
      </c>
      <c r="W149" s="5" t="e">
        <f t="shared" ca="1" si="76"/>
        <v>#N/A</v>
      </c>
      <c r="X149" s="67">
        <f t="shared" ca="1" si="77"/>
        <v>-1</v>
      </c>
      <c r="Y149" s="67" t="e">
        <f t="shared" ca="1" si="84"/>
        <v>#N/A</v>
      </c>
      <c r="Z149" s="67" t="e">
        <f t="shared" ca="1" si="85"/>
        <v>#N/A</v>
      </c>
      <c r="AA149" s="5" t="str">
        <f>IF(Setup!$I$15="Yes",'Demand background (hide)'!AJ137+'SPC background (hide)'!C149,"")</f>
        <v/>
      </c>
      <c r="AC149" s="5">
        <f t="shared" ca="1" si="78"/>
        <v>551.5</v>
      </c>
      <c r="AD149" s="5">
        <f t="shared" ca="1" si="79"/>
        <v>664</v>
      </c>
    </row>
    <row r="150" spans="1:30" x14ac:dyDescent="0.2">
      <c r="A150" s="67">
        <f ca="1">Demand!C147</f>
        <v>43</v>
      </c>
      <c r="B150" s="67">
        <v>135</v>
      </c>
      <c r="C150" s="5">
        <f ca="1">'Demand background (hide)'!Y138</f>
        <v>460</v>
      </c>
      <c r="D150" s="67">
        <f t="shared" si="63"/>
        <v>1</v>
      </c>
      <c r="E150" s="67" t="e">
        <f t="shared" ca="1" si="64"/>
        <v>#N/A</v>
      </c>
      <c r="F150" s="67" t="e">
        <f t="shared" ca="1" si="65"/>
        <v>#N/A</v>
      </c>
      <c r="G150" s="67" t="e">
        <f t="shared" ca="1" si="66"/>
        <v>#N/A</v>
      </c>
      <c r="H150" s="67" t="e">
        <f>IF('Demand background (hide)'!AN138&lt;&gt;"",'SPC background (hide)'!C150,NA())</f>
        <v>#N/A</v>
      </c>
      <c r="I150" s="67">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7" t="e">
        <f t="shared" ca="1" si="81"/>
        <v>#N/A</v>
      </c>
      <c r="T150" s="67">
        <f t="shared" ca="1" si="82"/>
        <v>-1</v>
      </c>
      <c r="U150" s="67" t="e">
        <f t="shared" ca="1" si="83"/>
        <v>#N/A</v>
      </c>
      <c r="V150" s="5">
        <f t="shared" ca="1" si="62"/>
        <v>-1</v>
      </c>
      <c r="W150" s="5" t="e">
        <f t="shared" ca="1" si="76"/>
        <v>#N/A</v>
      </c>
      <c r="X150" s="67">
        <f t="shared" ca="1" si="77"/>
        <v>1</v>
      </c>
      <c r="Y150" s="67" t="e">
        <f t="shared" ca="1" si="84"/>
        <v>#N/A</v>
      </c>
      <c r="Z150" s="67" t="e">
        <f t="shared" ca="1" si="85"/>
        <v>#N/A</v>
      </c>
      <c r="AA150" s="5" t="str">
        <f>IF(Setup!$I$15="Yes",'Demand background (hide)'!AJ138+'SPC background (hide)'!C150,"")</f>
        <v/>
      </c>
      <c r="AC150" s="5">
        <f t="shared" ca="1" si="78"/>
        <v>551.5</v>
      </c>
      <c r="AD150" s="5">
        <f t="shared" ca="1" si="79"/>
        <v>664</v>
      </c>
    </row>
    <row r="151" spans="1:30" x14ac:dyDescent="0.2">
      <c r="A151" s="67">
        <f ca="1">Demand!C148</f>
        <v>44</v>
      </c>
      <c r="B151" s="67">
        <v>136</v>
      </c>
      <c r="C151" s="5">
        <f ca="1">'Demand background (hide)'!Y139</f>
        <v>470</v>
      </c>
      <c r="D151" s="67">
        <f t="shared" si="63"/>
        <v>1</v>
      </c>
      <c r="E151" s="67" t="e">
        <f t="shared" ca="1" si="64"/>
        <v>#N/A</v>
      </c>
      <c r="F151" s="67" t="e">
        <f t="shared" ca="1" si="65"/>
        <v>#N/A</v>
      </c>
      <c r="G151" s="67" t="e">
        <f t="shared" ca="1" si="66"/>
        <v>#N/A</v>
      </c>
      <c r="H151" s="67" t="e">
        <f>IF('Demand background (hide)'!AN139&lt;&gt;"",'SPC background (hide)'!C151,NA())</f>
        <v>#N/A</v>
      </c>
      <c r="I151" s="67">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7" t="e">
        <f t="shared" ca="1" si="81"/>
        <v>#N/A</v>
      </c>
      <c r="T151" s="67">
        <f t="shared" ca="1" si="82"/>
        <v>-1</v>
      </c>
      <c r="U151" s="67" t="e">
        <f t="shared" ca="1" si="83"/>
        <v>#N/A</v>
      </c>
      <c r="V151" s="5">
        <f t="shared" ca="1" si="62"/>
        <v>-1</v>
      </c>
      <c r="W151" s="5" t="e">
        <f t="shared" ca="1" si="76"/>
        <v>#N/A</v>
      </c>
      <c r="X151" s="67">
        <f t="shared" ca="1" si="77"/>
        <v>1</v>
      </c>
      <c r="Y151" s="67" t="e">
        <f t="shared" ca="1" si="84"/>
        <v>#N/A</v>
      </c>
      <c r="Z151" s="67" t="e">
        <f t="shared" ca="1" si="85"/>
        <v>#N/A</v>
      </c>
      <c r="AA151" s="5" t="str">
        <f>IF(Setup!$I$15="Yes",'Demand background (hide)'!AJ139+'SPC background (hide)'!C151,"")</f>
        <v/>
      </c>
      <c r="AC151" s="5">
        <f t="shared" ca="1" si="78"/>
        <v>551.5</v>
      </c>
      <c r="AD151" s="5">
        <f t="shared" ca="1" si="79"/>
        <v>664</v>
      </c>
    </row>
    <row r="152" spans="1:30" x14ac:dyDescent="0.2">
      <c r="A152" s="67">
        <f ca="1">Demand!C149</f>
        <v>45</v>
      </c>
      <c r="B152" s="67">
        <v>137</v>
      </c>
      <c r="C152" s="5">
        <f ca="1">'Demand background (hide)'!Y140</f>
        <v>490</v>
      </c>
      <c r="D152" s="67">
        <f t="shared" si="63"/>
        <v>1</v>
      </c>
      <c r="E152" s="67" t="e">
        <f t="shared" ca="1" si="64"/>
        <v>#N/A</v>
      </c>
      <c r="F152" s="67" t="e">
        <f t="shared" ca="1" si="65"/>
        <v>#N/A</v>
      </c>
      <c r="G152" s="67" t="e">
        <f t="shared" ca="1" si="66"/>
        <v>#N/A</v>
      </c>
      <c r="H152" s="67" t="e">
        <f>IF('Demand background (hide)'!AN140&lt;&gt;"",'SPC background (hide)'!C152,NA())</f>
        <v>#N/A</v>
      </c>
      <c r="I152" s="67">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7" t="e">
        <f t="shared" ca="1" si="81"/>
        <v>#N/A</v>
      </c>
      <c r="T152" s="67">
        <f t="shared" ca="1" si="82"/>
        <v>-1</v>
      </c>
      <c r="U152" s="67" t="e">
        <f t="shared" ca="1" si="83"/>
        <v>#N/A</v>
      </c>
      <c r="V152" s="5">
        <f t="shared" ca="1" si="62"/>
        <v>-1</v>
      </c>
      <c r="W152" s="5" t="e">
        <f t="shared" ca="1" si="76"/>
        <v>#N/A</v>
      </c>
      <c r="X152" s="67">
        <f t="shared" ca="1" si="77"/>
        <v>1</v>
      </c>
      <c r="Y152" s="67" t="e">
        <f t="shared" ca="1" si="84"/>
        <v>#N/A</v>
      </c>
      <c r="Z152" s="67" t="e">
        <f t="shared" ca="1" si="85"/>
        <v>#N/A</v>
      </c>
      <c r="AA152" s="5" t="str">
        <f>IF(Setup!$I$15="Yes",'Demand background (hide)'!AJ140+'SPC background (hide)'!C152,"")</f>
        <v/>
      </c>
      <c r="AC152" s="5">
        <f t="shared" ca="1" si="78"/>
        <v>551.5</v>
      </c>
      <c r="AD152" s="5">
        <f t="shared" ca="1" si="79"/>
        <v>664</v>
      </c>
    </row>
    <row r="153" spans="1:30" x14ac:dyDescent="0.2">
      <c r="A153" s="67">
        <f ca="1">Demand!C150</f>
        <v>46</v>
      </c>
      <c r="B153" s="67">
        <v>138</v>
      </c>
      <c r="C153" s="5">
        <f ca="1">'Demand background (hide)'!Y141</f>
        <v>430</v>
      </c>
      <c r="D153" s="67">
        <f t="shared" si="63"/>
        <v>1</v>
      </c>
      <c r="E153" s="67" t="e">
        <f t="shared" ca="1" si="64"/>
        <v>#N/A</v>
      </c>
      <c r="F153" s="67" t="e">
        <f t="shared" ca="1" si="65"/>
        <v>#N/A</v>
      </c>
      <c r="G153" s="67" t="e">
        <f t="shared" ca="1" si="66"/>
        <v>#N/A</v>
      </c>
      <c r="H153" s="67" t="e">
        <f>IF('Demand background (hide)'!AN141&lt;&gt;"",'SPC background (hide)'!C153,NA())</f>
        <v>#N/A</v>
      </c>
      <c r="I153" s="67">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7" t="e">
        <f t="shared" ca="1" si="81"/>
        <v>#N/A</v>
      </c>
      <c r="T153" s="67">
        <f t="shared" ca="1" si="82"/>
        <v>-1</v>
      </c>
      <c r="U153" s="67" t="e">
        <f t="shared" ca="1" si="83"/>
        <v>#N/A</v>
      </c>
      <c r="V153" s="5">
        <f t="shared" ca="1" si="62"/>
        <v>-1</v>
      </c>
      <c r="W153" s="5" t="e">
        <f t="shared" ca="1" si="76"/>
        <v>#N/A</v>
      </c>
      <c r="X153" s="67">
        <f t="shared" ca="1" si="77"/>
        <v>-1</v>
      </c>
      <c r="Y153" s="67" t="e">
        <f t="shared" ca="1" si="84"/>
        <v>#N/A</v>
      </c>
      <c r="Z153" s="67" t="e">
        <f t="shared" ca="1" si="85"/>
        <v>#N/A</v>
      </c>
      <c r="AA153" s="5" t="str">
        <f>IF(Setup!$I$15="Yes",'Demand background (hide)'!AJ141+'SPC background (hide)'!C153,"")</f>
        <v/>
      </c>
      <c r="AC153" s="5">
        <f t="shared" ca="1" si="78"/>
        <v>551.5</v>
      </c>
      <c r="AD153" s="5">
        <f t="shared" ca="1" si="79"/>
        <v>664</v>
      </c>
    </row>
    <row r="154" spans="1:30" x14ac:dyDescent="0.2">
      <c r="A154" s="67">
        <f ca="1">Demand!C151</f>
        <v>47</v>
      </c>
      <c r="B154" s="67">
        <v>139</v>
      </c>
      <c r="C154" s="5">
        <f ca="1">'Demand background (hide)'!Y142</f>
        <v>470</v>
      </c>
      <c r="D154" s="67">
        <f t="shared" si="63"/>
        <v>1</v>
      </c>
      <c r="E154" s="67" t="e">
        <f t="shared" ca="1" si="64"/>
        <v>#N/A</v>
      </c>
      <c r="F154" s="67" t="e">
        <f t="shared" ca="1" si="65"/>
        <v>#N/A</v>
      </c>
      <c r="G154" s="67" t="e">
        <f t="shared" ca="1" si="66"/>
        <v>#N/A</v>
      </c>
      <c r="H154" s="67" t="e">
        <f>IF('Demand background (hide)'!AN142&lt;&gt;"",'SPC background (hide)'!C154,NA())</f>
        <v>#N/A</v>
      </c>
      <c r="I154" s="67">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7" t="e">
        <f t="shared" ca="1" si="81"/>
        <v>#N/A</v>
      </c>
      <c r="T154" s="67">
        <f t="shared" ca="1" si="82"/>
        <v>-1</v>
      </c>
      <c r="U154" s="67" t="e">
        <f t="shared" ca="1" si="83"/>
        <v>#N/A</v>
      </c>
      <c r="V154" s="5">
        <f t="shared" ca="1" si="62"/>
        <v>-1</v>
      </c>
      <c r="W154" s="5" t="e">
        <f t="shared" ca="1" si="76"/>
        <v>#N/A</v>
      </c>
      <c r="X154" s="67">
        <f t="shared" ca="1" si="77"/>
        <v>1</v>
      </c>
      <c r="Y154" s="67" t="e">
        <f t="shared" ca="1" si="84"/>
        <v>#N/A</v>
      </c>
      <c r="Z154" s="67" t="e">
        <f t="shared" ca="1" si="85"/>
        <v>#N/A</v>
      </c>
      <c r="AA154" s="5" t="str">
        <f>IF(Setup!$I$15="Yes",'Demand background (hide)'!AJ142+'SPC background (hide)'!C154,"")</f>
        <v/>
      </c>
      <c r="AC154" s="5">
        <f t="shared" ca="1" si="78"/>
        <v>551.5</v>
      </c>
      <c r="AD154" s="5">
        <f t="shared" ca="1" si="79"/>
        <v>664</v>
      </c>
    </row>
    <row r="155" spans="1:30" x14ac:dyDescent="0.2">
      <c r="A155" s="67">
        <f ca="1">Demand!C152</f>
        <v>48</v>
      </c>
      <c r="B155" s="67">
        <v>140</v>
      </c>
      <c r="C155" s="5">
        <f ca="1">'Demand background (hide)'!Y143</f>
        <v>720</v>
      </c>
      <c r="D155" s="67">
        <f t="shared" si="63"/>
        <v>1</v>
      </c>
      <c r="E155" s="67" t="e">
        <f t="shared" ca="1" si="64"/>
        <v>#N/A</v>
      </c>
      <c r="F155" s="67" t="e">
        <f t="shared" ca="1" si="65"/>
        <v>#N/A</v>
      </c>
      <c r="G155" s="67" t="e">
        <f t="shared" ca="1" si="66"/>
        <v>#N/A</v>
      </c>
      <c r="H155" s="67" t="e">
        <f>IF('Demand background (hide)'!AN143&lt;&gt;"",'SPC background (hide)'!C155,NA())</f>
        <v>#N/A</v>
      </c>
      <c r="I155" s="67">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7" t="e">
        <f t="shared" ca="1" si="81"/>
        <v>#N/A</v>
      </c>
      <c r="T155" s="67">
        <f t="shared" ca="1" si="82"/>
        <v>2</v>
      </c>
      <c r="U155" s="67" t="e">
        <f t="shared" ca="1" si="83"/>
        <v>#N/A</v>
      </c>
      <c r="V155" s="5">
        <f t="shared" ca="1" si="62"/>
        <v>1</v>
      </c>
      <c r="W155" s="5" t="e">
        <f t="shared" ca="1" si="76"/>
        <v>#N/A</v>
      </c>
      <c r="X155" s="67">
        <f t="shared" ca="1" si="77"/>
        <v>1</v>
      </c>
      <c r="Y155" s="67" t="e">
        <f t="shared" ca="1" si="84"/>
        <v>#N/A</v>
      </c>
      <c r="Z155" s="67" t="e">
        <f t="shared" ca="1" si="85"/>
        <v>#N/A</v>
      </c>
      <c r="AA155" s="5" t="str">
        <f>IF(Setup!$I$15="Yes",'Demand background (hide)'!AJ143+'SPC background (hide)'!C155,"")</f>
        <v/>
      </c>
      <c r="AC155" s="5">
        <f t="shared" ca="1" si="78"/>
        <v>551.5</v>
      </c>
      <c r="AD155" s="5">
        <f t="shared" ca="1" si="79"/>
        <v>664</v>
      </c>
    </row>
    <row r="156" spans="1:30" x14ac:dyDescent="0.2">
      <c r="A156" s="67">
        <f ca="1">Demand!C153</f>
        <v>49</v>
      </c>
      <c r="B156" s="67">
        <v>141</v>
      </c>
      <c r="C156" s="5">
        <f ca="1">'Demand background (hide)'!Y144</f>
        <v>250</v>
      </c>
      <c r="D156" s="67">
        <f t="shared" si="63"/>
        <v>1</v>
      </c>
      <c r="E156" s="67" t="e">
        <f t="shared" ca="1" si="64"/>
        <v>#N/A</v>
      </c>
      <c r="F156" s="67" t="e">
        <f t="shared" ca="1" si="65"/>
        <v>#N/A</v>
      </c>
      <c r="G156" s="67" t="e">
        <f t="shared" ca="1" si="66"/>
        <v>#N/A</v>
      </c>
      <c r="H156" s="67" t="e">
        <f>IF('Demand background (hide)'!AN144&lt;&gt;"",'SPC background (hide)'!C156,NA())</f>
        <v>#N/A</v>
      </c>
      <c r="I156" s="67">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7" t="e">
        <f t="shared" ca="1" si="81"/>
        <v>#N/A</v>
      </c>
      <c r="T156" s="67">
        <f t="shared" ca="1" si="82"/>
        <v>-2</v>
      </c>
      <c r="U156" s="67" t="e">
        <f t="shared" ca="1" si="83"/>
        <v>#N/A</v>
      </c>
      <c r="V156" s="5">
        <f t="shared" ca="1" si="62"/>
        <v>-1</v>
      </c>
      <c r="W156" s="5" t="e">
        <f t="shared" ca="1" si="76"/>
        <v>#N/A</v>
      </c>
      <c r="X156" s="67">
        <f t="shared" ca="1" si="77"/>
        <v>-1</v>
      </c>
      <c r="Y156" s="67" t="e">
        <f t="shared" ca="1" si="84"/>
        <v>#N/A</v>
      </c>
      <c r="Z156" s="67" t="e">
        <f t="shared" ca="1" si="85"/>
        <v>#N/A</v>
      </c>
      <c r="AA156" s="5" t="str">
        <f>IF(Setup!$I$15="Yes",'Demand background (hide)'!AJ144+'SPC background (hide)'!C156,"")</f>
        <v/>
      </c>
      <c r="AC156" s="5">
        <f t="shared" ca="1" si="78"/>
        <v>551.5</v>
      </c>
      <c r="AD156" s="5">
        <f t="shared" ca="1" si="79"/>
        <v>664</v>
      </c>
    </row>
    <row r="157" spans="1:30" x14ac:dyDescent="0.2">
      <c r="A157" s="67">
        <f ca="1">Demand!C154</f>
        <v>50</v>
      </c>
      <c r="B157" s="67">
        <v>142</v>
      </c>
      <c r="C157" s="5">
        <f ca="1">'Demand background (hide)'!Y145</f>
        <v>550</v>
      </c>
      <c r="D157" s="67">
        <f t="shared" si="63"/>
        <v>1</v>
      </c>
      <c r="E157" s="67" t="e">
        <f t="shared" ca="1" si="64"/>
        <v>#N/A</v>
      </c>
      <c r="F157" s="67" t="e">
        <f t="shared" ca="1" si="65"/>
        <v>#N/A</v>
      </c>
      <c r="G157" s="67" t="e">
        <f t="shared" ca="1" si="66"/>
        <v>#N/A</v>
      </c>
      <c r="H157" s="67" t="e">
        <f>IF('Demand background (hide)'!AN145&lt;&gt;"",'SPC background (hide)'!C157,NA())</f>
        <v>#N/A</v>
      </c>
      <c r="I157" s="67">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7" t="e">
        <f t="shared" ca="1" si="81"/>
        <v>#N/A</v>
      </c>
      <c r="T157" s="67">
        <f t="shared" ca="1" si="82"/>
        <v>1</v>
      </c>
      <c r="U157" s="67" t="e">
        <f t="shared" ca="1" si="83"/>
        <v>#N/A</v>
      </c>
      <c r="V157" s="5">
        <f t="shared" ca="1" si="62"/>
        <v>1</v>
      </c>
      <c r="W157" s="5" t="e">
        <f t="shared" ca="1" si="76"/>
        <v>#N/A</v>
      </c>
      <c r="X157" s="67">
        <f t="shared" ca="1" si="77"/>
        <v>1</v>
      </c>
      <c r="Y157" s="67" t="e">
        <f t="shared" ca="1" si="84"/>
        <v>#N/A</v>
      </c>
      <c r="Z157" s="67" t="e">
        <f t="shared" ca="1" si="85"/>
        <v>#N/A</v>
      </c>
      <c r="AA157" s="5" t="str">
        <f>IF(Setup!$I$15="Yes",'Demand background (hide)'!AJ145+'SPC background (hide)'!C157,"")</f>
        <v/>
      </c>
      <c r="AC157" s="5">
        <f t="shared" ca="1" si="78"/>
        <v>551.5</v>
      </c>
      <c r="AD157" s="5">
        <f t="shared" ca="1" si="79"/>
        <v>664</v>
      </c>
    </row>
    <row r="158" spans="1:30" x14ac:dyDescent="0.2">
      <c r="A158" s="67">
        <f ca="1">Demand!C155</f>
        <v>51</v>
      </c>
      <c r="B158" s="67">
        <v>143</v>
      </c>
      <c r="C158" s="5">
        <f ca="1">'Demand background (hide)'!Y146</f>
        <v>690</v>
      </c>
      <c r="D158" s="67">
        <f t="shared" si="63"/>
        <v>1</v>
      </c>
      <c r="E158" s="67" t="e">
        <f t="shared" ca="1" si="64"/>
        <v>#N/A</v>
      </c>
      <c r="F158" s="67" t="e">
        <f t="shared" ca="1" si="65"/>
        <v>#N/A</v>
      </c>
      <c r="G158" s="67" t="e">
        <f t="shared" ca="1" si="66"/>
        <v>#N/A</v>
      </c>
      <c r="H158" s="67" t="e">
        <f>IF('Demand background (hide)'!AN146&lt;&gt;"",'SPC background (hide)'!C158,NA())</f>
        <v>#N/A</v>
      </c>
      <c r="I158" s="67">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7" t="e">
        <f t="shared" ca="1" si="81"/>
        <v>#N/A</v>
      </c>
      <c r="T158" s="67">
        <f t="shared" ca="1" si="82"/>
        <v>2</v>
      </c>
      <c r="U158" s="67" t="e">
        <f t="shared" ca="1" si="83"/>
        <v>#N/A</v>
      </c>
      <c r="V158" s="5">
        <f t="shared" ca="1" si="62"/>
        <v>1</v>
      </c>
      <c r="W158" s="5" t="e">
        <f t="shared" ca="1" si="76"/>
        <v>#N/A</v>
      </c>
      <c r="X158" s="67">
        <f t="shared" ca="1" si="77"/>
        <v>1</v>
      </c>
      <c r="Y158" s="67" t="e">
        <f t="shared" ca="1" si="84"/>
        <v>#N/A</v>
      </c>
      <c r="Z158" s="67" t="e">
        <f t="shared" ca="1" si="85"/>
        <v>#N/A</v>
      </c>
      <c r="AA158" s="5" t="str">
        <f>IF(Setup!$I$15="Yes",'Demand background (hide)'!AJ146+'SPC background (hide)'!C158,"")</f>
        <v/>
      </c>
      <c r="AC158" s="5">
        <f t="shared" ca="1" si="78"/>
        <v>551.5</v>
      </c>
      <c r="AD158" s="5">
        <f t="shared" ca="1" si="79"/>
        <v>664</v>
      </c>
    </row>
    <row r="159" spans="1:30" x14ac:dyDescent="0.2">
      <c r="A159" s="67">
        <f ca="1">Demand!C156</f>
        <v>52</v>
      </c>
      <c r="B159" s="67">
        <v>144</v>
      </c>
      <c r="C159" s="5">
        <f ca="1">'Demand background (hide)'!Y147</f>
        <v>370</v>
      </c>
      <c r="D159" s="67">
        <f t="shared" si="63"/>
        <v>1</v>
      </c>
      <c r="E159" s="67" t="e">
        <f t="shared" ca="1" si="64"/>
        <v>#N/A</v>
      </c>
      <c r="F159" s="67" t="e">
        <f t="shared" ca="1" si="65"/>
        <v>#N/A</v>
      </c>
      <c r="G159" s="67" t="e">
        <f t="shared" ca="1" si="66"/>
        <v>#N/A</v>
      </c>
      <c r="H159" s="67" t="e">
        <f>IF('Demand background (hide)'!AN147&lt;&gt;"",'SPC background (hide)'!C159,NA())</f>
        <v>#N/A</v>
      </c>
      <c r="I159" s="67">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7" t="e">
        <f t="shared" ca="1" si="81"/>
        <v>#N/A</v>
      </c>
      <c r="T159" s="67">
        <f t="shared" ca="1" si="82"/>
        <v>-1</v>
      </c>
      <c r="U159" s="67" t="e">
        <f t="shared" ca="1" si="83"/>
        <v>#N/A</v>
      </c>
      <c r="V159" s="5">
        <f t="shared" ca="1" si="62"/>
        <v>-1</v>
      </c>
      <c r="W159" s="5" t="e">
        <f t="shared" ca="1" si="76"/>
        <v>#N/A</v>
      </c>
      <c r="X159" s="67">
        <f t="shared" ca="1" si="77"/>
        <v>-1</v>
      </c>
      <c r="Y159" s="67" t="e">
        <f t="shared" ca="1" si="84"/>
        <v>#N/A</v>
      </c>
      <c r="Z159" s="67" t="e">
        <f t="shared" ca="1" si="85"/>
        <v>#N/A</v>
      </c>
      <c r="AA159" s="5" t="str">
        <f>IF(Setup!$I$15="Yes",'Demand background (hide)'!AJ147+'SPC background (hide)'!C159,"")</f>
        <v/>
      </c>
      <c r="AC159" s="5">
        <f t="shared" ca="1" si="78"/>
        <v>551.5</v>
      </c>
      <c r="AD159" s="5">
        <f t="shared" ca="1" si="79"/>
        <v>664</v>
      </c>
    </row>
    <row r="160" spans="1:30" x14ac:dyDescent="0.2">
      <c r="A160" s="67">
        <f ca="1">Demand!C157</f>
        <v>1</v>
      </c>
      <c r="B160" s="67">
        <v>145</v>
      </c>
      <c r="C160" s="5">
        <f ca="1">'Demand background (hide)'!Y148</f>
        <v>560</v>
      </c>
      <c r="D160" s="67">
        <f t="shared" si="63"/>
        <v>1</v>
      </c>
      <c r="E160" s="67" t="e">
        <f t="shared" ca="1" si="64"/>
        <v>#N/A</v>
      </c>
      <c r="F160" s="67" t="e">
        <f t="shared" ca="1" si="65"/>
        <v>#N/A</v>
      </c>
      <c r="G160" s="67" t="e">
        <f t="shared" ca="1" si="66"/>
        <v>#N/A</v>
      </c>
      <c r="H160" s="67" t="e">
        <f>IF('Demand background (hide)'!AN148&lt;&gt;"",'SPC background (hide)'!C160,NA())</f>
        <v>#N/A</v>
      </c>
      <c r="I160" s="67">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7" t="e">
        <f t="shared" ca="1" si="81"/>
        <v>#N/A</v>
      </c>
      <c r="T160" s="67">
        <f t="shared" ca="1" si="82"/>
        <v>1</v>
      </c>
      <c r="U160" s="67" t="e">
        <f t="shared" ca="1" si="83"/>
        <v>#N/A</v>
      </c>
      <c r="V160" s="5">
        <f t="shared" ca="1" si="62"/>
        <v>1</v>
      </c>
      <c r="W160" s="5" t="e">
        <f t="shared" ca="1" si="76"/>
        <v>#N/A</v>
      </c>
      <c r="X160" s="67">
        <f t="shared" ca="1" si="77"/>
        <v>1</v>
      </c>
      <c r="Y160" s="67" t="e">
        <f t="shared" ca="1" si="84"/>
        <v>#N/A</v>
      </c>
      <c r="Z160" s="67" t="e">
        <f t="shared" ca="1" si="85"/>
        <v>#N/A</v>
      </c>
      <c r="AA160" s="5" t="str">
        <f>IF(Setup!$I$15="Yes",'Demand background (hide)'!AJ148+'SPC background (hide)'!C160,"")</f>
        <v/>
      </c>
      <c r="AC160" s="5">
        <f t="shared" ca="1" si="78"/>
        <v>551.5</v>
      </c>
      <c r="AD160" s="5">
        <f t="shared" ca="1" si="79"/>
        <v>664</v>
      </c>
    </row>
    <row r="161" spans="1:30" x14ac:dyDescent="0.2">
      <c r="A161" s="67">
        <f ca="1">Demand!C158</f>
        <v>2</v>
      </c>
      <c r="B161" s="67">
        <v>146</v>
      </c>
      <c r="C161" s="5">
        <f ca="1">'Demand background (hide)'!Y149</f>
        <v>270</v>
      </c>
      <c r="D161" s="67">
        <f t="shared" si="63"/>
        <v>1</v>
      </c>
      <c r="E161" s="67" t="e">
        <f t="shared" ca="1" si="64"/>
        <v>#N/A</v>
      </c>
      <c r="F161" s="67" t="e">
        <f t="shared" ca="1" si="65"/>
        <v>#N/A</v>
      </c>
      <c r="G161" s="67" t="e">
        <f t="shared" ca="1" si="66"/>
        <v>#N/A</v>
      </c>
      <c r="H161" s="67" t="e">
        <f>IF('Demand background (hide)'!AN149&lt;&gt;"",'SPC background (hide)'!C161,NA())</f>
        <v>#N/A</v>
      </c>
      <c r="I161" s="67">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7" t="e">
        <f t="shared" ca="1" si="81"/>
        <v>#N/A</v>
      </c>
      <c r="T161" s="67">
        <f t="shared" ca="1" si="82"/>
        <v>-2</v>
      </c>
      <c r="U161" s="67" t="e">
        <f t="shared" ca="1" si="83"/>
        <v>#N/A</v>
      </c>
      <c r="V161" s="5">
        <f t="shared" ca="1" si="62"/>
        <v>-1</v>
      </c>
      <c r="W161" s="5" t="e">
        <f t="shared" ca="1" si="76"/>
        <v>#N/A</v>
      </c>
      <c r="X161" s="67">
        <f t="shared" ca="1" si="77"/>
        <v>-1</v>
      </c>
      <c r="Y161" s="67" t="e">
        <f t="shared" ca="1" si="84"/>
        <v>#N/A</v>
      </c>
      <c r="Z161" s="67" t="e">
        <f t="shared" ca="1" si="85"/>
        <v>#N/A</v>
      </c>
      <c r="AA161" s="5" t="str">
        <f>IF(Setup!$I$15="Yes",'Demand background (hide)'!AJ149+'SPC background (hide)'!C161,"")</f>
        <v/>
      </c>
      <c r="AC161" s="5">
        <f t="shared" ca="1" si="78"/>
        <v>551.5</v>
      </c>
      <c r="AD161" s="5">
        <f t="shared" ca="1" si="79"/>
        <v>664</v>
      </c>
    </row>
    <row r="162" spans="1:30" x14ac:dyDescent="0.2">
      <c r="A162" s="67">
        <f ca="1">Demand!C159</f>
        <v>3</v>
      </c>
      <c r="B162" s="67">
        <v>147</v>
      </c>
      <c r="C162" s="5">
        <f ca="1">'Demand background (hide)'!Y150</f>
        <v>450</v>
      </c>
      <c r="D162" s="67">
        <f t="shared" si="63"/>
        <v>1</v>
      </c>
      <c r="E162" s="67" t="e">
        <f t="shared" ca="1" si="64"/>
        <v>#N/A</v>
      </c>
      <c r="F162" s="67" t="e">
        <f t="shared" ca="1" si="65"/>
        <v>#N/A</v>
      </c>
      <c r="G162" s="67" t="e">
        <f t="shared" ca="1" si="66"/>
        <v>#N/A</v>
      </c>
      <c r="H162" s="67" t="e">
        <f>IF('Demand background (hide)'!AN150&lt;&gt;"",'SPC background (hide)'!C162,NA())</f>
        <v>#N/A</v>
      </c>
      <c r="I162" s="67">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7" t="e">
        <f t="shared" ca="1" si="81"/>
        <v>#N/A</v>
      </c>
      <c r="T162" s="67">
        <f t="shared" ca="1" si="82"/>
        <v>-1</v>
      </c>
      <c r="U162" s="67" t="e">
        <f t="shared" ca="1" si="83"/>
        <v>#N/A</v>
      </c>
      <c r="V162" s="5">
        <f t="shared" ca="1" si="62"/>
        <v>-1</v>
      </c>
      <c r="W162" s="5" t="e">
        <f t="shared" ca="1" si="76"/>
        <v>#N/A</v>
      </c>
      <c r="X162" s="67">
        <f t="shared" ca="1" si="77"/>
        <v>1</v>
      </c>
      <c r="Y162" s="67" t="e">
        <f t="shared" ca="1" si="84"/>
        <v>#N/A</v>
      </c>
      <c r="Z162" s="67" t="e">
        <f t="shared" ca="1" si="85"/>
        <v>#N/A</v>
      </c>
      <c r="AA162" s="5" t="str">
        <f>IF(Setup!$I$15="Yes",'Demand background (hide)'!AJ150+'SPC background (hide)'!C162,"")</f>
        <v/>
      </c>
      <c r="AC162" s="5">
        <f t="shared" ca="1" si="78"/>
        <v>551.5</v>
      </c>
      <c r="AD162" s="5">
        <f t="shared" ca="1" si="79"/>
        <v>664</v>
      </c>
    </row>
    <row r="163" spans="1:30" x14ac:dyDescent="0.2">
      <c r="A163" s="67">
        <f ca="1">Demand!C160</f>
        <v>4</v>
      </c>
      <c r="B163" s="67">
        <v>148</v>
      </c>
      <c r="C163" s="5">
        <f ca="1">'Demand background (hide)'!Y151</f>
        <v>750</v>
      </c>
      <c r="D163" s="67">
        <f t="shared" si="63"/>
        <v>1</v>
      </c>
      <c r="E163" s="67" t="e">
        <f t="shared" ca="1" si="64"/>
        <v>#N/A</v>
      </c>
      <c r="F163" s="67" t="e">
        <f t="shared" ca="1" si="65"/>
        <v>#N/A</v>
      </c>
      <c r="G163" s="67" t="e">
        <f t="shared" ca="1" si="66"/>
        <v>#N/A</v>
      </c>
      <c r="H163" s="67" t="e">
        <f>IF('Demand background (hide)'!AN151&lt;&gt;"",'SPC background (hide)'!C163,NA())</f>
        <v>#N/A</v>
      </c>
      <c r="I163" s="67">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7" t="e">
        <f t="shared" ca="1" si="81"/>
        <v>#N/A</v>
      </c>
      <c r="T163" s="67">
        <f t="shared" ca="1" si="82"/>
        <v>2</v>
      </c>
      <c r="U163" s="67" t="e">
        <f t="shared" ca="1" si="83"/>
        <v>#N/A</v>
      </c>
      <c r="V163" s="5">
        <f t="shared" ca="1" si="62"/>
        <v>1</v>
      </c>
      <c r="W163" s="5" t="e">
        <f t="shared" ca="1" si="76"/>
        <v>#N/A</v>
      </c>
      <c r="X163" s="67">
        <f t="shared" ca="1" si="77"/>
        <v>1</v>
      </c>
      <c r="Y163" s="67" t="e">
        <f t="shared" ca="1" si="84"/>
        <v>#N/A</v>
      </c>
      <c r="Z163" s="67" t="e">
        <f t="shared" ca="1" si="85"/>
        <v>#N/A</v>
      </c>
      <c r="AA163" s="5" t="str">
        <f>IF(Setup!$I$15="Yes",'Demand background (hide)'!AJ151+'SPC background (hide)'!C163,"")</f>
        <v/>
      </c>
      <c r="AC163" s="5">
        <f t="shared" ca="1" si="78"/>
        <v>551.5</v>
      </c>
      <c r="AD163" s="5">
        <f t="shared" ca="1" si="79"/>
        <v>664</v>
      </c>
    </row>
    <row r="164" spans="1:30" x14ac:dyDescent="0.2">
      <c r="A164" s="67">
        <f ca="1">Demand!C161</f>
        <v>5</v>
      </c>
      <c r="B164" s="67">
        <v>149</v>
      </c>
      <c r="C164" s="5">
        <f ca="1">'Demand background (hide)'!Y152</f>
        <v>390</v>
      </c>
      <c r="D164" s="67">
        <f t="shared" si="63"/>
        <v>1</v>
      </c>
      <c r="E164" s="67" t="e">
        <f t="shared" ca="1" si="64"/>
        <v>#N/A</v>
      </c>
      <c r="F164" s="67" t="e">
        <f t="shared" ca="1" si="65"/>
        <v>#N/A</v>
      </c>
      <c r="G164" s="67" t="e">
        <f t="shared" ca="1" si="66"/>
        <v>#N/A</v>
      </c>
      <c r="H164" s="67" t="e">
        <f>IF('Demand background (hide)'!AN152&lt;&gt;"",'SPC background (hide)'!C164,NA())</f>
        <v>#N/A</v>
      </c>
      <c r="I164" s="67">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7" t="e">
        <f t="shared" ca="1" si="81"/>
        <v>#N/A</v>
      </c>
      <c r="T164" s="67">
        <f t="shared" ca="1" si="82"/>
        <v>-1</v>
      </c>
      <c r="U164" s="67" t="e">
        <f t="shared" ca="1" si="83"/>
        <v>#N/A</v>
      </c>
      <c r="V164" s="5">
        <f t="shared" ca="1" si="62"/>
        <v>-1</v>
      </c>
      <c r="W164" s="5" t="e">
        <f t="shared" ca="1" si="76"/>
        <v>#N/A</v>
      </c>
      <c r="X164" s="67">
        <f t="shared" ca="1" si="77"/>
        <v>-1</v>
      </c>
      <c r="Y164" s="67" t="e">
        <f t="shared" ca="1" si="84"/>
        <v>#N/A</v>
      </c>
      <c r="Z164" s="67" t="e">
        <f t="shared" ca="1" si="85"/>
        <v>#N/A</v>
      </c>
      <c r="AA164" s="5" t="str">
        <f>IF(Setup!$I$15="Yes",'Demand background (hide)'!AJ152+'SPC background (hide)'!C164,"")</f>
        <v/>
      </c>
      <c r="AC164" s="5">
        <f t="shared" ca="1" si="78"/>
        <v>551.5</v>
      </c>
      <c r="AD164" s="5">
        <f t="shared" ca="1" si="79"/>
        <v>664</v>
      </c>
    </row>
    <row r="165" spans="1:30" x14ac:dyDescent="0.2">
      <c r="A165" s="67">
        <f ca="1">Demand!C162</f>
        <v>6</v>
      </c>
      <c r="B165" s="67">
        <v>150</v>
      </c>
      <c r="C165" s="5">
        <f ca="1">'Demand background (hide)'!Y153</f>
        <v>620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7" t="e">
        <f t="shared" ca="1" si="81"/>
        <v>#N/A</v>
      </c>
      <c r="T165" s="67">
        <f t="shared" ca="1" si="82"/>
        <v>1</v>
      </c>
      <c r="U165" s="67" t="e">
        <f t="shared" ca="1" si="83"/>
        <v>#N/A</v>
      </c>
      <c r="V165" s="5">
        <f t="shared" ca="1" si="62"/>
        <v>1</v>
      </c>
      <c r="W165" s="5" t="e">
        <f t="shared" ca="1" si="76"/>
        <v>#N/A</v>
      </c>
      <c r="X165" s="67">
        <f t="shared" ca="1" si="77"/>
        <v>1</v>
      </c>
      <c r="Y165" s="67" t="e">
        <f t="shared" ca="1" si="84"/>
        <v>#N/A</v>
      </c>
      <c r="Z165" s="67" t="e">
        <f t="shared" ca="1" si="85"/>
        <v>#N/A</v>
      </c>
      <c r="AA165" s="5" t="str">
        <f>IF(Setup!$I$15="Yes",'Demand background (hide)'!AJ153+'SPC background (hide)'!C165,"")</f>
        <v/>
      </c>
      <c r="AC165" s="5">
        <f t="shared" ca="1" si="78"/>
        <v>551.5</v>
      </c>
      <c r="AD165" s="5">
        <f t="shared" ca="1" si="79"/>
        <v>664</v>
      </c>
    </row>
    <row r="166" spans="1:30" x14ac:dyDescent="0.2">
      <c r="A166" s="67">
        <f ca="1">Demand!C163</f>
        <v>7</v>
      </c>
      <c r="B166" s="67">
        <v>151</v>
      </c>
      <c r="C166" s="5">
        <f ca="1">'Demand background (hide)'!Y154</f>
        <v>340</v>
      </c>
      <c r="D166" s="67">
        <f t="shared" si="63"/>
        <v>1</v>
      </c>
      <c r="E166" s="67" t="e">
        <f t="shared" ca="1" si="64"/>
        <v>#N/A</v>
      </c>
      <c r="F166" s="67" t="e">
        <f t="shared" ca="1" si="65"/>
        <v>#N/A</v>
      </c>
      <c r="G166" s="67" t="e">
        <f t="shared" ca="1" si="66"/>
        <v>#N/A</v>
      </c>
      <c r="H166" s="67" t="e">
        <f>IF('Demand background (hide)'!AN154&lt;&gt;"",'SPC background (hide)'!C166,NA())</f>
        <v>#N/A</v>
      </c>
      <c r="I166" s="67">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7" t="e">
        <f t="shared" ca="1" si="81"/>
        <v>#N/A</v>
      </c>
      <c r="T166" s="67">
        <f t="shared" ca="1" si="82"/>
        <v>-2</v>
      </c>
      <c r="U166" s="67" t="e">
        <f t="shared" ca="1" si="83"/>
        <v>#N/A</v>
      </c>
      <c r="V166" s="5">
        <f t="shared" ca="1" si="62"/>
        <v>-1</v>
      </c>
      <c r="W166" s="5" t="e">
        <f t="shared" ca="1" si="76"/>
        <v>#N/A</v>
      </c>
      <c r="X166" s="67">
        <f t="shared" ca="1" si="77"/>
        <v>-1</v>
      </c>
      <c r="Y166" s="67" t="e">
        <f t="shared" ca="1" si="84"/>
        <v>#N/A</v>
      </c>
      <c r="Z166" s="67" t="e">
        <f t="shared" ca="1" si="85"/>
        <v>#N/A</v>
      </c>
      <c r="AA166" s="5" t="str">
        <f>IF(Setup!$I$15="Yes",'Demand background (hide)'!AJ154+'SPC background (hide)'!C166,"")</f>
        <v/>
      </c>
      <c r="AC166" s="5">
        <f t="shared" ca="1" si="78"/>
        <v>551.5</v>
      </c>
      <c r="AD166" s="5">
        <f t="shared" ca="1" si="79"/>
        <v>664</v>
      </c>
    </row>
    <row r="167" spans="1:30" x14ac:dyDescent="0.2">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-1</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T15" sqref="T15"/>
    </sheetView>
  </sheetViews>
  <sheetFormatPr defaultRowHeight="14.25" x14ac:dyDescent="0.2"/>
  <cols>
    <col min="1" max="1" width="9" hidden="1" customWidth="1"/>
    <col min="2" max="2" width="12.625" bestFit="1" customWidth="1"/>
    <col min="3" max="3" width="13" customWidth="1"/>
    <col min="4" max="4" width="9.75" hidden="1" customWidth="1"/>
    <col min="5" max="14" width="13.125" hidden="1" customWidth="1"/>
    <col min="15" max="15" width="18.75" customWidth="1"/>
    <col min="17" max="18" width="9" customWidth="1"/>
    <col min="20" max="20" width="9.75" bestFit="1" customWidth="1"/>
  </cols>
  <sheetData>
    <row r="1" spans="1:20" x14ac:dyDescent="0.2">
      <c r="A1" t="s">
        <v>53</v>
      </c>
    </row>
    <row r="2" spans="1:20" x14ac:dyDescent="0.2">
      <c r="B2" t="s">
        <v>224</v>
      </c>
    </row>
    <row r="3" spans="1:20" x14ac:dyDescent="0.2">
      <c r="A3" t="s">
        <v>55</v>
      </c>
      <c r="B3" t="s">
        <v>225</v>
      </c>
    </row>
    <row r="5" spans="1:20" x14ac:dyDescent="0.2">
      <c r="A5" t="s">
        <v>54</v>
      </c>
    </row>
    <row r="6" spans="1:20" x14ac:dyDescent="0.2">
      <c r="A6">
        <f ca="1">MAX(A13:A272)</f>
        <v>7</v>
      </c>
      <c r="B6" t="s">
        <v>217</v>
      </c>
      <c r="C6" s="401" t="s">
        <v>24</v>
      </c>
      <c r="D6" s="403"/>
    </row>
    <row r="8" spans="1:20" x14ac:dyDescent="0.2">
      <c r="B8" t="s">
        <v>218</v>
      </c>
      <c r="C8" s="210"/>
    </row>
    <row r="10" spans="1:20" ht="13.9" customHeight="1" x14ac:dyDescent="0.2">
      <c r="B10" s="420" t="s">
        <v>128</v>
      </c>
      <c r="C10" s="420" t="s">
        <v>56</v>
      </c>
      <c r="D10" s="420" t="s">
        <v>1</v>
      </c>
      <c r="E10" s="266" t="str">
        <f ca="1">OFFSET('Control sheet (hide)'!$AA$3,COLUMN(A1)-1,0,1,1)</f>
        <v>Test name 1</v>
      </c>
      <c r="F10" s="266" t="str">
        <f ca="1">OFFSET('Control sheet (hide)'!$AA$3,COLUMN(B1)-1,0,1,1)</f>
        <v>Test name 2</v>
      </c>
      <c r="G10" s="266" t="str">
        <f ca="1">OFFSET('Control sheet (hide)'!$AA$3,COLUMN(C1)-1,0,1,1)</f>
        <v>Modality 3</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7" t="s">
        <v>222</v>
      </c>
      <c r="Q10" s="417" t="str">
        <f>"Total "&amp;"("&amp;Setup!$I$17&amp;")"</f>
        <v>Total (Minutes)</v>
      </c>
      <c r="R10" s="417" t="s">
        <v>111</v>
      </c>
    </row>
    <row r="11" spans="1:20" x14ac:dyDescent="0.2">
      <c r="B11" s="420"/>
      <c r="C11" s="420"/>
      <c r="D11" s="420"/>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37</v>
      </c>
      <c r="P11" s="417"/>
      <c r="Q11" s="417"/>
      <c r="R11" s="417"/>
    </row>
    <row r="12" spans="1:20" x14ac:dyDescent="0.2">
      <c r="B12" s="420"/>
      <c r="C12" s="420"/>
      <c r="D12" s="420"/>
      <c r="E12" s="6"/>
      <c r="F12" s="6"/>
      <c r="G12" s="6"/>
      <c r="H12" s="6"/>
      <c r="I12" s="6"/>
      <c r="J12" s="6"/>
      <c r="K12" s="6"/>
      <c r="L12" s="6"/>
      <c r="M12" s="6"/>
      <c r="N12" s="6"/>
      <c r="O12" s="6"/>
      <c r="P12" s="417"/>
      <c r="Q12" s="417"/>
      <c r="R12" s="417"/>
    </row>
    <row r="13" spans="1:20" x14ac:dyDescent="0.2">
      <c r="A13">
        <f>1</f>
        <v>1</v>
      </c>
      <c r="B13" s="267">
        <f>IF(C8&lt;&gt;"",YEAR(C8),1)</f>
        <v>1</v>
      </c>
      <c r="C13" s="268">
        <f>IF($C$8&lt;&gt;"",WEEKNUM($C$8,21),1)</f>
        <v>1</v>
      </c>
      <c r="D13" s="325"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147.93103448275863</v>
      </c>
      <c r="R13" s="152"/>
      <c r="T13" s="36"/>
    </row>
    <row r="14" spans="1:20" x14ac:dyDescent="0.2">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5"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184.91379310344828</v>
      </c>
      <c r="R14" s="152"/>
      <c r="T14" s="36"/>
    </row>
    <row r="15" spans="1:20" x14ac:dyDescent="0.2">
      <c r="A15" s="67">
        <f t="shared" ref="A15:A64" ca="1" si="3">IF(P15&lt;&gt;"",ROW(A3),"")</f>
        <v>3</v>
      </c>
      <c r="B15" s="267" t="str">
        <f t="shared" ca="1" si="0"/>
        <v/>
      </c>
      <c r="C15" s="268">
        <f t="shared" ca="1" si="1"/>
        <v>3</v>
      </c>
      <c r="D15" s="325"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73.965517241379317</v>
      </c>
      <c r="R15" s="152"/>
      <c r="T15" s="36"/>
    </row>
    <row r="16" spans="1:20" x14ac:dyDescent="0.2">
      <c r="A16" s="67">
        <f t="shared" ca="1" si="3"/>
        <v>4</v>
      </c>
      <c r="B16" s="267" t="str">
        <f t="shared" ca="1" si="0"/>
        <v/>
      </c>
      <c r="C16" s="268">
        <f t="shared" ca="1" si="1"/>
        <v>4</v>
      </c>
      <c r="D16" s="325"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110.94827586206898</v>
      </c>
      <c r="R16" s="152"/>
      <c r="T16" s="36"/>
    </row>
    <row r="17" spans="1:20" x14ac:dyDescent="0.2">
      <c r="A17" s="67">
        <f t="shared" ca="1" si="3"/>
        <v>5</v>
      </c>
      <c r="B17" s="267" t="str">
        <f t="shared" ca="1" si="0"/>
        <v/>
      </c>
      <c r="C17" s="268">
        <f t="shared" ca="1" si="1"/>
        <v>5</v>
      </c>
      <c r="D17" s="325"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184.91379310344828</v>
      </c>
      <c r="R17" s="152"/>
      <c r="T17" s="36"/>
    </row>
    <row r="18" spans="1:20" x14ac:dyDescent="0.2">
      <c r="A18" s="67">
        <f t="shared" ca="1" si="3"/>
        <v>6</v>
      </c>
      <c r="B18" s="267" t="str">
        <f t="shared" ca="1" si="0"/>
        <v/>
      </c>
      <c r="C18" s="268">
        <f t="shared" ca="1" si="1"/>
        <v>6</v>
      </c>
      <c r="D18" s="325"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110.94827586206898</v>
      </c>
      <c r="R18" s="152"/>
      <c r="T18" s="36"/>
    </row>
    <row r="19" spans="1:20" x14ac:dyDescent="0.2">
      <c r="A19" s="67">
        <f t="shared" ca="1" si="3"/>
        <v>7</v>
      </c>
      <c r="B19" s="267" t="str">
        <f t="shared" ca="1" si="0"/>
        <v/>
      </c>
      <c r="C19" s="268">
        <f t="shared" ca="1" si="1"/>
        <v>7</v>
      </c>
      <c r="D19" s="325"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147.93103448275863</v>
      </c>
      <c r="R19" s="152"/>
      <c r="T19" s="36"/>
    </row>
    <row r="20" spans="1:20" x14ac:dyDescent="0.2">
      <c r="A20" s="67" t="str">
        <f t="shared" ca="1" si="3"/>
        <v/>
      </c>
      <c r="B20" s="267" t="str">
        <f t="shared" ca="1" si="0"/>
        <v xml:space="preserve"> </v>
      </c>
      <c r="C20" s="268" t="str">
        <f t="shared" ca="1" si="1"/>
        <v/>
      </c>
      <c r="D20" s="325"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
      <c r="A21" s="67" t="str">
        <f t="shared" ca="1" si="3"/>
        <v/>
      </c>
      <c r="B21" s="267" t="str">
        <f t="shared" ca="1" si="0"/>
        <v xml:space="preserve"> </v>
      </c>
      <c r="C21" s="268" t="str">
        <f t="shared" ca="1" si="1"/>
        <v/>
      </c>
      <c r="D21" s="325"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
      <c r="A22" s="67" t="str">
        <f t="shared" ca="1" si="3"/>
        <v/>
      </c>
      <c r="B22" s="267" t="str">
        <f t="shared" ca="1" si="0"/>
        <v xml:space="preserve"> </v>
      </c>
      <c r="C22" s="268" t="str">
        <f t="shared" ca="1" si="1"/>
        <v/>
      </c>
      <c r="D22" s="325"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
      <c r="A23" s="67" t="str">
        <f t="shared" ca="1" si="3"/>
        <v/>
      </c>
      <c r="B23" s="267" t="str">
        <f t="shared" ca="1" si="0"/>
        <v xml:space="preserve"> </v>
      </c>
      <c r="C23" s="268" t="str">
        <f t="shared" ca="1" si="1"/>
        <v/>
      </c>
      <c r="D23" s="325"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
      <c r="A24" s="67" t="str">
        <f t="shared" ca="1" si="3"/>
        <v/>
      </c>
      <c r="B24" s="267" t="str">
        <f t="shared" ca="1" si="0"/>
        <v xml:space="preserve"> </v>
      </c>
      <c r="C24" s="268" t="str">
        <f t="shared" ca="1" si="1"/>
        <v/>
      </c>
      <c r="D24" s="325"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
      <c r="A25" s="67" t="str">
        <f t="shared" ca="1" si="3"/>
        <v/>
      </c>
      <c r="B25" s="267" t="str">
        <f t="shared" ca="1" si="0"/>
        <v xml:space="preserve"> </v>
      </c>
      <c r="C25" s="268" t="str">
        <f t="shared" ca="1" si="1"/>
        <v/>
      </c>
      <c r="D25" s="325"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
      <c r="A26" s="67" t="str">
        <f t="shared" ca="1" si="3"/>
        <v/>
      </c>
      <c r="B26" s="267" t="str">
        <f t="shared" ca="1" si="0"/>
        <v xml:space="preserve"> </v>
      </c>
      <c r="C26" s="268" t="str">
        <f t="shared" ca="1" si="1"/>
        <v/>
      </c>
      <c r="D26" s="325"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
      <c r="A27" s="67" t="str">
        <f t="shared" ca="1" si="3"/>
        <v/>
      </c>
      <c r="B27" s="267" t="str">
        <f t="shared" ca="1" si="0"/>
        <v xml:space="preserve"> </v>
      </c>
      <c r="C27" s="268" t="str">
        <f t="shared" ca="1" si="1"/>
        <v/>
      </c>
      <c r="D27" s="325"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
      <c r="A28" s="67" t="str">
        <f t="shared" ca="1" si="3"/>
        <v/>
      </c>
      <c r="B28" s="267" t="str">
        <f t="shared" ca="1" si="0"/>
        <v xml:space="preserve"> </v>
      </c>
      <c r="C28" s="268" t="str">
        <f t="shared" ca="1" si="1"/>
        <v/>
      </c>
      <c r="D28" s="325"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
      <c r="A29" s="67" t="str">
        <f t="shared" ca="1" si="3"/>
        <v/>
      </c>
      <c r="B29" s="267" t="str">
        <f t="shared" ca="1" si="0"/>
        <v xml:space="preserve"> </v>
      </c>
      <c r="C29" s="268" t="str">
        <f t="shared" ca="1" si="1"/>
        <v/>
      </c>
      <c r="D29" s="325"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
      <c r="A30" s="67" t="str">
        <f t="shared" ca="1" si="3"/>
        <v/>
      </c>
      <c r="B30" s="267" t="str">
        <f t="shared" ca="1" si="0"/>
        <v xml:space="preserve"> </v>
      </c>
      <c r="C30" s="268" t="str">
        <f t="shared" ca="1" si="1"/>
        <v/>
      </c>
      <c r="D30" s="325"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
      <c r="A31" s="67" t="str">
        <f t="shared" ca="1" si="3"/>
        <v/>
      </c>
      <c r="B31" s="267" t="str">
        <f t="shared" ca="1" si="0"/>
        <v xml:space="preserve"> </v>
      </c>
      <c r="C31" s="268" t="str">
        <f t="shared" ca="1" si="1"/>
        <v/>
      </c>
      <c r="D31" s="325"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
      <c r="A32" s="67" t="str">
        <f t="shared" ca="1" si="3"/>
        <v/>
      </c>
      <c r="B32" s="267" t="str">
        <f t="shared" ca="1" si="0"/>
        <v xml:space="preserve"> </v>
      </c>
      <c r="C32" s="268" t="str">
        <f t="shared" ca="1" si="1"/>
        <v/>
      </c>
      <c r="D32" s="325"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
      <c r="A33" s="67" t="str">
        <f t="shared" ca="1" si="3"/>
        <v/>
      </c>
      <c r="B33" s="267" t="str">
        <f t="shared" ca="1" si="0"/>
        <v xml:space="preserve"> </v>
      </c>
      <c r="C33" s="268" t="str">
        <f t="shared" ca="1" si="1"/>
        <v/>
      </c>
      <c r="D33" s="325"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
      <c r="A34" s="67" t="str">
        <f t="shared" ca="1" si="3"/>
        <v/>
      </c>
      <c r="B34" s="267" t="str">
        <f t="shared" ca="1" si="0"/>
        <v xml:space="preserve"> </v>
      </c>
      <c r="C34" s="268" t="str">
        <f t="shared" ca="1" si="1"/>
        <v/>
      </c>
      <c r="D34" s="325"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
      <c r="A35" s="67" t="str">
        <f t="shared" ca="1" si="3"/>
        <v/>
      </c>
      <c r="B35" s="267" t="str">
        <f t="shared" ca="1" si="0"/>
        <v xml:space="preserve"> </v>
      </c>
      <c r="C35" s="268" t="str">
        <f t="shared" ca="1" si="1"/>
        <v/>
      </c>
      <c r="D35" s="325"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
      <c r="A36" s="67" t="str">
        <f t="shared" ca="1" si="3"/>
        <v/>
      </c>
      <c r="B36" s="267" t="str">
        <f t="shared" ca="1" si="0"/>
        <v xml:space="preserve"> </v>
      </c>
      <c r="C36" s="268" t="str">
        <f t="shared" ca="1" si="1"/>
        <v/>
      </c>
      <c r="D36" s="325"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
      <c r="A37" s="67" t="str">
        <f t="shared" ca="1" si="3"/>
        <v/>
      </c>
      <c r="B37" s="267" t="str">
        <f t="shared" ca="1" si="0"/>
        <v xml:space="preserve"> </v>
      </c>
      <c r="C37" s="268" t="str">
        <f t="shared" ca="1" si="1"/>
        <v/>
      </c>
      <c r="D37" s="325"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
      <c r="A38" s="67" t="str">
        <f t="shared" ca="1" si="3"/>
        <v/>
      </c>
      <c r="B38" s="267" t="str">
        <f t="shared" ca="1" si="0"/>
        <v xml:space="preserve"> </v>
      </c>
      <c r="C38" s="268" t="str">
        <f t="shared" ca="1" si="1"/>
        <v/>
      </c>
      <c r="D38" s="325"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
      <c r="A39" s="67" t="str">
        <f t="shared" ca="1" si="3"/>
        <v/>
      </c>
      <c r="B39" s="267" t="str">
        <f t="shared" ca="1" si="0"/>
        <v xml:space="preserve"> </v>
      </c>
      <c r="C39" s="268" t="str">
        <f t="shared" ca="1" si="1"/>
        <v/>
      </c>
      <c r="D39" s="325"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
      <c r="A40" s="67" t="str">
        <f t="shared" ca="1" si="3"/>
        <v/>
      </c>
      <c r="B40" s="267" t="str">
        <f t="shared" ca="1" si="0"/>
        <v xml:space="preserve"> </v>
      </c>
      <c r="C40" s="268" t="str">
        <f t="shared" ca="1" si="1"/>
        <v/>
      </c>
      <c r="D40" s="325"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
      <c r="A41" s="67" t="str">
        <f t="shared" ca="1" si="3"/>
        <v/>
      </c>
      <c r="B41" s="267" t="str">
        <f t="shared" ca="1" si="0"/>
        <v xml:space="preserve"> </v>
      </c>
      <c r="C41" s="268" t="str">
        <f t="shared" ca="1" si="1"/>
        <v/>
      </c>
      <c r="D41" s="325"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
      <c r="A42" s="67" t="str">
        <f t="shared" ca="1" si="3"/>
        <v/>
      </c>
      <c r="B42" s="267" t="str">
        <f t="shared" ca="1" si="0"/>
        <v xml:space="preserve"> </v>
      </c>
      <c r="C42" s="268" t="str">
        <f t="shared" ca="1" si="1"/>
        <v/>
      </c>
      <c r="D42" s="325"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
      <c r="A43" s="67" t="str">
        <f t="shared" ca="1" si="3"/>
        <v/>
      </c>
      <c r="B43" s="267" t="str">
        <f t="shared" ca="1" si="0"/>
        <v xml:space="preserve"> </v>
      </c>
      <c r="C43" s="268" t="str">
        <f t="shared" ca="1" si="1"/>
        <v/>
      </c>
      <c r="D43" s="325"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
      <c r="A44" s="67" t="str">
        <f t="shared" ca="1" si="3"/>
        <v/>
      </c>
      <c r="B44" s="267" t="str">
        <f t="shared" ca="1" si="0"/>
        <v xml:space="preserve"> </v>
      </c>
      <c r="C44" s="268" t="str">
        <f t="shared" ca="1" si="1"/>
        <v/>
      </c>
      <c r="D44" s="325"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
      <c r="A45" s="67" t="str">
        <f t="shared" ca="1" si="3"/>
        <v/>
      </c>
      <c r="B45" s="267" t="str">
        <f t="shared" ca="1" si="0"/>
        <v xml:space="preserve"> </v>
      </c>
      <c r="C45" s="268" t="str">
        <f t="shared" ca="1" si="1"/>
        <v/>
      </c>
      <c r="D45" s="325"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5"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
      <c r="A47" s="67" t="str">
        <f t="shared" ca="1" si="3"/>
        <v/>
      </c>
      <c r="B47" s="267" t="str">
        <f t="shared" ca="1" si="4"/>
        <v xml:space="preserve"> </v>
      </c>
      <c r="C47" s="268" t="str">
        <f t="shared" ca="1" si="5"/>
        <v/>
      </c>
      <c r="D47" s="325"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
      <c r="A48" s="67" t="str">
        <f t="shared" ca="1" si="3"/>
        <v/>
      </c>
      <c r="B48" s="267" t="str">
        <f t="shared" ca="1" si="4"/>
        <v xml:space="preserve"> </v>
      </c>
      <c r="C48" s="268" t="str">
        <f t="shared" ca="1" si="5"/>
        <v/>
      </c>
      <c r="D48" s="325"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
      <c r="A49" s="67" t="str">
        <f t="shared" ca="1" si="3"/>
        <v/>
      </c>
      <c r="B49" s="267" t="str">
        <f t="shared" ca="1" si="4"/>
        <v xml:space="preserve"> </v>
      </c>
      <c r="C49" s="268" t="str">
        <f t="shared" ca="1" si="5"/>
        <v/>
      </c>
      <c r="D49" s="325"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
      <c r="A50" s="67" t="str">
        <f t="shared" ca="1" si="3"/>
        <v/>
      </c>
      <c r="B50" s="267" t="str">
        <f t="shared" ca="1" si="4"/>
        <v xml:space="preserve"> </v>
      </c>
      <c r="C50" s="268" t="str">
        <f t="shared" ca="1" si="5"/>
        <v/>
      </c>
      <c r="D50" s="325"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
      <c r="A51" s="67" t="str">
        <f t="shared" ca="1" si="3"/>
        <v/>
      </c>
      <c r="B51" s="267" t="str">
        <f t="shared" ca="1" si="4"/>
        <v xml:space="preserve"> </v>
      </c>
      <c r="C51" s="268" t="str">
        <f t="shared" ca="1" si="5"/>
        <v/>
      </c>
      <c r="D51" s="325"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
      <c r="A52" s="67" t="str">
        <f t="shared" ca="1" si="3"/>
        <v/>
      </c>
      <c r="B52" s="267" t="str">
        <f t="shared" ca="1" si="4"/>
        <v xml:space="preserve"> </v>
      </c>
      <c r="C52" s="268" t="str">
        <f t="shared" ca="1" si="5"/>
        <v/>
      </c>
      <c r="D52" s="325"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
      <c r="A53" s="67" t="str">
        <f t="shared" ca="1" si="3"/>
        <v/>
      </c>
      <c r="B53" s="267" t="str">
        <f t="shared" ca="1" si="4"/>
        <v xml:space="preserve"> </v>
      </c>
      <c r="C53" s="268" t="str">
        <f t="shared" ca="1" si="5"/>
        <v/>
      </c>
      <c r="D53" s="325"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
      <c r="A54" s="67" t="str">
        <f t="shared" ca="1" si="3"/>
        <v/>
      </c>
      <c r="B54" s="267" t="str">
        <f t="shared" ca="1" si="4"/>
        <v xml:space="preserve"> </v>
      </c>
      <c r="C54" s="268" t="str">
        <f t="shared" ca="1" si="5"/>
        <v/>
      </c>
      <c r="D54" s="325"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
      <c r="A55" s="67" t="str">
        <f t="shared" ca="1" si="3"/>
        <v/>
      </c>
      <c r="B55" s="267" t="str">
        <f t="shared" ca="1" si="4"/>
        <v xml:space="preserve"> </v>
      </c>
      <c r="C55" s="268" t="str">
        <f t="shared" ca="1" si="5"/>
        <v/>
      </c>
      <c r="D55" s="325"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
      <c r="A56" s="67" t="str">
        <f t="shared" ca="1" si="3"/>
        <v/>
      </c>
      <c r="B56" s="267" t="str">
        <f t="shared" ca="1" si="4"/>
        <v xml:space="preserve"> </v>
      </c>
      <c r="C56" s="268" t="str">
        <f t="shared" ca="1" si="5"/>
        <v/>
      </c>
      <c r="D56" s="325"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
      <c r="A57" s="67" t="str">
        <f t="shared" ca="1" si="3"/>
        <v/>
      </c>
      <c r="B57" s="267" t="str">
        <f t="shared" ca="1" si="4"/>
        <v xml:space="preserve"> </v>
      </c>
      <c r="C57" s="268" t="str">
        <f t="shared" ca="1" si="5"/>
        <v/>
      </c>
      <c r="D57" s="325"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
      <c r="A58" s="67" t="str">
        <f t="shared" ca="1" si="3"/>
        <v/>
      </c>
      <c r="B58" s="267" t="str">
        <f t="shared" ca="1" si="4"/>
        <v xml:space="preserve"> </v>
      </c>
      <c r="C58" s="268" t="str">
        <f t="shared" ca="1" si="5"/>
        <v/>
      </c>
      <c r="D58" s="325"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
      <c r="A59" s="67" t="str">
        <f t="shared" ca="1" si="3"/>
        <v/>
      </c>
      <c r="B59" s="267" t="str">
        <f t="shared" ca="1" si="4"/>
        <v xml:space="preserve"> </v>
      </c>
      <c r="C59" s="268" t="str">
        <f t="shared" ca="1" si="5"/>
        <v/>
      </c>
      <c r="D59" s="325"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
      <c r="A60" s="67" t="str">
        <f t="shared" ca="1" si="3"/>
        <v/>
      </c>
      <c r="B60" s="267" t="str">
        <f t="shared" ca="1" si="4"/>
        <v xml:space="preserve"> </v>
      </c>
      <c r="C60" s="268" t="str">
        <f t="shared" ca="1" si="5"/>
        <v/>
      </c>
      <c r="D60" s="325"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
      <c r="A61" s="67" t="str">
        <f t="shared" ca="1" si="3"/>
        <v/>
      </c>
      <c r="B61" s="267" t="str">
        <f t="shared" ca="1" si="4"/>
        <v xml:space="preserve"> </v>
      </c>
      <c r="C61" s="268" t="str">
        <f t="shared" ca="1" si="5"/>
        <v/>
      </c>
      <c r="D61" s="325"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
      <c r="A62" s="67" t="str">
        <f t="shared" ca="1" si="3"/>
        <v/>
      </c>
      <c r="B62" s="267" t="str">
        <f t="shared" ca="1" si="4"/>
        <v xml:space="preserve"> </v>
      </c>
      <c r="C62" s="268" t="str">
        <f t="shared" ca="1" si="5"/>
        <v/>
      </c>
      <c r="D62" s="325"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
      <c r="A63" s="67" t="str">
        <f t="shared" ca="1" si="3"/>
        <v/>
      </c>
      <c r="B63" s="267" t="str">
        <f t="shared" ca="1" si="4"/>
        <v xml:space="preserve"> </v>
      </c>
      <c r="C63" s="268" t="str">
        <f t="shared" ca="1" si="5"/>
        <v/>
      </c>
      <c r="D63" s="325"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
      <c r="A64" s="67" t="str">
        <f t="shared" ca="1" si="3"/>
        <v/>
      </c>
      <c r="B64" s="267" t="str">
        <f t="shared" ca="1" si="4"/>
        <v xml:space="preserve"> </v>
      </c>
      <c r="C64" s="268" t="str">
        <f t="shared" ca="1" si="5"/>
        <v/>
      </c>
      <c r="D64" s="325"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
      <c r="B65" s="48"/>
      <c r="D65" s="36"/>
    </row>
    <row r="66" spans="2:4" x14ac:dyDescent="0.2">
      <c r="B66" s="48"/>
      <c r="D66" s="36"/>
    </row>
    <row r="67" spans="2:4" x14ac:dyDescent="0.2">
      <c r="B67" s="48"/>
      <c r="D67" s="36"/>
    </row>
    <row r="68" spans="2:4" x14ac:dyDescent="0.2">
      <c r="B68" s="48"/>
      <c r="D68" s="36"/>
    </row>
    <row r="69" spans="2:4" x14ac:dyDescent="0.2">
      <c r="B69" s="48"/>
      <c r="D69" s="36"/>
    </row>
    <row r="70" spans="2:4" x14ac:dyDescent="0.2">
      <c r="B70" s="48"/>
      <c r="D70" s="36"/>
    </row>
    <row r="71" spans="2:4" x14ac:dyDescent="0.2">
      <c r="B71" s="48"/>
      <c r="D71" s="36"/>
    </row>
    <row r="72" spans="2:4" x14ac:dyDescent="0.2">
      <c r="B72" s="48"/>
      <c r="D72" s="36"/>
    </row>
    <row r="73" spans="2:4" x14ac:dyDescent="0.2">
      <c r="B73" s="48"/>
      <c r="D73" s="36"/>
    </row>
    <row r="74" spans="2:4" x14ac:dyDescent="0.2">
      <c r="B74" s="48"/>
      <c r="D74" s="36"/>
    </row>
    <row r="75" spans="2:4" x14ac:dyDescent="0.2">
      <c r="B75" s="48"/>
      <c r="D75" s="36"/>
    </row>
    <row r="76" spans="2:4" x14ac:dyDescent="0.2">
      <c r="B76" s="48"/>
      <c r="D76" s="36"/>
    </row>
    <row r="77" spans="2:4" x14ac:dyDescent="0.2">
      <c r="B77" s="48"/>
      <c r="D77" s="36"/>
    </row>
    <row r="78" spans="2:4" x14ac:dyDescent="0.2">
      <c r="B78" s="48"/>
      <c r="D78" s="36"/>
    </row>
    <row r="79" spans="2:4" x14ac:dyDescent="0.2">
      <c r="B79" s="48"/>
      <c r="D79" s="36"/>
    </row>
    <row r="80" spans="2:4" x14ac:dyDescent="0.2">
      <c r="B80" s="48"/>
      <c r="D80" s="36"/>
    </row>
    <row r="81" spans="2:4" x14ac:dyDescent="0.2">
      <c r="B81" s="48"/>
      <c r="D81" s="36"/>
    </row>
    <row r="82" spans="2:4" x14ac:dyDescent="0.2">
      <c r="B82" s="48"/>
      <c r="D82" s="36"/>
    </row>
    <row r="83" spans="2:4" x14ac:dyDescent="0.2">
      <c r="B83" s="48"/>
      <c r="D83" s="36"/>
    </row>
    <row r="84" spans="2:4" x14ac:dyDescent="0.2">
      <c r="B84" s="48"/>
      <c r="D84" s="36"/>
    </row>
    <row r="85" spans="2:4" x14ac:dyDescent="0.2">
      <c r="B85" s="48"/>
      <c r="D85" s="36"/>
    </row>
    <row r="86" spans="2:4" x14ac:dyDescent="0.2">
      <c r="B86" s="48"/>
      <c r="D86" s="36"/>
    </row>
    <row r="87" spans="2:4" x14ac:dyDescent="0.2">
      <c r="B87" s="48"/>
      <c r="D87" s="36"/>
    </row>
    <row r="88" spans="2:4" x14ac:dyDescent="0.2">
      <c r="B88" s="48"/>
      <c r="D88" s="36"/>
    </row>
    <row r="89" spans="2:4" x14ac:dyDescent="0.2">
      <c r="B89" s="48"/>
      <c r="D89" s="36"/>
    </row>
    <row r="90" spans="2:4" x14ac:dyDescent="0.2">
      <c r="B90" s="48"/>
      <c r="D90" s="36"/>
    </row>
    <row r="91" spans="2:4" x14ac:dyDescent="0.2">
      <c r="B91" s="48"/>
      <c r="D91" s="36"/>
    </row>
    <row r="92" spans="2:4" x14ac:dyDescent="0.2">
      <c r="B92" s="48"/>
      <c r="D92" s="36"/>
    </row>
    <row r="93" spans="2:4" x14ac:dyDescent="0.2">
      <c r="B93" s="48"/>
      <c r="D93" s="36"/>
    </row>
    <row r="94" spans="2:4" x14ac:dyDescent="0.2">
      <c r="B94" s="48"/>
      <c r="D94" s="36"/>
    </row>
    <row r="95" spans="2:4" x14ac:dyDescent="0.2">
      <c r="B95" s="48"/>
      <c r="D95" s="36"/>
    </row>
    <row r="96" spans="2:4" x14ac:dyDescent="0.2">
      <c r="B96" s="48"/>
      <c r="D96" s="36"/>
    </row>
    <row r="97" spans="2:4" x14ac:dyDescent="0.2">
      <c r="B97" s="48"/>
      <c r="D97" s="36"/>
    </row>
    <row r="98" spans="2:4" x14ac:dyDescent="0.2">
      <c r="B98" s="48"/>
      <c r="D98" s="36"/>
    </row>
    <row r="99" spans="2:4" x14ac:dyDescent="0.2">
      <c r="B99" s="48"/>
      <c r="D99" s="36"/>
    </row>
    <row r="100" spans="2:4" x14ac:dyDescent="0.2">
      <c r="B100" s="48"/>
      <c r="D100" s="36"/>
    </row>
    <row r="101" spans="2:4" x14ac:dyDescent="0.2">
      <c r="B101" s="48"/>
      <c r="D101" s="36"/>
    </row>
    <row r="102" spans="2:4" x14ac:dyDescent="0.2">
      <c r="B102" s="48"/>
      <c r="D102" s="36"/>
    </row>
    <row r="103" spans="2:4" x14ac:dyDescent="0.2">
      <c r="B103" s="48"/>
      <c r="D103" s="36"/>
    </row>
    <row r="104" spans="2:4" x14ac:dyDescent="0.2">
      <c r="B104" s="48"/>
      <c r="D104" s="36"/>
    </row>
    <row r="105" spans="2:4" x14ac:dyDescent="0.2">
      <c r="B105" s="48"/>
      <c r="D105" s="36"/>
    </row>
    <row r="106" spans="2:4" x14ac:dyDescent="0.2">
      <c r="B106" s="48"/>
      <c r="D106" s="36"/>
    </row>
    <row r="107" spans="2:4" x14ac:dyDescent="0.2">
      <c r="B107" s="48"/>
      <c r="D107" s="36"/>
    </row>
    <row r="108" spans="2:4" x14ac:dyDescent="0.2">
      <c r="B108" s="48"/>
      <c r="D108" s="36"/>
    </row>
    <row r="109" spans="2:4" x14ac:dyDescent="0.2">
      <c r="B109" s="48"/>
      <c r="D109" s="36"/>
    </row>
    <row r="110" spans="2:4" x14ac:dyDescent="0.2">
      <c r="B110" s="48"/>
      <c r="D110" s="36"/>
    </row>
    <row r="111" spans="2:4" x14ac:dyDescent="0.2">
      <c r="B111" s="48"/>
      <c r="D111" s="36"/>
    </row>
    <row r="112" spans="2:4" x14ac:dyDescent="0.2">
      <c r="B112" s="48"/>
      <c r="D112" s="36"/>
    </row>
    <row r="113" spans="2:4" x14ac:dyDescent="0.2">
      <c r="B113" s="48"/>
      <c r="D113" s="36"/>
    </row>
    <row r="114" spans="2:4" x14ac:dyDescent="0.2">
      <c r="B114" s="48"/>
      <c r="D114" s="36"/>
    </row>
    <row r="115" spans="2:4" x14ac:dyDescent="0.2">
      <c r="B115" s="48"/>
      <c r="D115" s="36"/>
    </row>
    <row r="116" spans="2:4" x14ac:dyDescent="0.2">
      <c r="B116" s="48"/>
      <c r="D116" s="36"/>
    </row>
    <row r="117" spans="2:4" x14ac:dyDescent="0.2">
      <c r="B117" s="48"/>
      <c r="D117" s="36"/>
    </row>
    <row r="118" spans="2:4" x14ac:dyDescent="0.2">
      <c r="B118" s="48"/>
      <c r="D118" s="36"/>
    </row>
    <row r="119" spans="2:4" x14ac:dyDescent="0.2">
      <c r="B119" s="48"/>
      <c r="D119" s="36"/>
    </row>
    <row r="120" spans="2:4" x14ac:dyDescent="0.2">
      <c r="B120" s="48"/>
      <c r="D120" s="36"/>
    </row>
    <row r="121" spans="2:4" x14ac:dyDescent="0.2">
      <c r="B121" s="48"/>
      <c r="D121" s="36"/>
    </row>
    <row r="122" spans="2:4" x14ac:dyDescent="0.2">
      <c r="B122" s="48"/>
      <c r="D122" s="36"/>
    </row>
    <row r="123" spans="2:4" x14ac:dyDescent="0.2">
      <c r="B123" s="48"/>
      <c r="D123" s="36"/>
    </row>
    <row r="124" spans="2:4" x14ac:dyDescent="0.2">
      <c r="B124" s="48"/>
      <c r="D124" s="36"/>
    </row>
    <row r="125" spans="2:4" x14ac:dyDescent="0.2">
      <c r="B125" s="48"/>
      <c r="D125" s="36"/>
    </row>
    <row r="126" spans="2:4" x14ac:dyDescent="0.2">
      <c r="B126" s="48"/>
      <c r="D126" s="36"/>
    </row>
    <row r="127" spans="2:4" x14ac:dyDescent="0.2">
      <c r="B127" s="48"/>
      <c r="D127" s="36"/>
    </row>
    <row r="128" spans="2:4" x14ac:dyDescent="0.2">
      <c r="B128" s="48"/>
      <c r="D128" s="36"/>
    </row>
    <row r="129" spans="2:4" x14ac:dyDescent="0.2">
      <c r="B129" s="48"/>
      <c r="D129" s="36"/>
    </row>
    <row r="130" spans="2:4" x14ac:dyDescent="0.2">
      <c r="B130" s="48"/>
      <c r="D130" s="36"/>
    </row>
    <row r="131" spans="2:4" x14ac:dyDescent="0.2">
      <c r="B131" s="48"/>
      <c r="D131" s="36"/>
    </row>
    <row r="132" spans="2:4" x14ac:dyDescent="0.2">
      <c r="B132" s="48"/>
      <c r="D132" s="36"/>
    </row>
    <row r="133" spans="2:4" x14ac:dyDescent="0.2">
      <c r="B133" s="48"/>
      <c r="D133" s="36"/>
    </row>
    <row r="134" spans="2:4" x14ac:dyDescent="0.2">
      <c r="B134" s="48"/>
      <c r="D134" s="36"/>
    </row>
    <row r="135" spans="2:4" x14ac:dyDescent="0.2">
      <c r="B135" s="48"/>
      <c r="D135" s="36"/>
    </row>
    <row r="136" spans="2:4" x14ac:dyDescent="0.2">
      <c r="B136" s="48"/>
      <c r="D136" s="36"/>
    </row>
    <row r="137" spans="2:4" x14ac:dyDescent="0.2">
      <c r="B137" s="48"/>
      <c r="D137" s="36"/>
    </row>
    <row r="138" spans="2:4" x14ac:dyDescent="0.2">
      <c r="B138" s="48"/>
      <c r="D138" s="36"/>
    </row>
    <row r="139" spans="2:4" x14ac:dyDescent="0.2">
      <c r="B139" s="48"/>
      <c r="D139" s="36"/>
    </row>
    <row r="140" spans="2:4" x14ac:dyDescent="0.2">
      <c r="B140" s="48"/>
      <c r="D140" s="36"/>
    </row>
    <row r="141" spans="2:4" x14ac:dyDescent="0.2">
      <c r="B141" s="48"/>
      <c r="D141" s="36"/>
    </row>
    <row r="142" spans="2:4" x14ac:dyDescent="0.2">
      <c r="B142" s="48"/>
      <c r="D142" s="36"/>
    </row>
    <row r="143" spans="2:4" x14ac:dyDescent="0.2">
      <c r="B143" s="48"/>
      <c r="D143" s="36"/>
    </row>
    <row r="144" spans="2:4" x14ac:dyDescent="0.2">
      <c r="B144" s="48"/>
      <c r="D144" s="36"/>
    </row>
    <row r="145" spans="2:4" x14ac:dyDescent="0.2">
      <c r="B145" s="48"/>
      <c r="D145" s="36"/>
    </row>
    <row r="146" spans="2:4" x14ac:dyDescent="0.2">
      <c r="B146" s="48"/>
      <c r="D146" s="36"/>
    </row>
    <row r="147" spans="2:4" x14ac:dyDescent="0.2">
      <c r="B147" s="48"/>
      <c r="D147" s="36"/>
    </row>
    <row r="148" spans="2:4" x14ac:dyDescent="0.2">
      <c r="B148" s="48"/>
      <c r="D148" s="36"/>
    </row>
    <row r="149" spans="2:4" x14ac:dyDescent="0.2">
      <c r="B149" s="48"/>
      <c r="D149" s="36"/>
    </row>
    <row r="150" spans="2:4" x14ac:dyDescent="0.2">
      <c r="B150" s="48"/>
      <c r="D150" s="36"/>
    </row>
    <row r="151" spans="2:4" x14ac:dyDescent="0.2">
      <c r="B151" s="48"/>
      <c r="D151" s="36"/>
    </row>
    <row r="152" spans="2:4" x14ac:dyDescent="0.2">
      <c r="B152" s="48"/>
      <c r="D152" s="36"/>
    </row>
    <row r="153" spans="2:4" x14ac:dyDescent="0.2">
      <c r="B153" s="48"/>
      <c r="D153" s="36"/>
    </row>
    <row r="154" spans="2:4" x14ac:dyDescent="0.2">
      <c r="B154" s="48"/>
      <c r="D154" s="36"/>
    </row>
    <row r="155" spans="2:4" x14ac:dyDescent="0.2">
      <c r="B155" s="48"/>
      <c r="D155" s="36"/>
    </row>
    <row r="156" spans="2:4" x14ac:dyDescent="0.2">
      <c r="B156" s="48"/>
      <c r="D156" s="36"/>
    </row>
    <row r="157" spans="2:4" x14ac:dyDescent="0.2">
      <c r="B157" s="48"/>
      <c r="D157" s="36"/>
    </row>
    <row r="158" spans="2:4" x14ac:dyDescent="0.2">
      <c r="B158" s="48"/>
      <c r="D158" s="36"/>
    </row>
    <row r="159" spans="2:4" x14ac:dyDescent="0.2">
      <c r="B159" s="48"/>
      <c r="D159" s="36"/>
    </row>
    <row r="160" spans="2:4" x14ac:dyDescent="0.2">
      <c r="B160" s="48"/>
      <c r="D160" s="36"/>
    </row>
    <row r="161" spans="2:4" x14ac:dyDescent="0.2">
      <c r="B161" s="48"/>
      <c r="D161" s="36"/>
    </row>
    <row r="162" spans="2:4" x14ac:dyDescent="0.2">
      <c r="B162" s="48"/>
      <c r="D162" s="36"/>
    </row>
    <row r="163" spans="2:4" x14ac:dyDescent="0.2">
      <c r="B163" s="48"/>
      <c r="D163" s="36"/>
    </row>
    <row r="164" spans="2:4" x14ac:dyDescent="0.2">
      <c r="B164" s="48"/>
      <c r="D164" s="36"/>
    </row>
    <row r="165" spans="2:4" x14ac:dyDescent="0.2">
      <c r="B165" s="48"/>
      <c r="D165" s="36"/>
    </row>
    <row r="166" spans="2:4" x14ac:dyDescent="0.2">
      <c r="B166" s="48"/>
      <c r="D166" s="36"/>
    </row>
    <row r="167" spans="2:4" x14ac:dyDescent="0.2">
      <c r="B167" s="48"/>
      <c r="D167" s="36"/>
    </row>
    <row r="168" spans="2:4" x14ac:dyDescent="0.2">
      <c r="B168" s="48"/>
      <c r="D168" s="36"/>
    </row>
    <row r="169" spans="2:4" x14ac:dyDescent="0.2">
      <c r="B169" s="48"/>
      <c r="D169" s="36"/>
    </row>
    <row r="170" spans="2:4" x14ac:dyDescent="0.2">
      <c r="B170" s="48"/>
      <c r="D170" s="36"/>
    </row>
    <row r="171" spans="2:4" x14ac:dyDescent="0.2">
      <c r="B171" s="48"/>
      <c r="D171" s="36"/>
    </row>
    <row r="172" spans="2:4" x14ac:dyDescent="0.2">
      <c r="B172" s="48"/>
      <c r="D172" s="36"/>
    </row>
    <row r="173" spans="2:4" x14ac:dyDescent="0.2">
      <c r="B173" s="48"/>
      <c r="D173" s="36"/>
    </row>
    <row r="174" spans="2:4" x14ac:dyDescent="0.2">
      <c r="B174" s="48"/>
      <c r="D174" s="36"/>
    </row>
    <row r="175" spans="2:4" x14ac:dyDescent="0.2">
      <c r="B175" s="48"/>
      <c r="D175" s="36"/>
    </row>
    <row r="176" spans="2:4" x14ac:dyDescent="0.2">
      <c r="B176" s="48"/>
      <c r="D176" s="36"/>
    </row>
    <row r="177" spans="2:4" x14ac:dyDescent="0.2">
      <c r="B177" s="48"/>
      <c r="D177" s="36"/>
    </row>
    <row r="178" spans="2:4" x14ac:dyDescent="0.2">
      <c r="B178" s="48"/>
      <c r="D178" s="36"/>
    </row>
    <row r="179" spans="2:4" x14ac:dyDescent="0.2">
      <c r="B179" s="48"/>
      <c r="D179" s="36"/>
    </row>
    <row r="180" spans="2:4" x14ac:dyDescent="0.2">
      <c r="B180" s="48"/>
      <c r="D180" s="36"/>
    </row>
    <row r="181" spans="2:4" x14ac:dyDescent="0.2">
      <c r="B181" s="48"/>
      <c r="D181" s="36"/>
    </row>
    <row r="182" spans="2:4" x14ac:dyDescent="0.2">
      <c r="B182" s="48"/>
      <c r="D182" s="36"/>
    </row>
    <row r="183" spans="2:4" x14ac:dyDescent="0.2">
      <c r="B183" s="48"/>
      <c r="D183" s="36"/>
    </row>
    <row r="184" spans="2:4" x14ac:dyDescent="0.2">
      <c r="B184" s="48"/>
      <c r="D184" s="36"/>
    </row>
    <row r="185" spans="2:4" x14ac:dyDescent="0.2">
      <c r="B185" s="48"/>
      <c r="D185" s="36"/>
    </row>
    <row r="186" spans="2:4" x14ac:dyDescent="0.2">
      <c r="B186" s="48"/>
      <c r="D186" s="36"/>
    </row>
    <row r="187" spans="2:4" x14ac:dyDescent="0.2">
      <c r="B187" s="48"/>
      <c r="D187" s="36"/>
    </row>
    <row r="188" spans="2:4" x14ac:dyDescent="0.2">
      <c r="B188" s="48"/>
      <c r="D188" s="36"/>
    </row>
    <row r="189" spans="2:4" x14ac:dyDescent="0.2">
      <c r="B189" s="48"/>
      <c r="D189" s="36"/>
    </row>
    <row r="190" spans="2:4" x14ac:dyDescent="0.2">
      <c r="B190" s="48"/>
      <c r="D190" s="36"/>
    </row>
    <row r="191" spans="2:4" x14ac:dyDescent="0.2">
      <c r="B191" s="48"/>
      <c r="D191" s="36"/>
    </row>
    <row r="192" spans="2:4" x14ac:dyDescent="0.2">
      <c r="B192" s="48"/>
      <c r="D192" s="36"/>
    </row>
    <row r="193" spans="2:4" x14ac:dyDescent="0.2">
      <c r="B193" s="48"/>
      <c r="D193" s="36"/>
    </row>
    <row r="194" spans="2:4" x14ac:dyDescent="0.2">
      <c r="B194" s="48"/>
      <c r="D194" s="36"/>
    </row>
    <row r="195" spans="2:4" x14ac:dyDescent="0.2">
      <c r="B195" s="48"/>
      <c r="D195" s="36"/>
    </row>
    <row r="196" spans="2:4" x14ac:dyDescent="0.2">
      <c r="B196" s="48"/>
      <c r="D196" s="36"/>
    </row>
    <row r="197" spans="2:4" x14ac:dyDescent="0.2">
      <c r="B197" s="48"/>
      <c r="D197" s="36"/>
    </row>
    <row r="198" spans="2:4" x14ac:dyDescent="0.2">
      <c r="B198" s="48"/>
      <c r="D198" s="36"/>
    </row>
    <row r="199" spans="2:4" x14ac:dyDescent="0.2">
      <c r="B199" s="48"/>
      <c r="D199" s="36"/>
    </row>
    <row r="200" spans="2:4" x14ac:dyDescent="0.2">
      <c r="B200" s="48"/>
      <c r="D200" s="36"/>
    </row>
    <row r="201" spans="2:4" x14ac:dyDescent="0.2">
      <c r="B201" s="48"/>
      <c r="D201" s="36"/>
    </row>
    <row r="202" spans="2:4" x14ac:dyDescent="0.2">
      <c r="B202" s="48"/>
      <c r="D202" s="36"/>
    </row>
    <row r="203" spans="2:4" x14ac:dyDescent="0.2">
      <c r="B203" s="48"/>
      <c r="D203" s="36"/>
    </row>
    <row r="204" spans="2:4" x14ac:dyDescent="0.2">
      <c r="B204" s="48"/>
      <c r="D204" s="36"/>
    </row>
    <row r="205" spans="2:4" x14ac:dyDescent="0.2">
      <c r="B205" s="48"/>
      <c r="D205" s="36"/>
    </row>
    <row r="206" spans="2:4" x14ac:dyDescent="0.2">
      <c r="B206" s="48"/>
      <c r="D206" s="36"/>
    </row>
    <row r="207" spans="2:4" x14ac:dyDescent="0.2">
      <c r="B207" s="48"/>
      <c r="D207" s="36"/>
    </row>
    <row r="208" spans="2:4" x14ac:dyDescent="0.2">
      <c r="B208" s="48"/>
      <c r="D208" s="36"/>
    </row>
    <row r="209" spans="2:4" x14ac:dyDescent="0.2">
      <c r="B209" s="48"/>
      <c r="D209" s="36"/>
    </row>
    <row r="210" spans="2:4" x14ac:dyDescent="0.2">
      <c r="B210" s="48"/>
      <c r="D210" s="36"/>
    </row>
    <row r="211" spans="2:4" x14ac:dyDescent="0.2">
      <c r="B211" s="48"/>
      <c r="D211" s="36"/>
    </row>
    <row r="212" spans="2:4" x14ac:dyDescent="0.2">
      <c r="B212" s="48"/>
      <c r="D212" s="36"/>
    </row>
    <row r="213" spans="2:4" x14ac:dyDescent="0.2">
      <c r="B213" s="48"/>
      <c r="D213" s="36"/>
    </row>
    <row r="214" spans="2:4" x14ac:dyDescent="0.2">
      <c r="B214" s="48"/>
      <c r="D214" s="36"/>
    </row>
    <row r="215" spans="2:4" x14ac:dyDescent="0.2">
      <c r="B215" s="48"/>
      <c r="D215" s="36"/>
    </row>
    <row r="216" spans="2:4" x14ac:dyDescent="0.2">
      <c r="B216" s="48"/>
      <c r="D216" s="36"/>
    </row>
    <row r="217" spans="2:4" x14ac:dyDescent="0.2">
      <c r="B217" s="48"/>
      <c r="D217" s="36"/>
    </row>
    <row r="218" spans="2:4" x14ac:dyDescent="0.2">
      <c r="B218" s="48"/>
      <c r="D218" s="36"/>
    </row>
    <row r="219" spans="2:4" x14ac:dyDescent="0.2">
      <c r="B219" s="48"/>
      <c r="D219" s="36"/>
    </row>
    <row r="220" spans="2:4" x14ac:dyDescent="0.2">
      <c r="B220" s="48"/>
      <c r="D220" s="36"/>
    </row>
    <row r="221" spans="2:4" x14ac:dyDescent="0.2">
      <c r="B221" s="48"/>
      <c r="D221" s="36"/>
    </row>
    <row r="222" spans="2:4" x14ac:dyDescent="0.2">
      <c r="B222" s="48"/>
      <c r="D222" s="36"/>
    </row>
    <row r="223" spans="2:4" x14ac:dyDescent="0.2">
      <c r="B223" s="48"/>
      <c r="D223" s="36"/>
    </row>
    <row r="224" spans="2:4" x14ac:dyDescent="0.2">
      <c r="B224" s="48"/>
      <c r="D224" s="36"/>
    </row>
    <row r="225" spans="2:4" x14ac:dyDescent="0.2">
      <c r="B225" s="48"/>
      <c r="D225" s="36"/>
    </row>
    <row r="226" spans="2:4" x14ac:dyDescent="0.2">
      <c r="B226" s="48"/>
      <c r="D226" s="36"/>
    </row>
    <row r="227" spans="2:4" x14ac:dyDescent="0.2">
      <c r="B227" s="48"/>
      <c r="D227" s="36"/>
    </row>
    <row r="228" spans="2:4" x14ac:dyDescent="0.2">
      <c r="B228" s="48"/>
      <c r="D228" s="36"/>
    </row>
    <row r="229" spans="2:4" x14ac:dyDescent="0.2">
      <c r="B229" s="48"/>
      <c r="D229" s="36"/>
    </row>
    <row r="230" spans="2:4" x14ac:dyDescent="0.2">
      <c r="B230" s="48"/>
      <c r="D230" s="36"/>
    </row>
    <row r="231" spans="2:4" x14ac:dyDescent="0.2">
      <c r="B231" s="48"/>
      <c r="D231" s="36"/>
    </row>
    <row r="232" spans="2:4" x14ac:dyDescent="0.2">
      <c r="B232" s="48"/>
      <c r="D232" s="36"/>
    </row>
    <row r="233" spans="2:4" x14ac:dyDescent="0.2">
      <c r="B233" s="48"/>
      <c r="D233" s="36"/>
    </row>
    <row r="234" spans="2:4" x14ac:dyDescent="0.2">
      <c r="B234" s="48"/>
      <c r="D234" s="36"/>
    </row>
    <row r="235" spans="2:4" x14ac:dyDescent="0.2">
      <c r="B235" s="48"/>
      <c r="D235" s="36"/>
    </row>
    <row r="236" spans="2:4" x14ac:dyDescent="0.2">
      <c r="B236" s="48"/>
      <c r="D236" s="36"/>
    </row>
    <row r="237" spans="2:4" x14ac:dyDescent="0.2">
      <c r="B237" s="48"/>
      <c r="D237" s="36"/>
    </row>
    <row r="238" spans="2:4" x14ac:dyDescent="0.2">
      <c r="B238" s="48"/>
      <c r="D238" s="36"/>
    </row>
    <row r="239" spans="2:4" x14ac:dyDescent="0.2">
      <c r="B239" s="48"/>
      <c r="D239" s="36"/>
    </row>
    <row r="240" spans="2:4" x14ac:dyDescent="0.2">
      <c r="B240" s="48"/>
      <c r="D240" s="36"/>
    </row>
    <row r="241" spans="2:4" x14ac:dyDescent="0.2">
      <c r="B241" s="48"/>
      <c r="D241" s="36"/>
    </row>
    <row r="242" spans="2:4" x14ac:dyDescent="0.2">
      <c r="B242" s="48"/>
      <c r="D242" s="36"/>
    </row>
    <row r="243" spans="2:4" x14ac:dyDescent="0.2">
      <c r="B243" s="48"/>
      <c r="D243" s="36"/>
    </row>
    <row r="244" spans="2:4" x14ac:dyDescent="0.2">
      <c r="B244" s="48"/>
      <c r="D244" s="36"/>
    </row>
    <row r="245" spans="2:4" x14ac:dyDescent="0.2">
      <c r="B245" s="48"/>
      <c r="D245" s="36"/>
    </row>
    <row r="246" spans="2:4" x14ac:dyDescent="0.2">
      <c r="B246" s="48"/>
      <c r="D246" s="36"/>
    </row>
    <row r="247" spans="2:4" x14ac:dyDescent="0.2">
      <c r="B247" s="48"/>
      <c r="D247" s="36"/>
    </row>
    <row r="248" spans="2:4" x14ac:dyDescent="0.2">
      <c r="B248" s="48"/>
      <c r="D248" s="36"/>
    </row>
    <row r="249" spans="2:4" x14ac:dyDescent="0.2">
      <c r="B249" s="48"/>
      <c r="D249" s="36"/>
    </row>
    <row r="250" spans="2:4" x14ac:dyDescent="0.2">
      <c r="B250" s="48"/>
      <c r="D250" s="36"/>
    </row>
    <row r="251" spans="2:4" x14ac:dyDescent="0.2">
      <c r="B251" s="48"/>
      <c r="D251" s="36"/>
    </row>
    <row r="252" spans="2:4" x14ac:dyDescent="0.2">
      <c r="B252" s="48"/>
      <c r="D252" s="36"/>
    </row>
    <row r="253" spans="2:4" x14ac:dyDescent="0.2">
      <c r="B253" s="48"/>
      <c r="D253" s="36"/>
    </row>
    <row r="254" spans="2:4" x14ac:dyDescent="0.2">
      <c r="B254" s="48"/>
      <c r="D254" s="36"/>
    </row>
    <row r="255" spans="2:4" x14ac:dyDescent="0.2">
      <c r="B255" s="48"/>
      <c r="D255" s="36"/>
    </row>
    <row r="256" spans="2:4" x14ac:dyDescent="0.2">
      <c r="B256" s="48"/>
      <c r="D256" s="36"/>
    </row>
    <row r="257" spans="2:4" x14ac:dyDescent="0.2">
      <c r="B257" s="48"/>
      <c r="D257" s="36"/>
    </row>
    <row r="258" spans="2:4" x14ac:dyDescent="0.2">
      <c r="B258" s="48"/>
      <c r="D258" s="36"/>
    </row>
    <row r="259" spans="2:4" x14ac:dyDescent="0.2">
      <c r="B259" s="48"/>
      <c r="D259" s="36"/>
    </row>
    <row r="260" spans="2:4" x14ac:dyDescent="0.2">
      <c r="B260" s="48"/>
      <c r="D260" s="36"/>
    </row>
    <row r="261" spans="2:4" x14ac:dyDescent="0.2">
      <c r="B261" s="48"/>
      <c r="D261" s="36"/>
    </row>
    <row r="262" spans="2:4" x14ac:dyDescent="0.2">
      <c r="B262" s="48"/>
      <c r="D262" s="36"/>
    </row>
    <row r="263" spans="2:4" x14ac:dyDescent="0.2">
      <c r="B263" s="48"/>
      <c r="D263" s="36"/>
    </row>
    <row r="264" spans="2:4" x14ac:dyDescent="0.2">
      <c r="B264" s="48"/>
      <c r="D264" s="36"/>
    </row>
    <row r="265" spans="2:4" x14ac:dyDescent="0.2">
      <c r="B265" s="48"/>
      <c r="D265" s="36"/>
    </row>
    <row r="266" spans="2:4" x14ac:dyDescent="0.2">
      <c r="B266" s="48"/>
      <c r="D266" s="36"/>
    </row>
    <row r="267" spans="2:4" x14ac:dyDescent="0.2">
      <c r="B267" s="48"/>
      <c r="D267" s="36"/>
    </row>
    <row r="268" spans="2:4" x14ac:dyDescent="0.2">
      <c r="B268" s="48"/>
      <c r="D268" s="36"/>
    </row>
    <row r="269" spans="2:4" x14ac:dyDescent="0.2">
      <c r="B269" s="48"/>
      <c r="D269" s="36"/>
    </row>
    <row r="270" spans="2:4" x14ac:dyDescent="0.2">
      <c r="B270" s="48"/>
      <c r="D270" s="36"/>
    </row>
    <row r="271" spans="2:4" x14ac:dyDescent="0.2">
      <c r="B271" s="48"/>
      <c r="D271" s="36"/>
    </row>
    <row r="272" spans="2:4" x14ac:dyDescent="0.2">
      <c r="B272" s="48"/>
      <c r="D272" s="36"/>
    </row>
  </sheetData>
  <sheetProtection algorithmName="SHA-512" hashValue="m0ZQtKojsQwdYTvCFAXzgD6+1GcWncC0rCLTjkCZtVM1T6qVCwk3w6Th2Y6zNv+eYDSASfKgodhD2Nf9lwtGwQ==" saltValue="95pKSd32NiZ499OE2TN0Lg==" spinCount="100000" sheet="1" objects="1" scenarios="1"/>
  <mergeCells count="7">
    <mergeCell ref="C6:D6"/>
    <mergeCell ref="R10:R12"/>
    <mergeCell ref="B10:B12"/>
    <mergeCell ref="C10:C12"/>
    <mergeCell ref="D10:D12"/>
    <mergeCell ref="P10:P12"/>
    <mergeCell ref="Q10:Q12"/>
  </mergeCells>
  <conditionalFormatting sqref="B20:R64 B13:N19 P13:R19">
    <cfRule type="expression" dxfId="47" priority="2">
      <formula>IF(ROW($A13)-12&lt;=$A$6,TRUE,FALSE)</formula>
    </cfRule>
  </conditionalFormatting>
  <conditionalFormatting sqref="O13:O19">
    <cfRule type="expression" dxfId="46"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4.25" x14ac:dyDescent="0.2"/>
  <cols>
    <col min="2" max="2" width="17.25" bestFit="1" customWidth="1"/>
    <col min="3" max="3" width="12.5" bestFit="1" customWidth="1"/>
    <col min="5" max="5" width="13" bestFit="1" customWidth="1"/>
    <col min="6" max="7" width="13" customWidth="1"/>
    <col min="8" max="9" width="11.125" bestFit="1" customWidth="1"/>
    <col min="10" max="10" width="14.5" bestFit="1" customWidth="1"/>
    <col min="11" max="12" width="8.75" bestFit="1" customWidth="1"/>
    <col min="13" max="14" width="8.75" customWidth="1"/>
    <col min="15" max="17" width="8.75" bestFit="1" customWidth="1"/>
    <col min="18" max="18" width="6.625" bestFit="1" customWidth="1"/>
    <col min="19" max="19" width="5.25" bestFit="1" customWidth="1"/>
    <col min="21" max="21" width="15.5" bestFit="1" customWidth="1"/>
    <col min="23" max="23" width="9.75" bestFit="1" customWidth="1"/>
    <col min="29" max="29" width="14.625" customWidth="1"/>
    <col min="30" max="30" width="9.75" style="36" customWidth="1"/>
    <col min="31" max="39" width="9" customWidth="1"/>
    <col min="40" max="41" width="9" hidden="1" customWidth="1"/>
    <col min="42" max="50" width="9" customWidth="1"/>
  </cols>
  <sheetData>
    <row r="1" spans="2:63" x14ac:dyDescent="0.2">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256</v>
      </c>
      <c r="AP1" t="s">
        <v>271</v>
      </c>
    </row>
    <row r="2" spans="2:63" x14ac:dyDescent="0.2">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Modality 3</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6">
        <f>IF(Planned!$C$8=0,'Planned background (hide)'!F3,'Planned background (hide)'!G3)</f>
        <v>1</v>
      </c>
      <c r="AD3" s="36">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6">
        <f>IF(Planned!$C$8=0,'Planned background (hide)'!F4,'Planned background (hide)'!G4)</f>
        <v>2</v>
      </c>
      <c r="AD4" s="36">
        <f t="shared" ref="AD4:AD54" si="2">IF(AND(AB4&gt;$U$18,AB4&lt;($U$18+$AA$19)),1,0)</f>
        <v>1</v>
      </c>
      <c r="AE4" s="5">
        <f t="shared" ca="1" si="1"/>
        <v>184.91379310344828</v>
      </c>
      <c r="AF4" s="5">
        <f t="shared" ref="AF4:AF55" ca="1" si="3">$V$23</f>
        <v>140.5344827586207</v>
      </c>
      <c r="AG4">
        <f t="shared" ref="AG4:AG55" ca="1" si="4">$V$25</f>
        <v>57.375733675715331</v>
      </c>
      <c r="AH4" s="67">
        <f t="shared" ref="AH4:AH54" ca="1" si="5">IF(AF4-(3*AG4)&lt;=0,0,AF4-(3*AG4))</f>
        <v>0</v>
      </c>
      <c r="AI4" s="67">
        <f t="shared" ref="AI4:AI54" ca="1" si="6">IF(AF4-(2*AG4)&lt;=0,0,AF4-(2*AG4))</f>
        <v>25.783015407190035</v>
      </c>
      <c r="AJ4" s="67">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8">
        <f ca="1">IF(OR(Planned!B14=1,Planned!B14=""),AC4,Planned!B14)</f>
        <v>2</v>
      </c>
      <c r="BI4" t="str">
        <f ca="1">IF(TEXT(Planned!D14,"mmm")&lt;&gt;TEXT(Planned!D13,"mmm"),TEXT(Planned!D14,"mmm"),"")</f>
        <v/>
      </c>
      <c r="BK4" s="67"/>
    </row>
    <row r="5" spans="2:63" x14ac:dyDescent="0.2">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6">
        <f>IF(Planned!$C$8=0,'Planned background (hide)'!F5,'Planned background (hide)'!G5)</f>
        <v>3</v>
      </c>
      <c r="AD5" s="36">
        <f t="shared" si="2"/>
        <v>1</v>
      </c>
      <c r="AE5" s="5">
        <f t="shared" ca="1" si="1"/>
        <v>73.965517241379317</v>
      </c>
      <c r="AF5" s="5">
        <f t="shared" ca="1" si="3"/>
        <v>140.5344827586207</v>
      </c>
      <c r="AG5">
        <f t="shared" ca="1" si="4"/>
        <v>57.375733675715331</v>
      </c>
      <c r="AH5" s="67">
        <f t="shared" ca="1" si="5"/>
        <v>0</v>
      </c>
      <c r="AI5" s="67">
        <f t="shared" ca="1" si="6"/>
        <v>25.783015407190035</v>
      </c>
      <c r="AJ5" s="67">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8">
        <f ca="1">IF(OR(Planned!B15=1,Planned!B15=""),AC5,Planned!B15)</f>
        <v>3</v>
      </c>
      <c r="BI5" t="str">
        <f ca="1">IF(TEXT(Planned!D15,"mmm")&lt;&gt;TEXT(Planned!D14,"mmm"),TEXT(Planned!D15,"mmm"),"")</f>
        <v/>
      </c>
      <c r="BK5" s="67"/>
    </row>
    <row r="6" spans="2:63" x14ac:dyDescent="0.2">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6">
        <f>IF(Planned!$C$8=0,'Planned background (hide)'!F6,'Planned background (hide)'!G6)</f>
        <v>4</v>
      </c>
      <c r="AD6" s="36">
        <f t="shared" si="2"/>
        <v>1</v>
      </c>
      <c r="AE6" s="5">
        <f t="shared" ca="1" si="1"/>
        <v>110.94827586206898</v>
      </c>
      <c r="AF6" s="5">
        <f t="shared" ca="1" si="3"/>
        <v>140.5344827586207</v>
      </c>
      <c r="AG6">
        <f t="shared" ca="1" si="4"/>
        <v>57.375733675715331</v>
      </c>
      <c r="AH6" s="67">
        <f t="shared" ca="1" si="5"/>
        <v>0</v>
      </c>
      <c r="AI6" s="67">
        <f t="shared" ca="1" si="6"/>
        <v>25.783015407190035</v>
      </c>
      <c r="AJ6" s="67">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8">
        <f ca="1">IF(OR(Planned!B16=1,Planned!B16=""),AC6,Planned!B16)</f>
        <v>4</v>
      </c>
      <c r="BI6" t="str">
        <f ca="1">IF(TEXT(Planned!D16,"mmm")&lt;&gt;TEXT(Planned!D15,"mmm"),TEXT(Planned!D16,"mmm"),"")</f>
        <v/>
      </c>
      <c r="BK6" s="67"/>
    </row>
    <row r="7" spans="2:63" x14ac:dyDescent="0.2">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4"/>
      <c r="AB7">
        <f t="shared" si="0"/>
        <v>5</v>
      </c>
      <c r="AC7" s="36">
        <f>IF(Planned!$C$8=0,'Planned background (hide)'!F7,'Planned background (hide)'!G7)</f>
        <v>5</v>
      </c>
      <c r="AD7" s="36">
        <f t="shared" si="2"/>
        <v>1</v>
      </c>
      <c r="AE7" s="5">
        <f t="shared" ca="1" si="1"/>
        <v>184.91379310344828</v>
      </c>
      <c r="AF7" s="5">
        <f t="shared" ca="1" si="3"/>
        <v>140.5344827586207</v>
      </c>
      <c r="AG7">
        <f t="shared" ca="1" si="4"/>
        <v>57.375733675715331</v>
      </c>
      <c r="AH7" s="67">
        <f t="shared" ca="1" si="5"/>
        <v>0</v>
      </c>
      <c r="AI7" s="67">
        <f t="shared" ca="1" si="6"/>
        <v>25.783015407190035</v>
      </c>
      <c r="AJ7" s="67">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8">
        <f ca="1">IF(OR(Planned!B17=1,Planned!B17=""),AC7,Planned!B17)</f>
        <v>5</v>
      </c>
      <c r="BI7" t="str">
        <f ca="1">IF(TEXT(Planned!D17,"mmm")&lt;&gt;TEXT(Planned!D16,"mmm"),TEXT(Planned!D17,"mmm"),"")</f>
        <v/>
      </c>
      <c r="BK7" s="67"/>
    </row>
    <row r="8" spans="2:63" x14ac:dyDescent="0.2">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4"/>
      <c r="AB8">
        <f t="shared" si="0"/>
        <v>6</v>
      </c>
      <c r="AC8" s="36">
        <f>IF(Planned!$C$8=0,'Planned background (hide)'!F8,'Planned background (hide)'!G8)</f>
        <v>6</v>
      </c>
      <c r="AD8" s="36">
        <f t="shared" si="2"/>
        <v>0</v>
      </c>
      <c r="AE8" s="5">
        <f t="shared" ca="1" si="1"/>
        <v>110.94827586206898</v>
      </c>
      <c r="AF8" s="5">
        <f t="shared" ca="1" si="3"/>
        <v>140.5344827586207</v>
      </c>
      <c r="AG8">
        <f t="shared" ca="1" si="4"/>
        <v>57.375733675715331</v>
      </c>
      <c r="AH8" s="67">
        <f t="shared" ca="1" si="5"/>
        <v>0</v>
      </c>
      <c r="AI8" s="67">
        <f t="shared" ca="1" si="6"/>
        <v>25.783015407190035</v>
      </c>
      <c r="AJ8" s="67">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8">
        <f ca="1">IF(OR(Planned!B18=1,Planned!B18=""),AC8,Planned!B18)</f>
        <v>6</v>
      </c>
      <c r="BI8" t="str">
        <f ca="1">IF(TEXT(Planned!D18,"mmm")&lt;&gt;TEXT(Planned!D17,"mmm"),TEXT(Planned!D18,"mmm"),"")</f>
        <v/>
      </c>
      <c r="BK8" s="67"/>
    </row>
    <row r="9" spans="2:63" x14ac:dyDescent="0.2">
      <c r="B9" s="67">
        <f ca="1">IF(Planned!$C$6&lt;&gt;"Overall",COUNTBLANK(OFFSET(Planned!E20,0,0,1,Num_Modalities)),IF(COUNTBLANK(Planned!O20)=1,Num_Modalities,0))</f>
        <v>2</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6">
        <f>IF(Planned!$C$8=0,'Planned background (hide)'!F9,'Planned background (hide)'!G9)</f>
        <v>7</v>
      </c>
      <c r="AD9" s="36">
        <f t="shared" si="2"/>
        <v>0</v>
      </c>
      <c r="AE9" s="5">
        <f t="shared" ca="1" si="1"/>
        <v>147.93103448275863</v>
      </c>
      <c r="AF9" s="5">
        <f t="shared" ca="1" si="3"/>
        <v>140.5344827586207</v>
      </c>
      <c r="AG9">
        <f t="shared" ca="1" si="4"/>
        <v>57.375733675715331</v>
      </c>
      <c r="AH9" s="67">
        <f t="shared" ca="1" si="5"/>
        <v>0</v>
      </c>
      <c r="AI9" s="67">
        <f t="shared" ca="1" si="6"/>
        <v>25.783015407190035</v>
      </c>
      <c r="AJ9" s="67">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8">
        <f ca="1">IF(OR(Planned!B19=1,Planned!B19=""),AC9,Planned!B19)</f>
        <v>7</v>
      </c>
      <c r="BI9" t="str">
        <f ca="1">IF(TEXT(Planned!D19,"mmm")&lt;&gt;TEXT(Planned!D18,"mmm"),TEXT(Planned!D19,"mmm"),"")</f>
        <v/>
      </c>
      <c r="BK9" s="67"/>
    </row>
    <row r="10" spans="2:63" x14ac:dyDescent="0.2">
      <c r="B10" s="67">
        <f ca="1">IF(Planned!$C$6&lt;&gt;"Overall",COUNTBLANK(OFFSET(Planned!E21,0,0,1,Num_Modalities)),IF(COUNTBLANK(Planned!O21)=1,Num_Modalities,0))</f>
        <v>2</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140.5344827586207</v>
      </c>
      <c r="AG10">
        <f t="shared" ca="1" si="4"/>
        <v>57.375733675715331</v>
      </c>
      <c r="AH10" s="67">
        <f t="shared" ca="1" si="5"/>
        <v>0</v>
      </c>
      <c r="AI10" s="67">
        <f t="shared" ca="1" si="6"/>
        <v>25.783015407190035</v>
      </c>
      <c r="AJ10" s="67">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8" t="str">
        <f ca="1">IF(OR(Planned!B20=1,Planned!B20=""),AC10,Planned!B20)</f>
        <v xml:space="preserve"> </v>
      </c>
      <c r="BI10" t="str">
        <f ca="1">IF(TEXT(Planned!D20,"mmm")&lt;&gt;TEXT(Planned!D19,"mmm"),TEXT(Planned!D20,"mmm"),"")</f>
        <v/>
      </c>
      <c r="BK10" s="67"/>
    </row>
    <row r="11" spans="2:63" x14ac:dyDescent="0.2">
      <c r="B11" s="67">
        <f ca="1">IF(Planned!$C$6&lt;&gt;"Overall",COUNTBLANK(OFFSET(Planned!E22,0,0,1,Num_Modalities)),IF(COUNTBLANK(Planned!O22)=1,Num_Modalities,0))</f>
        <v>2</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140.5344827586207</v>
      </c>
      <c r="AG11">
        <f t="shared" ca="1" si="4"/>
        <v>57.375733675715331</v>
      </c>
      <c r="AH11" s="67">
        <f t="shared" ca="1" si="5"/>
        <v>0</v>
      </c>
      <c r="AI11" s="67">
        <f t="shared" ca="1" si="6"/>
        <v>25.783015407190035</v>
      </c>
      <c r="AJ11" s="67">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
      <c r="B12" s="67">
        <f ca="1">IF(Planned!$C$6&lt;&gt;"Overall",COUNTBLANK(OFFSET(Planned!E23,0,0,1,Num_Modalities)),IF(COUNTBLANK(Planned!O23)=1,Num_Modalities,0))</f>
        <v>2</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140.5344827586207</v>
      </c>
      <c r="AG12">
        <f t="shared" ca="1" si="4"/>
        <v>57.375733675715331</v>
      </c>
      <c r="AH12" s="67">
        <f t="shared" ca="1" si="5"/>
        <v>0</v>
      </c>
      <c r="AI12" s="67">
        <f t="shared" ca="1" si="6"/>
        <v>25.783015407190035</v>
      </c>
      <c r="AJ12" s="67">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
      <c r="B13" s="67">
        <f ca="1">IF(Planned!$C$6&lt;&gt;"Overall",COUNTBLANK(OFFSET(Planned!E24,0,0,1,Num_Modalities)),IF(COUNTBLANK(Planned!O24)=1,Num_Modalities,0))</f>
        <v>2</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140.5344827586207</v>
      </c>
      <c r="AG13">
        <f t="shared" ca="1" si="4"/>
        <v>57.375733675715331</v>
      </c>
      <c r="AH13" s="67">
        <f t="shared" ca="1" si="5"/>
        <v>0</v>
      </c>
      <c r="AI13" s="67">
        <f t="shared" ca="1" si="6"/>
        <v>25.783015407190035</v>
      </c>
      <c r="AJ13" s="67">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
      <c r="B14" s="67">
        <f ca="1">IF(Planned!$C$6&lt;&gt;"Overall",COUNTBLANK(OFFSET(Planned!E25,0,0,1,Num_Modalities)),IF(COUNTBLANK(Planned!O25)=1,Num_Modalities,0))</f>
        <v>2</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140.5344827586207</v>
      </c>
      <c r="AG14">
        <f t="shared" ca="1" si="4"/>
        <v>57.375733675715331</v>
      </c>
      <c r="AH14" s="67">
        <f t="shared" ca="1" si="5"/>
        <v>0</v>
      </c>
      <c r="AI14" s="67">
        <f t="shared" ca="1" si="6"/>
        <v>25.783015407190035</v>
      </c>
      <c r="AJ14" s="67">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
      <c r="B15" s="67">
        <f ca="1">IF(Planned!$C$6&lt;&gt;"Overall",COUNTBLANK(OFFSET(Planned!E26,0,0,1,Num_Modalities)),IF(COUNTBLANK(Planned!O26)=1,Num_Modalities,0))</f>
        <v>2</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140.5344827586207</v>
      </c>
      <c r="AG15">
        <f t="shared" ca="1" si="4"/>
        <v>57.375733675715331</v>
      </c>
      <c r="AH15" s="67">
        <f t="shared" ca="1" si="5"/>
        <v>0</v>
      </c>
      <c r="AI15" s="67">
        <f t="shared" ca="1" si="6"/>
        <v>25.783015407190035</v>
      </c>
      <c r="AJ15" s="67">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
      <c r="B16" s="67">
        <f ca="1">IF(Planned!$C$6&lt;&gt;"Overall",COUNTBLANK(OFFSET(Planned!E27,0,0,1,Num_Modalities)),IF(COUNTBLANK(Planned!O27)=1,Num_Modalities,0))</f>
        <v>2</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140.5344827586207</v>
      </c>
      <c r="AG16">
        <f t="shared" ca="1" si="4"/>
        <v>57.375733675715331</v>
      </c>
      <c r="AH16" s="67">
        <f t="shared" ca="1" si="5"/>
        <v>0</v>
      </c>
      <c r="AI16" s="67">
        <f t="shared" ca="1" si="6"/>
        <v>25.783015407190035</v>
      </c>
      <c r="AJ16" s="67">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
      <c r="B17" s="67">
        <f ca="1">IF(Planned!$C$6&lt;&gt;"Overall",COUNTBLANK(OFFSET(Planned!E28,0,0,1,Num_Modalities)),IF(COUNTBLANK(Planned!O28)=1,Num_Modalities,0))</f>
        <v>2</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140.5344827586207</v>
      </c>
      <c r="AG17">
        <f t="shared" ca="1" si="4"/>
        <v>57.375733675715331</v>
      </c>
      <c r="AH17" s="67">
        <f t="shared" ca="1" si="5"/>
        <v>0</v>
      </c>
      <c r="AI17" s="67">
        <f t="shared" ca="1" si="6"/>
        <v>25.783015407190035</v>
      </c>
      <c r="AJ17" s="67">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
      <c r="B18" s="67">
        <f ca="1">IF(Planned!$C$6&lt;&gt;"Overall",COUNTBLANK(OFFSET(Planned!E29,0,0,1,Num_Modalities)),IF(COUNTBLANK(Planned!O29)=1,Num_Modalities,0))</f>
        <v>2</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140.5344827586207</v>
      </c>
      <c r="AG18">
        <f t="shared" ca="1" si="4"/>
        <v>57.375733675715331</v>
      </c>
      <c r="AH18" s="67">
        <f t="shared" ca="1" si="5"/>
        <v>0</v>
      </c>
      <c r="AI18" s="67">
        <f t="shared" ca="1" si="6"/>
        <v>25.783015407190035</v>
      </c>
      <c r="AJ18" s="67">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
      <c r="B19" s="67">
        <f ca="1">IF(Planned!$C$6&lt;&gt;"Overall",COUNTBLANK(OFFSET(Planned!E30,0,0,1,Num_Modalities)),IF(COUNTBLANK(Planned!O30)=1,Num_Modalities,0))</f>
        <v>2</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140.5344827586207</v>
      </c>
      <c r="AG19">
        <f t="shared" ca="1" si="4"/>
        <v>57.375733675715331</v>
      </c>
      <c r="AH19" s="67">
        <f t="shared" ca="1" si="5"/>
        <v>0</v>
      </c>
      <c r="AI19" s="67">
        <f t="shared" ca="1" si="6"/>
        <v>25.783015407190035</v>
      </c>
      <c r="AJ19" s="67">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
      <c r="B20" s="67">
        <f ca="1">IF(Planned!$C$6&lt;&gt;"Overall",COUNTBLANK(OFFSET(Planned!E31,0,0,1,Num_Modalities)),IF(COUNTBLANK(Planned!O31)=1,Num_Modalities,0))</f>
        <v>2</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140.5344827586207</v>
      </c>
      <c r="AG20">
        <f t="shared" ca="1" si="4"/>
        <v>57.375733675715331</v>
      </c>
      <c r="AH20" s="67">
        <f t="shared" ca="1" si="5"/>
        <v>0</v>
      </c>
      <c r="AI20" s="67">
        <f t="shared" ca="1" si="6"/>
        <v>25.783015407190035</v>
      </c>
      <c r="AJ20" s="67">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
      <c r="B21" s="67">
        <f ca="1">IF(Planned!$C$6&lt;&gt;"Overall",COUNTBLANK(OFFSET(Planned!E32,0,0,1,Num_Modalities)),IF(COUNTBLANK(Planned!O32)=1,Num_Modalities,0))</f>
        <v>2</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140.5344827586207</v>
      </c>
      <c r="AG21">
        <f t="shared" ca="1" si="4"/>
        <v>57.375733675715331</v>
      </c>
      <c r="AH21" s="67">
        <f t="shared" ca="1" si="5"/>
        <v>0</v>
      </c>
      <c r="AI21" s="67">
        <f t="shared" ca="1" si="6"/>
        <v>25.783015407190035</v>
      </c>
      <c r="AJ21" s="67">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
      <c r="B22" s="67">
        <f ca="1">IF(Planned!$C$6&lt;&gt;"Overall",COUNTBLANK(OFFSET(Planned!E33,0,0,1,Num_Modalities)),IF(COUNTBLANK(Planned!O33)=1,Num_Modalities,0))</f>
        <v>2</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140.5344827586207</v>
      </c>
      <c r="AG22">
        <f t="shared" ca="1" si="4"/>
        <v>57.375733675715331</v>
      </c>
      <c r="AH22" s="67">
        <f t="shared" ca="1" si="5"/>
        <v>0</v>
      </c>
      <c r="AI22" s="67">
        <f t="shared" ca="1" si="6"/>
        <v>25.783015407190035</v>
      </c>
      <c r="AJ22" s="67">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
      <c r="B23" s="67">
        <f ca="1">IF(Planned!$C$6&lt;&gt;"Overall",COUNTBLANK(OFFSET(Planned!E34,0,0,1,Num_Modalities)),IF(COUNTBLANK(Planned!O34)=1,Num_Modalities,0))</f>
        <v>2</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140.5344827586207</v>
      </c>
      <c r="W23" s="49"/>
      <c r="AB23">
        <f t="shared" si="0"/>
        <v>21</v>
      </c>
      <c r="AC23" s="36">
        <f>IF(Planned!$C$8=0,'Planned background (hide)'!F23,'Planned background (hide)'!G23)</f>
        <v>21</v>
      </c>
      <c r="AD23" s="36">
        <f t="shared" si="2"/>
        <v>0</v>
      </c>
      <c r="AE23" s="5">
        <f t="shared" ca="1" si="1"/>
        <v>0</v>
      </c>
      <c r="AF23" s="5">
        <f t="shared" ca="1" si="3"/>
        <v>140.5344827586207</v>
      </c>
      <c r="AG23">
        <f t="shared" ca="1" si="4"/>
        <v>57.375733675715331</v>
      </c>
      <c r="AH23" s="67">
        <f t="shared" ca="1" si="5"/>
        <v>0</v>
      </c>
      <c r="AI23" s="67">
        <f t="shared" ca="1" si="6"/>
        <v>25.783015407190035</v>
      </c>
      <c r="AJ23" s="67">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
      <c r="B24" s="67">
        <f ca="1">IF(Planned!$C$6&lt;&gt;"Overall",COUNTBLANK(OFFSET(Planned!E35,0,0,1,Num_Modalities)),IF(COUNTBLANK(Planned!O35)=1,Num_Modalities,0))</f>
        <v>2</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64.71982758620689</v>
      </c>
      <c r="W24" s="49"/>
      <c r="AB24">
        <f t="shared" si="0"/>
        <v>22</v>
      </c>
      <c r="AC24" s="36">
        <f>IF(Planned!$C$8=0,'Planned background (hide)'!F24,'Planned background (hide)'!G24)</f>
        <v>22</v>
      </c>
      <c r="AD24" s="36">
        <f t="shared" si="2"/>
        <v>0</v>
      </c>
      <c r="AE24" s="5">
        <f t="shared" ca="1" si="1"/>
        <v>0</v>
      </c>
      <c r="AF24" s="5">
        <f t="shared" ca="1" si="3"/>
        <v>140.5344827586207</v>
      </c>
      <c r="AG24">
        <f t="shared" ca="1" si="4"/>
        <v>57.375733675715331</v>
      </c>
      <c r="AH24" s="67">
        <f t="shared" ca="1" si="5"/>
        <v>0</v>
      </c>
      <c r="AI24" s="67">
        <f t="shared" ca="1" si="6"/>
        <v>25.783015407190035</v>
      </c>
      <c r="AJ24" s="67">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
      <c r="B25" s="67">
        <f ca="1">IF(Planned!$C$6&lt;&gt;"Overall",COUNTBLANK(OFFSET(Planned!E36,0,0,1,Num_Modalities)),IF(COUNTBLANK(Planned!O36)=1,Num_Modalities,0))</f>
        <v>2</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57.375733675715331</v>
      </c>
      <c r="AB25">
        <f t="shared" si="0"/>
        <v>23</v>
      </c>
      <c r="AC25" s="36">
        <f>IF(Planned!$C$8=0,'Planned background (hide)'!F25,'Planned background (hide)'!G25)</f>
        <v>23</v>
      </c>
      <c r="AD25" s="36">
        <f t="shared" si="2"/>
        <v>0</v>
      </c>
      <c r="AE25" s="5">
        <f t="shared" ca="1" si="1"/>
        <v>0</v>
      </c>
      <c r="AF25" s="5">
        <f t="shared" ca="1" si="3"/>
        <v>140.5344827586207</v>
      </c>
      <c r="AG25">
        <f t="shared" ca="1" si="4"/>
        <v>57.375733675715331</v>
      </c>
      <c r="AH25" s="67">
        <f t="shared" ca="1" si="5"/>
        <v>0</v>
      </c>
      <c r="AI25" s="67">
        <f t="shared" ca="1" si="6"/>
        <v>25.783015407190035</v>
      </c>
      <c r="AJ25" s="67">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
      <c r="B26" s="67">
        <f ca="1">IF(Planned!$C$6&lt;&gt;"Overall",COUNTBLANK(OFFSET(Planned!E37,0,0,1,Num_Modalities)),IF(COUNTBLANK(Planned!O37)=1,Num_Modalities,0))</f>
        <v>2</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170.12068965517244</v>
      </c>
      <c r="AB26">
        <f t="shared" si="0"/>
        <v>24</v>
      </c>
      <c r="AC26" s="36">
        <f>IF(Planned!$C$8=0,'Planned background (hide)'!F26,'Planned background (hide)'!G26)</f>
        <v>24</v>
      </c>
      <c r="AD26" s="36">
        <f t="shared" si="2"/>
        <v>0</v>
      </c>
      <c r="AE26" s="5">
        <f t="shared" ca="1" si="1"/>
        <v>0</v>
      </c>
      <c r="AF26" s="5">
        <f t="shared" ca="1" si="3"/>
        <v>140.5344827586207</v>
      </c>
      <c r="AG26">
        <f t="shared" ca="1" si="4"/>
        <v>57.375733675715331</v>
      </c>
      <c r="AH26" s="67">
        <f t="shared" ca="1" si="5"/>
        <v>0</v>
      </c>
      <c r="AI26" s="67">
        <f t="shared" ca="1" si="6"/>
        <v>25.783015407190035</v>
      </c>
      <c r="AJ26" s="67">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
      <c r="B27" s="67">
        <f ca="1">IF(Planned!$C$6&lt;&gt;"Overall",COUNTBLANK(OFFSET(Planned!E38,0,0,1,Num_Modalities)),IF(COUNTBLANK(Planned!O38)=1,Num_Modalities,0))</f>
        <v>2</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184.91379310344828</v>
      </c>
      <c r="AB27">
        <f t="shared" si="0"/>
        <v>25</v>
      </c>
      <c r="AC27" s="36">
        <f>IF(Planned!$C$8=0,'Planned background (hide)'!F27,'Planned background (hide)'!G27)</f>
        <v>25</v>
      </c>
      <c r="AD27" s="36">
        <f t="shared" si="2"/>
        <v>0</v>
      </c>
      <c r="AE27" s="5">
        <f t="shared" ca="1" si="1"/>
        <v>0</v>
      </c>
      <c r="AF27" s="5">
        <f t="shared" ca="1" si="3"/>
        <v>140.5344827586207</v>
      </c>
      <c r="AG27">
        <f t="shared" ca="1" si="4"/>
        <v>57.375733675715331</v>
      </c>
      <c r="AH27" s="67">
        <f t="shared" ca="1" si="5"/>
        <v>0</v>
      </c>
      <c r="AI27" s="67">
        <f t="shared" ca="1" si="6"/>
        <v>25.783015407190035</v>
      </c>
      <c r="AJ27" s="67">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
      <c r="B28" s="67">
        <f ca="1">IF(Planned!$C$6&lt;&gt;"Overall",COUNTBLANK(OFFSET(Planned!E39,0,0,1,Num_Modalities)),IF(COUNTBLANK(Planned!O39)=1,Num_Modalities,0))</f>
        <v>2</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140.5344827586207</v>
      </c>
      <c r="AG28">
        <f t="shared" ca="1" si="4"/>
        <v>57.375733675715331</v>
      </c>
      <c r="AH28" s="67">
        <f t="shared" ca="1" si="5"/>
        <v>0</v>
      </c>
      <c r="AI28" s="67">
        <f t="shared" ca="1" si="6"/>
        <v>25.783015407190035</v>
      </c>
      <c r="AJ28" s="67">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
      <c r="B29" s="67">
        <f ca="1">IF(Planned!$C$6&lt;&gt;"Overall",COUNTBLANK(OFFSET(Planned!E40,0,0,1,Num_Modalities)),IF(COUNTBLANK(Planned!O40)=1,Num_Modalities,0))</f>
        <v>2</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140.5344827586207</v>
      </c>
      <c r="AG29">
        <f t="shared" ca="1" si="4"/>
        <v>57.375733675715331</v>
      </c>
      <c r="AH29" s="67">
        <f t="shared" ca="1" si="5"/>
        <v>0</v>
      </c>
      <c r="AI29" s="67">
        <f t="shared" ca="1" si="6"/>
        <v>25.783015407190035</v>
      </c>
      <c r="AJ29" s="67">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
      <c r="B30" s="67">
        <f ca="1">IF(Planned!$C$6&lt;&gt;"Overall",COUNTBLANK(OFFSET(Planned!E41,0,0,1,Num_Modalities)),IF(COUNTBLANK(Planned!O41)=1,Num_Modalities,0))</f>
        <v>2</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140.5344827586207</v>
      </c>
      <c r="AG30">
        <f t="shared" ca="1" si="4"/>
        <v>57.375733675715331</v>
      </c>
      <c r="AH30" s="67">
        <f t="shared" ca="1" si="5"/>
        <v>0</v>
      </c>
      <c r="AI30" s="67">
        <f t="shared" ca="1" si="6"/>
        <v>25.783015407190035</v>
      </c>
      <c r="AJ30" s="67">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
      <c r="B31" s="67">
        <f ca="1">IF(Planned!$C$6&lt;&gt;"Overall",COUNTBLANK(OFFSET(Planned!E42,0,0,1,Num_Modalities)),IF(COUNTBLANK(Planned!O42)=1,Num_Modalities,0))</f>
        <v>2</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140.5344827586207</v>
      </c>
      <c r="AG31">
        <f t="shared" ca="1" si="4"/>
        <v>57.375733675715331</v>
      </c>
      <c r="AH31" s="67">
        <f t="shared" ca="1" si="5"/>
        <v>0</v>
      </c>
      <c r="AI31" s="67">
        <f t="shared" ca="1" si="6"/>
        <v>25.783015407190035</v>
      </c>
      <c r="AJ31" s="67">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
      <c r="B32" s="67">
        <f ca="1">IF(Planned!$C$6&lt;&gt;"Overall",COUNTBLANK(OFFSET(Planned!E43,0,0,1,Num_Modalities)),IF(COUNTBLANK(Planned!O43)=1,Num_Modalities,0))</f>
        <v>2</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140.5344827586207</v>
      </c>
      <c r="AG32">
        <f t="shared" ca="1" si="4"/>
        <v>57.375733675715331</v>
      </c>
      <c r="AH32" s="67">
        <f t="shared" ca="1" si="5"/>
        <v>0</v>
      </c>
      <c r="AI32" s="67">
        <f t="shared" ca="1" si="6"/>
        <v>25.783015407190035</v>
      </c>
      <c r="AJ32" s="67">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
      <c r="B33" s="67">
        <f ca="1">IF(Planned!$C$6&lt;&gt;"Overall",COUNTBLANK(OFFSET(Planned!E44,0,0,1,Num_Modalities)),IF(COUNTBLANK(Planned!O44)=1,Num_Modalities,0))</f>
        <v>2</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140.5344827586207</v>
      </c>
      <c r="AG33">
        <f t="shared" ca="1" si="4"/>
        <v>57.375733675715331</v>
      </c>
      <c r="AH33" s="67">
        <f t="shared" ca="1" si="5"/>
        <v>0</v>
      </c>
      <c r="AI33" s="67">
        <f t="shared" ca="1" si="6"/>
        <v>25.783015407190035</v>
      </c>
      <c r="AJ33" s="67">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
      <c r="B34" s="67">
        <f ca="1">IF(Planned!$C$6&lt;&gt;"Overall",COUNTBLANK(OFFSET(Planned!E45,0,0,1,Num_Modalities)),IF(COUNTBLANK(Planned!O45)=1,Num_Modalities,0))</f>
        <v>2</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140.5344827586207</v>
      </c>
      <c r="AG34">
        <f t="shared" ca="1" si="4"/>
        <v>57.375733675715331</v>
      </c>
      <c r="AH34" s="67">
        <f t="shared" ca="1" si="5"/>
        <v>0</v>
      </c>
      <c r="AI34" s="67">
        <f t="shared" ca="1" si="6"/>
        <v>25.783015407190035</v>
      </c>
      <c r="AJ34" s="67">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
      <c r="B35" s="67">
        <f ca="1">IF(Planned!$C$6&lt;&gt;"Overall",COUNTBLANK(OFFSET(Planned!E46,0,0,1,Num_Modalities)),IF(COUNTBLANK(Planned!O46)=1,Num_Modalities,0))</f>
        <v>2</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140.5344827586207</v>
      </c>
      <c r="AG35">
        <f t="shared" ca="1" si="4"/>
        <v>57.375733675715331</v>
      </c>
      <c r="AH35" s="67">
        <f t="shared" ca="1" si="5"/>
        <v>0</v>
      </c>
      <c r="AI35" s="67">
        <f t="shared" ca="1" si="6"/>
        <v>25.783015407190035</v>
      </c>
      <c r="AJ35" s="67">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
      <c r="B36" s="67">
        <f ca="1">IF(Planned!$C$6&lt;&gt;"Overall",COUNTBLANK(OFFSET(Planned!E47,0,0,1,Num_Modalities)),IF(COUNTBLANK(Planned!O47)=1,Num_Modalities,0))</f>
        <v>2</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140.5344827586207</v>
      </c>
      <c r="AG36">
        <f t="shared" ca="1" si="4"/>
        <v>57.375733675715331</v>
      </c>
      <c r="AH36" s="67">
        <f t="shared" ca="1" si="5"/>
        <v>0</v>
      </c>
      <c r="AI36" s="67">
        <f t="shared" ca="1" si="6"/>
        <v>25.783015407190035</v>
      </c>
      <c r="AJ36" s="67">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
      <c r="B37" s="67">
        <f ca="1">IF(Planned!$C$6&lt;&gt;"Overall",COUNTBLANK(OFFSET(Planned!E48,0,0,1,Num_Modalities)),IF(COUNTBLANK(Planned!O48)=1,Num_Modalities,0))</f>
        <v>2</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140.5344827586207</v>
      </c>
      <c r="AG37">
        <f t="shared" ca="1" si="4"/>
        <v>57.375733675715331</v>
      </c>
      <c r="AH37" s="67">
        <f t="shared" ca="1" si="5"/>
        <v>0</v>
      </c>
      <c r="AI37" s="67">
        <f t="shared" ca="1" si="6"/>
        <v>25.783015407190035</v>
      </c>
      <c r="AJ37" s="67">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
      <c r="B38" s="67">
        <f ca="1">IF(Planned!$C$6&lt;&gt;"Overall",COUNTBLANK(OFFSET(Planned!E49,0,0,1,Num_Modalities)),IF(COUNTBLANK(Planned!O49)=1,Num_Modalities,0))</f>
        <v>2</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140.5344827586207</v>
      </c>
      <c r="AG38">
        <f t="shared" ca="1" si="4"/>
        <v>57.375733675715331</v>
      </c>
      <c r="AH38" s="67">
        <f t="shared" ca="1" si="5"/>
        <v>0</v>
      </c>
      <c r="AI38" s="67">
        <f t="shared" ca="1" si="6"/>
        <v>25.783015407190035</v>
      </c>
      <c r="AJ38" s="67">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
      <c r="B39" s="67">
        <f ca="1">IF(Planned!$C$6&lt;&gt;"Overall",COUNTBLANK(OFFSET(Planned!E50,0,0,1,Num_Modalities)),IF(COUNTBLANK(Planned!O50)=1,Num_Modalities,0))</f>
        <v>2</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140.5344827586207</v>
      </c>
      <c r="AG39">
        <f t="shared" ca="1" si="4"/>
        <v>57.375733675715331</v>
      </c>
      <c r="AH39" s="67">
        <f t="shared" ca="1" si="5"/>
        <v>0</v>
      </c>
      <c r="AI39" s="67">
        <f t="shared" ca="1" si="6"/>
        <v>25.783015407190035</v>
      </c>
      <c r="AJ39" s="67">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
      <c r="B40" s="67">
        <f ca="1">IF(Planned!$C$6&lt;&gt;"Overall",COUNTBLANK(OFFSET(Planned!E51,0,0,1,Num_Modalities)),IF(COUNTBLANK(Planned!O51)=1,Num_Modalities,0))</f>
        <v>2</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140.5344827586207</v>
      </c>
      <c r="AG40">
        <f t="shared" ca="1" si="4"/>
        <v>57.375733675715331</v>
      </c>
      <c r="AH40" s="67">
        <f t="shared" ca="1" si="5"/>
        <v>0</v>
      </c>
      <c r="AI40" s="67">
        <f t="shared" ca="1" si="6"/>
        <v>25.783015407190035</v>
      </c>
      <c r="AJ40" s="67">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
      <c r="B41" s="67">
        <f ca="1">IF(Planned!$C$6&lt;&gt;"Overall",COUNTBLANK(OFFSET(Planned!E52,0,0,1,Num_Modalities)),IF(COUNTBLANK(Planned!O52)=1,Num_Modalities,0))</f>
        <v>2</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140.5344827586207</v>
      </c>
      <c r="AG41">
        <f t="shared" ca="1" si="4"/>
        <v>57.375733675715331</v>
      </c>
      <c r="AH41" s="67">
        <f t="shared" ca="1" si="5"/>
        <v>0</v>
      </c>
      <c r="AI41" s="67">
        <f t="shared" ca="1" si="6"/>
        <v>25.783015407190035</v>
      </c>
      <c r="AJ41" s="67">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
      <c r="B42" s="67">
        <f ca="1">IF(Planned!$C$6&lt;&gt;"Overall",COUNTBLANK(OFFSET(Planned!E53,0,0,1,Num_Modalities)),IF(COUNTBLANK(Planned!O53)=1,Num_Modalities,0))</f>
        <v>2</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140.5344827586207</v>
      </c>
      <c r="AG42">
        <f t="shared" ca="1" si="4"/>
        <v>57.375733675715331</v>
      </c>
      <c r="AH42" s="67">
        <f t="shared" ca="1" si="5"/>
        <v>0</v>
      </c>
      <c r="AI42" s="67">
        <f t="shared" ca="1" si="6"/>
        <v>25.783015407190035</v>
      </c>
      <c r="AJ42" s="67">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
      <c r="B43" s="67">
        <f ca="1">IF(Planned!$C$6&lt;&gt;"Overall",COUNTBLANK(OFFSET(Planned!E54,0,0,1,Num_Modalities)),IF(COUNTBLANK(Planned!O54)=1,Num_Modalities,0))</f>
        <v>2</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140.5344827586207</v>
      </c>
      <c r="AG43">
        <f t="shared" ca="1" si="4"/>
        <v>57.375733675715331</v>
      </c>
      <c r="AH43" s="67">
        <f t="shared" ca="1" si="5"/>
        <v>0</v>
      </c>
      <c r="AI43" s="67">
        <f t="shared" ca="1" si="6"/>
        <v>25.783015407190035</v>
      </c>
      <c r="AJ43" s="67">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
      <c r="B44" s="67">
        <f ca="1">IF(Planned!$C$6&lt;&gt;"Overall",COUNTBLANK(OFFSET(Planned!E55,0,0,1,Num_Modalities)),IF(COUNTBLANK(Planned!O55)=1,Num_Modalities,0))</f>
        <v>2</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140.5344827586207</v>
      </c>
      <c r="AG44">
        <f t="shared" ca="1" si="4"/>
        <v>57.375733675715331</v>
      </c>
      <c r="AH44" s="67">
        <f t="shared" ca="1" si="5"/>
        <v>0</v>
      </c>
      <c r="AI44" s="67">
        <f t="shared" ca="1" si="6"/>
        <v>25.783015407190035</v>
      </c>
      <c r="AJ44" s="67">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
      <c r="B45" s="67">
        <f ca="1">IF(Planned!$C$6&lt;&gt;"Overall",COUNTBLANK(OFFSET(Planned!E56,0,0,1,Num_Modalities)),IF(COUNTBLANK(Planned!O56)=1,Num_Modalities,0))</f>
        <v>2</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140.5344827586207</v>
      </c>
      <c r="AG45">
        <f t="shared" ca="1" si="4"/>
        <v>57.375733675715331</v>
      </c>
      <c r="AH45" s="67">
        <f t="shared" ca="1" si="5"/>
        <v>0</v>
      </c>
      <c r="AI45" s="67">
        <f t="shared" ca="1" si="6"/>
        <v>25.783015407190035</v>
      </c>
      <c r="AJ45" s="67">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
      <c r="B46" s="67">
        <f ca="1">IF(Planned!$C$6&lt;&gt;"Overall",COUNTBLANK(OFFSET(Planned!E57,0,0,1,Num_Modalities)),IF(COUNTBLANK(Planned!O57)=1,Num_Modalities,0))</f>
        <v>2</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140.5344827586207</v>
      </c>
      <c r="AG46">
        <f t="shared" ca="1" si="4"/>
        <v>57.375733675715331</v>
      </c>
      <c r="AH46" s="67">
        <f t="shared" ca="1" si="5"/>
        <v>0</v>
      </c>
      <c r="AI46" s="67">
        <f t="shared" ca="1" si="6"/>
        <v>25.783015407190035</v>
      </c>
      <c r="AJ46" s="67">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
      <c r="B47" s="67">
        <f ca="1">IF(Planned!$C$6&lt;&gt;"Overall",COUNTBLANK(OFFSET(Planned!E58,0,0,1,Num_Modalities)),IF(COUNTBLANK(Planned!O58)=1,Num_Modalities,0))</f>
        <v>2</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140.5344827586207</v>
      </c>
      <c r="AG47">
        <f t="shared" ca="1" si="4"/>
        <v>57.375733675715331</v>
      </c>
      <c r="AH47" s="67">
        <f t="shared" ca="1" si="5"/>
        <v>0</v>
      </c>
      <c r="AI47" s="67">
        <f t="shared" ca="1" si="6"/>
        <v>25.783015407190035</v>
      </c>
      <c r="AJ47" s="67">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
      <c r="B48" s="67">
        <f ca="1">IF(Planned!$C$6&lt;&gt;"Overall",COUNTBLANK(OFFSET(Planned!E59,0,0,1,Num_Modalities)),IF(COUNTBLANK(Planned!O59)=1,Num_Modalities,0))</f>
        <v>2</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140.5344827586207</v>
      </c>
      <c r="AG48">
        <f t="shared" ca="1" si="4"/>
        <v>57.375733675715331</v>
      </c>
      <c r="AH48" s="67">
        <f t="shared" ca="1" si="5"/>
        <v>0</v>
      </c>
      <c r="AI48" s="67">
        <f t="shared" ca="1" si="6"/>
        <v>25.783015407190035</v>
      </c>
      <c r="AJ48" s="67">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
      <c r="B49" s="67">
        <f ca="1">IF(Planned!$C$6&lt;&gt;"Overall",COUNTBLANK(OFFSET(Planned!E60,0,0,1,Num_Modalities)),IF(COUNTBLANK(Planned!O60)=1,Num_Modalities,0))</f>
        <v>2</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140.5344827586207</v>
      </c>
      <c r="AG49">
        <f t="shared" ca="1" si="4"/>
        <v>57.375733675715331</v>
      </c>
      <c r="AH49" s="67">
        <f t="shared" ca="1" si="5"/>
        <v>0</v>
      </c>
      <c r="AI49" s="67">
        <f t="shared" ca="1" si="6"/>
        <v>25.783015407190035</v>
      </c>
      <c r="AJ49" s="67">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
      <c r="B50" s="67">
        <f ca="1">IF(Planned!$C$6&lt;&gt;"Overall",COUNTBLANK(OFFSET(Planned!E61,0,0,1,Num_Modalities)),IF(COUNTBLANK(Planned!O61)=1,Num_Modalities,0))</f>
        <v>2</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140.5344827586207</v>
      </c>
      <c r="AG50">
        <f t="shared" ca="1" si="4"/>
        <v>57.375733675715331</v>
      </c>
      <c r="AH50" s="67">
        <f t="shared" ca="1" si="5"/>
        <v>0</v>
      </c>
      <c r="AI50" s="67">
        <f t="shared" ca="1" si="6"/>
        <v>25.783015407190035</v>
      </c>
      <c r="AJ50" s="67">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
      <c r="B51" s="67">
        <f ca="1">IF(Planned!$C$6&lt;&gt;"Overall",COUNTBLANK(OFFSET(Planned!E62,0,0,1,Num_Modalities)),IF(COUNTBLANK(Planned!O62)=1,Num_Modalities,0))</f>
        <v>2</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140.5344827586207</v>
      </c>
      <c r="AG51">
        <f t="shared" ca="1" si="4"/>
        <v>57.375733675715331</v>
      </c>
      <c r="AH51" s="67">
        <f t="shared" ca="1" si="5"/>
        <v>0</v>
      </c>
      <c r="AI51" s="67">
        <f t="shared" ca="1" si="6"/>
        <v>25.783015407190035</v>
      </c>
      <c r="AJ51" s="67">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
      <c r="B52" s="67">
        <f ca="1">IF(Planned!$C$6&lt;&gt;"Overall",COUNTBLANK(OFFSET(Planned!E63,0,0,1,Num_Modalities)),IF(COUNTBLANK(Planned!O63)=1,Num_Modalities,0))</f>
        <v>2</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140.5344827586207</v>
      </c>
      <c r="AG52">
        <f t="shared" ca="1" si="4"/>
        <v>57.375733675715331</v>
      </c>
      <c r="AH52" s="67">
        <f t="shared" ca="1" si="5"/>
        <v>0</v>
      </c>
      <c r="AI52" s="67">
        <f t="shared" ca="1" si="6"/>
        <v>25.783015407190035</v>
      </c>
      <c r="AJ52" s="67">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
      <c r="B53" s="67">
        <f ca="1">IF(Planned!$C$6&lt;&gt;"Overall",COUNTBLANK(OFFSET(Planned!E64,0,0,1,Num_Modalities)),IF(COUNTBLANK(Planned!O64)=1,Num_Modalities,0))</f>
        <v>2</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140.5344827586207</v>
      </c>
      <c r="AG53">
        <f t="shared" ca="1" si="4"/>
        <v>57.375733675715331</v>
      </c>
      <c r="AH53" s="67">
        <f t="shared" ca="1" si="5"/>
        <v>0</v>
      </c>
      <c r="AI53" s="67">
        <f t="shared" ca="1" si="6"/>
        <v>25.783015407190035</v>
      </c>
      <c r="AJ53" s="67">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140.5344827586207</v>
      </c>
      <c r="AG54">
        <f t="shared" ca="1" si="4"/>
        <v>57.375733675715331</v>
      </c>
      <c r="AH54" s="67">
        <f t="shared" ca="1" si="5"/>
        <v>0</v>
      </c>
      <c r="AI54" s="67">
        <f t="shared" ca="1" si="6"/>
        <v>25.783015407190035</v>
      </c>
      <c r="AJ54" s="67">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140.5344827586207</v>
      </c>
      <c r="AG55" s="67">
        <f t="shared" ca="1" si="4"/>
        <v>57.375733675715331</v>
      </c>
      <c r="AH55" s="67">
        <f t="shared" ref="AH55" ca="1" si="28">IF(AF55-(3*AG55)&lt;=0,0,AF55-(3*AG55))</f>
        <v>0</v>
      </c>
      <c r="AI55" s="67">
        <f t="shared" ref="AI55" ca="1" si="29">IF(AF55-(2*AG55)&lt;=0,0,AF55-(2*AG55))</f>
        <v>25.783015407190035</v>
      </c>
      <c r="AJ55" s="67">
        <f t="shared" ref="AJ55" ca="1" si="30">IF(AF55-(1*AG55)&lt;=0,0,AF55-(1*AG55))</f>
        <v>83.158749082905359</v>
      </c>
      <c r="AK55" s="67">
        <f t="shared" ref="AK55" ca="1" si="31">AF55+(1*AG55)</f>
        <v>197.91021643433604</v>
      </c>
      <c r="AL55" s="67">
        <f t="shared" ref="AL55" ca="1" si="32">AF55+(2*AG55)</f>
        <v>255.28595011005137</v>
      </c>
      <c r="AM55" s="67">
        <f t="shared" ref="AM55" ca="1" si="33">AF55+(3*AG55)</f>
        <v>312.66168378576668</v>
      </c>
      <c r="AN55" s="67">
        <f t="shared" ca="1" si="11"/>
        <v>170.12068965517244</v>
      </c>
      <c r="AO55" s="67">
        <f t="shared" ca="1" si="12"/>
        <v>184.91379310344828</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4.25" x14ac:dyDescent="0.2"/>
  <cols>
    <col min="1" max="1" width="17.25" style="52" customWidth="1"/>
    <col min="2" max="2" width="11.5" style="52" customWidth="1"/>
    <col min="3" max="19" width="9" style="52"/>
    <col min="20" max="20" width="9.75" style="52" bestFit="1" customWidth="1"/>
    <col min="21" max="16384" width="9" style="52"/>
  </cols>
  <sheetData>
    <row r="1" spans="1:20" x14ac:dyDescent="0.2">
      <c r="B1" s="53"/>
    </row>
    <row r="3" spans="1:20" ht="15" x14ac:dyDescent="0.25">
      <c r="A3" s="56" t="s">
        <v>185</v>
      </c>
    </row>
    <row r="4" spans="1:20" x14ac:dyDescent="0.2">
      <c r="A4" s="38" t="s">
        <v>268</v>
      </c>
    </row>
    <row r="5" spans="1:20" x14ac:dyDescent="0.2">
      <c r="A5" s="38" t="s">
        <v>269</v>
      </c>
    </row>
    <row r="7" spans="1:20" x14ac:dyDescent="0.2">
      <c r="A7" s="55" t="s">
        <v>147</v>
      </c>
      <c r="T7" s="58"/>
    </row>
    <row r="8" spans="1:20" ht="15" x14ac:dyDescent="0.25">
      <c r="A8" s="56" t="str">
        <f>'Planned background (hide)'!AA19&amp;" weeks"</f>
        <v>5 weeks</v>
      </c>
      <c r="T8" s="58"/>
    </row>
    <row r="10" spans="1:20" x14ac:dyDescent="0.2">
      <c r="A10" s="52" t="s">
        <v>195</v>
      </c>
      <c r="C10" s="211" t="s">
        <v>20</v>
      </c>
    </row>
    <row r="11" spans="1:20" x14ac:dyDescent="0.2">
      <c r="C11" s="57"/>
    </row>
    <row r="12" spans="1:20" x14ac:dyDescent="0.2">
      <c r="A12" s="52" t="s">
        <v>196</v>
      </c>
      <c r="C12" s="211" t="s">
        <v>22</v>
      </c>
    </row>
    <row r="27" spans="1:2" ht="15" x14ac:dyDescent="0.25">
      <c r="A27" s="56" t="s">
        <v>178</v>
      </c>
    </row>
    <row r="28" spans="1:2" x14ac:dyDescent="0.2">
      <c r="A28" s="40"/>
      <c r="B28" s="52" t="s">
        <v>175</v>
      </c>
    </row>
    <row r="29" spans="1:2" x14ac:dyDescent="0.2">
      <c r="A29" s="41"/>
      <c r="B29" s="52" t="s">
        <v>176</v>
      </c>
    </row>
    <row r="30" spans="1:2" x14ac:dyDescent="0.2">
      <c r="A30" s="42"/>
      <c r="B30" s="52" t="s">
        <v>197</v>
      </c>
    </row>
    <row r="31" spans="1:2" x14ac:dyDescent="0.2">
      <c r="A31" s="43"/>
      <c r="B31" s="52" t="s">
        <v>177</v>
      </c>
    </row>
    <row r="34" spans="4:4" x14ac:dyDescent="0.2">
      <c r="D34" s="61"/>
    </row>
    <row r="35" spans="4:4" x14ac:dyDescent="0.2">
      <c r="D35" s="61"/>
    </row>
  </sheetData>
  <sheetProtection algorithmName="SHA-512" hashValue="7eTKXIpOWPAdaEvKi//fbxwdL+AA42s+DXWy/JT9PyR3/OVmZ67jlsJ2GTtshfDRQxH33BR6SgznALNL2yZqtA==" saltValue="ScJV3Yh3ypXK+BjI8EHsk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866775</xdr:colOff>
                    <xdr:row>3</xdr:row>
                    <xdr:rowOff>171450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866775</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90" zoomScaleNormal="90" workbookViewId="0">
      <selection activeCell="C4" sqref="C4"/>
    </sheetView>
  </sheetViews>
  <sheetFormatPr defaultRowHeight="14.25" x14ac:dyDescent="0.2"/>
  <cols>
    <col min="1" max="1" width="2.625" style="52" customWidth="1"/>
    <col min="2" max="2" width="20.625" customWidth="1"/>
    <col min="3" max="3" width="16.75" customWidth="1"/>
    <col min="4" max="4" width="13" bestFit="1" customWidth="1"/>
    <col min="5" max="5" width="7.125" customWidth="1"/>
    <col min="6" max="6" width="7.75" customWidth="1"/>
    <col min="7" max="7" width="7.75" style="67" hidden="1" customWidth="1"/>
    <col min="8" max="8" width="8.625" customWidth="1"/>
    <col min="9" max="9" width="10.5" customWidth="1"/>
    <col min="10" max="10" width="11.25" style="52" hidden="1" customWidth="1"/>
    <col min="11" max="11" width="9.75" style="72" hidden="1" customWidth="1"/>
    <col min="12" max="12" width="9" style="72" customWidth="1"/>
    <col min="13" max="13" width="3.25" style="72" customWidth="1"/>
    <col min="14" max="14" width="23.25" customWidth="1"/>
    <col min="15" max="15" width="16.25" bestFit="1" customWidth="1"/>
    <col min="16" max="16" width="13" customWidth="1"/>
    <col min="17" max="17" width="6.5" customWidth="1"/>
    <col min="18" max="18" width="8.25" customWidth="1"/>
    <col min="19" max="19" width="8.25" style="67" hidden="1" customWidth="1"/>
    <col min="20" max="20" width="8.75" customWidth="1"/>
    <col min="21" max="21" width="10.625" customWidth="1"/>
    <col min="22" max="64" width="9" style="52"/>
  </cols>
  <sheetData>
    <row r="1" spans="1:23" s="52" customFormat="1" x14ac:dyDescent="0.2">
      <c r="B1" s="72"/>
      <c r="C1" s="72"/>
      <c r="D1" s="72"/>
      <c r="E1" s="72"/>
      <c r="F1" s="72"/>
      <c r="G1" s="72"/>
      <c r="H1" s="72"/>
      <c r="I1" s="72"/>
      <c r="J1" s="72"/>
      <c r="K1" s="72"/>
      <c r="L1" s="72"/>
      <c r="M1" s="72"/>
      <c r="N1" s="72"/>
      <c r="O1" s="72"/>
      <c r="P1" s="72"/>
      <c r="Q1" s="72"/>
      <c r="R1" s="72"/>
      <c r="S1" s="72"/>
      <c r="T1" s="72"/>
      <c r="U1" s="72"/>
    </row>
    <row r="2" spans="1:23" s="52" customFormat="1" ht="15" x14ac:dyDescent="0.25">
      <c r="B2" s="105" t="s">
        <v>391</v>
      </c>
      <c r="C2" s="105"/>
      <c r="D2" s="72"/>
      <c r="E2" s="72"/>
      <c r="F2" s="72"/>
      <c r="G2" s="72"/>
      <c r="H2" s="72"/>
      <c r="I2" s="72"/>
      <c r="J2" s="72"/>
      <c r="K2" s="72"/>
      <c r="L2" s="72"/>
      <c r="M2" s="72"/>
      <c r="N2" s="383" t="s">
        <v>1293</v>
      </c>
      <c r="O2" s="72"/>
      <c r="P2" s="72"/>
      <c r="Q2" s="72"/>
      <c r="R2" s="72"/>
      <c r="S2" s="72"/>
      <c r="T2" s="72"/>
      <c r="U2" s="72"/>
    </row>
    <row r="3" spans="1:23" s="52" customFormat="1" x14ac:dyDescent="0.2">
      <c r="B3" s="72" t="s">
        <v>474</v>
      </c>
      <c r="C3" s="391">
        <v>43586</v>
      </c>
      <c r="D3" s="72"/>
      <c r="F3" s="72"/>
      <c r="G3" s="72"/>
      <c r="H3" s="72"/>
      <c r="I3" s="72"/>
      <c r="J3" s="72"/>
      <c r="K3" s="72"/>
      <c r="L3" s="72"/>
      <c r="M3" s="72"/>
      <c r="N3" s="72"/>
      <c r="O3" s="72"/>
      <c r="P3" s="72"/>
      <c r="Q3" s="72"/>
      <c r="R3" s="72"/>
      <c r="S3" s="72"/>
      <c r="T3" s="72"/>
      <c r="U3" s="72"/>
    </row>
    <row r="4" spans="1:23" x14ac:dyDescent="0.2">
      <c r="B4" t="s">
        <v>437</v>
      </c>
      <c r="C4" s="269">
        <f>IF(C3="","",DATE(YEAR(C3)+1,MONTH(C3),DAY(C3))-1)</f>
        <v>43951</v>
      </c>
      <c r="D4" s="74"/>
      <c r="F4" s="72"/>
      <c r="G4" s="72"/>
      <c r="H4" s="72"/>
      <c r="I4" s="72"/>
      <c r="J4" s="67"/>
      <c r="K4" s="67"/>
      <c r="L4" s="67"/>
      <c r="M4" s="67"/>
      <c r="N4" s="72"/>
      <c r="O4" s="72"/>
      <c r="P4" s="72"/>
      <c r="Q4" s="72"/>
      <c r="R4" s="72"/>
      <c r="S4" s="72"/>
      <c r="T4" s="72"/>
      <c r="U4" s="72"/>
    </row>
    <row r="5" spans="1:23" s="52" customFormat="1" x14ac:dyDescent="0.2">
      <c r="D5" s="72"/>
      <c r="E5" s="72"/>
      <c r="F5" s="72"/>
      <c r="G5" s="72"/>
      <c r="H5" s="72"/>
      <c r="I5" s="72"/>
      <c r="J5" s="72"/>
      <c r="K5" s="72"/>
      <c r="L5" s="72"/>
      <c r="M5" s="72"/>
      <c r="N5" s="72"/>
      <c r="O5" s="72"/>
      <c r="P5" s="72"/>
      <c r="Q5" s="72"/>
      <c r="R5" s="72"/>
      <c r="S5" s="72"/>
      <c r="T5" s="72"/>
      <c r="U5" s="72"/>
    </row>
    <row r="6" spans="1:23" s="52" customFormat="1" x14ac:dyDescent="0.2">
      <c r="B6" s="116" t="s">
        <v>438</v>
      </c>
      <c r="C6" s="116" t="s">
        <v>439</v>
      </c>
      <c r="D6" s="72"/>
      <c r="E6" s="72"/>
      <c r="F6" s="72"/>
      <c r="G6" s="72"/>
      <c r="H6" s="72"/>
      <c r="I6" s="72"/>
      <c r="J6" s="72"/>
      <c r="K6" s="72"/>
      <c r="L6" s="72"/>
      <c r="M6" s="72"/>
      <c r="N6" s="72"/>
      <c r="O6" s="72"/>
      <c r="P6" s="72"/>
      <c r="Q6" s="72"/>
      <c r="R6" s="72"/>
      <c r="S6" s="72"/>
      <c r="T6" s="72"/>
      <c r="U6" s="72"/>
    </row>
    <row r="7" spans="1:23" s="52" customFormat="1" x14ac:dyDescent="0.2">
      <c r="B7" s="76"/>
      <c r="C7" s="76"/>
      <c r="D7" s="72"/>
      <c r="E7" s="72"/>
      <c r="F7" s="72"/>
      <c r="G7" s="72"/>
      <c r="H7" s="72"/>
      <c r="I7" s="72"/>
      <c r="J7" s="72"/>
      <c r="K7" s="72"/>
      <c r="L7" s="72"/>
      <c r="M7" s="72"/>
      <c r="N7" s="72"/>
      <c r="O7" s="72"/>
      <c r="P7" s="72"/>
      <c r="Q7" s="72"/>
      <c r="R7" s="72"/>
      <c r="S7" s="72"/>
      <c r="T7" s="72"/>
      <c r="U7" s="72"/>
    </row>
    <row r="8" spans="1:23" s="52" customFormat="1" x14ac:dyDescent="0.2">
      <c r="B8" s="75"/>
      <c r="C8" s="75"/>
      <c r="D8" s="72"/>
      <c r="E8" s="72"/>
      <c r="F8" s="72"/>
      <c r="G8" s="72"/>
      <c r="H8" s="72"/>
      <c r="I8" s="72"/>
      <c r="J8" s="72"/>
      <c r="K8" s="72"/>
      <c r="L8" s="72"/>
      <c r="M8" s="72"/>
      <c r="N8" s="72"/>
      <c r="O8" s="72"/>
      <c r="P8" s="72"/>
      <c r="Q8" s="72"/>
      <c r="R8" s="72"/>
      <c r="S8" s="72"/>
      <c r="T8" s="72"/>
      <c r="U8" s="72"/>
    </row>
    <row r="9" spans="1:23" hidden="1" x14ac:dyDescent="0.2">
      <c r="B9" s="117" t="s">
        <v>469</v>
      </c>
      <c r="C9" s="117" t="s">
        <v>476</v>
      </c>
      <c r="D9" s="72"/>
      <c r="E9" s="72"/>
      <c r="F9" s="72"/>
      <c r="G9" s="72"/>
      <c r="H9" s="72"/>
      <c r="I9" s="72"/>
      <c r="J9" s="67"/>
      <c r="K9" s="67"/>
      <c r="L9" s="67"/>
      <c r="M9" s="67"/>
      <c r="N9" s="72"/>
      <c r="O9" s="72"/>
      <c r="P9" s="72"/>
      <c r="Q9" s="72"/>
      <c r="R9" s="72"/>
      <c r="S9" s="72"/>
      <c r="T9" s="72"/>
      <c r="U9" s="72"/>
    </row>
    <row r="10" spans="1:23" hidden="1" x14ac:dyDescent="0.2">
      <c r="B10" s="69"/>
      <c r="C10" s="69"/>
      <c r="D10" s="72"/>
      <c r="E10" s="72"/>
      <c r="F10" s="72"/>
      <c r="G10" s="72"/>
      <c r="H10" s="72"/>
      <c r="I10" s="72"/>
      <c r="J10" s="67"/>
      <c r="K10" s="67"/>
      <c r="L10" s="67"/>
      <c r="M10" s="67"/>
      <c r="N10" s="72"/>
      <c r="O10" s="72"/>
      <c r="P10" s="72"/>
      <c r="Q10" s="72"/>
      <c r="R10" s="72"/>
      <c r="S10" s="72"/>
      <c r="T10" s="72"/>
      <c r="U10" s="72"/>
    </row>
    <row r="11" spans="1:23" s="52" customFormat="1" ht="15" x14ac:dyDescent="0.25">
      <c r="B11" s="168" t="s">
        <v>490</v>
      </c>
      <c r="C11" s="169" t="s">
        <v>19</v>
      </c>
      <c r="D11" s="226" t="str">
        <f ca="1">"On aggregate, 1 patient = "&amp;TEXT('Demand background (hide)'!$BN$16,"#.#")&amp;" "&amp;Setup!$I$17</f>
        <v>On aggregate, 1 patient = 37. Minutes</v>
      </c>
      <c r="E11" s="72"/>
      <c r="F11" s="72"/>
      <c r="G11" s="72"/>
      <c r="H11" s="72"/>
      <c r="I11" s="72"/>
      <c r="J11" s="72"/>
      <c r="K11" s="72"/>
      <c r="L11" s="72"/>
      <c r="M11" s="72"/>
      <c r="N11" s="72"/>
      <c r="O11" s="72"/>
      <c r="P11" s="72"/>
      <c r="Q11" s="72"/>
      <c r="R11" s="72"/>
      <c r="S11" s="72"/>
      <c r="T11" s="72"/>
      <c r="U11" s="72"/>
    </row>
    <row r="12" spans="1:23" s="52" customFormat="1" ht="15" x14ac:dyDescent="0.25">
      <c r="B12" s="56" t="s">
        <v>1289</v>
      </c>
      <c r="C12" s="380" t="s">
        <v>1297</v>
      </c>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26" t="s">
        <v>440</v>
      </c>
      <c r="C13" s="426"/>
      <c r="D13" s="73"/>
      <c r="E13" s="73"/>
      <c r="F13" s="73"/>
      <c r="G13" s="73"/>
      <c r="H13" s="73"/>
      <c r="I13" s="73"/>
      <c r="J13" s="72"/>
      <c r="K13" s="72"/>
      <c r="L13" s="72"/>
      <c r="M13" s="72"/>
      <c r="N13" s="72"/>
      <c r="O13" s="72"/>
      <c r="P13" s="72"/>
      <c r="Q13" s="72"/>
      <c r="R13" s="72"/>
      <c r="S13" s="72"/>
      <c r="T13" s="72"/>
      <c r="U13" s="72"/>
    </row>
    <row r="14" spans="1:23" x14ac:dyDescent="0.2">
      <c r="B14" s="118" t="s">
        <v>434</v>
      </c>
      <c r="C14" s="75"/>
      <c r="D14" s="72"/>
      <c r="E14" s="72"/>
      <c r="F14" s="72"/>
      <c r="G14" s="72"/>
      <c r="H14" s="72"/>
      <c r="I14" s="72"/>
      <c r="J14" s="67"/>
      <c r="K14" s="67"/>
      <c r="L14" s="67"/>
      <c r="M14" s="367"/>
      <c r="N14" s="119" t="s">
        <v>436</v>
      </c>
      <c r="O14" s="72"/>
      <c r="P14" s="72"/>
      <c r="Q14" s="72"/>
      <c r="R14" s="72"/>
      <c r="S14" s="72"/>
      <c r="T14" s="72"/>
      <c r="U14" s="72"/>
    </row>
    <row r="15" spans="1:23" x14ac:dyDescent="0.2">
      <c r="A15" s="226"/>
      <c r="B15" s="72"/>
      <c r="C15" s="72"/>
      <c r="D15" s="72"/>
      <c r="E15" s="72"/>
      <c r="F15" s="72"/>
      <c r="G15" s="71"/>
      <c r="H15" s="225">
        <f>SUMIF(L17:L116,"x",H17:H116)</f>
        <v>738</v>
      </c>
      <c r="I15" s="225">
        <f>H15/52</f>
        <v>14.192307692307692</v>
      </c>
      <c r="J15" s="67"/>
      <c r="K15" s="67"/>
      <c r="L15" s="67"/>
      <c r="M15" s="367"/>
      <c r="N15" s="72"/>
      <c r="O15" s="72"/>
      <c r="P15" s="72"/>
      <c r="Q15" s="72"/>
      <c r="R15" s="119" t="s">
        <v>255</v>
      </c>
      <c r="S15" s="119"/>
      <c r="T15" s="224">
        <f>SUMIF(V17:V116,"x",T17:T116)</f>
        <v>88</v>
      </c>
      <c r="U15" s="224">
        <f>SUM(U17:U116)</f>
        <v>1.6923076923076925</v>
      </c>
      <c r="W15" s="72"/>
    </row>
    <row r="16" spans="1:23" ht="44.25" customHeight="1" x14ac:dyDescent="0.2">
      <c r="A16" s="293">
        <f>MAX(A17:A116)</f>
        <v>4</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295" t="s">
        <v>1242</v>
      </c>
      <c r="M16" s="294">
        <f>MAX(M17:M116)</f>
        <v>2</v>
      </c>
      <c r="N16" s="296" t="s">
        <v>512</v>
      </c>
      <c r="O16" s="296" t="s">
        <v>513</v>
      </c>
      <c r="P16" s="296" t="s">
        <v>514</v>
      </c>
      <c r="Q16" s="296" t="s">
        <v>253</v>
      </c>
      <c r="R16" s="296" t="str">
        <f>C11&amp;" Per Clinic"</f>
        <v>Patients Per Clinic</v>
      </c>
      <c r="S16" s="296" t="s">
        <v>441</v>
      </c>
      <c r="T16" s="296" t="str">
        <f>"Total 
("&amp;C11&amp;")"</f>
        <v>Total 
(Patients)</v>
      </c>
      <c r="U16" s="296" t="s">
        <v>254</v>
      </c>
      <c r="V16" s="312" t="s">
        <v>1242</v>
      </c>
      <c r="W16" s="72"/>
    </row>
    <row r="17" spans="1:23" x14ac:dyDescent="0.2">
      <c r="A17" s="293">
        <f>IF(B17&lt;&gt;"",ROW(A1),0)</f>
        <v>1</v>
      </c>
      <c r="B17" s="163" t="s">
        <v>1276</v>
      </c>
      <c r="C17" s="163" t="s">
        <v>1277</v>
      </c>
      <c r="D17" s="163"/>
      <c r="E17" s="175">
        <v>30</v>
      </c>
      <c r="F17" s="175">
        <v>9</v>
      </c>
      <c r="G17" s="130"/>
      <c r="H17" s="222">
        <f>IF(ROW(A1)&lt;=$A$16,F17*E17,"")</f>
        <v>270</v>
      </c>
      <c r="I17" s="299">
        <f>IFERROR(H17/52,"")</f>
        <v>5.1923076923076925</v>
      </c>
      <c r="J17" s="67"/>
      <c r="K17" s="67"/>
      <c r="L17" s="360" t="s">
        <v>1237</v>
      </c>
      <c r="M17" s="294">
        <f>IF(N17&lt;&gt;"",ROW(A1),0)</f>
        <v>1</v>
      </c>
      <c r="N17" s="176" t="s">
        <v>1302</v>
      </c>
      <c r="O17" s="176"/>
      <c r="P17" s="176"/>
      <c r="Q17" s="177">
        <v>10</v>
      </c>
      <c r="R17" s="177">
        <v>4</v>
      </c>
      <c r="S17" s="131"/>
      <c r="T17" s="223">
        <f>IF(ROW(A1)&lt;=$M$16,R17*Q17,"")</f>
        <v>40</v>
      </c>
      <c r="U17" s="300">
        <f>IFERROR(T17/52,"")</f>
        <v>0.76923076923076927</v>
      </c>
      <c r="V17" s="361" t="s">
        <v>1237</v>
      </c>
      <c r="W17" s="72"/>
    </row>
    <row r="18" spans="1:23" x14ac:dyDescent="0.2">
      <c r="A18" s="293">
        <f t="shared" ref="A18:A81" si="0">IF(B18&lt;&gt;"",ROW(A2),0)</f>
        <v>2</v>
      </c>
      <c r="B18" s="163" t="s">
        <v>1279</v>
      </c>
      <c r="C18" s="163" t="s">
        <v>1277</v>
      </c>
      <c r="D18" s="163"/>
      <c r="E18" s="175">
        <v>30</v>
      </c>
      <c r="F18" s="175">
        <v>9</v>
      </c>
      <c r="G18" s="130"/>
      <c r="H18" s="222">
        <f t="shared" ref="H18:H81" si="1">IF(ROW(A2)&lt;=$A$16,F18*E18,"")</f>
        <v>270</v>
      </c>
      <c r="I18" s="299">
        <f t="shared" ref="I18:I81" si="2">IFERROR(H18/52,"")</f>
        <v>5.1923076923076925</v>
      </c>
      <c r="J18" s="67"/>
      <c r="K18" s="67"/>
      <c r="L18" s="360" t="s">
        <v>1237</v>
      </c>
      <c r="M18" s="294">
        <f t="shared" ref="M18:M81" si="3">IF(N18&lt;&gt;"",ROW(A2),0)</f>
        <v>2</v>
      </c>
      <c r="N18" s="176" t="s">
        <v>1280</v>
      </c>
      <c r="O18" s="163"/>
      <c r="P18" s="163"/>
      <c r="Q18" s="175">
        <v>12</v>
      </c>
      <c r="R18" s="175">
        <v>4</v>
      </c>
      <c r="S18" s="130"/>
      <c r="T18" s="223">
        <f t="shared" ref="T18:T81" si="4">IF(ROW(A2)&lt;=$M$16,R18*Q18,"")</f>
        <v>48</v>
      </c>
      <c r="U18" s="299">
        <f t="shared" ref="U18:U81" si="5">IFERROR(T18/52,"")</f>
        <v>0.92307692307692313</v>
      </c>
      <c r="V18" s="361" t="s">
        <v>1237</v>
      </c>
      <c r="W18" s="72"/>
    </row>
    <row r="19" spans="1:23" x14ac:dyDescent="0.2">
      <c r="A19" s="293">
        <f t="shared" si="0"/>
        <v>3</v>
      </c>
      <c r="B19" s="163" t="s">
        <v>1281</v>
      </c>
      <c r="C19" s="163" t="s">
        <v>1282</v>
      </c>
      <c r="D19" s="163"/>
      <c r="E19" s="175">
        <v>21</v>
      </c>
      <c r="F19" s="175">
        <v>6</v>
      </c>
      <c r="G19" s="130"/>
      <c r="H19" s="222">
        <f t="shared" si="1"/>
        <v>126</v>
      </c>
      <c r="I19" s="299">
        <f t="shared" si="2"/>
        <v>2.4230769230769229</v>
      </c>
      <c r="J19" s="67"/>
      <c r="K19" s="67"/>
      <c r="L19" s="360" t="s">
        <v>1237</v>
      </c>
      <c r="M19" s="294">
        <f t="shared" si="3"/>
        <v>0</v>
      </c>
      <c r="N19" s="176"/>
      <c r="O19" s="163"/>
      <c r="P19" s="163"/>
      <c r="Q19" s="175"/>
      <c r="R19" s="175"/>
      <c r="S19" s="130"/>
      <c r="T19" s="223" t="str">
        <f t="shared" si="4"/>
        <v/>
      </c>
      <c r="U19" s="222" t="str">
        <f t="shared" si="5"/>
        <v/>
      </c>
      <c r="V19" s="361" t="s">
        <v>1237</v>
      </c>
      <c r="W19" s="72"/>
    </row>
    <row r="20" spans="1:23" x14ac:dyDescent="0.2">
      <c r="A20" s="293">
        <f t="shared" si="0"/>
        <v>4</v>
      </c>
      <c r="B20" s="163" t="s">
        <v>1283</v>
      </c>
      <c r="C20" s="163" t="s">
        <v>1284</v>
      </c>
      <c r="D20" s="163"/>
      <c r="E20" s="175">
        <v>12</v>
      </c>
      <c r="F20" s="175">
        <v>6</v>
      </c>
      <c r="G20" s="130"/>
      <c r="H20" s="222">
        <f t="shared" si="1"/>
        <v>72</v>
      </c>
      <c r="I20" s="299">
        <f t="shared" si="2"/>
        <v>1.3846153846153846</v>
      </c>
      <c r="J20" s="67"/>
      <c r="K20" s="67"/>
      <c r="L20" s="360" t="s">
        <v>1237</v>
      </c>
      <c r="M20" s="294">
        <f t="shared" si="3"/>
        <v>0</v>
      </c>
      <c r="N20" s="176"/>
      <c r="O20" s="163"/>
      <c r="P20" s="163"/>
      <c r="Q20" s="175"/>
      <c r="R20" s="175"/>
      <c r="S20" s="130"/>
      <c r="T20" s="223" t="str">
        <f t="shared" si="4"/>
        <v/>
      </c>
      <c r="U20" s="222" t="str">
        <f t="shared" si="5"/>
        <v/>
      </c>
      <c r="V20" s="361" t="s">
        <v>1237</v>
      </c>
      <c r="W20" s="72"/>
    </row>
    <row r="21" spans="1:23" x14ac:dyDescent="0.2">
      <c r="A21" s="293">
        <f t="shared" si="0"/>
        <v>0</v>
      </c>
      <c r="B21" s="163"/>
      <c r="C21" s="163"/>
      <c r="D21" s="163"/>
      <c r="E21" s="175"/>
      <c r="F21" s="175"/>
      <c r="G21" s="130"/>
      <c r="H21" s="222" t="str">
        <f t="shared" si="1"/>
        <v/>
      </c>
      <c r="I21" s="222" t="str">
        <f t="shared" si="2"/>
        <v/>
      </c>
      <c r="J21" s="67"/>
      <c r="K21" s="67"/>
      <c r="L21" s="360" t="s">
        <v>1237</v>
      </c>
      <c r="M21" s="294">
        <f t="shared" si="3"/>
        <v>0</v>
      </c>
      <c r="N21" s="176"/>
      <c r="O21" s="163"/>
      <c r="P21" s="163"/>
      <c r="Q21" s="175"/>
      <c r="R21" s="175"/>
      <c r="S21" s="130"/>
      <c r="T21" s="223" t="str">
        <f t="shared" si="4"/>
        <v/>
      </c>
      <c r="U21" s="222" t="str">
        <f t="shared" si="5"/>
        <v/>
      </c>
      <c r="V21" s="361" t="s">
        <v>1237</v>
      </c>
      <c r="W21" s="72"/>
    </row>
    <row r="22" spans="1:23" x14ac:dyDescent="0.2">
      <c r="A22" s="293">
        <f t="shared" si="0"/>
        <v>0</v>
      </c>
      <c r="B22" s="163"/>
      <c r="C22" s="163"/>
      <c r="D22" s="163"/>
      <c r="E22" s="175"/>
      <c r="F22" s="175"/>
      <c r="G22" s="130"/>
      <c r="H22" s="222" t="str">
        <f t="shared" si="1"/>
        <v/>
      </c>
      <c r="I22" s="222" t="str">
        <f t="shared" si="2"/>
        <v/>
      </c>
      <c r="J22" s="67"/>
      <c r="K22" s="67"/>
      <c r="L22" s="360" t="s">
        <v>1237</v>
      </c>
      <c r="M22" s="294">
        <f t="shared" si="3"/>
        <v>0</v>
      </c>
      <c r="N22" s="176"/>
      <c r="O22" s="163"/>
      <c r="P22" s="163"/>
      <c r="Q22" s="175"/>
      <c r="R22" s="175"/>
      <c r="S22" s="130"/>
      <c r="T22" s="223" t="str">
        <f t="shared" si="4"/>
        <v/>
      </c>
      <c r="U22" s="222" t="str">
        <f t="shared" si="5"/>
        <v/>
      </c>
      <c r="V22" s="361" t="s">
        <v>1237</v>
      </c>
      <c r="W22" s="72"/>
    </row>
    <row r="23" spans="1:23" x14ac:dyDescent="0.2">
      <c r="A23" s="293">
        <f t="shared" si="0"/>
        <v>0</v>
      </c>
      <c r="B23" s="163"/>
      <c r="C23" s="163"/>
      <c r="D23" s="163"/>
      <c r="E23" s="175"/>
      <c r="F23" s="175"/>
      <c r="G23" s="130"/>
      <c r="H23" s="222" t="str">
        <f t="shared" si="1"/>
        <v/>
      </c>
      <c r="I23" s="222" t="str">
        <f t="shared" si="2"/>
        <v/>
      </c>
      <c r="J23" s="67"/>
      <c r="K23" s="67"/>
      <c r="L23" s="360" t="s">
        <v>1237</v>
      </c>
      <c r="M23" s="294">
        <f t="shared" si="3"/>
        <v>0</v>
      </c>
      <c r="N23" s="176"/>
      <c r="O23" s="163"/>
      <c r="P23" s="163"/>
      <c r="Q23" s="175"/>
      <c r="R23" s="175"/>
      <c r="S23" s="130"/>
      <c r="T23" s="223" t="str">
        <f t="shared" si="4"/>
        <v/>
      </c>
      <c r="U23" s="222" t="str">
        <f t="shared" si="5"/>
        <v/>
      </c>
      <c r="V23" s="361" t="s">
        <v>1237</v>
      </c>
      <c r="W23" s="72"/>
    </row>
    <row r="24" spans="1:23" x14ac:dyDescent="0.2">
      <c r="A24" s="293">
        <f t="shared" si="0"/>
        <v>0</v>
      </c>
      <c r="B24" s="163"/>
      <c r="C24" s="163"/>
      <c r="D24" s="163"/>
      <c r="E24" s="175"/>
      <c r="F24" s="175"/>
      <c r="G24" s="130"/>
      <c r="H24" s="222" t="str">
        <f t="shared" si="1"/>
        <v/>
      </c>
      <c r="I24" s="222" t="str">
        <f t="shared" si="2"/>
        <v/>
      </c>
      <c r="J24" s="67"/>
      <c r="K24" s="67"/>
      <c r="L24" s="360" t="s">
        <v>1237</v>
      </c>
      <c r="M24" s="294">
        <f t="shared" si="3"/>
        <v>0</v>
      </c>
      <c r="N24" s="176"/>
      <c r="O24" s="163"/>
      <c r="P24" s="163"/>
      <c r="Q24" s="175"/>
      <c r="R24" s="175"/>
      <c r="S24" s="130"/>
      <c r="T24" s="223" t="str">
        <f t="shared" si="4"/>
        <v/>
      </c>
      <c r="U24" s="222" t="str">
        <f t="shared" si="5"/>
        <v/>
      </c>
      <c r="V24" s="361" t="s">
        <v>1237</v>
      </c>
      <c r="W24" s="72"/>
    </row>
    <row r="25" spans="1:23" x14ac:dyDescent="0.2">
      <c r="A25" s="293">
        <f t="shared" si="0"/>
        <v>0</v>
      </c>
      <c r="B25" s="163"/>
      <c r="C25" s="163"/>
      <c r="D25" s="163"/>
      <c r="E25" s="175"/>
      <c r="F25" s="175"/>
      <c r="G25" s="130"/>
      <c r="H25" s="222" t="str">
        <f t="shared" si="1"/>
        <v/>
      </c>
      <c r="I25" s="222" t="str">
        <f t="shared" si="2"/>
        <v/>
      </c>
      <c r="J25" s="67"/>
      <c r="K25" s="67"/>
      <c r="L25" s="360" t="s">
        <v>1237</v>
      </c>
      <c r="M25" s="294">
        <f t="shared" si="3"/>
        <v>0</v>
      </c>
      <c r="N25" s="176"/>
      <c r="O25" s="163"/>
      <c r="P25" s="163"/>
      <c r="Q25" s="175"/>
      <c r="R25" s="175"/>
      <c r="S25" s="130"/>
      <c r="T25" s="223" t="str">
        <f t="shared" si="4"/>
        <v/>
      </c>
      <c r="U25" s="222" t="str">
        <f t="shared" si="5"/>
        <v/>
      </c>
      <c r="V25" s="361" t="s">
        <v>1237</v>
      </c>
      <c r="W25" s="72"/>
    </row>
    <row r="26" spans="1:23" x14ac:dyDescent="0.2">
      <c r="A26" s="293">
        <f t="shared" si="0"/>
        <v>0</v>
      </c>
      <c r="B26" s="163"/>
      <c r="C26" s="163"/>
      <c r="D26" s="163"/>
      <c r="E26" s="175"/>
      <c r="F26" s="175"/>
      <c r="G26" s="130"/>
      <c r="H26" s="222" t="str">
        <f t="shared" si="1"/>
        <v/>
      </c>
      <c r="I26" s="222" t="str">
        <f t="shared" si="2"/>
        <v/>
      </c>
      <c r="J26" s="67"/>
      <c r="K26" s="67"/>
      <c r="L26" s="360" t="s">
        <v>1237</v>
      </c>
      <c r="M26" s="294">
        <f t="shared" si="3"/>
        <v>0</v>
      </c>
      <c r="N26" s="176"/>
      <c r="O26" s="163"/>
      <c r="P26" s="163"/>
      <c r="Q26" s="175"/>
      <c r="R26" s="175"/>
      <c r="S26" s="130"/>
      <c r="T26" s="223" t="str">
        <f t="shared" si="4"/>
        <v/>
      </c>
      <c r="U26" s="222" t="str">
        <f t="shared" si="5"/>
        <v/>
      </c>
      <c r="V26" s="361" t="s">
        <v>1237</v>
      </c>
      <c r="W26" s="72"/>
    </row>
    <row r="27" spans="1:23" x14ac:dyDescent="0.2">
      <c r="A27" s="293">
        <f t="shared" si="0"/>
        <v>0</v>
      </c>
      <c r="B27" s="163"/>
      <c r="C27" s="163"/>
      <c r="D27" s="163"/>
      <c r="E27" s="175"/>
      <c r="F27" s="175"/>
      <c r="G27" s="130"/>
      <c r="H27" s="222" t="str">
        <f t="shared" si="1"/>
        <v/>
      </c>
      <c r="I27" s="222" t="str">
        <f t="shared" si="2"/>
        <v/>
      </c>
      <c r="J27" s="67"/>
      <c r="K27" s="67"/>
      <c r="L27" s="360" t="s">
        <v>1237</v>
      </c>
      <c r="M27" s="294">
        <f t="shared" si="3"/>
        <v>0</v>
      </c>
      <c r="N27" s="176"/>
      <c r="O27" s="163"/>
      <c r="P27" s="163"/>
      <c r="Q27" s="175"/>
      <c r="R27" s="175"/>
      <c r="S27" s="130"/>
      <c r="T27" s="223" t="str">
        <f t="shared" si="4"/>
        <v/>
      </c>
      <c r="U27" s="222" t="str">
        <f t="shared" si="5"/>
        <v/>
      </c>
      <c r="V27" s="361" t="s">
        <v>1237</v>
      </c>
      <c r="W27" s="72"/>
    </row>
    <row r="28" spans="1:23" x14ac:dyDescent="0.2">
      <c r="A28" s="293">
        <f t="shared" si="0"/>
        <v>0</v>
      </c>
      <c r="B28" s="163"/>
      <c r="C28" s="163"/>
      <c r="D28" s="163"/>
      <c r="E28" s="175"/>
      <c r="F28" s="175"/>
      <c r="G28" s="130"/>
      <c r="H28" s="222" t="str">
        <f t="shared" si="1"/>
        <v/>
      </c>
      <c r="I28" s="222" t="str">
        <f t="shared" si="2"/>
        <v/>
      </c>
      <c r="J28" s="67"/>
      <c r="K28" s="67"/>
      <c r="L28" s="360" t="s">
        <v>1237</v>
      </c>
      <c r="M28" s="294">
        <f t="shared" si="3"/>
        <v>0</v>
      </c>
      <c r="N28" s="176"/>
      <c r="O28" s="163"/>
      <c r="P28" s="163"/>
      <c r="Q28" s="175"/>
      <c r="R28" s="175"/>
      <c r="S28" s="130"/>
      <c r="T28" s="223" t="str">
        <f t="shared" si="4"/>
        <v/>
      </c>
      <c r="U28" s="222" t="str">
        <f t="shared" si="5"/>
        <v/>
      </c>
      <c r="V28" s="361" t="s">
        <v>1237</v>
      </c>
      <c r="W28" s="72"/>
    </row>
    <row r="29" spans="1:23" x14ac:dyDescent="0.2">
      <c r="A29" s="293">
        <f t="shared" si="0"/>
        <v>0</v>
      </c>
      <c r="B29" s="163"/>
      <c r="C29" s="163"/>
      <c r="D29" s="163"/>
      <c r="E29" s="175"/>
      <c r="F29" s="175"/>
      <c r="G29" s="130"/>
      <c r="H29" s="222" t="str">
        <f t="shared" si="1"/>
        <v/>
      </c>
      <c r="I29" s="222" t="str">
        <f t="shared" si="2"/>
        <v/>
      </c>
      <c r="J29" s="67"/>
      <c r="K29" s="67"/>
      <c r="L29" s="360" t="s">
        <v>1237</v>
      </c>
      <c r="M29" s="294">
        <f t="shared" si="3"/>
        <v>0</v>
      </c>
      <c r="N29" s="176"/>
      <c r="O29" s="163"/>
      <c r="P29" s="163"/>
      <c r="Q29" s="175"/>
      <c r="R29" s="175"/>
      <c r="S29" s="130"/>
      <c r="T29" s="223" t="str">
        <f t="shared" si="4"/>
        <v/>
      </c>
      <c r="U29" s="222" t="str">
        <f t="shared" si="5"/>
        <v/>
      </c>
      <c r="V29" s="361" t="s">
        <v>1237</v>
      </c>
      <c r="W29" s="72"/>
    </row>
    <row r="30" spans="1:23" x14ac:dyDescent="0.2">
      <c r="A30" s="293">
        <f t="shared" si="0"/>
        <v>0</v>
      </c>
      <c r="B30" s="163"/>
      <c r="C30" s="163"/>
      <c r="D30" s="163"/>
      <c r="E30" s="175"/>
      <c r="F30" s="175"/>
      <c r="G30" s="130"/>
      <c r="H30" s="222" t="str">
        <f t="shared" si="1"/>
        <v/>
      </c>
      <c r="I30" s="222" t="str">
        <f t="shared" si="2"/>
        <v/>
      </c>
      <c r="J30" s="67"/>
      <c r="K30" s="67"/>
      <c r="L30" s="360" t="s">
        <v>1237</v>
      </c>
      <c r="M30" s="294">
        <f t="shared" si="3"/>
        <v>0</v>
      </c>
      <c r="N30" s="176"/>
      <c r="O30" s="163"/>
      <c r="P30" s="163"/>
      <c r="Q30" s="175"/>
      <c r="R30" s="175"/>
      <c r="S30" s="130"/>
      <c r="T30" s="223" t="str">
        <f t="shared" si="4"/>
        <v/>
      </c>
      <c r="U30" s="222" t="str">
        <f t="shared" si="5"/>
        <v/>
      </c>
      <c r="V30" s="361" t="s">
        <v>1237</v>
      </c>
      <c r="W30" s="72"/>
    </row>
    <row r="31" spans="1:23" x14ac:dyDescent="0.2">
      <c r="A31" s="293">
        <f t="shared" si="0"/>
        <v>0</v>
      </c>
      <c r="B31" s="163"/>
      <c r="C31" s="163"/>
      <c r="D31" s="163"/>
      <c r="E31" s="175"/>
      <c r="F31" s="175"/>
      <c r="G31" s="130"/>
      <c r="H31" s="222" t="str">
        <f t="shared" si="1"/>
        <v/>
      </c>
      <c r="I31" s="222" t="str">
        <f t="shared" si="2"/>
        <v/>
      </c>
      <c r="J31" s="67"/>
      <c r="K31" s="67"/>
      <c r="L31" s="360" t="s">
        <v>1237</v>
      </c>
      <c r="M31" s="294">
        <f t="shared" si="3"/>
        <v>0</v>
      </c>
      <c r="N31" s="176"/>
      <c r="O31" s="163"/>
      <c r="P31" s="163"/>
      <c r="Q31" s="175"/>
      <c r="R31" s="175"/>
      <c r="S31" s="130"/>
      <c r="T31" s="223" t="str">
        <f t="shared" si="4"/>
        <v/>
      </c>
      <c r="U31" s="222" t="str">
        <f t="shared" si="5"/>
        <v/>
      </c>
      <c r="V31" s="361" t="s">
        <v>1237</v>
      </c>
      <c r="W31" s="72"/>
    </row>
    <row r="32" spans="1:23" x14ac:dyDescent="0.2">
      <c r="A32" s="293">
        <f t="shared" si="0"/>
        <v>0</v>
      </c>
      <c r="B32" s="163"/>
      <c r="C32" s="163"/>
      <c r="D32" s="163"/>
      <c r="E32" s="175"/>
      <c r="F32" s="175"/>
      <c r="G32" s="130"/>
      <c r="H32" s="222" t="str">
        <f t="shared" si="1"/>
        <v/>
      </c>
      <c r="I32" s="222" t="str">
        <f t="shared" si="2"/>
        <v/>
      </c>
      <c r="J32" s="67"/>
      <c r="K32" s="67"/>
      <c r="L32" s="360" t="s">
        <v>1237</v>
      </c>
      <c r="M32" s="294">
        <f t="shared" si="3"/>
        <v>0</v>
      </c>
      <c r="N32" s="176"/>
      <c r="O32" s="163"/>
      <c r="P32" s="163"/>
      <c r="Q32" s="175"/>
      <c r="R32" s="175"/>
      <c r="S32" s="130"/>
      <c r="T32" s="223" t="str">
        <f t="shared" si="4"/>
        <v/>
      </c>
      <c r="U32" s="222" t="str">
        <f t="shared" si="5"/>
        <v/>
      </c>
      <c r="V32" s="361" t="s">
        <v>1237</v>
      </c>
      <c r="W32" s="72"/>
    </row>
    <row r="33" spans="1:23" x14ac:dyDescent="0.2">
      <c r="A33" s="293">
        <f t="shared" si="0"/>
        <v>0</v>
      </c>
      <c r="B33" s="163"/>
      <c r="C33" s="163"/>
      <c r="D33" s="163"/>
      <c r="E33" s="175"/>
      <c r="F33" s="175"/>
      <c r="G33" s="130"/>
      <c r="H33" s="222" t="str">
        <f t="shared" si="1"/>
        <v/>
      </c>
      <c r="I33" s="222" t="str">
        <f t="shared" si="2"/>
        <v/>
      </c>
      <c r="J33" s="67"/>
      <c r="K33" s="67"/>
      <c r="L33" s="360" t="s">
        <v>1237</v>
      </c>
      <c r="M33" s="294">
        <f t="shared" si="3"/>
        <v>0</v>
      </c>
      <c r="N33" s="176"/>
      <c r="O33" s="163"/>
      <c r="P33" s="163"/>
      <c r="Q33" s="175"/>
      <c r="R33" s="175"/>
      <c r="S33" s="130"/>
      <c r="T33" s="223" t="str">
        <f t="shared" si="4"/>
        <v/>
      </c>
      <c r="U33" s="222" t="str">
        <f t="shared" si="5"/>
        <v/>
      </c>
      <c r="V33" s="361" t="s">
        <v>1237</v>
      </c>
      <c r="W33" s="72"/>
    </row>
    <row r="34" spans="1:23" x14ac:dyDescent="0.2">
      <c r="A34" s="293">
        <f t="shared" si="0"/>
        <v>0</v>
      </c>
      <c r="B34" s="163"/>
      <c r="C34" s="163"/>
      <c r="D34" s="163"/>
      <c r="E34" s="175"/>
      <c r="F34" s="175"/>
      <c r="G34" s="130"/>
      <c r="H34" s="222" t="str">
        <f t="shared" si="1"/>
        <v/>
      </c>
      <c r="I34" s="222" t="str">
        <f t="shared" si="2"/>
        <v/>
      </c>
      <c r="J34" s="67"/>
      <c r="K34" s="67"/>
      <c r="L34" s="360" t="s">
        <v>1237</v>
      </c>
      <c r="M34" s="294">
        <f t="shared" si="3"/>
        <v>0</v>
      </c>
      <c r="N34" s="176"/>
      <c r="O34" s="163"/>
      <c r="P34" s="163"/>
      <c r="Q34" s="175"/>
      <c r="R34" s="175"/>
      <c r="S34" s="130"/>
      <c r="T34" s="223" t="str">
        <f t="shared" si="4"/>
        <v/>
      </c>
      <c r="U34" s="222" t="str">
        <f t="shared" si="5"/>
        <v/>
      </c>
      <c r="V34" s="361" t="s">
        <v>1237</v>
      </c>
      <c r="W34" s="72"/>
    </row>
    <row r="35" spans="1:23" x14ac:dyDescent="0.2">
      <c r="A35" s="293">
        <f t="shared" si="0"/>
        <v>0</v>
      </c>
      <c r="B35" s="163"/>
      <c r="C35" s="163"/>
      <c r="D35" s="163"/>
      <c r="E35" s="175"/>
      <c r="F35" s="175"/>
      <c r="G35" s="130"/>
      <c r="H35" s="222" t="str">
        <f t="shared" si="1"/>
        <v/>
      </c>
      <c r="I35" s="222" t="str">
        <f t="shared" si="2"/>
        <v/>
      </c>
      <c r="J35" s="67"/>
      <c r="K35" s="67"/>
      <c r="L35" s="360" t="s">
        <v>1237</v>
      </c>
      <c r="M35" s="294">
        <f t="shared" si="3"/>
        <v>0</v>
      </c>
      <c r="N35" s="176"/>
      <c r="O35" s="163"/>
      <c r="P35" s="163"/>
      <c r="Q35" s="175"/>
      <c r="R35" s="175"/>
      <c r="S35" s="130"/>
      <c r="T35" s="223" t="str">
        <f t="shared" si="4"/>
        <v/>
      </c>
      <c r="U35" s="222" t="str">
        <f t="shared" si="5"/>
        <v/>
      </c>
      <c r="V35" s="361" t="s">
        <v>1237</v>
      </c>
      <c r="W35" s="72"/>
    </row>
    <row r="36" spans="1:23" x14ac:dyDescent="0.2">
      <c r="A36" s="293">
        <f t="shared" si="0"/>
        <v>0</v>
      </c>
      <c r="B36" s="163"/>
      <c r="C36" s="163"/>
      <c r="D36" s="163"/>
      <c r="E36" s="175"/>
      <c r="F36" s="175"/>
      <c r="G36" s="130"/>
      <c r="H36" s="222" t="str">
        <f t="shared" si="1"/>
        <v/>
      </c>
      <c r="I36" s="222" t="str">
        <f t="shared" si="2"/>
        <v/>
      </c>
      <c r="J36" s="67"/>
      <c r="K36" s="67"/>
      <c r="L36" s="360" t="s">
        <v>1237</v>
      </c>
      <c r="M36" s="294">
        <f t="shared" si="3"/>
        <v>0</v>
      </c>
      <c r="N36" s="176"/>
      <c r="O36" s="163"/>
      <c r="P36" s="163"/>
      <c r="Q36" s="175"/>
      <c r="R36" s="175"/>
      <c r="S36" s="130"/>
      <c r="T36" s="223" t="str">
        <f t="shared" si="4"/>
        <v/>
      </c>
      <c r="U36" s="222" t="str">
        <f t="shared" si="5"/>
        <v/>
      </c>
      <c r="V36" s="361" t="s">
        <v>1237</v>
      </c>
      <c r="W36" s="72"/>
    </row>
    <row r="37" spans="1:23" x14ac:dyDescent="0.2">
      <c r="A37" s="293">
        <f t="shared" si="0"/>
        <v>0</v>
      </c>
      <c r="B37" s="163"/>
      <c r="C37" s="163"/>
      <c r="D37" s="163"/>
      <c r="E37" s="175"/>
      <c r="F37" s="175"/>
      <c r="G37" s="130"/>
      <c r="H37" s="222" t="str">
        <f t="shared" si="1"/>
        <v/>
      </c>
      <c r="I37" s="222" t="str">
        <f t="shared" si="2"/>
        <v/>
      </c>
      <c r="J37" s="67"/>
      <c r="K37" s="67"/>
      <c r="L37" s="360" t="s">
        <v>1237</v>
      </c>
      <c r="M37" s="294">
        <f t="shared" si="3"/>
        <v>0</v>
      </c>
      <c r="N37" s="176"/>
      <c r="O37" s="163"/>
      <c r="P37" s="163"/>
      <c r="Q37" s="175"/>
      <c r="R37" s="175"/>
      <c r="S37" s="130"/>
      <c r="T37" s="223" t="str">
        <f t="shared" si="4"/>
        <v/>
      </c>
      <c r="U37" s="222" t="str">
        <f t="shared" si="5"/>
        <v/>
      </c>
      <c r="V37" s="361" t="s">
        <v>1237</v>
      </c>
      <c r="W37" s="72"/>
    </row>
    <row r="38" spans="1:23" x14ac:dyDescent="0.2">
      <c r="A38" s="293">
        <f t="shared" si="0"/>
        <v>0</v>
      </c>
      <c r="B38" s="163"/>
      <c r="C38" s="163"/>
      <c r="D38" s="163"/>
      <c r="E38" s="175"/>
      <c r="F38" s="175"/>
      <c r="G38" s="130"/>
      <c r="H38" s="222" t="str">
        <f t="shared" si="1"/>
        <v/>
      </c>
      <c r="I38" s="222" t="str">
        <f t="shared" si="2"/>
        <v/>
      </c>
      <c r="J38" s="67"/>
      <c r="K38" s="67"/>
      <c r="L38" s="360" t="s">
        <v>1237</v>
      </c>
      <c r="M38" s="294">
        <f t="shared" si="3"/>
        <v>0</v>
      </c>
      <c r="N38" s="176"/>
      <c r="O38" s="163"/>
      <c r="P38" s="163"/>
      <c r="Q38" s="175"/>
      <c r="R38" s="175"/>
      <c r="S38" s="130"/>
      <c r="T38" s="223" t="str">
        <f t="shared" si="4"/>
        <v/>
      </c>
      <c r="U38" s="222" t="str">
        <f t="shared" si="5"/>
        <v/>
      </c>
      <c r="V38" s="361" t="s">
        <v>1237</v>
      </c>
      <c r="W38" s="72"/>
    </row>
    <row r="39" spans="1:23" x14ac:dyDescent="0.2">
      <c r="A39" s="293">
        <f t="shared" si="0"/>
        <v>0</v>
      </c>
      <c r="B39" s="163"/>
      <c r="C39" s="163"/>
      <c r="D39" s="163"/>
      <c r="E39" s="175"/>
      <c r="F39" s="175"/>
      <c r="G39" s="130"/>
      <c r="H39" s="222" t="str">
        <f t="shared" si="1"/>
        <v/>
      </c>
      <c r="I39" s="222" t="str">
        <f t="shared" si="2"/>
        <v/>
      </c>
      <c r="J39" s="67"/>
      <c r="K39" s="67"/>
      <c r="L39" s="360" t="s">
        <v>1237</v>
      </c>
      <c r="M39" s="294">
        <f t="shared" si="3"/>
        <v>0</v>
      </c>
      <c r="N39" s="176"/>
      <c r="O39" s="163"/>
      <c r="P39" s="163"/>
      <c r="Q39" s="175"/>
      <c r="R39" s="175"/>
      <c r="S39" s="130"/>
      <c r="T39" s="223" t="str">
        <f t="shared" si="4"/>
        <v/>
      </c>
      <c r="U39" s="222" t="str">
        <f t="shared" si="5"/>
        <v/>
      </c>
      <c r="V39" s="361" t="s">
        <v>1237</v>
      </c>
      <c r="W39" s="72"/>
    </row>
    <row r="40" spans="1:23" x14ac:dyDescent="0.2">
      <c r="A40" s="293">
        <f t="shared" si="0"/>
        <v>0</v>
      </c>
      <c r="B40" s="163"/>
      <c r="C40" s="163"/>
      <c r="D40" s="163"/>
      <c r="E40" s="175"/>
      <c r="F40" s="175"/>
      <c r="G40" s="130"/>
      <c r="H40" s="222" t="str">
        <f t="shared" si="1"/>
        <v/>
      </c>
      <c r="I40" s="222" t="str">
        <f t="shared" si="2"/>
        <v/>
      </c>
      <c r="J40" s="67"/>
      <c r="K40" s="67"/>
      <c r="L40" s="360" t="s">
        <v>1237</v>
      </c>
      <c r="M40" s="294">
        <f t="shared" si="3"/>
        <v>0</v>
      </c>
      <c r="N40" s="176"/>
      <c r="O40" s="163"/>
      <c r="P40" s="163"/>
      <c r="Q40" s="175"/>
      <c r="R40" s="175"/>
      <c r="S40" s="130"/>
      <c r="T40" s="223" t="str">
        <f t="shared" si="4"/>
        <v/>
      </c>
      <c r="U40" s="222" t="str">
        <f t="shared" si="5"/>
        <v/>
      </c>
      <c r="V40" s="361" t="s">
        <v>1237</v>
      </c>
      <c r="W40" s="72"/>
    </row>
    <row r="41" spans="1:23" x14ac:dyDescent="0.2">
      <c r="A41" s="293">
        <f t="shared" si="0"/>
        <v>0</v>
      </c>
      <c r="B41" s="163"/>
      <c r="C41" s="163"/>
      <c r="D41" s="163"/>
      <c r="E41" s="175"/>
      <c r="F41" s="175"/>
      <c r="G41" s="130"/>
      <c r="H41" s="222" t="str">
        <f t="shared" si="1"/>
        <v/>
      </c>
      <c r="I41" s="222" t="str">
        <f t="shared" si="2"/>
        <v/>
      </c>
      <c r="J41" s="67"/>
      <c r="K41" s="67"/>
      <c r="L41" s="360" t="s">
        <v>1237</v>
      </c>
      <c r="M41" s="294">
        <f t="shared" si="3"/>
        <v>0</v>
      </c>
      <c r="N41" s="176"/>
      <c r="O41" s="163"/>
      <c r="P41" s="163"/>
      <c r="Q41" s="175"/>
      <c r="R41" s="175"/>
      <c r="S41" s="130"/>
      <c r="T41" s="223" t="str">
        <f t="shared" si="4"/>
        <v/>
      </c>
      <c r="U41" s="222" t="str">
        <f t="shared" si="5"/>
        <v/>
      </c>
      <c r="V41" s="361" t="s">
        <v>1237</v>
      </c>
      <c r="W41" s="72"/>
    </row>
    <row r="42" spans="1:23" x14ac:dyDescent="0.2">
      <c r="A42" s="293">
        <f t="shared" si="0"/>
        <v>0</v>
      </c>
      <c r="B42" s="163"/>
      <c r="C42" s="163"/>
      <c r="D42" s="163"/>
      <c r="E42" s="175"/>
      <c r="F42" s="175"/>
      <c r="G42" s="130"/>
      <c r="H42" s="222" t="str">
        <f t="shared" si="1"/>
        <v/>
      </c>
      <c r="I42" s="222" t="str">
        <f t="shared" si="2"/>
        <v/>
      </c>
      <c r="J42" s="67"/>
      <c r="K42" s="67"/>
      <c r="L42" s="360" t="s">
        <v>1237</v>
      </c>
      <c r="M42" s="294">
        <f t="shared" si="3"/>
        <v>0</v>
      </c>
      <c r="N42" s="176"/>
      <c r="O42" s="163"/>
      <c r="P42" s="163"/>
      <c r="Q42" s="175"/>
      <c r="R42" s="175"/>
      <c r="S42" s="130"/>
      <c r="T42" s="223" t="str">
        <f t="shared" si="4"/>
        <v/>
      </c>
      <c r="U42" s="222" t="str">
        <f t="shared" si="5"/>
        <v/>
      </c>
      <c r="V42" s="361" t="s">
        <v>1237</v>
      </c>
      <c r="W42" s="72"/>
    </row>
    <row r="43" spans="1:23" x14ac:dyDescent="0.2">
      <c r="A43" s="293">
        <f t="shared" si="0"/>
        <v>0</v>
      </c>
      <c r="B43" s="163"/>
      <c r="C43" s="163"/>
      <c r="D43" s="163"/>
      <c r="E43" s="175"/>
      <c r="F43" s="175"/>
      <c r="G43" s="130"/>
      <c r="H43" s="222" t="str">
        <f t="shared" si="1"/>
        <v/>
      </c>
      <c r="I43" s="222" t="str">
        <f t="shared" si="2"/>
        <v/>
      </c>
      <c r="J43" s="67"/>
      <c r="K43" s="67"/>
      <c r="L43" s="360" t="s">
        <v>1237</v>
      </c>
      <c r="M43" s="294">
        <f t="shared" si="3"/>
        <v>0</v>
      </c>
      <c r="N43" s="176"/>
      <c r="O43" s="163"/>
      <c r="P43" s="163"/>
      <c r="Q43" s="175"/>
      <c r="R43" s="175"/>
      <c r="S43" s="130"/>
      <c r="T43" s="223" t="str">
        <f t="shared" si="4"/>
        <v/>
      </c>
      <c r="U43" s="222" t="str">
        <f t="shared" si="5"/>
        <v/>
      </c>
      <c r="V43" s="361" t="s">
        <v>1237</v>
      </c>
      <c r="W43" s="72"/>
    </row>
    <row r="44" spans="1:23" x14ac:dyDescent="0.2">
      <c r="A44" s="293">
        <f t="shared" si="0"/>
        <v>0</v>
      </c>
      <c r="B44" s="163"/>
      <c r="C44" s="163"/>
      <c r="D44" s="163"/>
      <c r="E44" s="175"/>
      <c r="F44" s="175"/>
      <c r="G44" s="130"/>
      <c r="H44" s="222" t="str">
        <f t="shared" si="1"/>
        <v/>
      </c>
      <c r="I44" s="222" t="str">
        <f t="shared" si="2"/>
        <v/>
      </c>
      <c r="J44" s="67"/>
      <c r="K44" s="67"/>
      <c r="L44" s="360" t="s">
        <v>1237</v>
      </c>
      <c r="M44" s="294">
        <f t="shared" si="3"/>
        <v>0</v>
      </c>
      <c r="N44" s="176"/>
      <c r="O44" s="163"/>
      <c r="P44" s="163"/>
      <c r="Q44" s="175"/>
      <c r="R44" s="175"/>
      <c r="S44" s="130"/>
      <c r="T44" s="223" t="str">
        <f t="shared" si="4"/>
        <v/>
      </c>
      <c r="U44" s="222" t="str">
        <f t="shared" si="5"/>
        <v/>
      </c>
      <c r="V44" s="361" t="s">
        <v>1237</v>
      </c>
      <c r="W44" s="72"/>
    </row>
    <row r="45" spans="1:23" x14ac:dyDescent="0.2">
      <c r="A45" s="293">
        <f t="shared" si="0"/>
        <v>0</v>
      </c>
      <c r="B45" s="163"/>
      <c r="C45" s="163"/>
      <c r="D45" s="163"/>
      <c r="E45" s="175"/>
      <c r="F45" s="175"/>
      <c r="G45" s="130"/>
      <c r="H45" s="222" t="str">
        <f t="shared" si="1"/>
        <v/>
      </c>
      <c r="I45" s="222" t="str">
        <f t="shared" si="2"/>
        <v/>
      </c>
      <c r="J45" s="67"/>
      <c r="K45" s="67"/>
      <c r="L45" s="360" t="s">
        <v>1237</v>
      </c>
      <c r="M45" s="294">
        <f t="shared" si="3"/>
        <v>0</v>
      </c>
      <c r="N45" s="176"/>
      <c r="O45" s="163"/>
      <c r="P45" s="163"/>
      <c r="Q45" s="175"/>
      <c r="R45" s="175"/>
      <c r="S45" s="130"/>
      <c r="T45" s="223" t="str">
        <f t="shared" si="4"/>
        <v/>
      </c>
      <c r="U45" s="222" t="str">
        <f t="shared" si="5"/>
        <v/>
      </c>
      <c r="V45" s="361" t="s">
        <v>1237</v>
      </c>
      <c r="W45" s="72"/>
    </row>
    <row r="46" spans="1:23" x14ac:dyDescent="0.2">
      <c r="A46" s="293">
        <f t="shared" si="0"/>
        <v>0</v>
      </c>
      <c r="B46" s="163"/>
      <c r="C46" s="163"/>
      <c r="D46" s="163"/>
      <c r="E46" s="175"/>
      <c r="F46" s="175"/>
      <c r="G46" s="130"/>
      <c r="H46" s="222" t="str">
        <f t="shared" si="1"/>
        <v/>
      </c>
      <c r="I46" s="222" t="str">
        <f t="shared" si="2"/>
        <v/>
      </c>
      <c r="J46" s="67"/>
      <c r="K46" s="67"/>
      <c r="L46" s="360" t="s">
        <v>1237</v>
      </c>
      <c r="M46" s="294">
        <f t="shared" si="3"/>
        <v>0</v>
      </c>
      <c r="N46" s="176"/>
      <c r="O46" s="163"/>
      <c r="P46" s="163"/>
      <c r="Q46" s="175"/>
      <c r="R46" s="175"/>
      <c r="S46" s="130"/>
      <c r="T46" s="223" t="str">
        <f t="shared" si="4"/>
        <v/>
      </c>
      <c r="U46" s="222" t="str">
        <f t="shared" si="5"/>
        <v/>
      </c>
      <c r="V46" s="361" t="s">
        <v>1237</v>
      </c>
      <c r="W46" s="72"/>
    </row>
    <row r="47" spans="1:23" x14ac:dyDescent="0.2">
      <c r="A47" s="293">
        <f t="shared" si="0"/>
        <v>0</v>
      </c>
      <c r="B47" s="163"/>
      <c r="C47" s="163"/>
      <c r="D47" s="163"/>
      <c r="E47" s="175"/>
      <c r="F47" s="175"/>
      <c r="G47" s="130"/>
      <c r="H47" s="222" t="str">
        <f t="shared" si="1"/>
        <v/>
      </c>
      <c r="I47" s="222" t="str">
        <f t="shared" si="2"/>
        <v/>
      </c>
      <c r="J47" s="67"/>
      <c r="K47" s="67"/>
      <c r="L47" s="360" t="s">
        <v>1237</v>
      </c>
      <c r="M47" s="294">
        <f t="shared" si="3"/>
        <v>0</v>
      </c>
      <c r="N47" s="176"/>
      <c r="O47" s="163"/>
      <c r="P47" s="163"/>
      <c r="Q47" s="175"/>
      <c r="R47" s="175"/>
      <c r="S47" s="130"/>
      <c r="T47" s="223" t="str">
        <f t="shared" si="4"/>
        <v/>
      </c>
      <c r="U47" s="222" t="str">
        <f t="shared" si="5"/>
        <v/>
      </c>
      <c r="V47" s="361" t="s">
        <v>1237</v>
      </c>
      <c r="W47" s="72"/>
    </row>
    <row r="48" spans="1:23" x14ac:dyDescent="0.2">
      <c r="A48" s="293">
        <f t="shared" si="0"/>
        <v>0</v>
      </c>
      <c r="B48" s="163"/>
      <c r="C48" s="163"/>
      <c r="D48" s="163"/>
      <c r="E48" s="175"/>
      <c r="F48" s="175"/>
      <c r="G48" s="130"/>
      <c r="H48" s="222" t="str">
        <f t="shared" si="1"/>
        <v/>
      </c>
      <c r="I48" s="222" t="str">
        <f t="shared" si="2"/>
        <v/>
      </c>
      <c r="J48" s="67"/>
      <c r="K48" s="67"/>
      <c r="L48" s="360" t="s">
        <v>1237</v>
      </c>
      <c r="M48" s="294">
        <f t="shared" si="3"/>
        <v>0</v>
      </c>
      <c r="N48" s="176"/>
      <c r="O48" s="163"/>
      <c r="P48" s="163"/>
      <c r="Q48" s="175"/>
      <c r="R48" s="175"/>
      <c r="S48" s="130"/>
      <c r="T48" s="223" t="str">
        <f t="shared" si="4"/>
        <v/>
      </c>
      <c r="U48" s="222" t="str">
        <f t="shared" si="5"/>
        <v/>
      </c>
      <c r="V48" s="361" t="s">
        <v>1237</v>
      </c>
      <c r="W48" s="72"/>
    </row>
    <row r="49" spans="1:23" x14ac:dyDescent="0.2">
      <c r="A49" s="293">
        <f t="shared" si="0"/>
        <v>0</v>
      </c>
      <c r="B49" s="163"/>
      <c r="C49" s="163"/>
      <c r="D49" s="163"/>
      <c r="E49" s="175"/>
      <c r="F49" s="175"/>
      <c r="G49" s="130"/>
      <c r="H49" s="222" t="str">
        <f t="shared" si="1"/>
        <v/>
      </c>
      <c r="I49" s="222" t="str">
        <f t="shared" si="2"/>
        <v/>
      </c>
      <c r="J49" s="67"/>
      <c r="K49" s="67"/>
      <c r="L49" s="360" t="s">
        <v>1237</v>
      </c>
      <c r="M49" s="294">
        <f t="shared" si="3"/>
        <v>0</v>
      </c>
      <c r="N49" s="176"/>
      <c r="O49" s="163"/>
      <c r="P49" s="163"/>
      <c r="Q49" s="175"/>
      <c r="R49" s="175"/>
      <c r="S49" s="130"/>
      <c r="T49" s="223" t="str">
        <f t="shared" si="4"/>
        <v/>
      </c>
      <c r="U49" s="222" t="str">
        <f t="shared" si="5"/>
        <v/>
      </c>
      <c r="V49" s="361" t="s">
        <v>1237</v>
      </c>
      <c r="W49" s="72"/>
    </row>
    <row r="50" spans="1:23" x14ac:dyDescent="0.2">
      <c r="A50" s="293">
        <f t="shared" si="0"/>
        <v>0</v>
      </c>
      <c r="B50" s="163"/>
      <c r="C50" s="163"/>
      <c r="D50" s="163"/>
      <c r="E50" s="175"/>
      <c r="F50" s="175"/>
      <c r="G50" s="130"/>
      <c r="H50" s="222" t="str">
        <f t="shared" si="1"/>
        <v/>
      </c>
      <c r="I50" s="222" t="str">
        <f t="shared" si="2"/>
        <v/>
      </c>
      <c r="J50" s="67"/>
      <c r="K50" s="67"/>
      <c r="L50" s="360" t="s">
        <v>1237</v>
      </c>
      <c r="M50" s="294">
        <f t="shared" si="3"/>
        <v>0</v>
      </c>
      <c r="N50" s="176"/>
      <c r="O50" s="163"/>
      <c r="P50" s="163"/>
      <c r="Q50" s="175"/>
      <c r="R50" s="175"/>
      <c r="S50" s="130"/>
      <c r="T50" s="223" t="str">
        <f t="shared" si="4"/>
        <v/>
      </c>
      <c r="U50" s="222" t="str">
        <f t="shared" si="5"/>
        <v/>
      </c>
      <c r="V50" s="361" t="s">
        <v>1237</v>
      </c>
      <c r="W50" s="72"/>
    </row>
    <row r="51" spans="1:23" x14ac:dyDescent="0.2">
      <c r="A51" s="293">
        <f t="shared" si="0"/>
        <v>0</v>
      </c>
      <c r="B51" s="163"/>
      <c r="C51" s="163"/>
      <c r="D51" s="163"/>
      <c r="E51" s="175"/>
      <c r="F51" s="175"/>
      <c r="G51" s="130"/>
      <c r="H51" s="222" t="str">
        <f t="shared" si="1"/>
        <v/>
      </c>
      <c r="I51" s="222" t="str">
        <f t="shared" si="2"/>
        <v/>
      </c>
      <c r="J51" s="67"/>
      <c r="K51" s="67"/>
      <c r="L51" s="360" t="s">
        <v>1237</v>
      </c>
      <c r="M51" s="294">
        <f t="shared" si="3"/>
        <v>0</v>
      </c>
      <c r="N51" s="176"/>
      <c r="O51" s="163"/>
      <c r="P51" s="163"/>
      <c r="Q51" s="175"/>
      <c r="R51" s="175"/>
      <c r="S51" s="130"/>
      <c r="T51" s="223" t="str">
        <f t="shared" si="4"/>
        <v/>
      </c>
      <c r="U51" s="222" t="str">
        <f t="shared" si="5"/>
        <v/>
      </c>
      <c r="V51" s="361" t="s">
        <v>1237</v>
      </c>
      <c r="W51" s="72"/>
    </row>
    <row r="52" spans="1:23" x14ac:dyDescent="0.2">
      <c r="A52" s="293">
        <f t="shared" si="0"/>
        <v>0</v>
      </c>
      <c r="B52" s="163"/>
      <c r="C52" s="163"/>
      <c r="D52" s="163"/>
      <c r="E52" s="175"/>
      <c r="F52" s="175"/>
      <c r="G52" s="130"/>
      <c r="H52" s="222" t="str">
        <f t="shared" si="1"/>
        <v/>
      </c>
      <c r="I52" s="222" t="str">
        <f t="shared" si="2"/>
        <v/>
      </c>
      <c r="J52" s="67"/>
      <c r="K52" s="67"/>
      <c r="L52" s="360" t="s">
        <v>1237</v>
      </c>
      <c r="M52" s="294">
        <f t="shared" si="3"/>
        <v>0</v>
      </c>
      <c r="N52" s="176"/>
      <c r="O52" s="163"/>
      <c r="P52" s="163"/>
      <c r="Q52" s="175"/>
      <c r="R52" s="175"/>
      <c r="S52" s="130"/>
      <c r="T52" s="223" t="str">
        <f t="shared" si="4"/>
        <v/>
      </c>
      <c r="U52" s="222" t="str">
        <f t="shared" si="5"/>
        <v/>
      </c>
      <c r="V52" s="361" t="s">
        <v>1237</v>
      </c>
      <c r="W52" s="72"/>
    </row>
    <row r="53" spans="1:23" x14ac:dyDescent="0.2">
      <c r="A53" s="293">
        <f t="shared" si="0"/>
        <v>0</v>
      </c>
      <c r="B53" s="163"/>
      <c r="C53" s="163"/>
      <c r="D53" s="163"/>
      <c r="E53" s="175"/>
      <c r="F53" s="175"/>
      <c r="G53" s="130"/>
      <c r="H53" s="222" t="str">
        <f t="shared" si="1"/>
        <v/>
      </c>
      <c r="I53" s="222" t="str">
        <f t="shared" si="2"/>
        <v/>
      </c>
      <c r="J53" s="67"/>
      <c r="K53" s="67"/>
      <c r="L53" s="360" t="s">
        <v>1237</v>
      </c>
      <c r="M53" s="294">
        <f t="shared" si="3"/>
        <v>0</v>
      </c>
      <c r="N53" s="176"/>
      <c r="O53" s="163"/>
      <c r="P53" s="163"/>
      <c r="Q53" s="175"/>
      <c r="R53" s="175"/>
      <c r="S53" s="130"/>
      <c r="T53" s="223" t="str">
        <f t="shared" si="4"/>
        <v/>
      </c>
      <c r="U53" s="222" t="str">
        <f t="shared" si="5"/>
        <v/>
      </c>
      <c r="V53" s="361" t="s">
        <v>1237</v>
      </c>
      <c r="W53" s="72"/>
    </row>
    <row r="54" spans="1:23" x14ac:dyDescent="0.2">
      <c r="A54" s="293">
        <f t="shared" si="0"/>
        <v>0</v>
      </c>
      <c r="B54" s="163"/>
      <c r="C54" s="163"/>
      <c r="D54" s="163"/>
      <c r="E54" s="175"/>
      <c r="F54" s="175"/>
      <c r="G54" s="130"/>
      <c r="H54" s="222" t="str">
        <f t="shared" si="1"/>
        <v/>
      </c>
      <c r="I54" s="222" t="str">
        <f t="shared" si="2"/>
        <v/>
      </c>
      <c r="J54" s="67"/>
      <c r="K54" s="67"/>
      <c r="L54" s="360" t="s">
        <v>1237</v>
      </c>
      <c r="M54" s="294">
        <f t="shared" si="3"/>
        <v>0</v>
      </c>
      <c r="N54" s="176"/>
      <c r="O54" s="163"/>
      <c r="P54" s="163"/>
      <c r="Q54" s="175"/>
      <c r="R54" s="175"/>
      <c r="S54" s="130"/>
      <c r="T54" s="223" t="str">
        <f t="shared" si="4"/>
        <v/>
      </c>
      <c r="U54" s="222" t="str">
        <f t="shared" si="5"/>
        <v/>
      </c>
      <c r="V54" s="361" t="s">
        <v>1237</v>
      </c>
      <c r="W54" s="72"/>
    </row>
    <row r="55" spans="1:23" x14ac:dyDescent="0.2">
      <c r="A55" s="293">
        <f t="shared" si="0"/>
        <v>0</v>
      </c>
      <c r="B55" s="163"/>
      <c r="C55" s="163"/>
      <c r="D55" s="163"/>
      <c r="E55" s="175"/>
      <c r="F55" s="175"/>
      <c r="G55" s="130"/>
      <c r="H55" s="222" t="str">
        <f t="shared" si="1"/>
        <v/>
      </c>
      <c r="I55" s="222" t="str">
        <f t="shared" si="2"/>
        <v/>
      </c>
      <c r="J55" s="67"/>
      <c r="K55" s="67"/>
      <c r="L55" s="360" t="s">
        <v>1237</v>
      </c>
      <c r="M55" s="294">
        <f t="shared" si="3"/>
        <v>0</v>
      </c>
      <c r="N55" s="176"/>
      <c r="O55" s="163"/>
      <c r="P55" s="163"/>
      <c r="Q55" s="175"/>
      <c r="R55" s="175"/>
      <c r="S55" s="130"/>
      <c r="T55" s="223" t="str">
        <f t="shared" si="4"/>
        <v/>
      </c>
      <c r="U55" s="222" t="str">
        <f t="shared" si="5"/>
        <v/>
      </c>
      <c r="V55" s="361" t="s">
        <v>1237</v>
      </c>
      <c r="W55" s="72"/>
    </row>
    <row r="56" spans="1:23" x14ac:dyDescent="0.2">
      <c r="A56" s="293">
        <f t="shared" si="0"/>
        <v>0</v>
      </c>
      <c r="B56" s="163"/>
      <c r="C56" s="163"/>
      <c r="D56" s="163"/>
      <c r="E56" s="175"/>
      <c r="F56" s="175"/>
      <c r="G56" s="130"/>
      <c r="H56" s="222" t="str">
        <f t="shared" si="1"/>
        <v/>
      </c>
      <c r="I56" s="222" t="str">
        <f t="shared" si="2"/>
        <v/>
      </c>
      <c r="J56" s="67"/>
      <c r="K56" s="67"/>
      <c r="L56" s="360" t="s">
        <v>1237</v>
      </c>
      <c r="M56" s="294">
        <f t="shared" si="3"/>
        <v>0</v>
      </c>
      <c r="N56" s="176"/>
      <c r="O56" s="163"/>
      <c r="P56" s="163"/>
      <c r="Q56" s="175"/>
      <c r="R56" s="175"/>
      <c r="S56" s="130"/>
      <c r="T56" s="223" t="str">
        <f t="shared" si="4"/>
        <v/>
      </c>
      <c r="U56" s="222" t="str">
        <f t="shared" si="5"/>
        <v/>
      </c>
      <c r="V56" s="361" t="s">
        <v>1237</v>
      </c>
      <c r="W56" s="72"/>
    </row>
    <row r="57" spans="1:23" x14ac:dyDescent="0.2">
      <c r="A57" s="293">
        <f t="shared" si="0"/>
        <v>0</v>
      </c>
      <c r="B57" s="163"/>
      <c r="C57" s="163"/>
      <c r="D57" s="163"/>
      <c r="E57" s="175"/>
      <c r="F57" s="175"/>
      <c r="G57" s="130"/>
      <c r="H57" s="222" t="str">
        <f t="shared" si="1"/>
        <v/>
      </c>
      <c r="I57" s="222" t="str">
        <f t="shared" si="2"/>
        <v/>
      </c>
      <c r="J57" s="67"/>
      <c r="K57" s="67"/>
      <c r="L57" s="360" t="s">
        <v>1237</v>
      </c>
      <c r="M57" s="294">
        <f t="shared" si="3"/>
        <v>0</v>
      </c>
      <c r="N57" s="176"/>
      <c r="O57" s="163"/>
      <c r="P57" s="163"/>
      <c r="Q57" s="175"/>
      <c r="R57" s="175"/>
      <c r="S57" s="130"/>
      <c r="T57" s="223" t="str">
        <f t="shared" si="4"/>
        <v/>
      </c>
      <c r="U57" s="222" t="str">
        <f t="shared" si="5"/>
        <v/>
      </c>
      <c r="V57" s="361" t="s">
        <v>1237</v>
      </c>
      <c r="W57" s="72"/>
    </row>
    <row r="58" spans="1:23" x14ac:dyDescent="0.2">
      <c r="A58" s="293">
        <f t="shared" si="0"/>
        <v>0</v>
      </c>
      <c r="B58" s="163"/>
      <c r="C58" s="163"/>
      <c r="D58" s="163"/>
      <c r="E58" s="175"/>
      <c r="F58" s="175"/>
      <c r="G58" s="130"/>
      <c r="H58" s="222" t="str">
        <f t="shared" si="1"/>
        <v/>
      </c>
      <c r="I58" s="222" t="str">
        <f t="shared" si="2"/>
        <v/>
      </c>
      <c r="J58" s="67"/>
      <c r="K58" s="67"/>
      <c r="L58" s="360" t="s">
        <v>1237</v>
      </c>
      <c r="M58" s="294">
        <f t="shared" si="3"/>
        <v>0</v>
      </c>
      <c r="N58" s="176"/>
      <c r="O58" s="163"/>
      <c r="P58" s="163"/>
      <c r="Q58" s="175"/>
      <c r="R58" s="175"/>
      <c r="S58" s="130"/>
      <c r="T58" s="223" t="str">
        <f t="shared" si="4"/>
        <v/>
      </c>
      <c r="U58" s="222" t="str">
        <f t="shared" si="5"/>
        <v/>
      </c>
      <c r="V58" s="361" t="s">
        <v>1237</v>
      </c>
      <c r="W58" s="72"/>
    </row>
    <row r="59" spans="1:23" x14ac:dyDescent="0.2">
      <c r="A59" s="293">
        <f t="shared" si="0"/>
        <v>0</v>
      </c>
      <c r="B59" s="163"/>
      <c r="C59" s="163"/>
      <c r="D59" s="163"/>
      <c r="E59" s="175"/>
      <c r="F59" s="175"/>
      <c r="G59" s="130"/>
      <c r="H59" s="222" t="str">
        <f t="shared" si="1"/>
        <v/>
      </c>
      <c r="I59" s="222" t="str">
        <f t="shared" si="2"/>
        <v/>
      </c>
      <c r="J59" s="67"/>
      <c r="K59" s="67"/>
      <c r="L59" s="360" t="s">
        <v>1237</v>
      </c>
      <c r="M59" s="294">
        <f t="shared" si="3"/>
        <v>0</v>
      </c>
      <c r="N59" s="176"/>
      <c r="O59" s="163"/>
      <c r="P59" s="163"/>
      <c r="Q59" s="175"/>
      <c r="R59" s="175"/>
      <c r="S59" s="130"/>
      <c r="T59" s="223" t="str">
        <f t="shared" si="4"/>
        <v/>
      </c>
      <c r="U59" s="222" t="str">
        <f t="shared" si="5"/>
        <v/>
      </c>
      <c r="V59" s="361" t="s">
        <v>1237</v>
      </c>
      <c r="W59" s="72"/>
    </row>
    <row r="60" spans="1:23" x14ac:dyDescent="0.2">
      <c r="A60" s="293">
        <f t="shared" si="0"/>
        <v>0</v>
      </c>
      <c r="B60" s="163"/>
      <c r="C60" s="163"/>
      <c r="D60" s="163"/>
      <c r="E60" s="175"/>
      <c r="F60" s="175"/>
      <c r="G60" s="130"/>
      <c r="H60" s="222" t="str">
        <f t="shared" si="1"/>
        <v/>
      </c>
      <c r="I60" s="222" t="str">
        <f t="shared" si="2"/>
        <v/>
      </c>
      <c r="J60" s="67"/>
      <c r="K60" s="67"/>
      <c r="L60" s="360" t="s">
        <v>1237</v>
      </c>
      <c r="M60" s="294">
        <f t="shared" si="3"/>
        <v>0</v>
      </c>
      <c r="N60" s="176"/>
      <c r="O60" s="163"/>
      <c r="P60" s="163"/>
      <c r="Q60" s="175"/>
      <c r="R60" s="175"/>
      <c r="S60" s="130"/>
      <c r="T60" s="223" t="str">
        <f t="shared" si="4"/>
        <v/>
      </c>
      <c r="U60" s="222" t="str">
        <f t="shared" si="5"/>
        <v/>
      </c>
      <c r="V60" s="361" t="s">
        <v>1237</v>
      </c>
      <c r="W60" s="72"/>
    </row>
    <row r="61" spans="1:23" x14ac:dyDescent="0.2">
      <c r="A61" s="293">
        <f t="shared" si="0"/>
        <v>0</v>
      </c>
      <c r="B61" s="163"/>
      <c r="C61" s="163"/>
      <c r="D61" s="163"/>
      <c r="E61" s="175"/>
      <c r="F61" s="175"/>
      <c r="G61" s="130"/>
      <c r="H61" s="222" t="str">
        <f t="shared" si="1"/>
        <v/>
      </c>
      <c r="I61" s="222" t="str">
        <f t="shared" si="2"/>
        <v/>
      </c>
      <c r="J61" s="67"/>
      <c r="K61" s="67"/>
      <c r="L61" s="360" t="s">
        <v>1237</v>
      </c>
      <c r="M61" s="294">
        <f t="shared" si="3"/>
        <v>0</v>
      </c>
      <c r="N61" s="176"/>
      <c r="O61" s="163"/>
      <c r="P61" s="163"/>
      <c r="Q61" s="175"/>
      <c r="R61" s="175"/>
      <c r="S61" s="130"/>
      <c r="T61" s="223" t="str">
        <f t="shared" si="4"/>
        <v/>
      </c>
      <c r="U61" s="222" t="str">
        <f t="shared" si="5"/>
        <v/>
      </c>
      <c r="V61" s="361" t="s">
        <v>1237</v>
      </c>
      <c r="W61" s="72"/>
    </row>
    <row r="62" spans="1:23" x14ac:dyDescent="0.2">
      <c r="A62" s="293">
        <f t="shared" si="0"/>
        <v>0</v>
      </c>
      <c r="B62" s="163"/>
      <c r="C62" s="163"/>
      <c r="D62" s="163"/>
      <c r="E62" s="175"/>
      <c r="F62" s="175"/>
      <c r="G62" s="130"/>
      <c r="H62" s="222" t="str">
        <f t="shared" si="1"/>
        <v/>
      </c>
      <c r="I62" s="222" t="str">
        <f t="shared" si="2"/>
        <v/>
      </c>
      <c r="J62" s="67"/>
      <c r="K62" s="67"/>
      <c r="L62" s="360" t="s">
        <v>1237</v>
      </c>
      <c r="M62" s="294">
        <f t="shared" si="3"/>
        <v>0</v>
      </c>
      <c r="N62" s="176"/>
      <c r="O62" s="163"/>
      <c r="P62" s="163"/>
      <c r="Q62" s="175"/>
      <c r="R62" s="175"/>
      <c r="S62" s="130"/>
      <c r="T62" s="223" t="str">
        <f t="shared" si="4"/>
        <v/>
      </c>
      <c r="U62" s="222" t="str">
        <f t="shared" si="5"/>
        <v/>
      </c>
      <c r="V62" s="361" t="s">
        <v>1237</v>
      </c>
      <c r="W62" s="72"/>
    </row>
    <row r="63" spans="1:23" x14ac:dyDescent="0.2">
      <c r="A63" s="293">
        <f t="shared" si="0"/>
        <v>0</v>
      </c>
      <c r="B63" s="163"/>
      <c r="C63" s="163"/>
      <c r="D63" s="163"/>
      <c r="E63" s="175"/>
      <c r="F63" s="175"/>
      <c r="G63" s="130"/>
      <c r="H63" s="222" t="str">
        <f t="shared" si="1"/>
        <v/>
      </c>
      <c r="I63" s="222" t="str">
        <f t="shared" si="2"/>
        <v/>
      </c>
      <c r="J63" s="67"/>
      <c r="K63" s="67"/>
      <c r="L63" s="360" t="s">
        <v>1237</v>
      </c>
      <c r="M63" s="294">
        <f t="shared" si="3"/>
        <v>0</v>
      </c>
      <c r="N63" s="176"/>
      <c r="O63" s="163"/>
      <c r="P63" s="163"/>
      <c r="Q63" s="175"/>
      <c r="R63" s="175"/>
      <c r="S63" s="130"/>
      <c r="T63" s="223" t="str">
        <f t="shared" si="4"/>
        <v/>
      </c>
      <c r="U63" s="222" t="str">
        <f t="shared" si="5"/>
        <v/>
      </c>
      <c r="V63" s="361" t="s">
        <v>1237</v>
      </c>
      <c r="W63" s="72"/>
    </row>
    <row r="64" spans="1:23" x14ac:dyDescent="0.2">
      <c r="A64" s="293">
        <f t="shared" si="0"/>
        <v>0</v>
      </c>
      <c r="B64" s="163"/>
      <c r="C64" s="163"/>
      <c r="D64" s="163"/>
      <c r="E64" s="175"/>
      <c r="F64" s="175"/>
      <c r="G64" s="130"/>
      <c r="H64" s="222" t="str">
        <f t="shared" si="1"/>
        <v/>
      </c>
      <c r="I64" s="222" t="str">
        <f t="shared" si="2"/>
        <v/>
      </c>
      <c r="J64" s="67"/>
      <c r="K64" s="67"/>
      <c r="L64" s="360" t="s">
        <v>1237</v>
      </c>
      <c r="M64" s="294">
        <f t="shared" si="3"/>
        <v>0</v>
      </c>
      <c r="N64" s="176"/>
      <c r="O64" s="163"/>
      <c r="P64" s="163"/>
      <c r="Q64" s="175"/>
      <c r="R64" s="175"/>
      <c r="S64" s="130"/>
      <c r="T64" s="223" t="str">
        <f t="shared" si="4"/>
        <v/>
      </c>
      <c r="U64" s="222" t="str">
        <f t="shared" si="5"/>
        <v/>
      </c>
      <c r="V64" s="361" t="s">
        <v>1237</v>
      </c>
      <c r="W64" s="72"/>
    </row>
    <row r="65" spans="1:23" x14ac:dyDescent="0.2">
      <c r="A65" s="293">
        <f t="shared" si="0"/>
        <v>0</v>
      </c>
      <c r="B65" s="163"/>
      <c r="C65" s="163"/>
      <c r="D65" s="163"/>
      <c r="E65" s="175"/>
      <c r="F65" s="175"/>
      <c r="G65" s="130"/>
      <c r="H65" s="222" t="str">
        <f t="shared" si="1"/>
        <v/>
      </c>
      <c r="I65" s="222" t="str">
        <f t="shared" si="2"/>
        <v/>
      </c>
      <c r="J65" s="67"/>
      <c r="K65" s="67"/>
      <c r="L65" s="360" t="s">
        <v>1237</v>
      </c>
      <c r="M65" s="294">
        <f t="shared" si="3"/>
        <v>0</v>
      </c>
      <c r="N65" s="176"/>
      <c r="O65" s="163"/>
      <c r="P65" s="163"/>
      <c r="Q65" s="175"/>
      <c r="R65" s="175"/>
      <c r="S65" s="130"/>
      <c r="T65" s="223" t="str">
        <f t="shared" si="4"/>
        <v/>
      </c>
      <c r="U65" s="222" t="str">
        <f t="shared" si="5"/>
        <v/>
      </c>
      <c r="V65" s="361" t="s">
        <v>1237</v>
      </c>
      <c r="W65" s="72"/>
    </row>
    <row r="66" spans="1:23" x14ac:dyDescent="0.2">
      <c r="A66" s="293">
        <f t="shared" si="0"/>
        <v>0</v>
      </c>
      <c r="B66" s="163"/>
      <c r="C66" s="163"/>
      <c r="D66" s="163"/>
      <c r="E66" s="175"/>
      <c r="F66" s="175"/>
      <c r="G66" s="130"/>
      <c r="H66" s="222" t="str">
        <f t="shared" si="1"/>
        <v/>
      </c>
      <c r="I66" s="222" t="str">
        <f t="shared" si="2"/>
        <v/>
      </c>
      <c r="J66" s="67"/>
      <c r="K66" s="67"/>
      <c r="L66" s="360" t="s">
        <v>1237</v>
      </c>
      <c r="M66" s="294">
        <f t="shared" si="3"/>
        <v>0</v>
      </c>
      <c r="N66" s="176"/>
      <c r="O66" s="163"/>
      <c r="P66" s="163"/>
      <c r="Q66" s="175"/>
      <c r="R66" s="175"/>
      <c r="S66" s="130"/>
      <c r="T66" s="223" t="str">
        <f t="shared" si="4"/>
        <v/>
      </c>
      <c r="U66" s="222" t="str">
        <f t="shared" si="5"/>
        <v/>
      </c>
      <c r="V66" s="361" t="s">
        <v>1237</v>
      </c>
      <c r="W66" s="72"/>
    </row>
    <row r="67" spans="1:23" x14ac:dyDescent="0.2">
      <c r="A67" s="293">
        <f t="shared" si="0"/>
        <v>0</v>
      </c>
      <c r="B67" s="163"/>
      <c r="C67" s="163"/>
      <c r="D67" s="163"/>
      <c r="E67" s="175"/>
      <c r="F67" s="175"/>
      <c r="G67" s="130"/>
      <c r="H67" s="222" t="str">
        <f t="shared" si="1"/>
        <v/>
      </c>
      <c r="I67" s="222" t="str">
        <f t="shared" si="2"/>
        <v/>
      </c>
      <c r="J67" s="67"/>
      <c r="K67" s="67"/>
      <c r="L67" s="360" t="s">
        <v>1237</v>
      </c>
      <c r="M67" s="294">
        <f t="shared" si="3"/>
        <v>0</v>
      </c>
      <c r="N67" s="176"/>
      <c r="O67" s="163"/>
      <c r="P67" s="163"/>
      <c r="Q67" s="175"/>
      <c r="R67" s="175"/>
      <c r="S67" s="130"/>
      <c r="T67" s="223" t="str">
        <f t="shared" si="4"/>
        <v/>
      </c>
      <c r="U67" s="222" t="str">
        <f t="shared" si="5"/>
        <v/>
      </c>
      <c r="V67" s="361" t="s">
        <v>1237</v>
      </c>
      <c r="W67" s="72"/>
    </row>
    <row r="68" spans="1:23" x14ac:dyDescent="0.2">
      <c r="A68" s="293">
        <f t="shared" si="0"/>
        <v>0</v>
      </c>
      <c r="B68" s="163"/>
      <c r="C68" s="163"/>
      <c r="D68" s="163"/>
      <c r="E68" s="175"/>
      <c r="F68" s="175"/>
      <c r="G68" s="130"/>
      <c r="H68" s="222" t="str">
        <f t="shared" si="1"/>
        <v/>
      </c>
      <c r="I68" s="222" t="str">
        <f t="shared" si="2"/>
        <v/>
      </c>
      <c r="J68" s="67"/>
      <c r="K68" s="67"/>
      <c r="L68" s="360" t="s">
        <v>1237</v>
      </c>
      <c r="M68" s="294">
        <f t="shared" si="3"/>
        <v>0</v>
      </c>
      <c r="N68" s="176"/>
      <c r="O68" s="163"/>
      <c r="P68" s="163"/>
      <c r="Q68" s="175"/>
      <c r="R68" s="175"/>
      <c r="S68" s="130"/>
      <c r="T68" s="223" t="str">
        <f t="shared" si="4"/>
        <v/>
      </c>
      <c r="U68" s="222" t="str">
        <f t="shared" si="5"/>
        <v/>
      </c>
      <c r="V68" s="361" t="s">
        <v>1237</v>
      </c>
      <c r="W68" s="72"/>
    </row>
    <row r="69" spans="1:23" x14ac:dyDescent="0.2">
      <c r="A69" s="293">
        <f t="shared" si="0"/>
        <v>0</v>
      </c>
      <c r="B69" s="163"/>
      <c r="C69" s="163"/>
      <c r="D69" s="163"/>
      <c r="E69" s="175"/>
      <c r="F69" s="175"/>
      <c r="G69" s="130"/>
      <c r="H69" s="222" t="str">
        <f t="shared" si="1"/>
        <v/>
      </c>
      <c r="I69" s="222" t="str">
        <f t="shared" si="2"/>
        <v/>
      </c>
      <c r="J69" s="67"/>
      <c r="K69" s="67"/>
      <c r="L69" s="360" t="s">
        <v>1237</v>
      </c>
      <c r="M69" s="294">
        <f t="shared" si="3"/>
        <v>0</v>
      </c>
      <c r="N69" s="176"/>
      <c r="O69" s="163"/>
      <c r="P69" s="163"/>
      <c r="Q69" s="175"/>
      <c r="R69" s="175"/>
      <c r="S69" s="130"/>
      <c r="T69" s="223" t="str">
        <f t="shared" si="4"/>
        <v/>
      </c>
      <c r="U69" s="222" t="str">
        <f t="shared" si="5"/>
        <v/>
      </c>
      <c r="V69" s="361" t="s">
        <v>1237</v>
      </c>
      <c r="W69" s="72"/>
    </row>
    <row r="70" spans="1:23" x14ac:dyDescent="0.2">
      <c r="A70" s="293">
        <f t="shared" si="0"/>
        <v>0</v>
      </c>
      <c r="B70" s="163"/>
      <c r="C70" s="163"/>
      <c r="D70" s="163"/>
      <c r="E70" s="175"/>
      <c r="F70" s="175"/>
      <c r="G70" s="130"/>
      <c r="H70" s="222" t="str">
        <f t="shared" si="1"/>
        <v/>
      </c>
      <c r="I70" s="222" t="str">
        <f t="shared" si="2"/>
        <v/>
      </c>
      <c r="J70" s="67"/>
      <c r="K70" s="67"/>
      <c r="L70" s="360" t="s">
        <v>1237</v>
      </c>
      <c r="M70" s="294">
        <f t="shared" si="3"/>
        <v>0</v>
      </c>
      <c r="N70" s="176"/>
      <c r="O70" s="163"/>
      <c r="P70" s="163"/>
      <c r="Q70" s="175"/>
      <c r="R70" s="175"/>
      <c r="S70" s="130"/>
      <c r="T70" s="223" t="str">
        <f t="shared" si="4"/>
        <v/>
      </c>
      <c r="U70" s="222" t="str">
        <f t="shared" si="5"/>
        <v/>
      </c>
      <c r="V70" s="361" t="s">
        <v>1237</v>
      </c>
      <c r="W70" s="72"/>
    </row>
    <row r="71" spans="1:23" x14ac:dyDescent="0.2">
      <c r="A71" s="293">
        <f t="shared" si="0"/>
        <v>0</v>
      </c>
      <c r="B71" s="163"/>
      <c r="C71" s="163"/>
      <c r="D71" s="163"/>
      <c r="E71" s="175"/>
      <c r="F71" s="175"/>
      <c r="G71" s="130"/>
      <c r="H71" s="222" t="str">
        <f t="shared" si="1"/>
        <v/>
      </c>
      <c r="I71" s="222" t="str">
        <f t="shared" si="2"/>
        <v/>
      </c>
      <c r="J71" s="67"/>
      <c r="K71" s="67"/>
      <c r="L71" s="360" t="s">
        <v>1237</v>
      </c>
      <c r="M71" s="294">
        <f t="shared" si="3"/>
        <v>0</v>
      </c>
      <c r="N71" s="176"/>
      <c r="O71" s="163"/>
      <c r="P71" s="163"/>
      <c r="Q71" s="175"/>
      <c r="R71" s="175"/>
      <c r="S71" s="130"/>
      <c r="T71" s="223" t="str">
        <f t="shared" si="4"/>
        <v/>
      </c>
      <c r="U71" s="222" t="str">
        <f t="shared" si="5"/>
        <v/>
      </c>
      <c r="V71" s="361" t="s">
        <v>1237</v>
      </c>
      <c r="W71" s="72"/>
    </row>
    <row r="72" spans="1:23" x14ac:dyDescent="0.2">
      <c r="A72" s="293">
        <f t="shared" si="0"/>
        <v>0</v>
      </c>
      <c r="B72" s="163"/>
      <c r="C72" s="163"/>
      <c r="D72" s="163"/>
      <c r="E72" s="175"/>
      <c r="F72" s="175"/>
      <c r="G72" s="130"/>
      <c r="H72" s="222" t="str">
        <f t="shared" si="1"/>
        <v/>
      </c>
      <c r="I72" s="222" t="str">
        <f t="shared" si="2"/>
        <v/>
      </c>
      <c r="J72" s="67"/>
      <c r="K72" s="67"/>
      <c r="L72" s="360" t="s">
        <v>1237</v>
      </c>
      <c r="M72" s="294">
        <f t="shared" si="3"/>
        <v>0</v>
      </c>
      <c r="N72" s="176"/>
      <c r="O72" s="163"/>
      <c r="P72" s="163"/>
      <c r="Q72" s="175"/>
      <c r="R72" s="175"/>
      <c r="S72" s="130"/>
      <c r="T72" s="223" t="str">
        <f t="shared" si="4"/>
        <v/>
      </c>
      <c r="U72" s="222" t="str">
        <f t="shared" si="5"/>
        <v/>
      </c>
      <c r="V72" s="361" t="s">
        <v>1237</v>
      </c>
      <c r="W72" s="72"/>
    </row>
    <row r="73" spans="1:23" x14ac:dyDescent="0.2">
      <c r="A73" s="293">
        <f t="shared" si="0"/>
        <v>0</v>
      </c>
      <c r="B73" s="163"/>
      <c r="C73" s="163"/>
      <c r="D73" s="163"/>
      <c r="E73" s="175"/>
      <c r="F73" s="175"/>
      <c r="G73" s="130"/>
      <c r="H73" s="222" t="str">
        <f t="shared" si="1"/>
        <v/>
      </c>
      <c r="I73" s="222" t="str">
        <f t="shared" si="2"/>
        <v/>
      </c>
      <c r="J73" s="67"/>
      <c r="K73" s="67"/>
      <c r="L73" s="360" t="s">
        <v>1237</v>
      </c>
      <c r="M73" s="294">
        <f t="shared" si="3"/>
        <v>0</v>
      </c>
      <c r="N73" s="176"/>
      <c r="O73" s="163"/>
      <c r="P73" s="163"/>
      <c r="Q73" s="175"/>
      <c r="R73" s="175"/>
      <c r="S73" s="130"/>
      <c r="T73" s="223" t="str">
        <f t="shared" si="4"/>
        <v/>
      </c>
      <c r="U73" s="222" t="str">
        <f t="shared" si="5"/>
        <v/>
      </c>
      <c r="V73" s="361" t="s">
        <v>1237</v>
      </c>
      <c r="W73" s="72"/>
    </row>
    <row r="74" spans="1:23" x14ac:dyDescent="0.2">
      <c r="A74" s="293">
        <f t="shared" si="0"/>
        <v>0</v>
      </c>
      <c r="B74" s="163"/>
      <c r="C74" s="163"/>
      <c r="D74" s="163"/>
      <c r="E74" s="175"/>
      <c r="F74" s="175"/>
      <c r="G74" s="130"/>
      <c r="H74" s="222" t="str">
        <f t="shared" si="1"/>
        <v/>
      </c>
      <c r="I74" s="222" t="str">
        <f t="shared" si="2"/>
        <v/>
      </c>
      <c r="J74" s="67"/>
      <c r="K74" s="67"/>
      <c r="L74" s="360" t="s">
        <v>1237</v>
      </c>
      <c r="M74" s="294">
        <f t="shared" si="3"/>
        <v>0</v>
      </c>
      <c r="N74" s="176"/>
      <c r="O74" s="163"/>
      <c r="P74" s="163"/>
      <c r="Q74" s="175"/>
      <c r="R74" s="175"/>
      <c r="S74" s="130"/>
      <c r="T74" s="223" t="str">
        <f t="shared" si="4"/>
        <v/>
      </c>
      <c r="U74" s="222" t="str">
        <f t="shared" si="5"/>
        <v/>
      </c>
      <c r="V74" s="361" t="s">
        <v>1237</v>
      </c>
      <c r="W74" s="72"/>
    </row>
    <row r="75" spans="1:23" x14ac:dyDescent="0.2">
      <c r="A75" s="293">
        <f t="shared" si="0"/>
        <v>0</v>
      </c>
      <c r="B75" s="163"/>
      <c r="C75" s="163"/>
      <c r="D75" s="163"/>
      <c r="E75" s="175"/>
      <c r="F75" s="175"/>
      <c r="G75" s="130"/>
      <c r="H75" s="222" t="str">
        <f t="shared" si="1"/>
        <v/>
      </c>
      <c r="I75" s="222" t="str">
        <f t="shared" si="2"/>
        <v/>
      </c>
      <c r="J75" s="67"/>
      <c r="K75" s="67"/>
      <c r="L75" s="360" t="s">
        <v>1237</v>
      </c>
      <c r="M75" s="294">
        <f t="shared" si="3"/>
        <v>0</v>
      </c>
      <c r="N75" s="176"/>
      <c r="O75" s="163"/>
      <c r="P75" s="163"/>
      <c r="Q75" s="175"/>
      <c r="R75" s="175"/>
      <c r="S75" s="130"/>
      <c r="T75" s="223" t="str">
        <f t="shared" si="4"/>
        <v/>
      </c>
      <c r="U75" s="222" t="str">
        <f t="shared" si="5"/>
        <v/>
      </c>
      <c r="V75" s="361" t="s">
        <v>1237</v>
      </c>
      <c r="W75" s="72"/>
    </row>
    <row r="76" spans="1:23" x14ac:dyDescent="0.2">
      <c r="A76" s="293">
        <f t="shared" si="0"/>
        <v>0</v>
      </c>
      <c r="B76" s="163"/>
      <c r="C76" s="163"/>
      <c r="D76" s="163"/>
      <c r="E76" s="175"/>
      <c r="F76" s="175"/>
      <c r="G76" s="130"/>
      <c r="H76" s="222" t="str">
        <f t="shared" si="1"/>
        <v/>
      </c>
      <c r="I76" s="222" t="str">
        <f t="shared" si="2"/>
        <v/>
      </c>
      <c r="J76" s="67"/>
      <c r="K76" s="67"/>
      <c r="L76" s="360" t="s">
        <v>1237</v>
      </c>
      <c r="M76" s="294">
        <f t="shared" si="3"/>
        <v>0</v>
      </c>
      <c r="N76" s="176"/>
      <c r="O76" s="163"/>
      <c r="P76" s="163"/>
      <c r="Q76" s="175"/>
      <c r="R76" s="175"/>
      <c r="S76" s="130"/>
      <c r="T76" s="223" t="str">
        <f t="shared" si="4"/>
        <v/>
      </c>
      <c r="U76" s="222" t="str">
        <f t="shared" si="5"/>
        <v/>
      </c>
      <c r="V76" s="361" t="s">
        <v>1237</v>
      </c>
      <c r="W76" s="72"/>
    </row>
    <row r="77" spans="1:23" x14ac:dyDescent="0.2">
      <c r="A77" s="293">
        <f t="shared" si="0"/>
        <v>0</v>
      </c>
      <c r="B77" s="163"/>
      <c r="C77" s="163"/>
      <c r="D77" s="163"/>
      <c r="E77" s="175"/>
      <c r="F77" s="175"/>
      <c r="G77" s="130"/>
      <c r="H77" s="222" t="str">
        <f t="shared" si="1"/>
        <v/>
      </c>
      <c r="I77" s="222" t="str">
        <f t="shared" si="2"/>
        <v/>
      </c>
      <c r="J77" s="67"/>
      <c r="K77" s="67"/>
      <c r="L77" s="360" t="s">
        <v>1237</v>
      </c>
      <c r="M77" s="294">
        <f t="shared" si="3"/>
        <v>0</v>
      </c>
      <c r="N77" s="176"/>
      <c r="O77" s="163"/>
      <c r="P77" s="163"/>
      <c r="Q77" s="175"/>
      <c r="R77" s="175"/>
      <c r="S77" s="130"/>
      <c r="T77" s="223" t="str">
        <f t="shared" si="4"/>
        <v/>
      </c>
      <c r="U77" s="222" t="str">
        <f t="shared" si="5"/>
        <v/>
      </c>
      <c r="V77" s="361" t="s">
        <v>1237</v>
      </c>
      <c r="W77" s="72"/>
    </row>
    <row r="78" spans="1:23" x14ac:dyDescent="0.2">
      <c r="A78" s="293">
        <f t="shared" si="0"/>
        <v>0</v>
      </c>
      <c r="B78" s="163"/>
      <c r="C78" s="163"/>
      <c r="D78" s="163"/>
      <c r="E78" s="175"/>
      <c r="F78" s="175"/>
      <c r="G78" s="130"/>
      <c r="H78" s="222" t="str">
        <f t="shared" si="1"/>
        <v/>
      </c>
      <c r="I78" s="222" t="str">
        <f t="shared" si="2"/>
        <v/>
      </c>
      <c r="J78" s="67"/>
      <c r="K78" s="67"/>
      <c r="L78" s="360" t="s">
        <v>1237</v>
      </c>
      <c r="M78" s="294">
        <f t="shared" si="3"/>
        <v>0</v>
      </c>
      <c r="N78" s="176"/>
      <c r="O78" s="163"/>
      <c r="P78" s="163"/>
      <c r="Q78" s="175"/>
      <c r="R78" s="175"/>
      <c r="S78" s="130"/>
      <c r="T78" s="223" t="str">
        <f t="shared" si="4"/>
        <v/>
      </c>
      <c r="U78" s="222" t="str">
        <f t="shared" si="5"/>
        <v/>
      </c>
      <c r="V78" s="361" t="s">
        <v>1237</v>
      </c>
      <c r="W78" s="72"/>
    </row>
    <row r="79" spans="1:23" x14ac:dyDescent="0.2">
      <c r="A79" s="293">
        <f t="shared" si="0"/>
        <v>0</v>
      </c>
      <c r="B79" s="163"/>
      <c r="C79" s="163"/>
      <c r="D79" s="163"/>
      <c r="E79" s="175"/>
      <c r="F79" s="175"/>
      <c r="G79" s="130"/>
      <c r="H79" s="222" t="str">
        <f t="shared" si="1"/>
        <v/>
      </c>
      <c r="I79" s="222" t="str">
        <f t="shared" si="2"/>
        <v/>
      </c>
      <c r="J79" s="67"/>
      <c r="K79" s="67"/>
      <c r="L79" s="360" t="s">
        <v>1237</v>
      </c>
      <c r="M79" s="294">
        <f t="shared" si="3"/>
        <v>0</v>
      </c>
      <c r="N79" s="176"/>
      <c r="O79" s="163"/>
      <c r="P79" s="163"/>
      <c r="Q79" s="175"/>
      <c r="R79" s="175"/>
      <c r="S79" s="130"/>
      <c r="T79" s="223" t="str">
        <f t="shared" si="4"/>
        <v/>
      </c>
      <c r="U79" s="222" t="str">
        <f t="shared" si="5"/>
        <v/>
      </c>
      <c r="V79" s="361" t="s">
        <v>1237</v>
      </c>
      <c r="W79" s="72"/>
    </row>
    <row r="80" spans="1:23" x14ac:dyDescent="0.2">
      <c r="A80" s="293">
        <f t="shared" si="0"/>
        <v>0</v>
      </c>
      <c r="B80" s="163"/>
      <c r="C80" s="163"/>
      <c r="D80" s="163"/>
      <c r="E80" s="175"/>
      <c r="F80" s="175"/>
      <c r="G80" s="130"/>
      <c r="H80" s="222" t="str">
        <f t="shared" si="1"/>
        <v/>
      </c>
      <c r="I80" s="222" t="str">
        <f t="shared" si="2"/>
        <v/>
      </c>
      <c r="J80" s="67"/>
      <c r="K80" s="67"/>
      <c r="L80" s="360" t="s">
        <v>1237</v>
      </c>
      <c r="M80" s="294">
        <f t="shared" si="3"/>
        <v>0</v>
      </c>
      <c r="N80" s="176"/>
      <c r="O80" s="163"/>
      <c r="P80" s="163"/>
      <c r="Q80" s="175"/>
      <c r="R80" s="175"/>
      <c r="S80" s="130"/>
      <c r="T80" s="223" t="str">
        <f t="shared" si="4"/>
        <v/>
      </c>
      <c r="U80" s="222" t="str">
        <f t="shared" si="5"/>
        <v/>
      </c>
      <c r="V80" s="361" t="s">
        <v>1237</v>
      </c>
      <c r="W80" s="72"/>
    </row>
    <row r="81" spans="1:23" x14ac:dyDescent="0.2">
      <c r="A81" s="293">
        <f t="shared" si="0"/>
        <v>0</v>
      </c>
      <c r="B81" s="163"/>
      <c r="C81" s="163"/>
      <c r="D81" s="163"/>
      <c r="E81" s="175"/>
      <c r="F81" s="175"/>
      <c r="G81" s="130"/>
      <c r="H81" s="222" t="str">
        <f t="shared" si="1"/>
        <v/>
      </c>
      <c r="I81" s="222" t="str">
        <f t="shared" si="2"/>
        <v/>
      </c>
      <c r="J81" s="67"/>
      <c r="K81" s="67"/>
      <c r="L81" s="360" t="s">
        <v>1237</v>
      </c>
      <c r="M81" s="294">
        <f t="shared" si="3"/>
        <v>0</v>
      </c>
      <c r="N81" s="176"/>
      <c r="O81" s="163"/>
      <c r="P81" s="163"/>
      <c r="Q81" s="175"/>
      <c r="R81" s="175"/>
      <c r="S81" s="130"/>
      <c r="T81" s="223" t="str">
        <f t="shared" si="4"/>
        <v/>
      </c>
      <c r="U81" s="222" t="str">
        <f t="shared" si="5"/>
        <v/>
      </c>
      <c r="V81" s="361" t="s">
        <v>1237</v>
      </c>
      <c r="W81" s="72"/>
    </row>
    <row r="82" spans="1:23" x14ac:dyDescent="0.2">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0" t="s">
        <v>1237</v>
      </c>
      <c r="M82" s="294">
        <f t="shared" ref="M82:M116" si="9">IF(N82&lt;&gt;"",ROW(A66),0)</f>
        <v>0</v>
      </c>
      <c r="N82" s="176"/>
      <c r="O82" s="163"/>
      <c r="P82" s="163"/>
      <c r="Q82" s="175"/>
      <c r="R82" s="175"/>
      <c r="S82" s="130"/>
      <c r="T82" s="223" t="str">
        <f t="shared" ref="T82:T116" si="10">IF(ROW(A66)&lt;=$M$16,R82*Q82,"")</f>
        <v/>
      </c>
      <c r="U82" s="222" t="str">
        <f t="shared" ref="U82:U116" si="11">IFERROR(T82/52,"")</f>
        <v/>
      </c>
      <c r="V82" s="361" t="s">
        <v>1237</v>
      </c>
      <c r="W82" s="72"/>
    </row>
    <row r="83" spans="1:23" x14ac:dyDescent="0.2">
      <c r="A83" s="293">
        <f t="shared" si="6"/>
        <v>0</v>
      </c>
      <c r="B83" s="163"/>
      <c r="C83" s="163"/>
      <c r="D83" s="163"/>
      <c r="E83" s="175"/>
      <c r="F83" s="175"/>
      <c r="G83" s="130"/>
      <c r="H83" s="222" t="str">
        <f t="shared" si="7"/>
        <v/>
      </c>
      <c r="I83" s="222" t="str">
        <f t="shared" si="8"/>
        <v/>
      </c>
      <c r="J83" s="67"/>
      <c r="K83" s="67"/>
      <c r="L83" s="360" t="s">
        <v>1237</v>
      </c>
      <c r="M83" s="294">
        <f t="shared" si="9"/>
        <v>0</v>
      </c>
      <c r="N83" s="176"/>
      <c r="O83" s="163"/>
      <c r="P83" s="163"/>
      <c r="Q83" s="175"/>
      <c r="R83" s="175"/>
      <c r="S83" s="130"/>
      <c r="T83" s="223" t="str">
        <f t="shared" si="10"/>
        <v/>
      </c>
      <c r="U83" s="222" t="str">
        <f t="shared" si="11"/>
        <v/>
      </c>
      <c r="V83" s="361" t="s">
        <v>1237</v>
      </c>
      <c r="W83" s="72"/>
    </row>
    <row r="84" spans="1:23" x14ac:dyDescent="0.2">
      <c r="A84" s="293">
        <f t="shared" si="6"/>
        <v>0</v>
      </c>
      <c r="B84" s="163"/>
      <c r="C84" s="163"/>
      <c r="D84" s="163"/>
      <c r="E84" s="175"/>
      <c r="F84" s="175"/>
      <c r="G84" s="130"/>
      <c r="H84" s="222" t="str">
        <f t="shared" si="7"/>
        <v/>
      </c>
      <c r="I84" s="222" t="str">
        <f t="shared" si="8"/>
        <v/>
      </c>
      <c r="J84" s="67"/>
      <c r="K84" s="67"/>
      <c r="L84" s="360" t="s">
        <v>1237</v>
      </c>
      <c r="M84" s="294">
        <f t="shared" si="9"/>
        <v>0</v>
      </c>
      <c r="N84" s="176"/>
      <c r="O84" s="163"/>
      <c r="P84" s="163"/>
      <c r="Q84" s="175"/>
      <c r="R84" s="175"/>
      <c r="S84" s="130"/>
      <c r="T84" s="223" t="str">
        <f t="shared" si="10"/>
        <v/>
      </c>
      <c r="U84" s="222" t="str">
        <f t="shared" si="11"/>
        <v/>
      </c>
      <c r="V84" s="361" t="s">
        <v>1237</v>
      </c>
      <c r="W84" s="72"/>
    </row>
    <row r="85" spans="1:23" x14ac:dyDescent="0.2">
      <c r="A85" s="293">
        <f t="shared" si="6"/>
        <v>0</v>
      </c>
      <c r="B85" s="163"/>
      <c r="C85" s="163"/>
      <c r="D85" s="163"/>
      <c r="E85" s="175"/>
      <c r="F85" s="175"/>
      <c r="G85" s="130"/>
      <c r="H85" s="222" t="str">
        <f t="shared" si="7"/>
        <v/>
      </c>
      <c r="I85" s="222" t="str">
        <f t="shared" si="8"/>
        <v/>
      </c>
      <c r="J85" s="67"/>
      <c r="K85" s="67"/>
      <c r="L85" s="360" t="s">
        <v>1237</v>
      </c>
      <c r="M85" s="294">
        <f t="shared" si="9"/>
        <v>0</v>
      </c>
      <c r="N85" s="176"/>
      <c r="O85" s="163"/>
      <c r="P85" s="163"/>
      <c r="Q85" s="175"/>
      <c r="R85" s="175"/>
      <c r="S85" s="130"/>
      <c r="T85" s="223" t="str">
        <f t="shared" si="10"/>
        <v/>
      </c>
      <c r="U85" s="222" t="str">
        <f t="shared" si="11"/>
        <v/>
      </c>
      <c r="V85" s="361" t="s">
        <v>1237</v>
      </c>
      <c r="W85" s="72"/>
    </row>
    <row r="86" spans="1:23" x14ac:dyDescent="0.2">
      <c r="A86" s="293">
        <f t="shared" si="6"/>
        <v>0</v>
      </c>
      <c r="B86" s="163"/>
      <c r="C86" s="163"/>
      <c r="D86" s="163"/>
      <c r="E86" s="175"/>
      <c r="F86" s="175"/>
      <c r="G86" s="130"/>
      <c r="H86" s="222" t="str">
        <f t="shared" si="7"/>
        <v/>
      </c>
      <c r="I86" s="222" t="str">
        <f t="shared" si="8"/>
        <v/>
      </c>
      <c r="J86" s="67"/>
      <c r="K86" s="67"/>
      <c r="L86" s="360" t="s">
        <v>1237</v>
      </c>
      <c r="M86" s="294">
        <f t="shared" si="9"/>
        <v>0</v>
      </c>
      <c r="N86" s="176"/>
      <c r="O86" s="163"/>
      <c r="P86" s="163"/>
      <c r="Q86" s="175"/>
      <c r="R86" s="175"/>
      <c r="S86" s="130"/>
      <c r="T86" s="223" t="str">
        <f t="shared" si="10"/>
        <v/>
      </c>
      <c r="U86" s="222" t="str">
        <f t="shared" si="11"/>
        <v/>
      </c>
      <c r="V86" s="361" t="s">
        <v>1237</v>
      </c>
      <c r="W86" s="72"/>
    </row>
    <row r="87" spans="1:23" x14ac:dyDescent="0.2">
      <c r="A87" s="293">
        <f t="shared" si="6"/>
        <v>0</v>
      </c>
      <c r="B87" s="163"/>
      <c r="C87" s="163"/>
      <c r="D87" s="163"/>
      <c r="E87" s="175"/>
      <c r="F87" s="175"/>
      <c r="G87" s="130"/>
      <c r="H87" s="222" t="str">
        <f t="shared" si="7"/>
        <v/>
      </c>
      <c r="I87" s="222" t="str">
        <f t="shared" si="8"/>
        <v/>
      </c>
      <c r="J87" s="67"/>
      <c r="K87" s="67"/>
      <c r="L87" s="360" t="s">
        <v>1237</v>
      </c>
      <c r="M87" s="294">
        <f t="shared" si="9"/>
        <v>0</v>
      </c>
      <c r="N87" s="176"/>
      <c r="O87" s="163"/>
      <c r="P87" s="163"/>
      <c r="Q87" s="175"/>
      <c r="R87" s="175"/>
      <c r="S87" s="130"/>
      <c r="T87" s="223" t="str">
        <f t="shared" si="10"/>
        <v/>
      </c>
      <c r="U87" s="222" t="str">
        <f t="shared" si="11"/>
        <v/>
      </c>
      <c r="V87" s="361" t="s">
        <v>1237</v>
      </c>
      <c r="W87" s="72"/>
    </row>
    <row r="88" spans="1:23" x14ac:dyDescent="0.2">
      <c r="A88" s="293">
        <f t="shared" si="6"/>
        <v>0</v>
      </c>
      <c r="B88" s="163"/>
      <c r="C88" s="163"/>
      <c r="D88" s="163"/>
      <c r="E88" s="175"/>
      <c r="F88" s="175"/>
      <c r="G88" s="130"/>
      <c r="H88" s="222" t="str">
        <f t="shared" si="7"/>
        <v/>
      </c>
      <c r="I88" s="222" t="str">
        <f t="shared" si="8"/>
        <v/>
      </c>
      <c r="J88" s="67"/>
      <c r="K88" s="67"/>
      <c r="L88" s="360" t="s">
        <v>1237</v>
      </c>
      <c r="M88" s="294">
        <f t="shared" si="9"/>
        <v>0</v>
      </c>
      <c r="N88" s="176"/>
      <c r="O88" s="163"/>
      <c r="P88" s="163"/>
      <c r="Q88" s="175"/>
      <c r="R88" s="175"/>
      <c r="S88" s="130"/>
      <c r="T88" s="223" t="str">
        <f t="shared" si="10"/>
        <v/>
      </c>
      <c r="U88" s="222" t="str">
        <f t="shared" si="11"/>
        <v/>
      </c>
      <c r="V88" s="361" t="s">
        <v>1237</v>
      </c>
      <c r="W88" s="72"/>
    </row>
    <row r="89" spans="1:23" x14ac:dyDescent="0.2">
      <c r="A89" s="293">
        <f t="shared" si="6"/>
        <v>0</v>
      </c>
      <c r="B89" s="163"/>
      <c r="C89" s="163"/>
      <c r="D89" s="163"/>
      <c r="E89" s="175"/>
      <c r="F89" s="175"/>
      <c r="G89" s="130"/>
      <c r="H89" s="222" t="str">
        <f t="shared" si="7"/>
        <v/>
      </c>
      <c r="I89" s="222" t="str">
        <f t="shared" si="8"/>
        <v/>
      </c>
      <c r="J89" s="67"/>
      <c r="K89" s="67"/>
      <c r="L89" s="360" t="s">
        <v>1237</v>
      </c>
      <c r="M89" s="294">
        <f t="shared" si="9"/>
        <v>0</v>
      </c>
      <c r="N89" s="176"/>
      <c r="O89" s="163"/>
      <c r="P89" s="163"/>
      <c r="Q89" s="175"/>
      <c r="R89" s="175"/>
      <c r="S89" s="130"/>
      <c r="T89" s="223" t="str">
        <f t="shared" si="10"/>
        <v/>
      </c>
      <c r="U89" s="222" t="str">
        <f t="shared" si="11"/>
        <v/>
      </c>
      <c r="V89" s="361" t="s">
        <v>1237</v>
      </c>
      <c r="W89" s="72"/>
    </row>
    <row r="90" spans="1:23" x14ac:dyDescent="0.2">
      <c r="A90" s="293">
        <f t="shared" si="6"/>
        <v>0</v>
      </c>
      <c r="B90" s="163"/>
      <c r="C90" s="163"/>
      <c r="D90" s="163"/>
      <c r="E90" s="175"/>
      <c r="F90" s="175"/>
      <c r="G90" s="130"/>
      <c r="H90" s="222" t="str">
        <f t="shared" si="7"/>
        <v/>
      </c>
      <c r="I90" s="222" t="str">
        <f t="shared" si="8"/>
        <v/>
      </c>
      <c r="J90" s="67"/>
      <c r="K90" s="67"/>
      <c r="L90" s="360" t="s">
        <v>1237</v>
      </c>
      <c r="M90" s="294">
        <f t="shared" si="9"/>
        <v>0</v>
      </c>
      <c r="N90" s="176"/>
      <c r="O90" s="163"/>
      <c r="P90" s="163"/>
      <c r="Q90" s="175"/>
      <c r="R90" s="175"/>
      <c r="S90" s="130"/>
      <c r="T90" s="223" t="str">
        <f t="shared" si="10"/>
        <v/>
      </c>
      <c r="U90" s="222" t="str">
        <f t="shared" si="11"/>
        <v/>
      </c>
      <c r="V90" s="361" t="s">
        <v>1237</v>
      </c>
      <c r="W90" s="72"/>
    </row>
    <row r="91" spans="1:23" x14ac:dyDescent="0.2">
      <c r="A91" s="293">
        <f t="shared" si="6"/>
        <v>0</v>
      </c>
      <c r="B91" s="163"/>
      <c r="C91" s="163"/>
      <c r="D91" s="163"/>
      <c r="E91" s="175"/>
      <c r="F91" s="175"/>
      <c r="G91" s="130"/>
      <c r="H91" s="222" t="str">
        <f t="shared" si="7"/>
        <v/>
      </c>
      <c r="I91" s="222" t="str">
        <f t="shared" si="8"/>
        <v/>
      </c>
      <c r="J91" s="67"/>
      <c r="K91" s="67"/>
      <c r="L91" s="360" t="s">
        <v>1237</v>
      </c>
      <c r="M91" s="294">
        <f t="shared" si="9"/>
        <v>0</v>
      </c>
      <c r="N91" s="176"/>
      <c r="O91" s="163"/>
      <c r="P91" s="163"/>
      <c r="Q91" s="175"/>
      <c r="R91" s="175"/>
      <c r="S91" s="130"/>
      <c r="T91" s="223" t="str">
        <f t="shared" si="10"/>
        <v/>
      </c>
      <c r="U91" s="222" t="str">
        <f t="shared" si="11"/>
        <v/>
      </c>
      <c r="V91" s="361" t="s">
        <v>1237</v>
      </c>
      <c r="W91" s="72"/>
    </row>
    <row r="92" spans="1:23" x14ac:dyDescent="0.2">
      <c r="A92" s="293">
        <f t="shared" si="6"/>
        <v>0</v>
      </c>
      <c r="B92" s="163"/>
      <c r="C92" s="163"/>
      <c r="D92" s="163"/>
      <c r="E92" s="175"/>
      <c r="F92" s="175"/>
      <c r="G92" s="130"/>
      <c r="H92" s="222" t="str">
        <f t="shared" si="7"/>
        <v/>
      </c>
      <c r="I92" s="222" t="str">
        <f t="shared" si="8"/>
        <v/>
      </c>
      <c r="J92" s="67"/>
      <c r="K92" s="67"/>
      <c r="L92" s="360" t="s">
        <v>1237</v>
      </c>
      <c r="M92" s="294">
        <f t="shared" si="9"/>
        <v>0</v>
      </c>
      <c r="N92" s="176"/>
      <c r="O92" s="163"/>
      <c r="P92" s="163"/>
      <c r="Q92" s="175"/>
      <c r="R92" s="175"/>
      <c r="S92" s="130"/>
      <c r="T92" s="223" t="str">
        <f t="shared" si="10"/>
        <v/>
      </c>
      <c r="U92" s="222" t="str">
        <f t="shared" si="11"/>
        <v/>
      </c>
      <c r="V92" s="361" t="s">
        <v>1237</v>
      </c>
      <c r="W92" s="72"/>
    </row>
    <row r="93" spans="1:23" x14ac:dyDescent="0.2">
      <c r="A93" s="293">
        <f t="shared" si="6"/>
        <v>0</v>
      </c>
      <c r="B93" s="163"/>
      <c r="C93" s="163"/>
      <c r="D93" s="163"/>
      <c r="E93" s="175"/>
      <c r="F93" s="175"/>
      <c r="G93" s="130"/>
      <c r="H93" s="222" t="str">
        <f t="shared" si="7"/>
        <v/>
      </c>
      <c r="I93" s="222" t="str">
        <f t="shared" si="8"/>
        <v/>
      </c>
      <c r="J93" s="67"/>
      <c r="K93" s="67"/>
      <c r="L93" s="360" t="s">
        <v>1237</v>
      </c>
      <c r="M93" s="294">
        <f t="shared" si="9"/>
        <v>0</v>
      </c>
      <c r="N93" s="176"/>
      <c r="O93" s="163"/>
      <c r="P93" s="163"/>
      <c r="Q93" s="175"/>
      <c r="R93" s="175"/>
      <c r="S93" s="130"/>
      <c r="T93" s="223" t="str">
        <f t="shared" si="10"/>
        <v/>
      </c>
      <c r="U93" s="222" t="str">
        <f t="shared" si="11"/>
        <v/>
      </c>
      <c r="V93" s="361" t="s">
        <v>1237</v>
      </c>
      <c r="W93" s="72"/>
    </row>
    <row r="94" spans="1:23" x14ac:dyDescent="0.2">
      <c r="A94" s="293">
        <f t="shared" si="6"/>
        <v>0</v>
      </c>
      <c r="B94" s="163"/>
      <c r="C94" s="163"/>
      <c r="D94" s="163"/>
      <c r="E94" s="175"/>
      <c r="F94" s="175"/>
      <c r="G94" s="130"/>
      <c r="H94" s="222" t="str">
        <f t="shared" si="7"/>
        <v/>
      </c>
      <c r="I94" s="222" t="str">
        <f t="shared" si="8"/>
        <v/>
      </c>
      <c r="J94" s="67"/>
      <c r="K94" s="67"/>
      <c r="L94" s="360" t="s">
        <v>1237</v>
      </c>
      <c r="M94" s="294">
        <f t="shared" si="9"/>
        <v>0</v>
      </c>
      <c r="N94" s="176"/>
      <c r="O94" s="163"/>
      <c r="P94" s="163"/>
      <c r="Q94" s="175"/>
      <c r="R94" s="175"/>
      <c r="S94" s="130"/>
      <c r="T94" s="223" t="str">
        <f t="shared" si="10"/>
        <v/>
      </c>
      <c r="U94" s="222" t="str">
        <f t="shared" si="11"/>
        <v/>
      </c>
      <c r="V94" s="361" t="s">
        <v>1237</v>
      </c>
      <c r="W94" s="72"/>
    </row>
    <row r="95" spans="1:23" x14ac:dyDescent="0.2">
      <c r="A95" s="293">
        <f t="shared" si="6"/>
        <v>0</v>
      </c>
      <c r="B95" s="163"/>
      <c r="C95" s="163"/>
      <c r="D95" s="163"/>
      <c r="E95" s="175"/>
      <c r="F95" s="175"/>
      <c r="G95" s="130"/>
      <c r="H95" s="222" t="str">
        <f t="shared" si="7"/>
        <v/>
      </c>
      <c r="I95" s="222" t="str">
        <f t="shared" si="8"/>
        <v/>
      </c>
      <c r="J95" s="67"/>
      <c r="K95" s="67"/>
      <c r="L95" s="360" t="s">
        <v>1237</v>
      </c>
      <c r="M95" s="294">
        <f t="shared" si="9"/>
        <v>0</v>
      </c>
      <c r="N95" s="176"/>
      <c r="O95" s="163"/>
      <c r="P95" s="163"/>
      <c r="Q95" s="175"/>
      <c r="R95" s="175"/>
      <c r="S95" s="130"/>
      <c r="T95" s="223" t="str">
        <f t="shared" si="10"/>
        <v/>
      </c>
      <c r="U95" s="222" t="str">
        <f t="shared" si="11"/>
        <v/>
      </c>
      <c r="V95" s="361" t="s">
        <v>1237</v>
      </c>
      <c r="W95" s="72"/>
    </row>
    <row r="96" spans="1:23" x14ac:dyDescent="0.2">
      <c r="A96" s="293">
        <f t="shared" si="6"/>
        <v>0</v>
      </c>
      <c r="B96" s="163"/>
      <c r="C96" s="163"/>
      <c r="D96" s="163"/>
      <c r="E96" s="175"/>
      <c r="F96" s="175"/>
      <c r="G96" s="130"/>
      <c r="H96" s="222" t="str">
        <f t="shared" si="7"/>
        <v/>
      </c>
      <c r="I96" s="222" t="str">
        <f t="shared" si="8"/>
        <v/>
      </c>
      <c r="J96" s="67"/>
      <c r="K96" s="67"/>
      <c r="L96" s="360" t="s">
        <v>1237</v>
      </c>
      <c r="M96" s="294">
        <f t="shared" si="9"/>
        <v>0</v>
      </c>
      <c r="N96" s="176"/>
      <c r="O96" s="163"/>
      <c r="P96" s="163"/>
      <c r="Q96" s="175"/>
      <c r="R96" s="175"/>
      <c r="S96" s="130"/>
      <c r="T96" s="223" t="str">
        <f t="shared" si="10"/>
        <v/>
      </c>
      <c r="U96" s="222" t="str">
        <f t="shared" si="11"/>
        <v/>
      </c>
      <c r="V96" s="361" t="s">
        <v>1237</v>
      </c>
      <c r="W96" s="72"/>
    </row>
    <row r="97" spans="1:23" x14ac:dyDescent="0.2">
      <c r="A97" s="293">
        <f t="shared" si="6"/>
        <v>0</v>
      </c>
      <c r="B97" s="163"/>
      <c r="C97" s="163"/>
      <c r="D97" s="163"/>
      <c r="E97" s="175"/>
      <c r="F97" s="175"/>
      <c r="G97" s="130"/>
      <c r="H97" s="222" t="str">
        <f t="shared" si="7"/>
        <v/>
      </c>
      <c r="I97" s="222" t="str">
        <f t="shared" si="8"/>
        <v/>
      </c>
      <c r="J97" s="67"/>
      <c r="K97" s="67"/>
      <c r="L97" s="360" t="s">
        <v>1237</v>
      </c>
      <c r="M97" s="294">
        <f t="shared" si="9"/>
        <v>0</v>
      </c>
      <c r="N97" s="176"/>
      <c r="O97" s="163"/>
      <c r="P97" s="163"/>
      <c r="Q97" s="175"/>
      <c r="R97" s="175"/>
      <c r="S97" s="130"/>
      <c r="T97" s="223" t="str">
        <f t="shared" si="10"/>
        <v/>
      </c>
      <c r="U97" s="222" t="str">
        <f t="shared" si="11"/>
        <v/>
      </c>
      <c r="V97" s="361" t="s">
        <v>1237</v>
      </c>
      <c r="W97" s="72"/>
    </row>
    <row r="98" spans="1:23" x14ac:dyDescent="0.2">
      <c r="A98" s="293">
        <f t="shared" si="6"/>
        <v>0</v>
      </c>
      <c r="B98" s="163"/>
      <c r="C98" s="163"/>
      <c r="D98" s="163"/>
      <c r="E98" s="175"/>
      <c r="F98" s="175"/>
      <c r="G98" s="130"/>
      <c r="H98" s="222" t="str">
        <f t="shared" si="7"/>
        <v/>
      </c>
      <c r="I98" s="222" t="str">
        <f t="shared" si="8"/>
        <v/>
      </c>
      <c r="J98" s="67"/>
      <c r="K98" s="67"/>
      <c r="L98" s="360" t="s">
        <v>1237</v>
      </c>
      <c r="M98" s="294">
        <f t="shared" si="9"/>
        <v>0</v>
      </c>
      <c r="N98" s="176"/>
      <c r="O98" s="163"/>
      <c r="P98" s="163"/>
      <c r="Q98" s="175"/>
      <c r="R98" s="175"/>
      <c r="S98" s="130"/>
      <c r="T98" s="223" t="str">
        <f t="shared" si="10"/>
        <v/>
      </c>
      <c r="U98" s="222" t="str">
        <f t="shared" si="11"/>
        <v/>
      </c>
      <c r="V98" s="361" t="s">
        <v>1237</v>
      </c>
      <c r="W98" s="72"/>
    </row>
    <row r="99" spans="1:23" x14ac:dyDescent="0.2">
      <c r="A99" s="293">
        <f t="shared" si="6"/>
        <v>0</v>
      </c>
      <c r="B99" s="163"/>
      <c r="C99" s="163"/>
      <c r="D99" s="163"/>
      <c r="E99" s="175"/>
      <c r="F99" s="175"/>
      <c r="G99" s="130"/>
      <c r="H99" s="222" t="str">
        <f t="shared" si="7"/>
        <v/>
      </c>
      <c r="I99" s="222" t="str">
        <f t="shared" si="8"/>
        <v/>
      </c>
      <c r="J99" s="67"/>
      <c r="K99" s="67"/>
      <c r="L99" s="360" t="s">
        <v>1237</v>
      </c>
      <c r="M99" s="294">
        <f t="shared" si="9"/>
        <v>0</v>
      </c>
      <c r="N99" s="176"/>
      <c r="O99" s="163"/>
      <c r="P99" s="163"/>
      <c r="Q99" s="175"/>
      <c r="R99" s="175"/>
      <c r="S99" s="130"/>
      <c r="T99" s="223" t="str">
        <f t="shared" si="10"/>
        <v/>
      </c>
      <c r="U99" s="222" t="str">
        <f t="shared" si="11"/>
        <v/>
      </c>
      <c r="V99" s="361" t="s">
        <v>1237</v>
      </c>
      <c r="W99" s="72"/>
    </row>
    <row r="100" spans="1:23" x14ac:dyDescent="0.2">
      <c r="A100" s="293">
        <f t="shared" si="6"/>
        <v>0</v>
      </c>
      <c r="B100" s="163"/>
      <c r="C100" s="163"/>
      <c r="D100" s="163"/>
      <c r="E100" s="175"/>
      <c r="F100" s="175"/>
      <c r="G100" s="130"/>
      <c r="H100" s="222" t="str">
        <f t="shared" si="7"/>
        <v/>
      </c>
      <c r="I100" s="222" t="str">
        <f t="shared" si="8"/>
        <v/>
      </c>
      <c r="J100" s="67"/>
      <c r="K100" s="67"/>
      <c r="L100" s="360" t="s">
        <v>1237</v>
      </c>
      <c r="M100" s="294">
        <f t="shared" si="9"/>
        <v>0</v>
      </c>
      <c r="N100" s="176"/>
      <c r="O100" s="163"/>
      <c r="P100" s="163"/>
      <c r="Q100" s="175"/>
      <c r="R100" s="175"/>
      <c r="S100" s="130"/>
      <c r="T100" s="223" t="str">
        <f t="shared" si="10"/>
        <v/>
      </c>
      <c r="U100" s="222" t="str">
        <f t="shared" si="11"/>
        <v/>
      </c>
      <c r="V100" s="361" t="s">
        <v>1237</v>
      </c>
      <c r="W100" s="72"/>
    </row>
    <row r="101" spans="1:23" x14ac:dyDescent="0.2">
      <c r="A101" s="293">
        <f t="shared" si="6"/>
        <v>0</v>
      </c>
      <c r="B101" s="163"/>
      <c r="C101" s="163"/>
      <c r="D101" s="163"/>
      <c r="E101" s="175"/>
      <c r="F101" s="175"/>
      <c r="G101" s="130"/>
      <c r="H101" s="222" t="str">
        <f t="shared" si="7"/>
        <v/>
      </c>
      <c r="I101" s="222" t="str">
        <f t="shared" si="8"/>
        <v/>
      </c>
      <c r="J101" s="67"/>
      <c r="K101" s="67"/>
      <c r="L101" s="360" t="s">
        <v>1237</v>
      </c>
      <c r="M101" s="294">
        <f t="shared" si="9"/>
        <v>0</v>
      </c>
      <c r="N101" s="176"/>
      <c r="O101" s="163"/>
      <c r="P101" s="163"/>
      <c r="Q101" s="175"/>
      <c r="R101" s="175"/>
      <c r="S101" s="130"/>
      <c r="T101" s="223" t="str">
        <f t="shared" si="10"/>
        <v/>
      </c>
      <c r="U101" s="222" t="str">
        <f t="shared" si="11"/>
        <v/>
      </c>
      <c r="V101" s="361" t="s">
        <v>1237</v>
      </c>
      <c r="W101" s="72"/>
    </row>
    <row r="102" spans="1:23" x14ac:dyDescent="0.2">
      <c r="A102" s="293">
        <f t="shared" si="6"/>
        <v>0</v>
      </c>
      <c r="B102" s="163"/>
      <c r="C102" s="163"/>
      <c r="D102" s="163"/>
      <c r="E102" s="175"/>
      <c r="F102" s="175"/>
      <c r="G102" s="130"/>
      <c r="H102" s="222" t="str">
        <f t="shared" si="7"/>
        <v/>
      </c>
      <c r="I102" s="222" t="str">
        <f t="shared" si="8"/>
        <v/>
      </c>
      <c r="J102" s="67"/>
      <c r="K102" s="67"/>
      <c r="L102" s="360" t="s">
        <v>1237</v>
      </c>
      <c r="M102" s="294">
        <f t="shared" si="9"/>
        <v>0</v>
      </c>
      <c r="N102" s="176"/>
      <c r="O102" s="163"/>
      <c r="P102" s="163"/>
      <c r="Q102" s="175"/>
      <c r="R102" s="175"/>
      <c r="S102" s="130"/>
      <c r="T102" s="223" t="str">
        <f t="shared" si="10"/>
        <v/>
      </c>
      <c r="U102" s="222" t="str">
        <f t="shared" si="11"/>
        <v/>
      </c>
      <c r="V102" s="361" t="s">
        <v>1237</v>
      </c>
      <c r="W102" s="72"/>
    </row>
    <row r="103" spans="1:23" x14ac:dyDescent="0.2">
      <c r="A103" s="293">
        <f t="shared" si="6"/>
        <v>0</v>
      </c>
      <c r="B103" s="163"/>
      <c r="C103" s="163"/>
      <c r="D103" s="163"/>
      <c r="E103" s="175"/>
      <c r="F103" s="175"/>
      <c r="G103" s="130"/>
      <c r="H103" s="222" t="str">
        <f t="shared" si="7"/>
        <v/>
      </c>
      <c r="I103" s="222" t="str">
        <f t="shared" si="8"/>
        <v/>
      </c>
      <c r="J103" s="67"/>
      <c r="K103" s="67"/>
      <c r="L103" s="360" t="s">
        <v>1237</v>
      </c>
      <c r="M103" s="294">
        <f t="shared" si="9"/>
        <v>0</v>
      </c>
      <c r="N103" s="176"/>
      <c r="O103" s="163"/>
      <c r="P103" s="163"/>
      <c r="Q103" s="175"/>
      <c r="R103" s="175"/>
      <c r="S103" s="130"/>
      <c r="T103" s="223" t="str">
        <f t="shared" si="10"/>
        <v/>
      </c>
      <c r="U103" s="222" t="str">
        <f t="shared" si="11"/>
        <v/>
      </c>
      <c r="V103" s="361" t="s">
        <v>1237</v>
      </c>
      <c r="W103" s="72"/>
    </row>
    <row r="104" spans="1:23" x14ac:dyDescent="0.2">
      <c r="A104" s="293">
        <f t="shared" si="6"/>
        <v>0</v>
      </c>
      <c r="B104" s="163"/>
      <c r="C104" s="163"/>
      <c r="D104" s="163"/>
      <c r="E104" s="175"/>
      <c r="F104" s="175"/>
      <c r="G104" s="130"/>
      <c r="H104" s="222" t="str">
        <f t="shared" si="7"/>
        <v/>
      </c>
      <c r="I104" s="222" t="str">
        <f t="shared" si="8"/>
        <v/>
      </c>
      <c r="J104" s="67"/>
      <c r="K104" s="67"/>
      <c r="L104" s="360" t="s">
        <v>1237</v>
      </c>
      <c r="M104" s="294">
        <f t="shared" si="9"/>
        <v>0</v>
      </c>
      <c r="N104" s="176"/>
      <c r="O104" s="163"/>
      <c r="P104" s="163"/>
      <c r="Q104" s="175"/>
      <c r="R104" s="175"/>
      <c r="S104" s="130"/>
      <c r="T104" s="223" t="str">
        <f t="shared" si="10"/>
        <v/>
      </c>
      <c r="U104" s="222" t="str">
        <f t="shared" si="11"/>
        <v/>
      </c>
      <c r="V104" s="361" t="s">
        <v>1237</v>
      </c>
      <c r="W104" s="72"/>
    </row>
    <row r="105" spans="1:23" x14ac:dyDescent="0.2">
      <c r="A105" s="293">
        <f t="shared" si="6"/>
        <v>0</v>
      </c>
      <c r="B105" s="163"/>
      <c r="C105" s="163"/>
      <c r="D105" s="163"/>
      <c r="E105" s="175"/>
      <c r="F105" s="175"/>
      <c r="G105" s="130"/>
      <c r="H105" s="222" t="str">
        <f t="shared" si="7"/>
        <v/>
      </c>
      <c r="I105" s="222" t="str">
        <f t="shared" si="8"/>
        <v/>
      </c>
      <c r="J105" s="67"/>
      <c r="K105" s="67"/>
      <c r="L105" s="360" t="s">
        <v>1237</v>
      </c>
      <c r="M105" s="294">
        <f t="shared" si="9"/>
        <v>0</v>
      </c>
      <c r="N105" s="176"/>
      <c r="O105" s="163"/>
      <c r="P105" s="163"/>
      <c r="Q105" s="175"/>
      <c r="R105" s="175"/>
      <c r="S105" s="130"/>
      <c r="T105" s="223" t="str">
        <f t="shared" si="10"/>
        <v/>
      </c>
      <c r="U105" s="222" t="str">
        <f t="shared" si="11"/>
        <v/>
      </c>
      <c r="V105" s="361" t="s">
        <v>1237</v>
      </c>
      <c r="W105" s="72"/>
    </row>
    <row r="106" spans="1:23" x14ac:dyDescent="0.2">
      <c r="A106" s="293">
        <f t="shared" si="6"/>
        <v>0</v>
      </c>
      <c r="B106" s="163"/>
      <c r="C106" s="163"/>
      <c r="D106" s="163"/>
      <c r="E106" s="175"/>
      <c r="F106" s="175"/>
      <c r="G106" s="130"/>
      <c r="H106" s="222" t="str">
        <f t="shared" si="7"/>
        <v/>
      </c>
      <c r="I106" s="222" t="str">
        <f t="shared" si="8"/>
        <v/>
      </c>
      <c r="J106" s="67"/>
      <c r="K106" s="67"/>
      <c r="L106" s="360" t="s">
        <v>1237</v>
      </c>
      <c r="M106" s="294">
        <f t="shared" si="9"/>
        <v>0</v>
      </c>
      <c r="N106" s="176"/>
      <c r="O106" s="163"/>
      <c r="P106" s="163"/>
      <c r="Q106" s="175"/>
      <c r="R106" s="175"/>
      <c r="S106" s="130"/>
      <c r="T106" s="223" t="str">
        <f t="shared" si="10"/>
        <v/>
      </c>
      <c r="U106" s="222" t="str">
        <f t="shared" si="11"/>
        <v/>
      </c>
      <c r="V106" s="361" t="s">
        <v>1237</v>
      </c>
      <c r="W106" s="72"/>
    </row>
    <row r="107" spans="1:23" x14ac:dyDescent="0.2">
      <c r="A107" s="293">
        <f t="shared" si="6"/>
        <v>0</v>
      </c>
      <c r="B107" s="163"/>
      <c r="C107" s="163"/>
      <c r="D107" s="163"/>
      <c r="E107" s="175"/>
      <c r="F107" s="175"/>
      <c r="G107" s="130"/>
      <c r="H107" s="222" t="str">
        <f t="shared" si="7"/>
        <v/>
      </c>
      <c r="I107" s="222" t="str">
        <f t="shared" si="8"/>
        <v/>
      </c>
      <c r="J107" s="67"/>
      <c r="K107" s="67"/>
      <c r="L107" s="360" t="s">
        <v>1237</v>
      </c>
      <c r="M107" s="294">
        <f t="shared" si="9"/>
        <v>0</v>
      </c>
      <c r="N107" s="176"/>
      <c r="O107" s="163"/>
      <c r="P107" s="163"/>
      <c r="Q107" s="175"/>
      <c r="R107" s="175"/>
      <c r="S107" s="130"/>
      <c r="T107" s="223" t="str">
        <f t="shared" si="10"/>
        <v/>
      </c>
      <c r="U107" s="222" t="str">
        <f t="shared" si="11"/>
        <v/>
      </c>
      <c r="V107" s="361" t="s">
        <v>1237</v>
      </c>
      <c r="W107" s="72"/>
    </row>
    <row r="108" spans="1:23" x14ac:dyDescent="0.2">
      <c r="A108" s="293">
        <f t="shared" si="6"/>
        <v>0</v>
      </c>
      <c r="B108" s="163"/>
      <c r="C108" s="163"/>
      <c r="D108" s="163"/>
      <c r="E108" s="175"/>
      <c r="F108" s="175"/>
      <c r="G108" s="130"/>
      <c r="H108" s="222" t="str">
        <f t="shared" si="7"/>
        <v/>
      </c>
      <c r="I108" s="222" t="str">
        <f t="shared" si="8"/>
        <v/>
      </c>
      <c r="J108" s="67"/>
      <c r="K108" s="67"/>
      <c r="L108" s="360" t="s">
        <v>1237</v>
      </c>
      <c r="M108" s="294">
        <f t="shared" si="9"/>
        <v>0</v>
      </c>
      <c r="N108" s="176"/>
      <c r="O108" s="163"/>
      <c r="P108" s="163"/>
      <c r="Q108" s="175"/>
      <c r="R108" s="175"/>
      <c r="S108" s="130"/>
      <c r="T108" s="223" t="str">
        <f t="shared" si="10"/>
        <v/>
      </c>
      <c r="U108" s="222" t="str">
        <f t="shared" si="11"/>
        <v/>
      </c>
      <c r="V108" s="361" t="s">
        <v>1237</v>
      </c>
      <c r="W108" s="72"/>
    </row>
    <row r="109" spans="1:23" x14ac:dyDescent="0.2">
      <c r="A109" s="293">
        <f t="shared" si="6"/>
        <v>0</v>
      </c>
      <c r="B109" s="163"/>
      <c r="C109" s="163"/>
      <c r="D109" s="163"/>
      <c r="E109" s="175"/>
      <c r="F109" s="175"/>
      <c r="G109" s="130"/>
      <c r="H109" s="222" t="str">
        <f t="shared" si="7"/>
        <v/>
      </c>
      <c r="I109" s="222" t="str">
        <f t="shared" si="8"/>
        <v/>
      </c>
      <c r="J109" s="67"/>
      <c r="K109" s="67"/>
      <c r="L109" s="360" t="s">
        <v>1237</v>
      </c>
      <c r="M109" s="294">
        <f t="shared" si="9"/>
        <v>0</v>
      </c>
      <c r="N109" s="176"/>
      <c r="O109" s="163"/>
      <c r="P109" s="163"/>
      <c r="Q109" s="175"/>
      <c r="R109" s="175"/>
      <c r="S109" s="130"/>
      <c r="T109" s="223" t="str">
        <f t="shared" si="10"/>
        <v/>
      </c>
      <c r="U109" s="222" t="str">
        <f t="shared" si="11"/>
        <v/>
      </c>
      <c r="V109" s="361" t="s">
        <v>1237</v>
      </c>
      <c r="W109" s="72"/>
    </row>
    <row r="110" spans="1:23" x14ac:dyDescent="0.2">
      <c r="A110" s="293">
        <f t="shared" si="6"/>
        <v>0</v>
      </c>
      <c r="B110" s="163"/>
      <c r="C110" s="163"/>
      <c r="D110" s="163"/>
      <c r="E110" s="175"/>
      <c r="F110" s="175"/>
      <c r="G110" s="130"/>
      <c r="H110" s="222" t="str">
        <f t="shared" si="7"/>
        <v/>
      </c>
      <c r="I110" s="222" t="str">
        <f t="shared" si="8"/>
        <v/>
      </c>
      <c r="J110" s="67"/>
      <c r="K110" s="67"/>
      <c r="L110" s="360" t="s">
        <v>1237</v>
      </c>
      <c r="M110" s="294">
        <f t="shared" si="9"/>
        <v>0</v>
      </c>
      <c r="N110" s="176"/>
      <c r="O110" s="163"/>
      <c r="P110" s="163"/>
      <c r="Q110" s="175"/>
      <c r="R110" s="175"/>
      <c r="S110" s="130"/>
      <c r="T110" s="223" t="str">
        <f t="shared" si="10"/>
        <v/>
      </c>
      <c r="U110" s="222" t="str">
        <f t="shared" si="11"/>
        <v/>
      </c>
      <c r="V110" s="361" t="s">
        <v>1237</v>
      </c>
      <c r="W110" s="72"/>
    </row>
    <row r="111" spans="1:23" x14ac:dyDescent="0.2">
      <c r="A111" s="293">
        <f t="shared" si="6"/>
        <v>0</v>
      </c>
      <c r="B111" s="163"/>
      <c r="C111" s="163"/>
      <c r="D111" s="163"/>
      <c r="E111" s="175"/>
      <c r="F111" s="175"/>
      <c r="G111" s="130"/>
      <c r="H111" s="222" t="str">
        <f t="shared" si="7"/>
        <v/>
      </c>
      <c r="I111" s="222" t="str">
        <f t="shared" si="8"/>
        <v/>
      </c>
      <c r="J111" s="67"/>
      <c r="K111" s="67"/>
      <c r="L111" s="360" t="s">
        <v>1237</v>
      </c>
      <c r="M111" s="294">
        <f t="shared" si="9"/>
        <v>0</v>
      </c>
      <c r="N111" s="176"/>
      <c r="O111" s="163"/>
      <c r="P111" s="163"/>
      <c r="Q111" s="175"/>
      <c r="R111" s="175"/>
      <c r="S111" s="130"/>
      <c r="T111" s="223" t="str">
        <f t="shared" si="10"/>
        <v/>
      </c>
      <c r="U111" s="222" t="str">
        <f t="shared" si="11"/>
        <v/>
      </c>
      <c r="V111" s="361" t="s">
        <v>1237</v>
      </c>
      <c r="W111" s="72"/>
    </row>
    <row r="112" spans="1:23" x14ac:dyDescent="0.2">
      <c r="A112" s="293">
        <f t="shared" si="6"/>
        <v>0</v>
      </c>
      <c r="B112" s="163"/>
      <c r="C112" s="163"/>
      <c r="D112" s="163"/>
      <c r="E112" s="175"/>
      <c r="F112" s="175"/>
      <c r="G112" s="130"/>
      <c r="H112" s="222" t="str">
        <f t="shared" si="7"/>
        <v/>
      </c>
      <c r="I112" s="222" t="str">
        <f t="shared" si="8"/>
        <v/>
      </c>
      <c r="J112" s="67"/>
      <c r="K112" s="67"/>
      <c r="L112" s="360" t="s">
        <v>1237</v>
      </c>
      <c r="M112" s="294">
        <f t="shared" si="9"/>
        <v>0</v>
      </c>
      <c r="N112" s="176"/>
      <c r="O112" s="163"/>
      <c r="P112" s="163"/>
      <c r="Q112" s="175"/>
      <c r="R112" s="175"/>
      <c r="S112" s="130"/>
      <c r="T112" s="223" t="str">
        <f t="shared" si="10"/>
        <v/>
      </c>
      <c r="U112" s="222" t="str">
        <f t="shared" si="11"/>
        <v/>
      </c>
      <c r="V112" s="361" t="s">
        <v>1237</v>
      </c>
      <c r="W112" s="72"/>
    </row>
    <row r="113" spans="1:23" x14ac:dyDescent="0.2">
      <c r="A113" s="293">
        <f t="shared" si="6"/>
        <v>0</v>
      </c>
      <c r="B113" s="163"/>
      <c r="C113" s="163"/>
      <c r="D113" s="163"/>
      <c r="E113" s="175"/>
      <c r="F113" s="175"/>
      <c r="G113" s="130"/>
      <c r="H113" s="222" t="str">
        <f t="shared" si="7"/>
        <v/>
      </c>
      <c r="I113" s="222" t="str">
        <f t="shared" si="8"/>
        <v/>
      </c>
      <c r="J113" s="67"/>
      <c r="K113" s="67"/>
      <c r="L113" s="360" t="s">
        <v>1237</v>
      </c>
      <c r="M113" s="294">
        <f t="shared" si="9"/>
        <v>0</v>
      </c>
      <c r="N113" s="176"/>
      <c r="O113" s="163"/>
      <c r="P113" s="163"/>
      <c r="Q113" s="175"/>
      <c r="R113" s="175"/>
      <c r="S113" s="130"/>
      <c r="T113" s="223" t="str">
        <f t="shared" si="10"/>
        <v/>
      </c>
      <c r="U113" s="222" t="str">
        <f t="shared" si="11"/>
        <v/>
      </c>
      <c r="V113" s="361" t="s">
        <v>1237</v>
      </c>
      <c r="W113" s="72"/>
    </row>
    <row r="114" spans="1:23" x14ac:dyDescent="0.2">
      <c r="A114" s="293">
        <f t="shared" si="6"/>
        <v>0</v>
      </c>
      <c r="B114" s="163"/>
      <c r="C114" s="163"/>
      <c r="D114" s="163"/>
      <c r="E114" s="175"/>
      <c r="F114" s="175"/>
      <c r="G114" s="130"/>
      <c r="H114" s="222" t="str">
        <f t="shared" si="7"/>
        <v/>
      </c>
      <c r="I114" s="222" t="str">
        <f t="shared" si="8"/>
        <v/>
      </c>
      <c r="J114" s="67"/>
      <c r="K114" s="67"/>
      <c r="L114" s="360" t="s">
        <v>1237</v>
      </c>
      <c r="M114" s="294">
        <f t="shared" si="9"/>
        <v>0</v>
      </c>
      <c r="N114" s="176"/>
      <c r="O114" s="163"/>
      <c r="P114" s="163"/>
      <c r="Q114" s="175"/>
      <c r="R114" s="175"/>
      <c r="S114" s="130"/>
      <c r="T114" s="223" t="str">
        <f t="shared" si="10"/>
        <v/>
      </c>
      <c r="U114" s="222" t="str">
        <f t="shared" si="11"/>
        <v/>
      </c>
      <c r="V114" s="361" t="s">
        <v>1237</v>
      </c>
      <c r="W114" s="72"/>
    </row>
    <row r="115" spans="1:23" x14ac:dyDescent="0.2">
      <c r="A115" s="293">
        <f t="shared" si="6"/>
        <v>0</v>
      </c>
      <c r="B115" s="163"/>
      <c r="C115" s="163"/>
      <c r="D115" s="163"/>
      <c r="E115" s="175"/>
      <c r="F115" s="175"/>
      <c r="G115" s="130"/>
      <c r="H115" s="222" t="str">
        <f t="shared" si="7"/>
        <v/>
      </c>
      <c r="I115" s="222" t="str">
        <f t="shared" si="8"/>
        <v/>
      </c>
      <c r="J115" s="67"/>
      <c r="K115" s="67"/>
      <c r="L115" s="360" t="s">
        <v>1237</v>
      </c>
      <c r="M115" s="294">
        <f t="shared" si="9"/>
        <v>0</v>
      </c>
      <c r="N115" s="176"/>
      <c r="O115" s="163"/>
      <c r="P115" s="163"/>
      <c r="Q115" s="175"/>
      <c r="R115" s="175"/>
      <c r="S115" s="130"/>
      <c r="T115" s="223" t="str">
        <f t="shared" si="10"/>
        <v/>
      </c>
      <c r="U115" s="222" t="str">
        <f t="shared" si="11"/>
        <v/>
      </c>
      <c r="V115" s="361" t="s">
        <v>1237</v>
      </c>
      <c r="W115" s="72"/>
    </row>
    <row r="116" spans="1:23" x14ac:dyDescent="0.2">
      <c r="A116" s="293">
        <f t="shared" si="6"/>
        <v>0</v>
      </c>
      <c r="B116" s="163"/>
      <c r="C116" s="163"/>
      <c r="D116" s="163"/>
      <c r="E116" s="175"/>
      <c r="F116" s="175"/>
      <c r="G116" s="130"/>
      <c r="H116" s="222" t="str">
        <f t="shared" si="7"/>
        <v/>
      </c>
      <c r="I116" s="222" t="str">
        <f t="shared" si="8"/>
        <v/>
      </c>
      <c r="J116" s="67"/>
      <c r="K116" s="67"/>
      <c r="L116" s="360" t="s">
        <v>1237</v>
      </c>
      <c r="M116" s="294">
        <f t="shared" si="9"/>
        <v>0</v>
      </c>
      <c r="N116" s="176"/>
      <c r="O116" s="163"/>
      <c r="P116" s="163"/>
      <c r="Q116" s="175"/>
      <c r="R116" s="175"/>
      <c r="S116" s="130"/>
      <c r="T116" s="223" t="str">
        <f t="shared" si="10"/>
        <v/>
      </c>
      <c r="U116" s="222" t="str">
        <f t="shared" si="11"/>
        <v/>
      </c>
      <c r="V116" s="361" t="s">
        <v>1237</v>
      </c>
      <c r="W116" s="72"/>
    </row>
    <row r="117" spans="1:23" s="52" customFormat="1" x14ac:dyDescent="0.2">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
      <c r="G131" s="72"/>
      <c r="K131" s="72"/>
      <c r="L131" s="72"/>
      <c r="M131" s="72"/>
      <c r="S131" s="72"/>
    </row>
    <row r="132" spans="2:21" s="52" customFormat="1" x14ac:dyDescent="0.2">
      <c r="G132" s="72"/>
      <c r="K132" s="72"/>
      <c r="L132" s="72"/>
      <c r="M132" s="72"/>
      <c r="S132" s="72"/>
    </row>
    <row r="133" spans="2:21" s="52" customFormat="1" x14ac:dyDescent="0.2">
      <c r="G133" s="72"/>
      <c r="K133" s="72"/>
      <c r="L133" s="72"/>
      <c r="M133" s="72"/>
      <c r="S133" s="72"/>
    </row>
    <row r="134" spans="2:21" s="52" customFormat="1" x14ac:dyDescent="0.2">
      <c r="G134" s="72"/>
      <c r="K134" s="72"/>
      <c r="L134" s="72"/>
      <c r="M134" s="72"/>
      <c r="S134" s="72"/>
    </row>
    <row r="135" spans="2:21" s="52" customFormat="1" x14ac:dyDescent="0.2">
      <c r="G135" s="72"/>
      <c r="K135" s="72"/>
      <c r="L135" s="72"/>
      <c r="M135" s="72"/>
      <c r="S135" s="72"/>
    </row>
    <row r="136" spans="2:21" s="52" customFormat="1" x14ac:dyDescent="0.2">
      <c r="G136" s="72"/>
      <c r="K136" s="72"/>
      <c r="L136" s="72"/>
      <c r="M136" s="72"/>
      <c r="S136" s="72"/>
    </row>
    <row r="137" spans="2:21" s="52" customFormat="1" x14ac:dyDescent="0.2">
      <c r="G137" s="72"/>
      <c r="K137" s="72"/>
      <c r="L137" s="72"/>
      <c r="M137" s="72"/>
      <c r="S137" s="72"/>
    </row>
    <row r="138" spans="2:21" s="52" customFormat="1" x14ac:dyDescent="0.2">
      <c r="G138" s="72"/>
      <c r="K138" s="72"/>
      <c r="L138" s="72"/>
      <c r="M138" s="72"/>
      <c r="S138" s="72"/>
    </row>
    <row r="139" spans="2:21" s="52" customFormat="1" x14ac:dyDescent="0.2">
      <c r="G139" s="72"/>
      <c r="K139" s="72"/>
      <c r="L139" s="72"/>
      <c r="M139" s="72"/>
      <c r="S139" s="72"/>
    </row>
    <row r="140" spans="2:21" s="52" customFormat="1" x14ac:dyDescent="0.2">
      <c r="G140" s="72"/>
      <c r="K140" s="72"/>
      <c r="L140" s="72"/>
      <c r="M140" s="72"/>
      <c r="S140" s="72"/>
    </row>
    <row r="141" spans="2:21" s="52" customFormat="1" x14ac:dyDescent="0.2">
      <c r="G141" s="72"/>
      <c r="K141" s="72"/>
      <c r="L141" s="72"/>
      <c r="M141" s="72"/>
      <c r="S141" s="72"/>
    </row>
    <row r="142" spans="2:21" s="52" customFormat="1" x14ac:dyDescent="0.2">
      <c r="G142" s="72"/>
      <c r="K142" s="72"/>
      <c r="L142" s="72"/>
      <c r="M142" s="72"/>
      <c r="S142" s="72"/>
    </row>
    <row r="143" spans="2:21" s="52" customFormat="1" x14ac:dyDescent="0.2">
      <c r="G143" s="72"/>
      <c r="K143" s="72"/>
      <c r="L143" s="72"/>
      <c r="M143" s="72"/>
      <c r="S143" s="72"/>
    </row>
    <row r="144" spans="2:21" s="52" customFormat="1" x14ac:dyDescent="0.2">
      <c r="G144" s="72"/>
      <c r="K144" s="72"/>
      <c r="L144" s="72"/>
      <c r="M144" s="72"/>
      <c r="S144" s="72"/>
    </row>
    <row r="145" spans="7:19" s="52" customFormat="1" x14ac:dyDescent="0.2">
      <c r="G145" s="72"/>
      <c r="K145" s="72"/>
      <c r="L145" s="72"/>
      <c r="M145" s="72"/>
      <c r="S145" s="72"/>
    </row>
    <row r="146" spans="7:19" s="52" customFormat="1" x14ac:dyDescent="0.2">
      <c r="G146" s="72"/>
      <c r="K146" s="72"/>
      <c r="L146" s="72"/>
      <c r="M146" s="72"/>
      <c r="S146" s="72"/>
    </row>
    <row r="147" spans="7:19" s="52" customFormat="1" x14ac:dyDescent="0.2">
      <c r="G147" s="72"/>
      <c r="K147" s="72"/>
      <c r="L147" s="72"/>
      <c r="M147" s="72"/>
      <c r="S147" s="72"/>
    </row>
    <row r="148" spans="7:19" s="52" customFormat="1" x14ac:dyDescent="0.2">
      <c r="G148" s="72"/>
      <c r="K148" s="72"/>
      <c r="L148" s="72"/>
      <c r="M148" s="72"/>
      <c r="S148" s="72"/>
    </row>
    <row r="149" spans="7:19" s="52" customFormat="1" x14ac:dyDescent="0.2">
      <c r="G149" s="72"/>
      <c r="K149" s="72"/>
      <c r="L149" s="72"/>
      <c r="M149" s="72"/>
      <c r="S149" s="72"/>
    </row>
    <row r="150" spans="7:19" s="52" customFormat="1" x14ac:dyDescent="0.2">
      <c r="G150" s="72"/>
      <c r="K150" s="72"/>
      <c r="L150" s="72"/>
      <c r="M150" s="72"/>
      <c r="S150" s="72"/>
    </row>
    <row r="151" spans="7:19" s="52" customFormat="1" x14ac:dyDescent="0.2">
      <c r="G151" s="72"/>
      <c r="K151" s="72"/>
      <c r="L151" s="72"/>
      <c r="M151" s="72"/>
      <c r="S151" s="72"/>
    </row>
    <row r="152" spans="7:19" s="52" customFormat="1" x14ac:dyDescent="0.2">
      <c r="G152" s="72"/>
      <c r="K152" s="72"/>
      <c r="L152" s="72"/>
      <c r="M152" s="72"/>
      <c r="S152" s="72"/>
    </row>
    <row r="153" spans="7:19" s="52" customFormat="1" x14ac:dyDescent="0.2">
      <c r="G153" s="72"/>
      <c r="K153" s="72"/>
      <c r="L153" s="72"/>
      <c r="M153" s="72"/>
      <c r="S153" s="72"/>
    </row>
    <row r="154" spans="7:19" s="52" customFormat="1" x14ac:dyDescent="0.2">
      <c r="G154" s="72"/>
      <c r="K154" s="72"/>
      <c r="L154" s="72"/>
      <c r="M154" s="72"/>
      <c r="S154" s="72"/>
    </row>
    <row r="155" spans="7:19" s="52" customFormat="1" x14ac:dyDescent="0.2">
      <c r="G155" s="72"/>
      <c r="K155" s="72"/>
      <c r="L155" s="72"/>
      <c r="M155" s="72"/>
      <c r="S155" s="72"/>
    </row>
    <row r="156" spans="7:19" s="52" customFormat="1" x14ac:dyDescent="0.2">
      <c r="G156" s="72"/>
      <c r="K156" s="72"/>
      <c r="L156" s="72"/>
      <c r="M156" s="72"/>
      <c r="S156" s="72"/>
    </row>
    <row r="157" spans="7:19" s="52" customFormat="1" x14ac:dyDescent="0.2">
      <c r="G157" s="72"/>
      <c r="K157" s="72"/>
      <c r="L157" s="72"/>
      <c r="M157" s="72"/>
      <c r="S157" s="72"/>
    </row>
    <row r="158" spans="7:19" s="52" customFormat="1" x14ac:dyDescent="0.2">
      <c r="G158" s="72"/>
      <c r="K158" s="72"/>
      <c r="L158" s="72"/>
      <c r="M158" s="72"/>
      <c r="S158" s="72"/>
    </row>
    <row r="159" spans="7:19" s="52" customFormat="1" x14ac:dyDescent="0.2">
      <c r="G159" s="72"/>
      <c r="K159" s="72"/>
      <c r="L159" s="72"/>
      <c r="M159" s="72"/>
      <c r="S159" s="72"/>
    </row>
    <row r="160" spans="7:19" s="52" customFormat="1" x14ac:dyDescent="0.2">
      <c r="G160" s="72"/>
      <c r="K160" s="72"/>
      <c r="L160" s="72"/>
      <c r="M160" s="72"/>
      <c r="S160" s="72"/>
    </row>
    <row r="161" spans="7:19" s="52" customFormat="1" x14ac:dyDescent="0.2">
      <c r="G161" s="72"/>
      <c r="K161" s="72"/>
      <c r="L161" s="72"/>
      <c r="M161" s="72"/>
      <c r="S161" s="72"/>
    </row>
    <row r="162" spans="7:19" s="52" customFormat="1" x14ac:dyDescent="0.2">
      <c r="G162" s="72"/>
      <c r="K162" s="72"/>
      <c r="L162" s="72"/>
      <c r="M162" s="72"/>
      <c r="S162" s="72"/>
    </row>
    <row r="163" spans="7:19" s="52" customFormat="1" x14ac:dyDescent="0.2">
      <c r="G163" s="72"/>
      <c r="K163" s="72"/>
      <c r="L163" s="72"/>
      <c r="M163" s="72"/>
      <c r="S163" s="72"/>
    </row>
    <row r="164" spans="7:19" s="52" customFormat="1" x14ac:dyDescent="0.2">
      <c r="G164" s="72"/>
      <c r="K164" s="72"/>
      <c r="L164" s="72"/>
      <c r="M164" s="72"/>
      <c r="S164" s="72"/>
    </row>
    <row r="165" spans="7:19" s="52" customFormat="1" x14ac:dyDescent="0.2">
      <c r="G165" s="72"/>
      <c r="K165" s="72"/>
      <c r="L165" s="72"/>
      <c r="M165" s="72"/>
      <c r="S165" s="72"/>
    </row>
    <row r="166" spans="7:19" s="52" customFormat="1" x14ac:dyDescent="0.2">
      <c r="G166" s="72"/>
      <c r="K166" s="72"/>
      <c r="L166" s="72"/>
      <c r="M166" s="72"/>
      <c r="S166" s="72"/>
    </row>
    <row r="167" spans="7:19" s="52" customFormat="1" x14ac:dyDescent="0.2">
      <c r="G167" s="72"/>
      <c r="K167" s="72"/>
      <c r="L167" s="72"/>
      <c r="M167" s="72"/>
      <c r="S167" s="72"/>
    </row>
    <row r="168" spans="7:19" s="52" customFormat="1" x14ac:dyDescent="0.2">
      <c r="G168" s="72"/>
      <c r="K168" s="72"/>
      <c r="L168" s="72"/>
      <c r="M168" s="72"/>
      <c r="S168" s="72"/>
    </row>
    <row r="169" spans="7:19" s="52" customFormat="1" x14ac:dyDescent="0.2">
      <c r="G169" s="72"/>
      <c r="K169" s="72"/>
      <c r="L169" s="72"/>
      <c r="M169" s="72"/>
      <c r="S169" s="72"/>
    </row>
    <row r="170" spans="7:19" s="52" customFormat="1" x14ac:dyDescent="0.2">
      <c r="G170" s="72"/>
      <c r="K170" s="72"/>
      <c r="L170" s="72"/>
      <c r="M170" s="72"/>
      <c r="S170" s="72"/>
    </row>
    <row r="171" spans="7:19" s="52" customFormat="1" x14ac:dyDescent="0.2">
      <c r="G171" s="72"/>
      <c r="K171" s="72"/>
      <c r="L171" s="72"/>
      <c r="M171" s="72"/>
      <c r="S171" s="72"/>
    </row>
    <row r="172" spans="7:19" s="52" customFormat="1" x14ac:dyDescent="0.2">
      <c r="G172" s="72"/>
      <c r="K172" s="72"/>
      <c r="L172" s="72"/>
      <c r="M172" s="72"/>
      <c r="S172" s="72"/>
    </row>
    <row r="173" spans="7:19" s="52" customFormat="1" x14ac:dyDescent="0.2">
      <c r="G173" s="72"/>
      <c r="K173" s="72"/>
      <c r="L173" s="72"/>
      <c r="M173" s="72"/>
      <c r="S173" s="72"/>
    </row>
    <row r="174" spans="7:19" s="52" customFormat="1" x14ac:dyDescent="0.2">
      <c r="G174" s="72"/>
      <c r="K174" s="72"/>
      <c r="L174" s="72"/>
      <c r="M174" s="72"/>
      <c r="S174" s="72"/>
    </row>
    <row r="175" spans="7:19" s="52" customFormat="1" x14ac:dyDescent="0.2">
      <c r="G175" s="72"/>
      <c r="K175" s="72"/>
      <c r="L175" s="72"/>
      <c r="M175" s="72"/>
      <c r="S175" s="72"/>
    </row>
    <row r="176" spans="7:19" s="52" customFormat="1" x14ac:dyDescent="0.2">
      <c r="G176" s="72"/>
      <c r="K176" s="72"/>
      <c r="L176" s="72"/>
      <c r="M176" s="72"/>
      <c r="S176" s="72"/>
    </row>
    <row r="177" spans="7:19" s="52" customFormat="1" x14ac:dyDescent="0.2">
      <c r="G177" s="72"/>
      <c r="K177" s="72"/>
      <c r="L177" s="72"/>
      <c r="M177" s="72"/>
      <c r="S177" s="72"/>
    </row>
    <row r="178" spans="7:19" s="52" customFormat="1" x14ac:dyDescent="0.2">
      <c r="G178" s="72"/>
      <c r="K178" s="72"/>
      <c r="L178" s="72"/>
      <c r="M178" s="72"/>
      <c r="S178" s="72"/>
    </row>
    <row r="179" spans="7:19" s="52" customFormat="1" x14ac:dyDescent="0.2">
      <c r="G179" s="72"/>
      <c r="K179" s="72"/>
      <c r="L179" s="72"/>
      <c r="M179" s="72"/>
      <c r="S179" s="72"/>
    </row>
    <row r="180" spans="7:19" s="52" customFormat="1" x14ac:dyDescent="0.2">
      <c r="G180" s="72"/>
      <c r="K180" s="72"/>
      <c r="L180" s="72"/>
      <c r="M180" s="72"/>
      <c r="S180" s="72"/>
    </row>
    <row r="181" spans="7:19" s="52" customFormat="1" x14ac:dyDescent="0.2">
      <c r="G181" s="72"/>
      <c r="K181" s="72"/>
      <c r="L181" s="72"/>
      <c r="M181" s="72"/>
      <c r="S181" s="72"/>
    </row>
    <row r="182" spans="7:19" s="52" customFormat="1" x14ac:dyDescent="0.2">
      <c r="G182" s="72"/>
      <c r="K182" s="72"/>
      <c r="L182" s="72"/>
      <c r="M182" s="72"/>
      <c r="S182" s="72"/>
    </row>
    <row r="183" spans="7:19" s="52" customFormat="1" x14ac:dyDescent="0.2">
      <c r="G183" s="72"/>
      <c r="K183" s="72"/>
      <c r="L183" s="72"/>
      <c r="M183" s="72"/>
      <c r="S183" s="72"/>
    </row>
    <row r="184" spans="7:19" s="52" customFormat="1" x14ac:dyDescent="0.2">
      <c r="G184" s="72"/>
      <c r="K184" s="72"/>
      <c r="L184" s="72"/>
      <c r="M184" s="72"/>
      <c r="S184" s="72"/>
    </row>
    <row r="185" spans="7:19" s="52" customFormat="1" x14ac:dyDescent="0.2">
      <c r="G185" s="72"/>
      <c r="K185" s="72"/>
      <c r="L185" s="72"/>
      <c r="M185" s="72"/>
      <c r="S185" s="72"/>
    </row>
    <row r="186" spans="7:19" s="52" customFormat="1" x14ac:dyDescent="0.2">
      <c r="G186" s="72"/>
      <c r="K186" s="72"/>
      <c r="L186" s="72"/>
      <c r="M186" s="72"/>
      <c r="S186" s="72"/>
    </row>
    <row r="187" spans="7:19" s="52" customFormat="1" x14ac:dyDescent="0.2">
      <c r="G187" s="72"/>
      <c r="K187" s="72"/>
      <c r="L187" s="72"/>
      <c r="M187" s="72"/>
      <c r="S187" s="72"/>
    </row>
    <row r="188" spans="7:19" s="52" customFormat="1" x14ac:dyDescent="0.2">
      <c r="G188" s="72"/>
      <c r="K188" s="72"/>
      <c r="L188" s="72"/>
      <c r="M188" s="72"/>
      <c r="S188" s="72"/>
    </row>
    <row r="189" spans="7:19" s="52" customFormat="1" x14ac:dyDescent="0.2">
      <c r="G189" s="72"/>
      <c r="K189" s="72"/>
      <c r="L189" s="72"/>
      <c r="M189" s="72"/>
      <c r="S189" s="72"/>
    </row>
    <row r="190" spans="7:19" s="52" customFormat="1" x14ac:dyDescent="0.2">
      <c r="G190" s="72"/>
      <c r="K190" s="72"/>
      <c r="L190" s="72"/>
      <c r="M190" s="72"/>
      <c r="S190" s="72"/>
    </row>
    <row r="191" spans="7:19" s="52" customFormat="1" x14ac:dyDescent="0.2">
      <c r="G191" s="72"/>
      <c r="K191" s="72"/>
      <c r="L191" s="72"/>
      <c r="M191" s="72"/>
      <c r="S191" s="72"/>
    </row>
    <row r="192" spans="7:19" s="52" customFormat="1" x14ac:dyDescent="0.2">
      <c r="G192" s="72"/>
      <c r="K192" s="72"/>
      <c r="L192" s="72"/>
      <c r="M192" s="72"/>
      <c r="S192" s="72"/>
    </row>
    <row r="193" spans="7:19" s="52" customFormat="1" x14ac:dyDescent="0.2">
      <c r="G193" s="72"/>
      <c r="K193" s="72"/>
      <c r="L193" s="72"/>
      <c r="M193" s="72"/>
      <c r="S193" s="72"/>
    </row>
    <row r="194" spans="7:19" s="52" customFormat="1" x14ac:dyDescent="0.2">
      <c r="G194" s="72"/>
      <c r="K194" s="72"/>
      <c r="L194" s="72"/>
      <c r="M194" s="72"/>
      <c r="S194" s="72"/>
    </row>
    <row r="195" spans="7:19" s="52" customFormat="1" x14ac:dyDescent="0.2">
      <c r="G195" s="72"/>
      <c r="K195" s="72"/>
      <c r="L195" s="72"/>
      <c r="M195" s="72"/>
      <c r="S195" s="72"/>
    </row>
    <row r="196" spans="7:19" s="52" customFormat="1" x14ac:dyDescent="0.2">
      <c r="G196" s="72"/>
      <c r="K196" s="72"/>
      <c r="L196" s="72"/>
      <c r="M196" s="72"/>
      <c r="S196" s="72"/>
    </row>
    <row r="197" spans="7:19" s="52" customFormat="1" x14ac:dyDescent="0.2">
      <c r="G197" s="72"/>
      <c r="K197" s="72"/>
      <c r="L197" s="72"/>
      <c r="M197" s="72"/>
      <c r="S197" s="72"/>
    </row>
    <row r="198" spans="7:19" s="52" customFormat="1" x14ac:dyDescent="0.2">
      <c r="G198" s="72"/>
      <c r="K198" s="72"/>
      <c r="L198" s="72"/>
      <c r="M198" s="72"/>
      <c r="S198" s="72"/>
    </row>
    <row r="199" spans="7:19" s="52" customFormat="1" x14ac:dyDescent="0.2">
      <c r="G199" s="72"/>
      <c r="K199" s="72"/>
      <c r="L199" s="72"/>
      <c r="M199" s="72"/>
      <c r="S199" s="72"/>
    </row>
    <row r="200" spans="7:19" s="52" customFormat="1" x14ac:dyDescent="0.2">
      <c r="G200" s="72"/>
      <c r="K200" s="72"/>
      <c r="L200" s="72"/>
      <c r="M200" s="72"/>
      <c r="S200" s="72"/>
    </row>
    <row r="201" spans="7:19" s="52" customFormat="1" x14ac:dyDescent="0.2">
      <c r="G201" s="72"/>
      <c r="K201" s="72"/>
      <c r="L201" s="72"/>
      <c r="M201" s="72"/>
      <c r="S201" s="72"/>
    </row>
    <row r="202" spans="7:19" s="52" customFormat="1" x14ac:dyDescent="0.2">
      <c r="G202" s="72"/>
      <c r="K202" s="72"/>
      <c r="L202" s="72"/>
      <c r="M202" s="72"/>
      <c r="S202" s="72"/>
    </row>
    <row r="203" spans="7:19" s="52" customFormat="1" x14ac:dyDescent="0.2">
      <c r="G203" s="72"/>
      <c r="K203" s="72"/>
      <c r="L203" s="72"/>
      <c r="M203" s="72"/>
      <c r="S203" s="72"/>
    </row>
    <row r="204" spans="7:19" s="52" customFormat="1" x14ac:dyDescent="0.2">
      <c r="G204" s="72"/>
      <c r="K204" s="72"/>
      <c r="L204" s="72"/>
      <c r="M204" s="72"/>
      <c r="S204" s="72"/>
    </row>
    <row r="205" spans="7:19" s="52" customFormat="1" x14ac:dyDescent="0.2">
      <c r="G205" s="72"/>
      <c r="K205" s="72"/>
      <c r="L205" s="72"/>
      <c r="M205" s="72"/>
      <c r="S205" s="72"/>
    </row>
    <row r="206" spans="7:19" s="52" customFormat="1" x14ac:dyDescent="0.2">
      <c r="G206" s="72"/>
      <c r="K206" s="72"/>
      <c r="L206" s="72"/>
      <c r="M206" s="72"/>
      <c r="S206" s="72"/>
    </row>
    <row r="207" spans="7:19" s="52" customFormat="1" x14ac:dyDescent="0.2">
      <c r="G207" s="72"/>
      <c r="K207" s="72"/>
      <c r="L207" s="72"/>
      <c r="M207" s="72"/>
      <c r="S207" s="72"/>
    </row>
    <row r="208" spans="7:19" s="52" customFormat="1" x14ac:dyDescent="0.2">
      <c r="G208" s="72"/>
      <c r="K208" s="72"/>
      <c r="L208" s="72"/>
      <c r="M208" s="72"/>
      <c r="S208" s="72"/>
    </row>
    <row r="209" spans="7:19" s="52" customFormat="1" x14ac:dyDescent="0.2">
      <c r="G209" s="72"/>
      <c r="K209" s="72"/>
      <c r="L209" s="72"/>
      <c r="M209" s="72"/>
      <c r="S209" s="72"/>
    </row>
    <row r="210" spans="7:19" s="52" customFormat="1" x14ac:dyDescent="0.2">
      <c r="G210" s="72"/>
      <c r="K210" s="72"/>
      <c r="L210" s="72"/>
      <c r="M210" s="72"/>
      <c r="S210" s="72"/>
    </row>
    <row r="211" spans="7:19" s="52" customFormat="1" x14ac:dyDescent="0.2">
      <c r="G211" s="72"/>
      <c r="K211" s="72"/>
      <c r="L211" s="72"/>
      <c r="M211" s="72"/>
      <c r="S211" s="72"/>
    </row>
    <row r="212" spans="7:19" s="52" customFormat="1" x14ac:dyDescent="0.2">
      <c r="G212" s="72"/>
      <c r="K212" s="72"/>
      <c r="L212" s="72"/>
      <c r="M212" s="72"/>
      <c r="S212" s="72"/>
    </row>
    <row r="213" spans="7:19" s="52" customFormat="1" x14ac:dyDescent="0.2">
      <c r="G213" s="72"/>
      <c r="K213" s="72"/>
      <c r="L213" s="72"/>
      <c r="M213" s="72"/>
      <c r="S213" s="72"/>
    </row>
    <row r="214" spans="7:19" s="52" customFormat="1" x14ac:dyDescent="0.2">
      <c r="G214" s="72"/>
      <c r="K214" s="72"/>
      <c r="L214" s="72"/>
      <c r="M214" s="72"/>
      <c r="S214" s="72"/>
    </row>
    <row r="215" spans="7:19" s="52" customFormat="1" x14ac:dyDescent="0.2">
      <c r="G215" s="72"/>
      <c r="K215" s="72"/>
      <c r="L215" s="72"/>
      <c r="M215" s="72"/>
      <c r="S215" s="72"/>
    </row>
    <row r="216" spans="7:19" s="52" customFormat="1" x14ac:dyDescent="0.2">
      <c r="G216" s="72"/>
      <c r="K216" s="72"/>
      <c r="L216" s="72"/>
      <c r="M216" s="72"/>
      <c r="S216" s="72"/>
    </row>
    <row r="217" spans="7:19" s="52" customFormat="1" x14ac:dyDescent="0.2">
      <c r="G217" s="72"/>
      <c r="K217" s="72"/>
      <c r="L217" s="72"/>
      <c r="M217" s="72"/>
      <c r="S217" s="72"/>
    </row>
    <row r="218" spans="7:19" s="52" customFormat="1" x14ac:dyDescent="0.2">
      <c r="G218" s="72"/>
      <c r="K218" s="72"/>
      <c r="L218" s="72"/>
      <c r="M218" s="72"/>
      <c r="S218" s="72"/>
    </row>
    <row r="219" spans="7:19" s="52" customFormat="1" x14ac:dyDescent="0.2">
      <c r="G219" s="72"/>
      <c r="K219" s="72"/>
      <c r="L219" s="72"/>
      <c r="M219" s="72"/>
      <c r="S219" s="72"/>
    </row>
    <row r="220" spans="7:19" s="52" customFormat="1" x14ac:dyDescent="0.2">
      <c r="G220" s="72"/>
      <c r="K220" s="72"/>
      <c r="L220" s="72"/>
      <c r="M220" s="72"/>
      <c r="S220" s="72"/>
    </row>
    <row r="221" spans="7:19" s="52" customFormat="1" x14ac:dyDescent="0.2">
      <c r="G221" s="72"/>
      <c r="K221" s="72"/>
      <c r="L221" s="72"/>
      <c r="M221" s="72"/>
      <c r="S221" s="72"/>
    </row>
    <row r="222" spans="7:19" s="52" customFormat="1" x14ac:dyDescent="0.2">
      <c r="G222" s="72"/>
      <c r="K222" s="72"/>
      <c r="L222" s="72"/>
      <c r="M222" s="72"/>
      <c r="S222" s="72"/>
    </row>
    <row r="223" spans="7:19" s="52" customFormat="1" x14ac:dyDescent="0.2">
      <c r="G223" s="72"/>
      <c r="K223" s="72"/>
      <c r="L223" s="72"/>
      <c r="M223" s="72"/>
      <c r="S223" s="72"/>
    </row>
    <row r="224" spans="7:19" s="52" customFormat="1" x14ac:dyDescent="0.2">
      <c r="G224" s="72"/>
      <c r="K224" s="72"/>
      <c r="L224" s="72"/>
      <c r="M224" s="72"/>
      <c r="S224" s="72"/>
    </row>
    <row r="225" spans="7:19" s="52" customFormat="1" x14ac:dyDescent="0.2">
      <c r="G225" s="72"/>
      <c r="K225" s="72"/>
      <c r="L225" s="72"/>
      <c r="M225" s="72"/>
      <c r="S225" s="72"/>
    </row>
    <row r="226" spans="7:19" s="52" customFormat="1" x14ac:dyDescent="0.2">
      <c r="G226" s="72"/>
      <c r="K226" s="72"/>
      <c r="L226" s="72"/>
      <c r="M226" s="72"/>
      <c r="S226" s="72"/>
    </row>
    <row r="227" spans="7:19" s="52" customFormat="1" x14ac:dyDescent="0.2">
      <c r="G227" s="72"/>
      <c r="K227" s="72"/>
      <c r="L227" s="72"/>
      <c r="M227" s="72"/>
      <c r="S227" s="72"/>
    </row>
    <row r="228" spans="7:19" s="52" customFormat="1" x14ac:dyDescent="0.2">
      <c r="G228" s="72"/>
      <c r="K228" s="72"/>
      <c r="L228" s="72"/>
      <c r="M228" s="72"/>
      <c r="S228" s="72"/>
    </row>
    <row r="229" spans="7:19" s="52" customFormat="1" x14ac:dyDescent="0.2">
      <c r="G229" s="72"/>
      <c r="K229" s="72"/>
      <c r="L229" s="72"/>
      <c r="M229" s="72"/>
      <c r="S229" s="72"/>
    </row>
    <row r="230" spans="7:19" s="52" customFormat="1" x14ac:dyDescent="0.2">
      <c r="G230" s="72"/>
      <c r="K230" s="72"/>
      <c r="L230" s="72"/>
      <c r="M230" s="72"/>
      <c r="S230" s="72"/>
    </row>
    <row r="231" spans="7:19" s="52" customFormat="1" x14ac:dyDescent="0.2">
      <c r="G231" s="72"/>
      <c r="K231" s="72"/>
      <c r="L231" s="72"/>
      <c r="M231" s="72"/>
      <c r="S231" s="72"/>
    </row>
    <row r="232" spans="7:19" s="52" customFormat="1" x14ac:dyDescent="0.2">
      <c r="G232" s="72"/>
      <c r="K232" s="72"/>
      <c r="L232" s="72"/>
      <c r="M232" s="72"/>
      <c r="S232" s="72"/>
    </row>
    <row r="233" spans="7:19" s="52" customFormat="1" x14ac:dyDescent="0.2">
      <c r="G233" s="72"/>
      <c r="K233" s="72"/>
      <c r="L233" s="72"/>
      <c r="M233" s="72"/>
      <c r="S233" s="72"/>
    </row>
    <row r="234" spans="7:19" s="52" customFormat="1" x14ac:dyDescent="0.2">
      <c r="G234" s="72"/>
      <c r="K234" s="72"/>
      <c r="L234" s="72"/>
      <c r="M234" s="72"/>
      <c r="S234" s="72"/>
    </row>
    <row r="235" spans="7:19" s="52" customFormat="1" x14ac:dyDescent="0.2">
      <c r="G235" s="72"/>
      <c r="K235" s="72"/>
      <c r="L235" s="72"/>
      <c r="M235" s="72"/>
      <c r="S235" s="72"/>
    </row>
    <row r="236" spans="7:19" s="52" customFormat="1" x14ac:dyDescent="0.2">
      <c r="G236" s="72"/>
      <c r="K236" s="72"/>
      <c r="L236" s="72"/>
      <c r="M236" s="72"/>
      <c r="S236" s="72"/>
    </row>
    <row r="237" spans="7:19" s="52" customFormat="1" x14ac:dyDescent="0.2">
      <c r="G237" s="72"/>
      <c r="K237" s="72"/>
      <c r="L237" s="72"/>
      <c r="M237" s="72"/>
      <c r="S237" s="72"/>
    </row>
    <row r="238" spans="7:19" s="52" customFormat="1" x14ac:dyDescent="0.2">
      <c r="G238" s="72"/>
      <c r="K238" s="72"/>
      <c r="L238" s="72"/>
      <c r="M238" s="72"/>
      <c r="S238" s="72"/>
    </row>
    <row r="239" spans="7:19" s="52" customFormat="1" x14ac:dyDescent="0.2">
      <c r="G239" s="72"/>
      <c r="K239" s="72"/>
      <c r="L239" s="72"/>
      <c r="M239" s="72"/>
      <c r="S239" s="72"/>
    </row>
    <row r="240" spans="7:19" s="52" customFormat="1" x14ac:dyDescent="0.2">
      <c r="G240" s="72"/>
      <c r="K240" s="72"/>
      <c r="L240" s="72"/>
      <c r="M240" s="72"/>
      <c r="S240" s="72"/>
    </row>
    <row r="241" spans="5:19" s="52" customFormat="1" x14ac:dyDescent="0.2">
      <c r="G241" s="72"/>
      <c r="K241" s="72"/>
      <c r="L241" s="72"/>
      <c r="M241" s="72"/>
      <c r="S241" s="72"/>
    </row>
    <row r="242" spans="5:19" s="52" customFormat="1" x14ac:dyDescent="0.2">
      <c r="G242" s="72"/>
      <c r="K242" s="72"/>
      <c r="L242" s="72"/>
      <c r="M242" s="72"/>
      <c r="S242" s="72"/>
    </row>
    <row r="243" spans="5:19" s="52" customFormat="1" x14ac:dyDescent="0.2">
      <c r="E243" s="72"/>
      <c r="F243" s="72"/>
      <c r="G243" s="72"/>
      <c r="H243" s="72"/>
      <c r="I243" s="72"/>
      <c r="K243" s="72"/>
      <c r="L243" s="72"/>
      <c r="M243" s="72"/>
      <c r="S243" s="72"/>
    </row>
    <row r="244" spans="5:19" s="52" customFormat="1" x14ac:dyDescent="0.2">
      <c r="E244" s="72"/>
      <c r="F244" s="72"/>
      <c r="G244" s="72"/>
      <c r="H244" s="72"/>
      <c r="I244" s="72"/>
      <c r="K244" s="72"/>
      <c r="L244" s="72"/>
      <c r="M244" s="72"/>
      <c r="S244" s="72"/>
    </row>
    <row r="245" spans="5:19" s="52" customFormat="1" x14ac:dyDescent="0.2">
      <c r="E245" s="72"/>
      <c r="F245" s="72"/>
      <c r="G245" s="72"/>
      <c r="H245" s="72"/>
      <c r="I245" s="72"/>
      <c r="K245" s="72"/>
      <c r="L245" s="72"/>
      <c r="M245" s="72"/>
      <c r="S245" s="72"/>
    </row>
    <row r="246" spans="5:19" s="52" customFormat="1" x14ac:dyDescent="0.2">
      <c r="E246" s="72"/>
      <c r="F246" s="72"/>
      <c r="G246" s="72"/>
      <c r="H246" s="72"/>
      <c r="I246" s="72"/>
      <c r="K246" s="72"/>
      <c r="L246" s="72"/>
      <c r="M246" s="72"/>
      <c r="S246" s="72"/>
    </row>
    <row r="247" spans="5:19" s="52" customFormat="1" x14ac:dyDescent="0.2">
      <c r="E247" s="72"/>
      <c r="F247" s="72"/>
      <c r="G247" s="72"/>
      <c r="H247" s="72"/>
      <c r="I247" s="72"/>
      <c r="K247" s="72"/>
      <c r="L247" s="72"/>
      <c r="M247" s="72"/>
      <c r="S247" s="72"/>
    </row>
    <row r="248" spans="5:19" s="52" customFormat="1" x14ac:dyDescent="0.2">
      <c r="E248" s="72"/>
      <c r="F248" s="72"/>
      <c r="G248" s="72"/>
      <c r="H248" s="72"/>
      <c r="I248" s="72"/>
      <c r="K248" s="72"/>
      <c r="L248" s="72"/>
      <c r="M248" s="72"/>
      <c r="S248" s="72"/>
    </row>
    <row r="249" spans="5:19" s="52" customFormat="1" x14ac:dyDescent="0.2">
      <c r="E249" s="72"/>
      <c r="F249" s="72"/>
      <c r="G249" s="72"/>
      <c r="H249" s="72"/>
      <c r="I249" s="72"/>
      <c r="K249" s="72"/>
      <c r="L249" s="72"/>
      <c r="M249" s="72"/>
      <c r="S249" s="72"/>
    </row>
    <row r="250" spans="5:19" s="52" customFormat="1" x14ac:dyDescent="0.2">
      <c r="E250" s="72"/>
      <c r="F250" s="72"/>
      <c r="G250" s="72"/>
      <c r="H250" s="72"/>
      <c r="I250" s="72"/>
      <c r="K250" s="72"/>
      <c r="L250" s="72"/>
      <c r="M250" s="72"/>
      <c r="S250" s="72"/>
    </row>
    <row r="251" spans="5:19" s="52" customFormat="1" x14ac:dyDescent="0.2">
      <c r="E251" s="72"/>
      <c r="F251" s="72"/>
      <c r="G251" s="72"/>
      <c r="H251" s="72"/>
      <c r="I251" s="72"/>
      <c r="K251" s="72"/>
      <c r="L251" s="72"/>
      <c r="M251" s="72"/>
      <c r="S251" s="72"/>
    </row>
    <row r="252" spans="5:19" s="52" customFormat="1" x14ac:dyDescent="0.2">
      <c r="E252" s="72"/>
      <c r="F252" s="72"/>
      <c r="G252" s="72"/>
      <c r="H252" s="72"/>
      <c r="I252" s="72"/>
      <c r="K252" s="72"/>
      <c r="L252" s="72"/>
      <c r="M252" s="72"/>
      <c r="S252" s="72"/>
    </row>
    <row r="253" spans="5:19" s="52" customFormat="1" x14ac:dyDescent="0.2">
      <c r="E253" s="72"/>
      <c r="F253" s="72"/>
      <c r="G253" s="72"/>
      <c r="H253" s="72"/>
      <c r="I253" s="72"/>
      <c r="K253" s="72"/>
      <c r="L253" s="72"/>
      <c r="M253" s="72"/>
      <c r="S253" s="72"/>
    </row>
    <row r="254" spans="5:19" x14ac:dyDescent="0.2">
      <c r="E254" s="72"/>
      <c r="F254" s="72"/>
      <c r="G254" s="72"/>
      <c r="H254" s="72"/>
      <c r="I254" s="72"/>
    </row>
    <row r="255" spans="5:19" x14ac:dyDescent="0.2">
      <c r="E255" s="72"/>
      <c r="F255" s="72"/>
      <c r="G255" s="72"/>
      <c r="H255" s="72"/>
      <c r="I255" s="72"/>
    </row>
    <row r="256" spans="5:19" x14ac:dyDescent="0.2">
      <c r="E256" s="72"/>
      <c r="F256" s="72"/>
      <c r="G256" s="72"/>
      <c r="H256" s="72"/>
      <c r="I256" s="72"/>
    </row>
    <row r="257" spans="5:9" x14ac:dyDescent="0.2">
      <c r="E257" s="72"/>
      <c r="F257" s="72"/>
      <c r="G257" s="72"/>
      <c r="H257" s="72"/>
      <c r="I257" s="72"/>
    </row>
    <row r="258" spans="5:9" x14ac:dyDescent="0.2">
      <c r="E258" s="72"/>
      <c r="F258" s="72"/>
      <c r="G258" s="72"/>
      <c r="H258" s="72"/>
      <c r="I258" s="72"/>
    </row>
    <row r="259" spans="5:9" x14ac:dyDescent="0.2">
      <c r="E259" s="72"/>
      <c r="F259" s="72"/>
      <c r="G259" s="72"/>
      <c r="H259" s="72"/>
      <c r="I259" s="72"/>
    </row>
  </sheetData>
  <sheetProtection algorithmName="SHA-512" hashValue="OtMV07zuqk0DdaHTu2lBX7henxCUyHmxZ8RovuX57e15spX8JJsP7OCKgX1nqfJO7zLTf/3PIb8gGTfiQ0bJmw==" saltValue="LD8ZIZOf+Cdr8uEdJ89UFg==" spinCount="100000" sheet="1" objects="1" scenarios="1"/>
  <mergeCells count="1">
    <mergeCell ref="B13:C13"/>
  </mergeCells>
  <phoneticPr fontId="76" type="noConversion"/>
  <conditionalFormatting sqref="B17:I116">
    <cfRule type="expression" dxfId="43" priority="12">
      <formula>IF(ROW(B17)-16&lt;=$A$16,TRUE, FALSE)</formula>
    </cfRule>
  </conditionalFormatting>
  <conditionalFormatting sqref="N17:U116">
    <cfRule type="expression" dxfId="42" priority="11">
      <formula>IF(ROW(N17)-16&lt;=$M$16,TRUE, FALSE)</formula>
    </cfRule>
  </conditionalFormatting>
  <conditionalFormatting sqref="L17:L116">
    <cfRule type="expression" dxfId="41" priority="10">
      <formula>IF(ROW(L17)-16&lt;=$A$16,TRUE, FALSE)</formula>
    </cfRule>
  </conditionalFormatting>
  <conditionalFormatting sqref="V17:V116">
    <cfRule type="expression" dxfId="40" priority="4">
      <formula>IF(ROW(V17)-16&lt;=$M$16,TRUE, FALSE)</formula>
    </cfRule>
  </conditionalFormatting>
  <conditionalFormatting sqref="L17:L116 B17:F116">
    <cfRule type="expression" dxfId="39" priority="3">
      <formula>IF(OR(LOWER($L17)="x",$A17=0),FALSE,TRUE)</formula>
    </cfRule>
  </conditionalFormatting>
  <conditionalFormatting sqref="N17:R116 V17:V116">
    <cfRule type="expression" dxfId="38" priority="1">
      <formula>IF(OR(LOWER($V17)="x",$M17=0),FALSE,TRUE)</formula>
    </cfRule>
  </conditionalFormatting>
  <dataValidations count="2">
    <dataValidation type="list" allowBlank="1" showInputMessage="1" showErrorMessage="1" sqref="L17:L116 V17:V116" xr:uid="{75EFCBC7-094A-4C84-90AD-9F5611DD4B80}">
      <formula1>"x"</formula1>
    </dataValidation>
    <dataValidation type="whole" allowBlank="1" showInputMessage="1" showErrorMessage="1" errorTitle="Invalid value entered" error="Please enter a value between 0 and 52. If more than 52 weeks is required, please split capacity over multiple lines." sqref="E17:E116" xr:uid="{E6F9CE89-F305-4234-A637-F553A73DE4C6}">
      <formula1>0</formula1>
      <formula2>52</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95250</xdr:rowOff>
                  </from>
                  <to>
                    <xdr:col>3</xdr:col>
                    <xdr:colOff>247650</xdr:colOff>
                    <xdr:row>13</xdr:row>
                    <xdr:rowOff>95250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95250</xdr:rowOff>
                  </from>
                  <to>
                    <xdr:col>3</xdr:col>
                    <xdr:colOff>142875</xdr:colOff>
                    <xdr:row>6</xdr:row>
                    <xdr:rowOff>171450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1428750</xdr:colOff>
                    <xdr:row>15</xdr:row>
                    <xdr:rowOff>533400</xdr:rowOff>
                  </from>
                  <to>
                    <xdr:col>2</xdr:col>
                    <xdr:colOff>1123950</xdr:colOff>
                    <xdr:row>16</xdr:row>
                    <xdr:rowOff>171450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561975</xdr:colOff>
                    <xdr:row>5</xdr:row>
                    <xdr:rowOff>171450</xdr:rowOff>
                  </from>
                  <to>
                    <xdr:col>2</xdr:col>
                    <xdr:colOff>866775</xdr:colOff>
                    <xdr:row>7</xdr:row>
                    <xdr:rowOff>28575</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819150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12</xdr:col>
                    <xdr:colOff>238125</xdr:colOff>
                    <xdr:row>2</xdr:row>
                    <xdr:rowOff>104775</xdr:rowOff>
                  </from>
                  <to>
                    <xdr:col>13</xdr:col>
                    <xdr:colOff>1352550</xdr:colOff>
                    <xdr:row>5</xdr:row>
                    <xdr:rowOff>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12</xdr:col>
                    <xdr:colOff>247650</xdr:colOff>
                    <xdr:row>5</xdr:row>
                    <xdr:rowOff>38100</xdr:rowOff>
                  </from>
                  <to>
                    <xdr:col>13</xdr:col>
                    <xdr:colOff>1352550</xdr:colOff>
                    <xdr:row>7</xdr:row>
                    <xdr:rowOff>95250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12</xdr:col>
                    <xdr:colOff>247650</xdr:colOff>
                    <xdr:row>7</xdr:row>
                    <xdr:rowOff>171450</xdr:rowOff>
                  </from>
                  <to>
                    <xdr:col>13</xdr:col>
                    <xdr:colOff>1352550</xdr:colOff>
                    <xdr:row>12</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H25" sqref="H25"/>
    </sheetView>
  </sheetViews>
  <sheetFormatPr defaultColWidth="9" defaultRowHeight="14.25" x14ac:dyDescent="0.2"/>
  <cols>
    <col min="1" max="1" width="2.5" style="72" customWidth="1"/>
    <col min="2" max="2" width="40.625" style="72" customWidth="1"/>
    <col min="3" max="3" width="0.75" style="81" customWidth="1"/>
    <col min="4" max="5" width="10.75" style="72" customWidth="1"/>
    <col min="6" max="6" width="0.75" style="81" customWidth="1"/>
    <col min="7" max="8" width="10.75" style="72" customWidth="1"/>
    <col min="9" max="9" width="0.75" style="81" customWidth="1"/>
    <col min="10" max="11" width="10.75" style="72" customWidth="1"/>
    <col min="12" max="12" width="0.75" style="81" customWidth="1"/>
    <col min="13" max="14" width="10.75" style="72" customWidth="1"/>
    <col min="15" max="15" width="0.75" style="81" customWidth="1"/>
    <col min="16" max="17" width="10.75" style="72" customWidth="1"/>
    <col min="18" max="18" width="2.75" style="72" customWidth="1"/>
    <col min="19" max="16384" width="9" style="72"/>
  </cols>
  <sheetData>
    <row r="2" spans="1:19" ht="14.25" customHeight="1" x14ac:dyDescent="0.2">
      <c r="B2" s="107" t="s">
        <v>478</v>
      </c>
      <c r="C2" s="128"/>
      <c r="D2" s="128"/>
      <c r="E2" s="128"/>
      <c r="F2" s="110"/>
    </row>
    <row r="3" spans="1:19" x14ac:dyDescent="0.2">
      <c r="B3" s="139" t="s">
        <v>474</v>
      </c>
      <c r="C3" s="139"/>
      <c r="D3" s="270">
        <f ca="1">IF(Capacity!C3="",TODAY(),Capacity!C3)</f>
        <v>43586</v>
      </c>
      <c r="F3" s="111"/>
    </row>
    <row r="4" spans="1:19" x14ac:dyDescent="0.2">
      <c r="B4" s="139" t="s">
        <v>437</v>
      </c>
      <c r="C4" s="139"/>
      <c r="D4" s="271">
        <f>IF(Capacity!C4="",DATE(YEAR(D3)+1,MONTH(D3),DAY(D3))-1,Capacity!C4)</f>
        <v>43951</v>
      </c>
      <c r="F4" s="111"/>
    </row>
    <row r="6" spans="1:19" ht="15" customHeight="1" x14ac:dyDescent="0.2">
      <c r="C6" s="108"/>
      <c r="D6" s="106"/>
      <c r="E6" s="106"/>
      <c r="F6" s="108"/>
      <c r="G6" s="106"/>
      <c r="H6" s="106"/>
      <c r="I6" s="108"/>
      <c r="J6" s="106"/>
      <c r="K6" s="106"/>
      <c r="L6" s="108"/>
      <c r="M6" s="106"/>
      <c r="N6" s="106"/>
      <c r="O6" s="108"/>
      <c r="P6" s="106"/>
      <c r="Q6" s="106"/>
      <c r="R6" s="77"/>
      <c r="S6" s="78"/>
    </row>
    <row r="7" spans="1:19" ht="14.25" customHeight="1" x14ac:dyDescent="0.2">
      <c r="B7" s="106"/>
      <c r="C7" s="108"/>
      <c r="D7" s="106"/>
      <c r="E7" s="106"/>
      <c r="F7" s="108"/>
      <c r="G7" s="106"/>
      <c r="H7" s="106"/>
      <c r="I7" s="108"/>
      <c r="J7" s="106"/>
      <c r="K7" s="106"/>
      <c r="L7" s="108"/>
      <c r="M7" s="106"/>
      <c r="N7" s="106"/>
      <c r="O7" s="108"/>
      <c r="P7" s="106"/>
      <c r="Q7" s="106"/>
      <c r="R7" s="77"/>
      <c r="S7" s="78"/>
    </row>
    <row r="8" spans="1:19" ht="15" x14ac:dyDescent="0.2">
      <c r="C8" s="109"/>
      <c r="D8" s="431" t="s">
        <v>475</v>
      </c>
      <c r="E8" s="431"/>
      <c r="F8" s="431"/>
      <c r="G8" s="431"/>
      <c r="H8" s="431"/>
      <c r="I8" s="431"/>
      <c r="J8" s="431"/>
      <c r="K8" s="431"/>
      <c r="L8" s="108"/>
      <c r="M8" s="106"/>
      <c r="N8" s="106"/>
      <c r="O8" s="108"/>
      <c r="P8" s="106"/>
      <c r="Q8" s="106"/>
      <c r="S8" s="78"/>
    </row>
    <row r="10" spans="1:19" x14ac:dyDescent="0.2">
      <c r="D10" s="429" t="s">
        <v>444</v>
      </c>
      <c r="E10" s="430"/>
      <c r="F10" s="112"/>
      <c r="G10" s="427" t="s">
        <v>445</v>
      </c>
      <c r="H10" s="428"/>
      <c r="I10" s="112"/>
      <c r="J10" s="429" t="s">
        <v>446</v>
      </c>
      <c r="K10" s="430"/>
      <c r="L10" s="112"/>
      <c r="M10" s="427" t="s">
        <v>447</v>
      </c>
      <c r="N10" s="428"/>
      <c r="O10" s="112"/>
      <c r="P10" s="429" t="s">
        <v>448</v>
      </c>
      <c r="Q10" s="430"/>
    </row>
    <row r="11" spans="1:19" x14ac:dyDescent="0.2">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
      <c r="A12" s="74">
        <f>IF(B12="",0,ROW(A1))</f>
        <v>1</v>
      </c>
      <c r="B12" s="171" t="s">
        <v>1253</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
      <c r="A13" s="74">
        <f t="shared" ref="A13:A76" si="0">IF(B13="",0,ROW(A2))</f>
        <v>2</v>
      </c>
      <c r="B13" s="172" t="s">
        <v>1254</v>
      </c>
      <c r="D13" s="174">
        <v>43815</v>
      </c>
      <c r="E13" s="174">
        <v>43849</v>
      </c>
      <c r="F13" s="111"/>
      <c r="G13" s="174"/>
      <c r="H13" s="174"/>
      <c r="J13" s="174"/>
      <c r="K13" s="174"/>
      <c r="M13" s="174"/>
      <c r="N13" s="174"/>
      <c r="P13" s="174"/>
      <c r="Q13" s="174"/>
    </row>
    <row r="14" spans="1:19" x14ac:dyDescent="0.2">
      <c r="A14" s="74">
        <f t="shared" si="0"/>
        <v>3</v>
      </c>
      <c r="B14" s="172" t="s">
        <v>1255</v>
      </c>
      <c r="D14" s="174">
        <v>43682</v>
      </c>
      <c r="E14" s="174">
        <v>43723</v>
      </c>
      <c r="F14" s="111"/>
      <c r="G14" s="174"/>
      <c r="H14" s="174"/>
      <c r="J14" s="174"/>
      <c r="K14" s="174"/>
      <c r="M14" s="174"/>
      <c r="N14" s="174"/>
      <c r="P14" s="174"/>
      <c r="Q14" s="174"/>
    </row>
    <row r="15" spans="1:19" x14ac:dyDescent="0.2">
      <c r="A15" s="74">
        <f t="shared" si="0"/>
        <v>4</v>
      </c>
      <c r="B15" s="172" t="s">
        <v>1256</v>
      </c>
      <c r="D15" s="174"/>
      <c r="E15" s="174"/>
      <c r="G15" s="174"/>
      <c r="H15" s="174"/>
      <c r="J15" s="174"/>
      <c r="K15" s="174"/>
      <c r="M15" s="174"/>
      <c r="N15" s="174"/>
      <c r="P15" s="174"/>
      <c r="Q15" s="174"/>
    </row>
    <row r="16" spans="1:19" x14ac:dyDescent="0.2">
      <c r="A16" s="74">
        <f t="shared" si="0"/>
        <v>5</v>
      </c>
      <c r="B16" s="172" t="s">
        <v>1257</v>
      </c>
      <c r="D16" s="174"/>
      <c r="E16" s="174"/>
      <c r="G16" s="174"/>
      <c r="H16" s="174"/>
      <c r="J16" s="174"/>
      <c r="K16" s="174"/>
      <c r="M16" s="174"/>
      <c r="N16" s="174"/>
      <c r="P16" s="174"/>
      <c r="Q16" s="174"/>
    </row>
    <row r="17" spans="1:17" x14ac:dyDescent="0.2">
      <c r="A17" s="74">
        <f t="shared" si="0"/>
        <v>0</v>
      </c>
      <c r="B17" s="172"/>
      <c r="D17" s="174"/>
      <c r="E17" s="174"/>
      <c r="G17" s="174"/>
      <c r="H17" s="174"/>
      <c r="J17" s="174"/>
      <c r="K17" s="174"/>
      <c r="M17" s="174"/>
      <c r="N17" s="174"/>
      <c r="P17" s="174"/>
      <c r="Q17" s="174"/>
    </row>
    <row r="18" spans="1:17" x14ac:dyDescent="0.2">
      <c r="A18" s="74">
        <f t="shared" si="0"/>
        <v>0</v>
      </c>
      <c r="B18" s="172"/>
      <c r="D18" s="174"/>
      <c r="E18" s="174"/>
      <c r="G18" s="174"/>
      <c r="H18" s="174"/>
      <c r="J18" s="174"/>
      <c r="K18" s="174"/>
      <c r="M18" s="174"/>
      <c r="N18" s="174"/>
      <c r="P18" s="174"/>
      <c r="Q18" s="174"/>
    </row>
    <row r="19" spans="1:17" x14ac:dyDescent="0.2">
      <c r="A19" s="74">
        <f t="shared" si="0"/>
        <v>0</v>
      </c>
      <c r="B19" s="172"/>
      <c r="D19" s="174"/>
      <c r="E19" s="174"/>
      <c r="G19" s="174"/>
      <c r="H19" s="174"/>
      <c r="J19" s="174"/>
      <c r="K19" s="174"/>
      <c r="M19" s="174"/>
      <c r="N19" s="174"/>
      <c r="P19" s="174"/>
      <c r="Q19" s="174"/>
    </row>
    <row r="20" spans="1:17" x14ac:dyDescent="0.2">
      <c r="A20" s="74">
        <f t="shared" si="0"/>
        <v>0</v>
      </c>
      <c r="B20" s="172"/>
      <c r="D20" s="174"/>
      <c r="E20" s="174"/>
      <c r="G20" s="174"/>
      <c r="H20" s="174"/>
      <c r="J20" s="174"/>
      <c r="K20" s="174"/>
      <c r="M20" s="174"/>
      <c r="N20" s="174"/>
      <c r="P20" s="174"/>
      <c r="Q20" s="174"/>
    </row>
    <row r="21" spans="1:17" x14ac:dyDescent="0.2">
      <c r="A21" s="74">
        <f t="shared" si="0"/>
        <v>0</v>
      </c>
      <c r="B21" s="172"/>
      <c r="D21" s="174"/>
      <c r="E21" s="174"/>
      <c r="G21" s="174"/>
      <c r="H21" s="174"/>
      <c r="J21" s="174"/>
      <c r="K21" s="174"/>
      <c r="M21" s="174"/>
      <c r="N21" s="174"/>
      <c r="P21" s="174"/>
      <c r="Q21" s="174"/>
    </row>
    <row r="22" spans="1:17" x14ac:dyDescent="0.2">
      <c r="A22" s="74">
        <f t="shared" si="0"/>
        <v>0</v>
      </c>
      <c r="B22" s="172"/>
      <c r="D22" s="174"/>
      <c r="E22" s="174"/>
      <c r="G22" s="174"/>
      <c r="H22" s="174"/>
      <c r="J22" s="174"/>
      <c r="K22" s="174"/>
      <c r="M22" s="174"/>
      <c r="N22" s="174"/>
      <c r="P22" s="174"/>
      <c r="Q22" s="174"/>
    </row>
    <row r="23" spans="1:17" x14ac:dyDescent="0.2">
      <c r="A23" s="74">
        <f t="shared" si="0"/>
        <v>0</v>
      </c>
      <c r="B23" s="172"/>
      <c r="D23" s="174"/>
      <c r="E23" s="174"/>
      <c r="G23" s="174"/>
      <c r="H23" s="174"/>
      <c r="J23" s="174"/>
      <c r="K23" s="174"/>
      <c r="M23" s="174"/>
      <c r="N23" s="174"/>
      <c r="P23" s="174"/>
      <c r="Q23" s="174"/>
    </row>
    <row r="24" spans="1:17" x14ac:dyDescent="0.2">
      <c r="A24" s="74">
        <f t="shared" si="0"/>
        <v>0</v>
      </c>
      <c r="B24" s="172"/>
      <c r="D24" s="174"/>
      <c r="E24" s="174"/>
      <c r="G24" s="174"/>
      <c r="H24" s="174"/>
      <c r="J24" s="174"/>
      <c r="K24" s="174"/>
      <c r="M24" s="174"/>
      <c r="N24" s="174"/>
      <c r="P24" s="174"/>
      <c r="Q24" s="174"/>
    </row>
    <row r="25" spans="1:17" x14ac:dyDescent="0.2">
      <c r="A25" s="74">
        <f t="shared" si="0"/>
        <v>0</v>
      </c>
      <c r="B25" s="172"/>
      <c r="D25" s="174"/>
      <c r="E25" s="174"/>
      <c r="G25" s="174"/>
      <c r="H25" s="174"/>
      <c r="J25" s="174"/>
      <c r="K25" s="174"/>
      <c r="M25" s="174"/>
      <c r="N25" s="174"/>
      <c r="P25" s="174"/>
      <c r="Q25" s="174"/>
    </row>
    <row r="26" spans="1:17" x14ac:dyDescent="0.2">
      <c r="A26" s="74">
        <f t="shared" si="0"/>
        <v>0</v>
      </c>
      <c r="B26" s="172"/>
      <c r="D26" s="174"/>
      <c r="E26" s="174"/>
      <c r="G26" s="174"/>
      <c r="H26" s="174"/>
      <c r="J26" s="174"/>
      <c r="K26" s="174"/>
      <c r="M26" s="174"/>
      <c r="N26" s="174"/>
      <c r="P26" s="174"/>
      <c r="Q26" s="174"/>
    </row>
    <row r="27" spans="1:17" x14ac:dyDescent="0.2">
      <c r="A27" s="74">
        <f t="shared" si="0"/>
        <v>0</v>
      </c>
      <c r="B27" s="172"/>
      <c r="D27" s="174"/>
      <c r="E27" s="174"/>
      <c r="G27" s="174"/>
      <c r="H27" s="174"/>
      <c r="J27" s="174"/>
      <c r="K27" s="174"/>
      <c r="M27" s="174"/>
      <c r="N27" s="174"/>
      <c r="P27" s="174"/>
      <c r="Q27" s="174"/>
    </row>
    <row r="28" spans="1:17" x14ac:dyDescent="0.2">
      <c r="A28" s="74">
        <f t="shared" si="0"/>
        <v>0</v>
      </c>
      <c r="B28" s="172"/>
      <c r="D28" s="174"/>
      <c r="E28" s="174"/>
      <c r="G28" s="174"/>
      <c r="H28" s="174"/>
      <c r="J28" s="174"/>
      <c r="K28" s="174"/>
      <c r="M28" s="174"/>
      <c r="N28" s="174"/>
      <c r="P28" s="174"/>
      <c r="Q28" s="174"/>
    </row>
    <row r="29" spans="1:17" x14ac:dyDescent="0.2">
      <c r="A29" s="74">
        <f t="shared" si="0"/>
        <v>0</v>
      </c>
      <c r="B29" s="172"/>
      <c r="D29" s="174"/>
      <c r="E29" s="174"/>
      <c r="G29" s="174"/>
      <c r="H29" s="174"/>
      <c r="J29" s="174"/>
      <c r="K29" s="174"/>
      <c r="M29" s="174"/>
      <c r="N29" s="174"/>
      <c r="P29" s="174"/>
      <c r="Q29" s="174"/>
    </row>
    <row r="30" spans="1:17" x14ac:dyDescent="0.2">
      <c r="A30" s="74">
        <f t="shared" si="0"/>
        <v>0</v>
      </c>
      <c r="B30" s="172"/>
      <c r="D30" s="174"/>
      <c r="E30" s="174"/>
      <c r="G30" s="174"/>
      <c r="H30" s="174"/>
      <c r="J30" s="174"/>
      <c r="K30" s="174"/>
      <c r="M30" s="174"/>
      <c r="N30" s="174"/>
      <c r="P30" s="174"/>
      <c r="Q30" s="174"/>
    </row>
    <row r="31" spans="1:17" x14ac:dyDescent="0.2">
      <c r="A31" s="74">
        <f t="shared" si="0"/>
        <v>0</v>
      </c>
      <c r="B31" s="172"/>
      <c r="D31" s="174"/>
      <c r="E31" s="174"/>
      <c r="G31" s="174"/>
      <c r="H31" s="174"/>
      <c r="J31" s="174"/>
      <c r="K31" s="174"/>
      <c r="M31" s="174"/>
      <c r="N31" s="174"/>
      <c r="P31" s="174"/>
      <c r="Q31" s="174"/>
    </row>
    <row r="32" spans="1:17" x14ac:dyDescent="0.2">
      <c r="A32" s="74">
        <f t="shared" si="0"/>
        <v>0</v>
      </c>
      <c r="B32" s="172"/>
      <c r="D32" s="174"/>
      <c r="E32" s="174"/>
      <c r="G32" s="174"/>
      <c r="H32" s="174"/>
      <c r="J32" s="174"/>
      <c r="K32" s="174"/>
      <c r="M32" s="174"/>
      <c r="N32" s="174"/>
      <c r="P32" s="174"/>
      <c r="Q32" s="174"/>
    </row>
    <row r="33" spans="1:17" x14ac:dyDescent="0.2">
      <c r="A33" s="74">
        <f t="shared" si="0"/>
        <v>0</v>
      </c>
      <c r="B33" s="172"/>
      <c r="D33" s="174"/>
      <c r="E33" s="174"/>
      <c r="G33" s="174"/>
      <c r="H33" s="174"/>
      <c r="J33" s="174"/>
      <c r="K33" s="174"/>
      <c r="M33" s="174"/>
      <c r="N33" s="174"/>
      <c r="P33" s="174"/>
      <c r="Q33" s="174"/>
    </row>
    <row r="34" spans="1:17" x14ac:dyDescent="0.2">
      <c r="A34" s="74">
        <f t="shared" si="0"/>
        <v>0</v>
      </c>
      <c r="B34" s="172"/>
      <c r="D34" s="174"/>
      <c r="E34" s="174"/>
      <c r="G34" s="174"/>
      <c r="H34" s="174"/>
      <c r="J34" s="174"/>
      <c r="K34" s="174"/>
      <c r="M34" s="174"/>
      <c r="N34" s="174"/>
      <c r="P34" s="174"/>
      <c r="Q34" s="174"/>
    </row>
    <row r="35" spans="1:17" x14ac:dyDescent="0.2">
      <c r="A35" s="74">
        <f t="shared" si="0"/>
        <v>0</v>
      </c>
      <c r="B35" s="172"/>
      <c r="D35" s="174"/>
      <c r="E35" s="174"/>
      <c r="G35" s="174"/>
      <c r="H35" s="174"/>
      <c r="J35" s="174"/>
      <c r="K35" s="174"/>
      <c r="M35" s="174"/>
      <c r="N35" s="174"/>
      <c r="P35" s="174"/>
      <c r="Q35" s="174"/>
    </row>
    <row r="36" spans="1:17" x14ac:dyDescent="0.2">
      <c r="A36" s="74">
        <f t="shared" si="0"/>
        <v>0</v>
      </c>
      <c r="B36" s="172"/>
      <c r="D36" s="174"/>
      <c r="E36" s="174"/>
      <c r="G36" s="174"/>
      <c r="H36" s="174"/>
      <c r="J36" s="174"/>
      <c r="K36" s="174"/>
      <c r="M36" s="174"/>
      <c r="N36" s="174"/>
      <c r="P36" s="174"/>
      <c r="Q36" s="174"/>
    </row>
    <row r="37" spans="1:17" x14ac:dyDescent="0.2">
      <c r="A37" s="74">
        <f t="shared" si="0"/>
        <v>0</v>
      </c>
      <c r="B37" s="172"/>
      <c r="D37" s="174"/>
      <c r="E37" s="174"/>
      <c r="G37" s="174"/>
      <c r="H37" s="174"/>
      <c r="J37" s="174"/>
      <c r="K37" s="174"/>
      <c r="M37" s="174"/>
      <c r="N37" s="174"/>
      <c r="P37" s="174"/>
      <c r="Q37" s="174"/>
    </row>
    <row r="38" spans="1:17" x14ac:dyDescent="0.2">
      <c r="A38" s="74">
        <f t="shared" si="0"/>
        <v>0</v>
      </c>
      <c r="B38" s="172"/>
      <c r="D38" s="174"/>
      <c r="E38" s="174"/>
      <c r="G38" s="174"/>
      <c r="H38" s="174"/>
      <c r="J38" s="174"/>
      <c r="K38" s="174"/>
      <c r="M38" s="174"/>
      <c r="N38" s="174"/>
      <c r="P38" s="174"/>
      <c r="Q38" s="174"/>
    </row>
    <row r="39" spans="1:17" x14ac:dyDescent="0.2">
      <c r="A39" s="74">
        <f t="shared" si="0"/>
        <v>0</v>
      </c>
      <c r="B39" s="172"/>
      <c r="D39" s="174"/>
      <c r="E39" s="174"/>
      <c r="G39" s="174"/>
      <c r="H39" s="174"/>
      <c r="J39" s="174"/>
      <c r="K39" s="174"/>
      <c r="M39" s="174"/>
      <c r="N39" s="174"/>
      <c r="P39" s="174"/>
      <c r="Q39" s="174"/>
    </row>
    <row r="40" spans="1:17" x14ac:dyDescent="0.2">
      <c r="A40" s="74">
        <f t="shared" si="0"/>
        <v>0</v>
      </c>
      <c r="B40" s="172"/>
      <c r="D40" s="174"/>
      <c r="E40" s="174"/>
      <c r="G40" s="174"/>
      <c r="H40" s="174"/>
      <c r="J40" s="174"/>
      <c r="K40" s="174"/>
      <c r="M40" s="174"/>
      <c r="N40" s="174"/>
      <c r="P40" s="174"/>
      <c r="Q40" s="174"/>
    </row>
    <row r="41" spans="1:17" x14ac:dyDescent="0.2">
      <c r="A41" s="74">
        <f t="shared" si="0"/>
        <v>0</v>
      </c>
      <c r="B41" s="172"/>
      <c r="D41" s="174"/>
      <c r="E41" s="174"/>
      <c r="G41" s="174"/>
      <c r="H41" s="174"/>
      <c r="J41" s="174"/>
      <c r="K41" s="174"/>
      <c r="M41" s="174"/>
      <c r="N41" s="174"/>
      <c r="P41" s="174"/>
      <c r="Q41" s="174"/>
    </row>
    <row r="42" spans="1:17" x14ac:dyDescent="0.2">
      <c r="A42" s="74">
        <f t="shared" si="0"/>
        <v>0</v>
      </c>
      <c r="B42" s="172"/>
      <c r="D42" s="174"/>
      <c r="E42" s="174"/>
      <c r="G42" s="174"/>
      <c r="H42" s="174"/>
      <c r="J42" s="174"/>
      <c r="K42" s="174"/>
      <c r="M42" s="174"/>
      <c r="N42" s="174"/>
      <c r="P42" s="174"/>
      <c r="Q42" s="174"/>
    </row>
    <row r="43" spans="1:17" x14ac:dyDescent="0.2">
      <c r="A43" s="74">
        <f t="shared" si="0"/>
        <v>0</v>
      </c>
      <c r="B43" s="172"/>
      <c r="D43" s="174"/>
      <c r="E43" s="174"/>
      <c r="G43" s="174"/>
      <c r="H43" s="174"/>
      <c r="J43" s="174"/>
      <c r="K43" s="174"/>
      <c r="M43" s="174"/>
      <c r="N43" s="174"/>
      <c r="P43" s="174"/>
      <c r="Q43" s="174"/>
    </row>
    <row r="44" spans="1:17" x14ac:dyDescent="0.2">
      <c r="A44" s="74">
        <f t="shared" si="0"/>
        <v>0</v>
      </c>
      <c r="B44" s="172"/>
      <c r="D44" s="174"/>
      <c r="E44" s="174"/>
      <c r="G44" s="174"/>
      <c r="H44" s="174"/>
      <c r="J44" s="174"/>
      <c r="K44" s="174"/>
      <c r="M44" s="174"/>
      <c r="N44" s="174"/>
      <c r="P44" s="174"/>
      <c r="Q44" s="174"/>
    </row>
    <row r="45" spans="1:17" x14ac:dyDescent="0.2">
      <c r="A45" s="74">
        <f t="shared" si="0"/>
        <v>0</v>
      </c>
      <c r="B45" s="172"/>
      <c r="D45" s="174"/>
      <c r="E45" s="174"/>
      <c r="G45" s="174"/>
      <c r="H45" s="174"/>
      <c r="J45" s="174"/>
      <c r="K45" s="174"/>
      <c r="M45" s="174"/>
      <c r="N45" s="174"/>
      <c r="P45" s="174"/>
      <c r="Q45" s="174"/>
    </row>
    <row r="46" spans="1:17" x14ac:dyDescent="0.2">
      <c r="A46" s="74">
        <f t="shared" si="0"/>
        <v>0</v>
      </c>
      <c r="B46" s="172"/>
      <c r="D46" s="174"/>
      <c r="E46" s="174"/>
      <c r="G46" s="174"/>
      <c r="H46" s="174"/>
      <c r="J46" s="174"/>
      <c r="K46" s="174"/>
      <c r="M46" s="174"/>
      <c r="N46" s="174"/>
      <c r="P46" s="174"/>
      <c r="Q46" s="174"/>
    </row>
    <row r="47" spans="1:17" x14ac:dyDescent="0.2">
      <c r="A47" s="74">
        <f t="shared" si="0"/>
        <v>0</v>
      </c>
      <c r="B47" s="172"/>
      <c r="D47" s="174"/>
      <c r="E47" s="174"/>
      <c r="G47" s="174"/>
      <c r="H47" s="174"/>
      <c r="J47" s="174"/>
      <c r="K47" s="174"/>
      <c r="M47" s="174"/>
      <c r="N47" s="174"/>
      <c r="P47" s="174"/>
      <c r="Q47" s="174"/>
    </row>
    <row r="48" spans="1:17" x14ac:dyDescent="0.2">
      <c r="A48" s="74">
        <f t="shared" si="0"/>
        <v>0</v>
      </c>
      <c r="B48" s="172"/>
      <c r="D48" s="174"/>
      <c r="E48" s="174"/>
      <c r="G48" s="174"/>
      <c r="H48" s="174"/>
      <c r="J48" s="174"/>
      <c r="K48" s="174"/>
      <c r="M48" s="174"/>
      <c r="N48" s="174"/>
      <c r="P48" s="174"/>
      <c r="Q48" s="174"/>
    </row>
    <row r="49" spans="1:17" x14ac:dyDescent="0.2">
      <c r="A49" s="74">
        <f t="shared" si="0"/>
        <v>0</v>
      </c>
      <c r="B49" s="172"/>
      <c r="D49" s="174"/>
      <c r="E49" s="174"/>
      <c r="G49" s="174"/>
      <c r="H49" s="174"/>
      <c r="J49" s="174"/>
      <c r="K49" s="174"/>
      <c r="M49" s="174"/>
      <c r="N49" s="174"/>
      <c r="P49" s="174"/>
      <c r="Q49" s="174"/>
    </row>
    <row r="50" spans="1:17" x14ac:dyDescent="0.2">
      <c r="A50" s="74">
        <f t="shared" si="0"/>
        <v>0</v>
      </c>
      <c r="B50" s="172"/>
      <c r="D50" s="174"/>
      <c r="E50" s="174"/>
      <c r="G50" s="174"/>
      <c r="H50" s="174"/>
      <c r="J50" s="174"/>
      <c r="K50" s="174"/>
      <c r="M50" s="174"/>
      <c r="N50" s="174"/>
      <c r="P50" s="174"/>
      <c r="Q50" s="174"/>
    </row>
    <row r="51" spans="1:17" x14ac:dyDescent="0.2">
      <c r="A51" s="74">
        <f t="shared" si="0"/>
        <v>0</v>
      </c>
      <c r="B51" s="172"/>
      <c r="D51" s="174"/>
      <c r="E51" s="174"/>
      <c r="G51" s="174"/>
      <c r="H51" s="174"/>
      <c r="J51" s="174"/>
      <c r="K51" s="174"/>
      <c r="M51" s="174"/>
      <c r="N51" s="174"/>
      <c r="P51" s="174"/>
      <c r="Q51" s="174"/>
    </row>
    <row r="52" spans="1:17" x14ac:dyDescent="0.2">
      <c r="A52" s="74">
        <f t="shared" si="0"/>
        <v>0</v>
      </c>
      <c r="B52" s="172"/>
      <c r="D52" s="174"/>
      <c r="E52" s="174"/>
      <c r="G52" s="174"/>
      <c r="H52" s="174"/>
      <c r="J52" s="174"/>
      <c r="K52" s="174"/>
      <c r="M52" s="174"/>
      <c r="N52" s="174"/>
      <c r="P52" s="174"/>
      <c r="Q52" s="174"/>
    </row>
    <row r="53" spans="1:17" x14ac:dyDescent="0.2">
      <c r="A53" s="74">
        <f t="shared" si="0"/>
        <v>0</v>
      </c>
      <c r="B53" s="172"/>
      <c r="D53" s="174"/>
      <c r="E53" s="174"/>
      <c r="G53" s="174"/>
      <c r="H53" s="174"/>
      <c r="J53" s="174"/>
      <c r="K53" s="174"/>
      <c r="M53" s="174"/>
      <c r="N53" s="174"/>
      <c r="P53" s="174"/>
      <c r="Q53" s="174"/>
    </row>
    <row r="54" spans="1:17" x14ac:dyDescent="0.2">
      <c r="A54" s="74">
        <f t="shared" si="0"/>
        <v>0</v>
      </c>
      <c r="B54" s="172"/>
      <c r="D54" s="174"/>
      <c r="E54" s="174"/>
      <c r="G54" s="174"/>
      <c r="H54" s="174"/>
      <c r="J54" s="174"/>
      <c r="K54" s="174"/>
      <c r="M54" s="174"/>
      <c r="N54" s="174"/>
      <c r="P54" s="174"/>
      <c r="Q54" s="174"/>
    </row>
    <row r="55" spans="1:17" x14ac:dyDescent="0.2">
      <c r="A55" s="74">
        <f t="shared" si="0"/>
        <v>0</v>
      </c>
      <c r="B55" s="172"/>
      <c r="D55" s="174"/>
      <c r="E55" s="174"/>
      <c r="G55" s="174"/>
      <c r="H55" s="174"/>
      <c r="J55" s="174"/>
      <c r="K55" s="174"/>
      <c r="M55" s="174"/>
      <c r="N55" s="174"/>
      <c r="P55" s="174"/>
      <c r="Q55" s="174"/>
    </row>
    <row r="56" spans="1:17" x14ac:dyDescent="0.2">
      <c r="A56" s="74">
        <f t="shared" si="0"/>
        <v>0</v>
      </c>
      <c r="B56" s="172"/>
      <c r="D56" s="174"/>
      <c r="E56" s="174"/>
      <c r="G56" s="174"/>
      <c r="H56" s="174"/>
      <c r="J56" s="174"/>
      <c r="K56" s="174"/>
      <c r="M56" s="174"/>
      <c r="N56" s="174"/>
      <c r="P56" s="174"/>
      <c r="Q56" s="174"/>
    </row>
    <row r="57" spans="1:17" x14ac:dyDescent="0.2">
      <c r="A57" s="74">
        <f t="shared" si="0"/>
        <v>0</v>
      </c>
      <c r="B57" s="172"/>
      <c r="D57" s="174"/>
      <c r="E57" s="174"/>
      <c r="G57" s="174"/>
      <c r="H57" s="174"/>
      <c r="J57" s="174"/>
      <c r="K57" s="174"/>
      <c r="M57" s="174"/>
      <c r="N57" s="174"/>
      <c r="P57" s="174"/>
      <c r="Q57" s="174"/>
    </row>
    <row r="58" spans="1:17" x14ac:dyDescent="0.2">
      <c r="A58" s="74">
        <f t="shared" si="0"/>
        <v>0</v>
      </c>
      <c r="B58" s="172"/>
      <c r="D58" s="174"/>
      <c r="E58" s="174"/>
      <c r="G58" s="174"/>
      <c r="H58" s="174"/>
      <c r="J58" s="174"/>
      <c r="K58" s="174"/>
      <c r="M58" s="174"/>
      <c r="N58" s="174"/>
      <c r="P58" s="174"/>
      <c r="Q58" s="174"/>
    </row>
    <row r="59" spans="1:17" x14ac:dyDescent="0.2">
      <c r="A59" s="74">
        <f t="shared" si="0"/>
        <v>0</v>
      </c>
      <c r="B59" s="172"/>
      <c r="D59" s="174"/>
      <c r="E59" s="174"/>
      <c r="G59" s="174"/>
      <c r="H59" s="174"/>
      <c r="J59" s="174"/>
      <c r="K59" s="174"/>
      <c r="M59" s="174"/>
      <c r="N59" s="174"/>
      <c r="P59" s="174"/>
      <c r="Q59" s="174"/>
    </row>
    <row r="60" spans="1:17" x14ac:dyDescent="0.2">
      <c r="A60" s="74">
        <f t="shared" si="0"/>
        <v>0</v>
      </c>
      <c r="B60" s="172"/>
      <c r="D60" s="174"/>
      <c r="E60" s="174"/>
      <c r="G60" s="174"/>
      <c r="H60" s="174"/>
      <c r="J60" s="174"/>
      <c r="K60" s="174"/>
      <c r="M60" s="174"/>
      <c r="N60" s="174"/>
      <c r="P60" s="174"/>
      <c r="Q60" s="174"/>
    </row>
    <row r="61" spans="1:17" x14ac:dyDescent="0.2">
      <c r="A61" s="74">
        <f t="shared" si="0"/>
        <v>0</v>
      </c>
      <c r="B61" s="172"/>
      <c r="D61" s="174"/>
      <c r="E61" s="174"/>
      <c r="G61" s="174"/>
      <c r="H61" s="174"/>
      <c r="J61" s="174"/>
      <c r="K61" s="174"/>
      <c r="M61" s="174"/>
      <c r="N61" s="174"/>
      <c r="P61" s="174"/>
      <c r="Q61" s="174"/>
    </row>
    <row r="62" spans="1:17" x14ac:dyDescent="0.2">
      <c r="A62" s="74">
        <f t="shared" si="0"/>
        <v>0</v>
      </c>
      <c r="B62" s="172"/>
      <c r="D62" s="174"/>
      <c r="E62" s="174"/>
      <c r="G62" s="174"/>
      <c r="H62" s="174"/>
      <c r="J62" s="174"/>
      <c r="K62" s="174"/>
      <c r="M62" s="174"/>
      <c r="N62" s="174"/>
      <c r="P62" s="174"/>
      <c r="Q62" s="174"/>
    </row>
    <row r="63" spans="1:17" x14ac:dyDescent="0.2">
      <c r="A63" s="74">
        <f t="shared" si="0"/>
        <v>0</v>
      </c>
      <c r="B63" s="172"/>
      <c r="D63" s="174"/>
      <c r="E63" s="174"/>
      <c r="G63" s="174"/>
      <c r="H63" s="174"/>
      <c r="J63" s="174"/>
      <c r="K63" s="174"/>
      <c r="M63" s="174"/>
      <c r="N63" s="174"/>
      <c r="P63" s="174"/>
      <c r="Q63" s="174"/>
    </row>
    <row r="64" spans="1:17" x14ac:dyDescent="0.2">
      <c r="A64" s="74">
        <f t="shared" si="0"/>
        <v>0</v>
      </c>
      <c r="B64" s="172"/>
      <c r="D64" s="174"/>
      <c r="E64" s="174"/>
      <c r="G64" s="174"/>
      <c r="H64" s="174"/>
      <c r="J64" s="174"/>
      <c r="K64" s="174"/>
      <c r="M64" s="174"/>
      <c r="N64" s="174"/>
      <c r="P64" s="174"/>
      <c r="Q64" s="174"/>
    </row>
    <row r="65" spans="1:17" x14ac:dyDescent="0.2">
      <c r="A65" s="74">
        <f t="shared" si="0"/>
        <v>0</v>
      </c>
      <c r="B65" s="172"/>
      <c r="D65" s="174"/>
      <c r="E65" s="174"/>
      <c r="G65" s="174"/>
      <c r="H65" s="174"/>
      <c r="J65" s="174"/>
      <c r="K65" s="174"/>
      <c r="M65" s="174"/>
      <c r="N65" s="174"/>
      <c r="P65" s="174"/>
      <c r="Q65" s="174"/>
    </row>
    <row r="66" spans="1:17" x14ac:dyDescent="0.2">
      <c r="A66" s="74">
        <f t="shared" si="0"/>
        <v>0</v>
      </c>
      <c r="B66" s="172"/>
      <c r="D66" s="174"/>
      <c r="E66" s="174"/>
      <c r="G66" s="174"/>
      <c r="H66" s="174"/>
      <c r="J66" s="174"/>
      <c r="K66" s="174"/>
      <c r="M66" s="174"/>
      <c r="N66" s="174"/>
      <c r="P66" s="174"/>
      <c r="Q66" s="174"/>
    </row>
    <row r="67" spans="1:17" x14ac:dyDescent="0.2">
      <c r="A67" s="74">
        <f t="shared" si="0"/>
        <v>0</v>
      </c>
      <c r="B67" s="172"/>
      <c r="D67" s="174"/>
      <c r="E67" s="174"/>
      <c r="G67" s="174"/>
      <c r="H67" s="174"/>
      <c r="J67" s="174"/>
      <c r="K67" s="174"/>
      <c r="M67" s="174"/>
      <c r="N67" s="174"/>
      <c r="P67" s="174"/>
      <c r="Q67" s="174"/>
    </row>
    <row r="68" spans="1:17" x14ac:dyDescent="0.2">
      <c r="A68" s="74">
        <f t="shared" si="0"/>
        <v>0</v>
      </c>
      <c r="B68" s="172"/>
      <c r="D68" s="174"/>
      <c r="E68" s="174"/>
      <c r="G68" s="174"/>
      <c r="H68" s="174"/>
      <c r="J68" s="174"/>
      <c r="K68" s="174"/>
      <c r="M68" s="174"/>
      <c r="N68" s="174"/>
      <c r="P68" s="174"/>
      <c r="Q68" s="174"/>
    </row>
    <row r="69" spans="1:17" x14ac:dyDescent="0.2">
      <c r="A69" s="74">
        <f t="shared" si="0"/>
        <v>0</v>
      </c>
      <c r="B69" s="172"/>
      <c r="D69" s="174"/>
      <c r="E69" s="174"/>
      <c r="G69" s="174"/>
      <c r="H69" s="174"/>
      <c r="J69" s="174"/>
      <c r="K69" s="174"/>
      <c r="M69" s="174"/>
      <c r="N69" s="174"/>
      <c r="P69" s="174"/>
      <c r="Q69" s="174"/>
    </row>
    <row r="70" spans="1:17" x14ac:dyDescent="0.2">
      <c r="A70" s="74">
        <f t="shared" si="0"/>
        <v>0</v>
      </c>
      <c r="B70" s="172"/>
      <c r="D70" s="174"/>
      <c r="E70" s="174"/>
      <c r="G70" s="174"/>
      <c r="H70" s="174"/>
      <c r="J70" s="174"/>
      <c r="K70" s="174"/>
      <c r="M70" s="174"/>
      <c r="N70" s="174"/>
      <c r="P70" s="174"/>
      <c r="Q70" s="174"/>
    </row>
    <row r="71" spans="1:17" x14ac:dyDescent="0.2">
      <c r="A71" s="74">
        <f t="shared" si="0"/>
        <v>0</v>
      </c>
      <c r="B71" s="172"/>
      <c r="D71" s="174"/>
      <c r="E71" s="174"/>
      <c r="G71" s="174"/>
      <c r="H71" s="174"/>
      <c r="J71" s="174"/>
      <c r="K71" s="174"/>
      <c r="M71" s="174"/>
      <c r="N71" s="174"/>
      <c r="P71" s="174"/>
      <c r="Q71" s="174"/>
    </row>
    <row r="72" spans="1:17" x14ac:dyDescent="0.2">
      <c r="A72" s="74">
        <f t="shared" si="0"/>
        <v>0</v>
      </c>
      <c r="B72" s="172"/>
      <c r="D72" s="174"/>
      <c r="E72" s="174"/>
      <c r="G72" s="174"/>
      <c r="H72" s="174"/>
      <c r="J72" s="174"/>
      <c r="K72" s="174"/>
      <c r="M72" s="174"/>
      <c r="N72" s="174"/>
      <c r="P72" s="174"/>
      <c r="Q72" s="174"/>
    </row>
    <row r="73" spans="1:17" x14ac:dyDescent="0.2">
      <c r="A73" s="74">
        <f t="shared" si="0"/>
        <v>0</v>
      </c>
      <c r="B73" s="172"/>
      <c r="D73" s="174"/>
      <c r="E73" s="174"/>
      <c r="G73" s="174"/>
      <c r="H73" s="174"/>
      <c r="J73" s="174"/>
      <c r="K73" s="174"/>
      <c r="M73" s="174"/>
      <c r="N73" s="174"/>
      <c r="P73" s="174"/>
      <c r="Q73" s="174"/>
    </row>
    <row r="74" spans="1:17" x14ac:dyDescent="0.2">
      <c r="A74" s="74">
        <f t="shared" si="0"/>
        <v>0</v>
      </c>
      <c r="B74" s="172"/>
      <c r="D74" s="174"/>
      <c r="E74" s="174"/>
      <c r="G74" s="174"/>
      <c r="H74" s="174"/>
      <c r="J74" s="174"/>
      <c r="K74" s="174"/>
      <c r="M74" s="174"/>
      <c r="N74" s="174"/>
      <c r="P74" s="174"/>
      <c r="Q74" s="174"/>
    </row>
    <row r="75" spans="1:17" x14ac:dyDescent="0.2">
      <c r="A75" s="74">
        <f t="shared" si="0"/>
        <v>0</v>
      </c>
      <c r="B75" s="172"/>
      <c r="D75" s="174"/>
      <c r="E75" s="174"/>
      <c r="G75" s="174"/>
      <c r="H75" s="174"/>
      <c r="J75" s="174"/>
      <c r="K75" s="174"/>
      <c r="M75" s="174"/>
      <c r="N75" s="174"/>
      <c r="P75" s="174"/>
      <c r="Q75" s="174"/>
    </row>
    <row r="76" spans="1:17" x14ac:dyDescent="0.2">
      <c r="A76" s="74">
        <f t="shared" si="0"/>
        <v>0</v>
      </c>
      <c r="B76" s="172"/>
      <c r="D76" s="174"/>
      <c r="E76" s="174"/>
      <c r="G76" s="174"/>
      <c r="H76" s="174"/>
      <c r="J76" s="174"/>
      <c r="K76" s="174"/>
      <c r="M76" s="174"/>
      <c r="N76" s="174"/>
      <c r="P76" s="174"/>
      <c r="Q76" s="174"/>
    </row>
    <row r="77" spans="1:17" x14ac:dyDescent="0.2">
      <c r="A77" s="74">
        <f t="shared" ref="A77:A111" si="1">IF(B77="",0,ROW(A66))</f>
        <v>0</v>
      </c>
      <c r="B77" s="172"/>
      <c r="D77" s="174"/>
      <c r="E77" s="174"/>
      <c r="G77" s="174"/>
      <c r="H77" s="174"/>
      <c r="J77" s="174"/>
      <c r="K77" s="174"/>
      <c r="M77" s="174"/>
      <c r="N77" s="174"/>
      <c r="P77" s="174"/>
      <c r="Q77" s="174"/>
    </row>
    <row r="78" spans="1:17" x14ac:dyDescent="0.2">
      <c r="A78" s="74">
        <f t="shared" si="1"/>
        <v>0</v>
      </c>
      <c r="B78" s="172"/>
      <c r="D78" s="174"/>
      <c r="E78" s="174"/>
      <c r="G78" s="174"/>
      <c r="H78" s="174"/>
      <c r="J78" s="174"/>
      <c r="K78" s="174"/>
      <c r="M78" s="174"/>
      <c r="N78" s="174"/>
      <c r="P78" s="174"/>
      <c r="Q78" s="174"/>
    </row>
    <row r="79" spans="1:17" x14ac:dyDescent="0.2">
      <c r="A79" s="74">
        <f t="shared" si="1"/>
        <v>0</v>
      </c>
      <c r="B79" s="172"/>
      <c r="D79" s="174"/>
      <c r="E79" s="174"/>
      <c r="G79" s="174"/>
      <c r="H79" s="174"/>
      <c r="J79" s="174"/>
      <c r="K79" s="174"/>
      <c r="M79" s="174"/>
      <c r="N79" s="174"/>
      <c r="P79" s="174"/>
      <c r="Q79" s="174"/>
    </row>
    <row r="80" spans="1:17" x14ac:dyDescent="0.2">
      <c r="A80" s="74">
        <f t="shared" si="1"/>
        <v>0</v>
      </c>
      <c r="B80" s="172"/>
      <c r="D80" s="174"/>
      <c r="E80" s="174"/>
      <c r="G80" s="174"/>
      <c r="H80" s="174"/>
      <c r="J80" s="174"/>
      <c r="K80" s="174"/>
      <c r="M80" s="174"/>
      <c r="N80" s="174"/>
      <c r="P80" s="174"/>
      <c r="Q80" s="174"/>
    </row>
    <row r="81" spans="1:17" x14ac:dyDescent="0.2">
      <c r="A81" s="74">
        <f t="shared" si="1"/>
        <v>0</v>
      </c>
      <c r="B81" s="172"/>
      <c r="D81" s="174"/>
      <c r="E81" s="174"/>
      <c r="G81" s="174"/>
      <c r="H81" s="174"/>
      <c r="J81" s="174"/>
      <c r="K81" s="174"/>
      <c r="M81" s="174"/>
      <c r="N81" s="174"/>
      <c r="P81" s="174"/>
      <c r="Q81" s="174"/>
    </row>
    <row r="82" spans="1:17" x14ac:dyDescent="0.2">
      <c r="A82" s="74">
        <f t="shared" si="1"/>
        <v>0</v>
      </c>
      <c r="B82" s="172"/>
      <c r="D82" s="174"/>
      <c r="E82" s="174"/>
      <c r="G82" s="174"/>
      <c r="H82" s="174"/>
      <c r="J82" s="174"/>
      <c r="K82" s="174"/>
      <c r="M82" s="174"/>
      <c r="N82" s="174"/>
      <c r="P82" s="174"/>
      <c r="Q82" s="174"/>
    </row>
    <row r="83" spans="1:17" x14ac:dyDescent="0.2">
      <c r="A83" s="74">
        <f t="shared" si="1"/>
        <v>0</v>
      </c>
      <c r="B83" s="172"/>
      <c r="D83" s="174"/>
      <c r="E83" s="174"/>
      <c r="G83" s="174"/>
      <c r="H83" s="174"/>
      <c r="J83" s="174"/>
      <c r="K83" s="174"/>
      <c r="M83" s="174"/>
      <c r="N83" s="174"/>
      <c r="P83" s="174"/>
      <c r="Q83" s="174"/>
    </row>
    <row r="84" spans="1:17" x14ac:dyDescent="0.2">
      <c r="A84" s="74">
        <f t="shared" si="1"/>
        <v>0</v>
      </c>
      <c r="B84" s="172"/>
      <c r="D84" s="174"/>
      <c r="E84" s="174"/>
      <c r="G84" s="174"/>
      <c r="H84" s="174"/>
      <c r="J84" s="174"/>
      <c r="K84" s="174"/>
      <c r="M84" s="174"/>
      <c r="N84" s="174"/>
      <c r="P84" s="174"/>
      <c r="Q84" s="174"/>
    </row>
    <row r="85" spans="1:17" x14ac:dyDescent="0.2">
      <c r="A85" s="74">
        <f t="shared" si="1"/>
        <v>0</v>
      </c>
      <c r="B85" s="172"/>
      <c r="D85" s="174"/>
      <c r="E85" s="174"/>
      <c r="G85" s="174"/>
      <c r="H85" s="174"/>
      <c r="J85" s="174"/>
      <c r="K85" s="174"/>
      <c r="M85" s="174"/>
      <c r="N85" s="174"/>
      <c r="P85" s="174"/>
      <c r="Q85" s="174"/>
    </row>
    <row r="86" spans="1:17" x14ac:dyDescent="0.2">
      <c r="A86" s="74">
        <f t="shared" si="1"/>
        <v>0</v>
      </c>
      <c r="B86" s="172"/>
      <c r="D86" s="174"/>
      <c r="E86" s="174"/>
      <c r="G86" s="174"/>
      <c r="H86" s="174"/>
      <c r="J86" s="174"/>
      <c r="K86" s="174"/>
      <c r="M86" s="174"/>
      <c r="N86" s="174"/>
      <c r="P86" s="174"/>
      <c r="Q86" s="174"/>
    </row>
    <row r="87" spans="1:17" x14ac:dyDescent="0.2">
      <c r="A87" s="74">
        <f t="shared" si="1"/>
        <v>0</v>
      </c>
      <c r="B87" s="172"/>
      <c r="D87" s="174"/>
      <c r="E87" s="174"/>
      <c r="G87" s="174"/>
      <c r="H87" s="174"/>
      <c r="J87" s="174"/>
      <c r="K87" s="174"/>
      <c r="M87" s="174"/>
      <c r="N87" s="174"/>
      <c r="P87" s="174"/>
      <c r="Q87" s="174"/>
    </row>
    <row r="88" spans="1:17" x14ac:dyDescent="0.2">
      <c r="A88" s="74">
        <f t="shared" si="1"/>
        <v>0</v>
      </c>
      <c r="B88" s="172"/>
      <c r="D88" s="174"/>
      <c r="E88" s="174"/>
      <c r="G88" s="174"/>
      <c r="H88" s="174"/>
      <c r="J88" s="174"/>
      <c r="K88" s="174"/>
      <c r="M88" s="174"/>
      <c r="N88" s="174"/>
      <c r="P88" s="174"/>
      <c r="Q88" s="174"/>
    </row>
    <row r="89" spans="1:17" x14ac:dyDescent="0.2">
      <c r="A89" s="74">
        <f t="shared" si="1"/>
        <v>0</v>
      </c>
      <c r="B89" s="172"/>
      <c r="D89" s="174"/>
      <c r="E89" s="174"/>
      <c r="G89" s="174"/>
      <c r="H89" s="174"/>
      <c r="J89" s="174"/>
      <c r="K89" s="174"/>
      <c r="M89" s="174"/>
      <c r="N89" s="174"/>
      <c r="P89" s="174"/>
      <c r="Q89" s="174"/>
    </row>
    <row r="90" spans="1:17" x14ac:dyDescent="0.2">
      <c r="A90" s="74">
        <f t="shared" si="1"/>
        <v>0</v>
      </c>
      <c r="B90" s="172"/>
      <c r="D90" s="174"/>
      <c r="E90" s="174"/>
      <c r="G90" s="174"/>
      <c r="H90" s="174"/>
      <c r="J90" s="174"/>
      <c r="K90" s="174"/>
      <c r="M90" s="174"/>
      <c r="N90" s="174"/>
      <c r="P90" s="174"/>
      <c r="Q90" s="174"/>
    </row>
    <row r="91" spans="1:17" x14ac:dyDescent="0.2">
      <c r="A91" s="74">
        <f t="shared" si="1"/>
        <v>0</v>
      </c>
      <c r="B91" s="172"/>
      <c r="D91" s="174"/>
      <c r="E91" s="174"/>
      <c r="G91" s="174"/>
      <c r="H91" s="174"/>
      <c r="J91" s="174"/>
      <c r="K91" s="174"/>
      <c r="M91" s="174"/>
      <c r="N91" s="174"/>
      <c r="P91" s="174"/>
      <c r="Q91" s="174"/>
    </row>
    <row r="92" spans="1:17" x14ac:dyDescent="0.2">
      <c r="A92" s="74">
        <f t="shared" si="1"/>
        <v>0</v>
      </c>
      <c r="B92" s="172"/>
      <c r="D92" s="174"/>
      <c r="E92" s="174"/>
      <c r="G92" s="174"/>
      <c r="H92" s="174"/>
      <c r="J92" s="174"/>
      <c r="K92" s="174"/>
      <c r="M92" s="174"/>
      <c r="N92" s="174"/>
      <c r="P92" s="174"/>
      <c r="Q92" s="174"/>
    </row>
    <row r="93" spans="1:17" x14ac:dyDescent="0.2">
      <c r="A93" s="74">
        <f t="shared" si="1"/>
        <v>0</v>
      </c>
      <c r="B93" s="172"/>
      <c r="D93" s="174"/>
      <c r="E93" s="174"/>
      <c r="G93" s="174"/>
      <c r="H93" s="174"/>
      <c r="J93" s="174"/>
      <c r="K93" s="174"/>
      <c r="M93" s="174"/>
      <c r="N93" s="174"/>
      <c r="P93" s="174"/>
      <c r="Q93" s="174"/>
    </row>
    <row r="94" spans="1:17" x14ac:dyDescent="0.2">
      <c r="A94" s="74">
        <f t="shared" si="1"/>
        <v>0</v>
      </c>
      <c r="B94" s="172"/>
      <c r="D94" s="174"/>
      <c r="E94" s="174"/>
      <c r="G94" s="174"/>
      <c r="H94" s="174"/>
      <c r="J94" s="174"/>
      <c r="K94" s="174"/>
      <c r="M94" s="174"/>
      <c r="N94" s="174"/>
      <c r="P94" s="174"/>
      <c r="Q94" s="174"/>
    </row>
    <row r="95" spans="1:17" x14ac:dyDescent="0.2">
      <c r="A95" s="74">
        <f t="shared" si="1"/>
        <v>0</v>
      </c>
      <c r="B95" s="172"/>
      <c r="D95" s="174"/>
      <c r="E95" s="174"/>
      <c r="G95" s="174"/>
      <c r="H95" s="174"/>
      <c r="J95" s="174"/>
      <c r="K95" s="174"/>
      <c r="M95" s="174"/>
      <c r="N95" s="174"/>
      <c r="P95" s="174"/>
      <c r="Q95" s="174"/>
    </row>
    <row r="96" spans="1:17" x14ac:dyDescent="0.2">
      <c r="A96" s="74">
        <f t="shared" si="1"/>
        <v>0</v>
      </c>
      <c r="B96" s="172"/>
      <c r="D96" s="174"/>
      <c r="E96" s="174"/>
      <c r="G96" s="174"/>
      <c r="H96" s="174"/>
      <c r="J96" s="174"/>
      <c r="K96" s="174"/>
      <c r="M96" s="174"/>
      <c r="N96" s="174"/>
      <c r="P96" s="174"/>
      <c r="Q96" s="174"/>
    </row>
    <row r="97" spans="1:17" x14ac:dyDescent="0.2">
      <c r="A97" s="74">
        <f t="shared" si="1"/>
        <v>0</v>
      </c>
      <c r="B97" s="172"/>
      <c r="D97" s="174"/>
      <c r="E97" s="174"/>
      <c r="G97" s="174"/>
      <c r="H97" s="174"/>
      <c r="J97" s="174"/>
      <c r="K97" s="174"/>
      <c r="M97" s="174"/>
      <c r="N97" s="174"/>
      <c r="P97" s="174"/>
      <c r="Q97" s="174"/>
    </row>
    <row r="98" spans="1:17" x14ac:dyDescent="0.2">
      <c r="A98" s="74">
        <f t="shared" si="1"/>
        <v>0</v>
      </c>
      <c r="B98" s="172"/>
      <c r="D98" s="174"/>
      <c r="E98" s="174"/>
      <c r="G98" s="174"/>
      <c r="H98" s="174"/>
      <c r="J98" s="174"/>
      <c r="K98" s="174"/>
      <c r="M98" s="174"/>
      <c r="N98" s="174"/>
      <c r="P98" s="174"/>
      <c r="Q98" s="174"/>
    </row>
    <row r="99" spans="1:17" x14ac:dyDescent="0.2">
      <c r="A99" s="74">
        <f t="shared" si="1"/>
        <v>0</v>
      </c>
      <c r="B99" s="172"/>
      <c r="D99" s="174"/>
      <c r="E99" s="174"/>
      <c r="G99" s="174"/>
      <c r="H99" s="174"/>
      <c r="J99" s="174"/>
      <c r="K99" s="174"/>
      <c r="M99" s="174"/>
      <c r="N99" s="174"/>
      <c r="P99" s="174"/>
      <c r="Q99" s="174"/>
    </row>
    <row r="100" spans="1:17" x14ac:dyDescent="0.2">
      <c r="A100" s="74">
        <f t="shared" si="1"/>
        <v>0</v>
      </c>
      <c r="B100" s="172"/>
      <c r="D100" s="174"/>
      <c r="E100" s="174"/>
      <c r="G100" s="174"/>
      <c r="H100" s="174"/>
      <c r="J100" s="174"/>
      <c r="K100" s="174"/>
      <c r="M100" s="174"/>
      <c r="N100" s="174"/>
      <c r="P100" s="174"/>
      <c r="Q100" s="174"/>
    </row>
    <row r="101" spans="1:17" x14ac:dyDescent="0.2">
      <c r="A101" s="74">
        <f t="shared" si="1"/>
        <v>0</v>
      </c>
      <c r="B101" s="172"/>
      <c r="D101" s="174"/>
      <c r="E101" s="174"/>
      <c r="G101" s="174"/>
      <c r="H101" s="174"/>
      <c r="J101" s="174"/>
      <c r="K101" s="174"/>
      <c r="M101" s="174"/>
      <c r="N101" s="174"/>
      <c r="P101" s="174"/>
      <c r="Q101" s="174"/>
    </row>
    <row r="102" spans="1:17" x14ac:dyDescent="0.2">
      <c r="A102" s="74">
        <f t="shared" si="1"/>
        <v>0</v>
      </c>
      <c r="B102" s="172"/>
      <c r="D102" s="174"/>
      <c r="E102" s="174"/>
      <c r="G102" s="174"/>
      <c r="H102" s="174"/>
      <c r="J102" s="174"/>
      <c r="K102" s="174"/>
      <c r="M102" s="174"/>
      <c r="N102" s="174"/>
      <c r="P102" s="174"/>
      <c r="Q102" s="174"/>
    </row>
    <row r="103" spans="1:17" x14ac:dyDescent="0.2">
      <c r="A103" s="74">
        <f t="shared" si="1"/>
        <v>0</v>
      </c>
      <c r="B103" s="172"/>
      <c r="D103" s="174"/>
      <c r="E103" s="174"/>
      <c r="G103" s="174"/>
      <c r="H103" s="174"/>
      <c r="J103" s="174"/>
      <c r="K103" s="174"/>
      <c r="M103" s="174"/>
      <c r="N103" s="174"/>
      <c r="P103" s="174"/>
      <c r="Q103" s="174"/>
    </row>
    <row r="104" spans="1:17" x14ac:dyDescent="0.2">
      <c r="A104" s="74">
        <f t="shared" si="1"/>
        <v>0</v>
      </c>
      <c r="B104" s="172"/>
      <c r="D104" s="174"/>
      <c r="E104" s="174"/>
      <c r="G104" s="174"/>
      <c r="H104" s="174"/>
      <c r="J104" s="174"/>
      <c r="K104" s="174"/>
      <c r="M104" s="174"/>
      <c r="N104" s="174"/>
      <c r="P104" s="174"/>
      <c r="Q104" s="174"/>
    </row>
    <row r="105" spans="1:17" x14ac:dyDescent="0.2">
      <c r="A105" s="74">
        <f t="shared" si="1"/>
        <v>0</v>
      </c>
      <c r="B105" s="172"/>
      <c r="D105" s="174"/>
      <c r="E105" s="174"/>
      <c r="G105" s="174"/>
      <c r="H105" s="174"/>
      <c r="J105" s="174"/>
      <c r="K105" s="174"/>
      <c r="M105" s="174"/>
      <c r="N105" s="174"/>
      <c r="P105" s="174"/>
      <c r="Q105" s="174"/>
    </row>
    <row r="106" spans="1:17" x14ac:dyDescent="0.2">
      <c r="A106" s="74">
        <f t="shared" si="1"/>
        <v>0</v>
      </c>
      <c r="B106" s="172"/>
      <c r="D106" s="174"/>
      <c r="E106" s="174"/>
      <c r="G106" s="174"/>
      <c r="H106" s="174"/>
      <c r="J106" s="174"/>
      <c r="K106" s="174"/>
      <c r="M106" s="174"/>
      <c r="N106" s="174"/>
      <c r="P106" s="174"/>
      <c r="Q106" s="174"/>
    </row>
    <row r="107" spans="1:17" x14ac:dyDescent="0.2">
      <c r="A107" s="74">
        <f t="shared" si="1"/>
        <v>0</v>
      </c>
      <c r="B107" s="172"/>
      <c r="D107" s="174"/>
      <c r="E107" s="174"/>
      <c r="G107" s="174"/>
      <c r="H107" s="174"/>
      <c r="J107" s="174"/>
      <c r="K107" s="174"/>
      <c r="M107" s="174"/>
      <c r="N107" s="174"/>
      <c r="P107" s="174"/>
      <c r="Q107" s="174"/>
    </row>
    <row r="108" spans="1:17" x14ac:dyDescent="0.2">
      <c r="A108" s="74">
        <f t="shared" si="1"/>
        <v>0</v>
      </c>
      <c r="B108" s="172"/>
      <c r="D108" s="174"/>
      <c r="E108" s="174"/>
      <c r="G108" s="174"/>
      <c r="H108" s="174"/>
      <c r="J108" s="174"/>
      <c r="K108" s="174"/>
      <c r="M108" s="174"/>
      <c r="N108" s="174"/>
      <c r="P108" s="174"/>
      <c r="Q108" s="174"/>
    </row>
    <row r="109" spans="1:17" x14ac:dyDescent="0.2">
      <c r="A109" s="74">
        <f t="shared" si="1"/>
        <v>0</v>
      </c>
      <c r="B109" s="172"/>
      <c r="D109" s="174"/>
      <c r="E109" s="174"/>
      <c r="G109" s="174"/>
      <c r="H109" s="174"/>
      <c r="J109" s="174"/>
      <c r="K109" s="174"/>
      <c r="M109" s="174"/>
      <c r="N109" s="174"/>
      <c r="P109" s="174"/>
      <c r="Q109" s="174"/>
    </row>
    <row r="110" spans="1:17" x14ac:dyDescent="0.2">
      <c r="A110" s="74">
        <f t="shared" si="1"/>
        <v>0</v>
      </c>
      <c r="B110" s="172"/>
      <c r="D110" s="174"/>
      <c r="E110" s="174"/>
      <c r="G110" s="174"/>
      <c r="H110" s="174"/>
      <c r="J110" s="174"/>
      <c r="K110" s="174"/>
      <c r="M110" s="174"/>
      <c r="N110" s="174"/>
      <c r="P110" s="174"/>
      <c r="Q110" s="174"/>
    </row>
    <row r="111" spans="1:17" x14ac:dyDescent="0.2">
      <c r="A111" s="74">
        <f t="shared" si="1"/>
        <v>0</v>
      </c>
      <c r="B111" s="172"/>
      <c r="D111" s="174"/>
      <c r="E111" s="174"/>
      <c r="G111" s="174"/>
      <c r="H111" s="174"/>
      <c r="J111" s="174"/>
      <c r="K111" s="174"/>
      <c r="M111" s="174"/>
      <c r="N111" s="174"/>
      <c r="P111" s="174"/>
      <c r="Q111" s="174"/>
    </row>
  </sheetData>
  <sheetProtection algorithmName="SHA-512" hashValue="VoqeL0+t4Ru1Suo3v4E5NNVXce7IoIBg2a/de972TP0lmaA7xnf4t53lgCnGYhVjIp918N9LZuqsG75oqODQ1w==" saltValue="c1UBmvXiv5+k0PYy3S56vQ=="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37" priority="4">
      <formula>IF($B12="",FALSE, TRUE)</formula>
    </cfRule>
  </conditionalFormatting>
  <conditionalFormatting sqref="E12:E111 H12:H111 K12:K111 N12:N111 Q12:Q111">
    <cfRule type="expression" dxfId="36"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4.25" x14ac:dyDescent="0.2"/>
  <cols>
    <col min="1" max="1" width="2.75" style="72" customWidth="1"/>
    <col min="2" max="2" width="19.75" style="72" customWidth="1"/>
    <col min="3" max="5" width="30.625" style="72" customWidth="1"/>
    <col min="6" max="6" width="9.75" style="72" customWidth="1"/>
    <col min="7" max="7" width="15.25" style="72" customWidth="1"/>
    <col min="8" max="8" width="9" style="72"/>
    <col min="9" max="9" width="10" style="72" customWidth="1"/>
    <col min="10" max="16384" width="9" style="72"/>
  </cols>
  <sheetData>
    <row r="1" spans="1:11" ht="15" x14ac:dyDescent="0.25">
      <c r="B1" s="432" t="s">
        <v>473</v>
      </c>
      <c r="C1" s="432"/>
      <c r="D1" s="432"/>
    </row>
    <row r="2" spans="1:11" ht="14.25" customHeight="1" x14ac:dyDescent="0.2"/>
    <row r="3" spans="1:11" ht="15" x14ac:dyDescent="0.25">
      <c r="B3" s="56" t="s">
        <v>479</v>
      </c>
    </row>
    <row r="4" spans="1:11" x14ac:dyDescent="0.2">
      <c r="B4" s="140" t="s">
        <v>480</v>
      </c>
    </row>
    <row r="5" spans="1:11" hidden="1" x14ac:dyDescent="0.2"/>
    <row r="6" spans="1:11" ht="15" hidden="1" customHeight="1" x14ac:dyDescent="0.2">
      <c r="A6" s="77"/>
      <c r="B6" s="78"/>
      <c r="C6" s="78"/>
      <c r="D6" s="78"/>
      <c r="E6" s="78"/>
      <c r="F6" s="78"/>
      <c r="G6" s="78"/>
      <c r="H6" s="78"/>
      <c r="I6" s="78"/>
      <c r="J6" s="78"/>
      <c r="K6" s="78"/>
    </row>
    <row r="7" spans="1:11" ht="14.25" hidden="1" customHeight="1" x14ac:dyDescent="0.2">
      <c r="A7" s="77"/>
      <c r="B7" s="78"/>
      <c r="C7" s="78"/>
      <c r="D7" s="78"/>
      <c r="E7" s="78"/>
      <c r="F7" s="78"/>
      <c r="G7" s="78"/>
      <c r="H7" s="78"/>
      <c r="I7" s="78"/>
      <c r="J7" s="78"/>
      <c r="K7" s="78"/>
    </row>
    <row r="8" spans="1:11" x14ac:dyDescent="0.2">
      <c r="B8" s="78"/>
      <c r="C8" s="78"/>
      <c r="D8" s="78"/>
      <c r="E8" s="78"/>
      <c r="F8" s="78"/>
      <c r="G8" s="78"/>
      <c r="H8" s="78"/>
      <c r="I8" s="78"/>
      <c r="J8" s="78"/>
      <c r="K8" s="78"/>
    </row>
    <row r="9" spans="1:11" ht="15" x14ac:dyDescent="0.25">
      <c r="B9" s="56" t="s">
        <v>434</v>
      </c>
    </row>
    <row r="11" spans="1:11" ht="42.75" x14ac:dyDescent="0.2">
      <c r="B11" s="120" t="s">
        <v>252</v>
      </c>
      <c r="C11" s="120" t="s">
        <v>452</v>
      </c>
      <c r="D11" s="120" t="s">
        <v>453</v>
      </c>
      <c r="E11" s="120" t="s">
        <v>454</v>
      </c>
      <c r="F11" s="121" t="s">
        <v>295</v>
      </c>
      <c r="G11" s="121" t="s">
        <v>465</v>
      </c>
      <c r="H11" s="121" t="s">
        <v>460</v>
      </c>
      <c r="I11" s="121" t="s">
        <v>878</v>
      </c>
      <c r="J11" s="121" t="s">
        <v>294</v>
      </c>
    </row>
    <row r="12" spans="1:11" x14ac:dyDescent="0.2">
      <c r="B12" s="218" t="str">
        <f>IF(Capacity!B17=0,"",Capacity!B17)</f>
        <v>Core Clinic 1</v>
      </c>
      <c r="C12" s="132" t="s">
        <v>1258</v>
      </c>
      <c r="D12" s="132"/>
      <c r="E12" s="132"/>
      <c r="F12" s="215">
        <f>IF(ROW(A1)&lt;=Capacity!$A$16,Capacity!E17,"")</f>
        <v>30</v>
      </c>
      <c r="G12" s="216">
        <f ca="1">IF(ROW(A1)&lt;=Capacity!$A$16,'Capacity calculation (hide)'!BH5,"")</f>
        <v>42</v>
      </c>
      <c r="H12" s="215">
        <f>IF(ROW(A1)&lt;=Capacity!$A$16,Capacity!H17,"")</f>
        <v>270</v>
      </c>
      <c r="I12" s="217">
        <f ca="1">IF(ROW(A1)&lt;=Capacity!$A$16,'Capacity calculation (hide)'!DL5,"")</f>
        <v>269.99999999999983</v>
      </c>
      <c r="J12" s="218" t="str">
        <f ca="1">IFERROR(IF(G12-F12 &lt;0, "Under","Over"),"")</f>
        <v>Over</v>
      </c>
    </row>
    <row r="13" spans="1:11" x14ac:dyDescent="0.2">
      <c r="B13" s="218" t="str">
        <f>IF(Capacity!B18=0,"",Capacity!B18)</f>
        <v>Core Clinic 2</v>
      </c>
      <c r="C13" s="132" t="s">
        <v>1258</v>
      </c>
      <c r="D13" s="132" t="s">
        <v>1259</v>
      </c>
      <c r="E13" s="132"/>
      <c r="F13" s="215">
        <f>IF(ROW(A2)&lt;=Capacity!$A$16,Capacity!E18,"")</f>
        <v>30</v>
      </c>
      <c r="G13" s="216">
        <f ca="1">IF(ROW(A2)&lt;=Capacity!$A$16,'Capacity calculation (hide)'!BH6,"")</f>
        <v>37</v>
      </c>
      <c r="H13" s="215">
        <f>IF(ROW(A2)&lt;=Capacity!$A$16,Capacity!H18,"")</f>
        <v>270</v>
      </c>
      <c r="I13" s="217">
        <f ca="1">IF(ROW(A2)&lt;=Capacity!$A$16,'Capacity calculation (hide)'!DL6,"")</f>
        <v>269.99999999999983</v>
      </c>
      <c r="J13" s="218" t="str">
        <f t="shared" ref="J13:J76" ca="1" si="0">IFERROR(IF(G13-F13 &lt;0, "Under","Over"),"")</f>
        <v>Over</v>
      </c>
    </row>
    <row r="14" spans="1:11" x14ac:dyDescent="0.2">
      <c r="B14" s="218" t="str">
        <f>IF(Capacity!B19=0,"",Capacity!B19)</f>
        <v>Core Clinic 3</v>
      </c>
      <c r="C14" s="132" t="s">
        <v>1259</v>
      </c>
      <c r="D14" s="132" t="s">
        <v>1260</v>
      </c>
      <c r="E14" s="132"/>
      <c r="F14" s="215">
        <f>IF(ROW(A3)&lt;=Capacity!$A$16,Capacity!E19,"")</f>
        <v>21</v>
      </c>
      <c r="G14" s="216">
        <f ca="1">IF(ROW(A3)&lt;=Capacity!$A$16,'Capacity calculation (hide)'!BH7,"")</f>
        <v>41</v>
      </c>
      <c r="H14" s="215">
        <f>IF(ROW(A3)&lt;=Capacity!$A$16,Capacity!H19,"")</f>
        <v>126</v>
      </c>
      <c r="I14" s="217">
        <f ca="1">IF(ROW(A3)&lt;=Capacity!$A$16,'Capacity calculation (hide)'!DL7,"")</f>
        <v>126.00000000000007</v>
      </c>
      <c r="J14" s="218" t="str">
        <f t="shared" ca="1" si="0"/>
        <v>Over</v>
      </c>
    </row>
    <row r="15" spans="1:11" x14ac:dyDescent="0.2">
      <c r="B15" s="218" t="str">
        <f>IF(Capacity!B20=0,"",Capacity!B20)</f>
        <v>Core Clinic 4</v>
      </c>
      <c r="C15" s="132" t="s">
        <v>1260</v>
      </c>
      <c r="D15" s="132"/>
      <c r="E15" s="132"/>
      <c r="F15" s="215">
        <f>IF(ROW(A4)&lt;=Capacity!$A$16,Capacity!E20,"")</f>
        <v>12</v>
      </c>
      <c r="G15" s="216">
        <f ca="1">IF(ROW(A4)&lt;=Capacity!$A$16,'Capacity calculation (hide)'!BH8,"")</f>
        <v>46</v>
      </c>
      <c r="H15" s="215">
        <f>IF(ROW(A4)&lt;=Capacity!$A$16,Capacity!H20,"")</f>
        <v>72</v>
      </c>
      <c r="I15" s="217">
        <f ca="1">IF(ROW(A4)&lt;=Capacity!$A$16,'Capacity calculation (hide)'!DL8,"")</f>
        <v>72.000000000000043</v>
      </c>
      <c r="J15" s="218" t="str">
        <f t="shared" ca="1" si="0"/>
        <v>Over</v>
      </c>
    </row>
    <row r="16" spans="1:11" x14ac:dyDescent="0.2">
      <c r="B16" s="218" t="str">
        <f>IF(Capacity!B21=0,"",Capacity!B21)</f>
        <v/>
      </c>
      <c r="C16" s="132"/>
      <c r="D16" s="132"/>
      <c r="E16" s="132"/>
      <c r="F16" s="215" t="str">
        <f>IF(ROW(A5)&lt;=Capacity!$A$16,Capacity!E21,"")</f>
        <v/>
      </c>
      <c r="G16" s="216" t="str">
        <f>IF(ROW(A5)&lt;=Capacity!$A$16,'Capacity calculation (hide)'!BH9,"")</f>
        <v/>
      </c>
      <c r="H16" s="215" t="str">
        <f>IF(ROW(A5)&lt;=Capacity!$A$16,Capacity!H21,"")</f>
        <v/>
      </c>
      <c r="I16" s="217" t="str">
        <f>IF(ROW(A5)&lt;=Capacity!$A$16,'Capacity calculation (hide)'!DL9,"")</f>
        <v/>
      </c>
      <c r="J16" s="218" t="str">
        <f t="shared" si="0"/>
        <v/>
      </c>
    </row>
    <row r="17" spans="2:10" x14ac:dyDescent="0.2">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(hide)'!DL10,"")</f>
        <v/>
      </c>
      <c r="J17" s="218" t="str">
        <f t="shared" si="0"/>
        <v/>
      </c>
    </row>
    <row r="18" spans="2:10" x14ac:dyDescent="0.2">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(hide)'!DL11,"")</f>
        <v/>
      </c>
      <c r="J18" s="218" t="str">
        <f t="shared" si="0"/>
        <v/>
      </c>
    </row>
    <row r="19" spans="2:10" x14ac:dyDescent="0.2">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(hide)'!DL12,"")</f>
        <v/>
      </c>
      <c r="J19" s="218" t="str">
        <f t="shared" si="0"/>
        <v/>
      </c>
    </row>
    <row r="20" spans="2:10" x14ac:dyDescent="0.2">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(hide)'!DL13,"")</f>
        <v/>
      </c>
      <c r="J20" s="218" t="str">
        <f t="shared" si="0"/>
        <v/>
      </c>
    </row>
    <row r="21" spans="2:10" x14ac:dyDescent="0.2">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(hide)'!DL14,"")</f>
        <v/>
      </c>
      <c r="J21" s="218" t="str">
        <f t="shared" si="0"/>
        <v/>
      </c>
    </row>
    <row r="22" spans="2:10" x14ac:dyDescent="0.2">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(hide)'!DL15,"")</f>
        <v/>
      </c>
      <c r="J22" s="218" t="str">
        <f t="shared" si="0"/>
        <v/>
      </c>
    </row>
    <row r="23" spans="2:10" x14ac:dyDescent="0.2">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(hide)'!DL16,"")</f>
        <v/>
      </c>
      <c r="J23" s="218" t="str">
        <f t="shared" si="0"/>
        <v/>
      </c>
    </row>
    <row r="24" spans="2:10" x14ac:dyDescent="0.2">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(hide)'!DL17,"")</f>
        <v/>
      </c>
      <c r="J24" s="218" t="str">
        <f t="shared" si="0"/>
        <v/>
      </c>
    </row>
    <row r="25" spans="2:10" x14ac:dyDescent="0.2">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(hide)'!DL18,"")</f>
        <v/>
      </c>
      <c r="J25" s="218" t="str">
        <f t="shared" si="0"/>
        <v/>
      </c>
    </row>
    <row r="26" spans="2:10" x14ac:dyDescent="0.2">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(hide)'!DL19,"")</f>
        <v/>
      </c>
      <c r="J26" s="218" t="str">
        <f t="shared" si="0"/>
        <v/>
      </c>
    </row>
    <row r="27" spans="2:10" x14ac:dyDescent="0.2">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(hide)'!DL20,"")</f>
        <v/>
      </c>
      <c r="J27" s="218" t="str">
        <f t="shared" si="0"/>
        <v/>
      </c>
    </row>
    <row r="28" spans="2:10" x14ac:dyDescent="0.2">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(hide)'!DL21,"")</f>
        <v/>
      </c>
      <c r="J28" s="218" t="str">
        <f t="shared" si="0"/>
        <v/>
      </c>
    </row>
    <row r="29" spans="2:10" x14ac:dyDescent="0.2">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(hide)'!DL22,"")</f>
        <v/>
      </c>
      <c r="J29" s="218" t="str">
        <f t="shared" si="0"/>
        <v/>
      </c>
    </row>
    <row r="30" spans="2:10" x14ac:dyDescent="0.2">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(hide)'!DL23,"")</f>
        <v/>
      </c>
      <c r="J30" s="218" t="str">
        <f t="shared" si="0"/>
        <v/>
      </c>
    </row>
    <row r="31" spans="2:10" x14ac:dyDescent="0.2">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(hide)'!DL24,"")</f>
        <v/>
      </c>
      <c r="J31" s="218" t="str">
        <f t="shared" si="0"/>
        <v/>
      </c>
    </row>
    <row r="32" spans="2:10" x14ac:dyDescent="0.2">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(hide)'!DL25,"")</f>
        <v/>
      </c>
      <c r="J32" s="218" t="str">
        <f t="shared" si="0"/>
        <v/>
      </c>
    </row>
    <row r="33" spans="2:10" x14ac:dyDescent="0.2">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(hide)'!DL26,"")</f>
        <v/>
      </c>
      <c r="J33" s="218" t="str">
        <f t="shared" si="0"/>
        <v/>
      </c>
    </row>
    <row r="34" spans="2:10" x14ac:dyDescent="0.2">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(hide)'!DL27,"")</f>
        <v/>
      </c>
      <c r="J34" s="218" t="str">
        <f t="shared" si="0"/>
        <v/>
      </c>
    </row>
    <row r="35" spans="2:10" x14ac:dyDescent="0.2">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(hide)'!DL28,"")</f>
        <v/>
      </c>
      <c r="J35" s="218" t="str">
        <f t="shared" si="0"/>
        <v/>
      </c>
    </row>
    <row r="36" spans="2:10" x14ac:dyDescent="0.2">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(hide)'!DL29,"")</f>
        <v/>
      </c>
      <c r="J36" s="218" t="str">
        <f t="shared" si="0"/>
        <v/>
      </c>
    </row>
    <row r="37" spans="2:10" x14ac:dyDescent="0.2">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(hide)'!DL30,"")</f>
        <v/>
      </c>
      <c r="J37" s="218" t="str">
        <f t="shared" si="0"/>
        <v/>
      </c>
    </row>
    <row r="38" spans="2:10" x14ac:dyDescent="0.2">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(hide)'!DL31,"")</f>
        <v/>
      </c>
      <c r="J38" s="218" t="str">
        <f t="shared" si="0"/>
        <v/>
      </c>
    </row>
    <row r="39" spans="2:10" x14ac:dyDescent="0.2">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(hide)'!DL32,"")</f>
        <v/>
      </c>
      <c r="J39" s="218" t="str">
        <f t="shared" si="0"/>
        <v/>
      </c>
    </row>
    <row r="40" spans="2:10" x14ac:dyDescent="0.2">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(hide)'!DL33,"")</f>
        <v/>
      </c>
      <c r="J40" s="218" t="str">
        <f t="shared" si="0"/>
        <v/>
      </c>
    </row>
    <row r="41" spans="2:10" x14ac:dyDescent="0.2">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(hide)'!DL34,"")</f>
        <v/>
      </c>
      <c r="J41" s="218" t="str">
        <f t="shared" si="0"/>
        <v/>
      </c>
    </row>
    <row r="42" spans="2:10" x14ac:dyDescent="0.2">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(hide)'!DL35,"")</f>
        <v/>
      </c>
      <c r="J42" s="218" t="str">
        <f t="shared" si="0"/>
        <v/>
      </c>
    </row>
    <row r="43" spans="2:10" x14ac:dyDescent="0.2">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(hide)'!DL36,"")</f>
        <v/>
      </c>
      <c r="J43" s="218" t="str">
        <f t="shared" si="0"/>
        <v/>
      </c>
    </row>
    <row r="44" spans="2:10" x14ac:dyDescent="0.2">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(hide)'!DL37,"")</f>
        <v/>
      </c>
      <c r="J44" s="218" t="str">
        <f t="shared" si="0"/>
        <v/>
      </c>
    </row>
    <row r="45" spans="2:10" x14ac:dyDescent="0.2">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(hide)'!DL38,"")</f>
        <v/>
      </c>
      <c r="J45" s="218" t="str">
        <f t="shared" si="0"/>
        <v/>
      </c>
    </row>
    <row r="46" spans="2:10" x14ac:dyDescent="0.2">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(hide)'!DL39,"")</f>
        <v/>
      </c>
      <c r="J46" s="218" t="str">
        <f t="shared" si="0"/>
        <v/>
      </c>
    </row>
    <row r="47" spans="2:10" x14ac:dyDescent="0.2">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(hide)'!DL40,"")</f>
        <v/>
      </c>
      <c r="J47" s="218" t="str">
        <f t="shared" si="0"/>
        <v/>
      </c>
    </row>
    <row r="48" spans="2:10" x14ac:dyDescent="0.2">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(hide)'!DL41,"")</f>
        <v/>
      </c>
      <c r="J48" s="218" t="str">
        <f t="shared" si="0"/>
        <v/>
      </c>
    </row>
    <row r="49" spans="2:10" x14ac:dyDescent="0.2">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(hide)'!DL42,"")</f>
        <v/>
      </c>
      <c r="J49" s="218" t="str">
        <f t="shared" si="0"/>
        <v/>
      </c>
    </row>
    <row r="50" spans="2:10" x14ac:dyDescent="0.2">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(hide)'!DL43,"")</f>
        <v/>
      </c>
      <c r="J50" s="218" t="str">
        <f t="shared" si="0"/>
        <v/>
      </c>
    </row>
    <row r="51" spans="2:10" x14ac:dyDescent="0.2">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(hide)'!DL44,"")</f>
        <v/>
      </c>
      <c r="J51" s="218" t="str">
        <f t="shared" si="0"/>
        <v/>
      </c>
    </row>
    <row r="52" spans="2:10" x14ac:dyDescent="0.2">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(hide)'!DL45,"")</f>
        <v/>
      </c>
      <c r="J52" s="218" t="str">
        <f t="shared" si="0"/>
        <v/>
      </c>
    </row>
    <row r="53" spans="2:10" x14ac:dyDescent="0.2">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(hide)'!DL46,"")</f>
        <v/>
      </c>
      <c r="J53" s="218" t="str">
        <f t="shared" si="0"/>
        <v/>
      </c>
    </row>
    <row r="54" spans="2:10" x14ac:dyDescent="0.2">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(hide)'!DL47,"")</f>
        <v/>
      </c>
      <c r="J54" s="218" t="str">
        <f t="shared" si="0"/>
        <v/>
      </c>
    </row>
    <row r="55" spans="2:10" x14ac:dyDescent="0.2">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(hide)'!DL48,"")</f>
        <v/>
      </c>
      <c r="J55" s="218" t="str">
        <f t="shared" si="0"/>
        <v/>
      </c>
    </row>
    <row r="56" spans="2:10" x14ac:dyDescent="0.2">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(hide)'!DL49,"")</f>
        <v/>
      </c>
      <c r="J56" s="218" t="str">
        <f t="shared" si="0"/>
        <v/>
      </c>
    </row>
    <row r="57" spans="2:10" x14ac:dyDescent="0.2">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(hide)'!DL50,"")</f>
        <v/>
      </c>
      <c r="J57" s="218" t="str">
        <f t="shared" si="0"/>
        <v/>
      </c>
    </row>
    <row r="58" spans="2:10" x14ac:dyDescent="0.2">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(hide)'!DL51,"")</f>
        <v/>
      </c>
      <c r="J58" s="218" t="str">
        <f t="shared" si="0"/>
        <v/>
      </c>
    </row>
    <row r="59" spans="2:10" x14ac:dyDescent="0.2">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(hide)'!DL52,"")</f>
        <v/>
      </c>
      <c r="J59" s="218" t="str">
        <f t="shared" si="0"/>
        <v/>
      </c>
    </row>
    <row r="60" spans="2:10" x14ac:dyDescent="0.2">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(hide)'!DL53,"")</f>
        <v/>
      </c>
      <c r="J60" s="218" t="str">
        <f t="shared" si="0"/>
        <v/>
      </c>
    </row>
    <row r="61" spans="2:10" x14ac:dyDescent="0.2">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(hide)'!DL54,"")</f>
        <v/>
      </c>
      <c r="J61" s="218" t="str">
        <f t="shared" si="0"/>
        <v/>
      </c>
    </row>
    <row r="62" spans="2:10" x14ac:dyDescent="0.2">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(hide)'!DL55,"")</f>
        <v/>
      </c>
      <c r="J62" s="218" t="str">
        <f t="shared" si="0"/>
        <v/>
      </c>
    </row>
    <row r="63" spans="2:10" x14ac:dyDescent="0.2">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(hide)'!DL56,"")</f>
        <v/>
      </c>
      <c r="J63" s="218" t="str">
        <f t="shared" si="0"/>
        <v/>
      </c>
    </row>
    <row r="64" spans="2:10" x14ac:dyDescent="0.2">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(hide)'!DL57,"")</f>
        <v/>
      </c>
      <c r="J64" s="218" t="str">
        <f t="shared" si="0"/>
        <v/>
      </c>
    </row>
    <row r="65" spans="2:10" x14ac:dyDescent="0.2">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(hide)'!DL58,"")</f>
        <v/>
      </c>
      <c r="J65" s="218" t="str">
        <f t="shared" si="0"/>
        <v/>
      </c>
    </row>
    <row r="66" spans="2:10" x14ac:dyDescent="0.2">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(hide)'!DL59,"")</f>
        <v/>
      </c>
      <c r="J66" s="218" t="str">
        <f t="shared" si="0"/>
        <v/>
      </c>
    </row>
    <row r="67" spans="2:10" x14ac:dyDescent="0.2">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(hide)'!DL60,"")</f>
        <v/>
      </c>
      <c r="J67" s="218" t="str">
        <f t="shared" si="0"/>
        <v/>
      </c>
    </row>
    <row r="68" spans="2:10" x14ac:dyDescent="0.2">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(hide)'!DL61,"")</f>
        <v/>
      </c>
      <c r="J68" s="218" t="str">
        <f t="shared" si="0"/>
        <v/>
      </c>
    </row>
    <row r="69" spans="2:10" x14ac:dyDescent="0.2">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(hide)'!DL62,"")</f>
        <v/>
      </c>
      <c r="J69" s="218" t="str">
        <f t="shared" si="0"/>
        <v/>
      </c>
    </row>
    <row r="70" spans="2:10" x14ac:dyDescent="0.2">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(hide)'!DL63,"")</f>
        <v/>
      </c>
      <c r="J70" s="218" t="str">
        <f t="shared" si="0"/>
        <v/>
      </c>
    </row>
    <row r="71" spans="2:10" x14ac:dyDescent="0.2">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(hide)'!DL64,"")</f>
        <v/>
      </c>
      <c r="J71" s="218" t="str">
        <f t="shared" si="0"/>
        <v/>
      </c>
    </row>
    <row r="72" spans="2:10" x14ac:dyDescent="0.2">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(hide)'!DL65,"")</f>
        <v/>
      </c>
      <c r="J72" s="218" t="str">
        <f t="shared" si="0"/>
        <v/>
      </c>
    </row>
    <row r="73" spans="2:10" x14ac:dyDescent="0.2">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(hide)'!DL66,"")</f>
        <v/>
      </c>
      <c r="J73" s="218" t="str">
        <f t="shared" si="0"/>
        <v/>
      </c>
    </row>
    <row r="74" spans="2:10" x14ac:dyDescent="0.2">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(hide)'!DL67,"")</f>
        <v/>
      </c>
      <c r="J74" s="218" t="str">
        <f t="shared" si="0"/>
        <v/>
      </c>
    </row>
    <row r="75" spans="2:10" x14ac:dyDescent="0.2">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(hide)'!DL68,"")</f>
        <v/>
      </c>
      <c r="J75" s="218" t="str">
        <f t="shared" si="0"/>
        <v/>
      </c>
    </row>
    <row r="76" spans="2:10" x14ac:dyDescent="0.2">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(hide)'!DL69,"")</f>
        <v/>
      </c>
      <c r="J76" s="218" t="str">
        <f t="shared" si="0"/>
        <v/>
      </c>
    </row>
    <row r="77" spans="2:10" x14ac:dyDescent="0.2">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(hide)'!DL70,"")</f>
        <v/>
      </c>
      <c r="J77" s="218" t="str">
        <f t="shared" ref="J77:J111" si="1">IFERROR(IF(G77-F77 &lt;0, "Under","Over"),"")</f>
        <v/>
      </c>
    </row>
    <row r="78" spans="2:10" x14ac:dyDescent="0.2">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(hide)'!DL71,"")</f>
        <v/>
      </c>
      <c r="J78" s="218" t="str">
        <f t="shared" si="1"/>
        <v/>
      </c>
    </row>
    <row r="79" spans="2:10" x14ac:dyDescent="0.2">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(hide)'!DL72,"")</f>
        <v/>
      </c>
      <c r="J79" s="218" t="str">
        <f t="shared" si="1"/>
        <v/>
      </c>
    </row>
    <row r="80" spans="2:10" x14ac:dyDescent="0.2">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(hide)'!DL73,"")</f>
        <v/>
      </c>
      <c r="J80" s="218" t="str">
        <f t="shared" si="1"/>
        <v/>
      </c>
    </row>
    <row r="81" spans="2:10" x14ac:dyDescent="0.2">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(hide)'!DL74,"")</f>
        <v/>
      </c>
      <c r="J81" s="218" t="str">
        <f t="shared" si="1"/>
        <v/>
      </c>
    </row>
    <row r="82" spans="2:10" x14ac:dyDescent="0.2">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(hide)'!DL75,"")</f>
        <v/>
      </c>
      <c r="J82" s="218" t="str">
        <f t="shared" si="1"/>
        <v/>
      </c>
    </row>
    <row r="83" spans="2:10" x14ac:dyDescent="0.2">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(hide)'!DL76,"")</f>
        <v/>
      </c>
      <c r="J83" s="218" t="str">
        <f t="shared" si="1"/>
        <v/>
      </c>
    </row>
    <row r="84" spans="2:10" x14ac:dyDescent="0.2">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(hide)'!DL77,"")</f>
        <v/>
      </c>
      <c r="J84" s="218" t="str">
        <f t="shared" si="1"/>
        <v/>
      </c>
    </row>
    <row r="85" spans="2:10" x14ac:dyDescent="0.2">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(hide)'!DL78,"")</f>
        <v/>
      </c>
      <c r="J85" s="218" t="str">
        <f t="shared" si="1"/>
        <v/>
      </c>
    </row>
    <row r="86" spans="2:10" x14ac:dyDescent="0.2">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(hide)'!DL79,"")</f>
        <v/>
      </c>
      <c r="J86" s="218" t="str">
        <f t="shared" si="1"/>
        <v/>
      </c>
    </row>
    <row r="87" spans="2:10" x14ac:dyDescent="0.2">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(hide)'!DL80,"")</f>
        <v/>
      </c>
      <c r="J87" s="218" t="str">
        <f t="shared" si="1"/>
        <v/>
      </c>
    </row>
    <row r="88" spans="2:10" x14ac:dyDescent="0.2">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(hide)'!DL81,"")</f>
        <v/>
      </c>
      <c r="J88" s="218" t="str">
        <f t="shared" si="1"/>
        <v/>
      </c>
    </row>
    <row r="89" spans="2:10" x14ac:dyDescent="0.2">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(hide)'!DL82,"")</f>
        <v/>
      </c>
      <c r="J89" s="218" t="str">
        <f t="shared" si="1"/>
        <v/>
      </c>
    </row>
    <row r="90" spans="2:10" x14ac:dyDescent="0.2">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(hide)'!DL83,"")</f>
        <v/>
      </c>
      <c r="J90" s="218" t="str">
        <f t="shared" si="1"/>
        <v/>
      </c>
    </row>
    <row r="91" spans="2:10" x14ac:dyDescent="0.2">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(hide)'!DL84,"")</f>
        <v/>
      </c>
      <c r="J91" s="218" t="str">
        <f t="shared" si="1"/>
        <v/>
      </c>
    </row>
    <row r="92" spans="2:10" x14ac:dyDescent="0.2">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(hide)'!DL85,"")</f>
        <v/>
      </c>
      <c r="J92" s="218" t="str">
        <f t="shared" si="1"/>
        <v/>
      </c>
    </row>
    <row r="93" spans="2:10" x14ac:dyDescent="0.2">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(hide)'!DL86,"")</f>
        <v/>
      </c>
      <c r="J93" s="218" t="str">
        <f t="shared" si="1"/>
        <v/>
      </c>
    </row>
    <row r="94" spans="2:10" x14ac:dyDescent="0.2">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(hide)'!DL87,"")</f>
        <v/>
      </c>
      <c r="J94" s="218" t="str">
        <f t="shared" si="1"/>
        <v/>
      </c>
    </row>
    <row r="95" spans="2:10" x14ac:dyDescent="0.2">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(hide)'!DL88,"")</f>
        <v/>
      </c>
      <c r="J95" s="218" t="str">
        <f t="shared" si="1"/>
        <v/>
      </c>
    </row>
    <row r="96" spans="2:10" x14ac:dyDescent="0.2">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(hide)'!DL89,"")</f>
        <v/>
      </c>
      <c r="J96" s="218" t="str">
        <f t="shared" si="1"/>
        <v/>
      </c>
    </row>
    <row r="97" spans="2:10" x14ac:dyDescent="0.2">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(hide)'!DL90,"")</f>
        <v/>
      </c>
      <c r="J97" s="218" t="str">
        <f t="shared" si="1"/>
        <v/>
      </c>
    </row>
    <row r="98" spans="2:10" x14ac:dyDescent="0.2">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(hide)'!DL91,"")</f>
        <v/>
      </c>
      <c r="J98" s="218" t="str">
        <f t="shared" si="1"/>
        <v/>
      </c>
    </row>
    <row r="99" spans="2:10" x14ac:dyDescent="0.2">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(hide)'!DL92,"")</f>
        <v/>
      </c>
      <c r="J99" s="218" t="str">
        <f t="shared" si="1"/>
        <v/>
      </c>
    </row>
    <row r="100" spans="2:10" x14ac:dyDescent="0.2">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(hide)'!DL93,"")</f>
        <v/>
      </c>
      <c r="J100" s="218" t="str">
        <f t="shared" si="1"/>
        <v/>
      </c>
    </row>
    <row r="101" spans="2:10" x14ac:dyDescent="0.2">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(hide)'!DL94,"")</f>
        <v/>
      </c>
      <c r="J101" s="218" t="str">
        <f t="shared" si="1"/>
        <v/>
      </c>
    </row>
    <row r="102" spans="2:10" x14ac:dyDescent="0.2">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(hide)'!DL95,"")</f>
        <v/>
      </c>
      <c r="J102" s="218" t="str">
        <f t="shared" si="1"/>
        <v/>
      </c>
    </row>
    <row r="103" spans="2:10" x14ac:dyDescent="0.2">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(hide)'!DL96,"")</f>
        <v/>
      </c>
      <c r="J103" s="218" t="str">
        <f t="shared" si="1"/>
        <v/>
      </c>
    </row>
    <row r="104" spans="2:10" x14ac:dyDescent="0.2">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(hide)'!DL97,"")</f>
        <v/>
      </c>
      <c r="J104" s="218" t="str">
        <f t="shared" si="1"/>
        <v/>
      </c>
    </row>
    <row r="105" spans="2:10" x14ac:dyDescent="0.2">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(hide)'!DL98,"")</f>
        <v/>
      </c>
      <c r="J105" s="218" t="str">
        <f t="shared" si="1"/>
        <v/>
      </c>
    </row>
    <row r="106" spans="2:10" x14ac:dyDescent="0.2">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(hide)'!DL99,"")</f>
        <v/>
      </c>
      <c r="J106" s="218" t="str">
        <f t="shared" si="1"/>
        <v/>
      </c>
    </row>
    <row r="107" spans="2:10" x14ac:dyDescent="0.2">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(hide)'!DL100,"")</f>
        <v/>
      </c>
      <c r="J107" s="218" t="str">
        <f t="shared" si="1"/>
        <v/>
      </c>
    </row>
    <row r="108" spans="2:10" x14ac:dyDescent="0.2">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(hide)'!DL101,"")</f>
        <v/>
      </c>
      <c r="J108" s="218" t="str">
        <f t="shared" si="1"/>
        <v/>
      </c>
    </row>
    <row r="109" spans="2:10" x14ac:dyDescent="0.2">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(hide)'!DL102,"")</f>
        <v/>
      </c>
      <c r="J109" s="218" t="str">
        <f t="shared" si="1"/>
        <v/>
      </c>
    </row>
    <row r="110" spans="2:10" x14ac:dyDescent="0.2">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(hide)'!DL103,"")</f>
        <v/>
      </c>
      <c r="J110" s="218" t="str">
        <f t="shared" si="1"/>
        <v/>
      </c>
    </row>
    <row r="111" spans="2:10" x14ac:dyDescent="0.2">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(hide)'!DL104,"")</f>
        <v/>
      </c>
      <c r="J111" s="218" t="str">
        <f t="shared" si="1"/>
        <v/>
      </c>
    </row>
    <row r="115" spans="2:10" ht="15" hidden="1" x14ac:dyDescent="0.25">
      <c r="B115" s="56" t="s">
        <v>461</v>
      </c>
    </row>
    <row r="116" spans="2:10" hidden="1" x14ac:dyDescent="0.2"/>
    <row r="117" spans="2:10" ht="42.75" hidden="1" x14ac:dyDescent="0.2">
      <c r="B117" s="120" t="s">
        <v>252</v>
      </c>
      <c r="C117" s="120" t="s">
        <v>452</v>
      </c>
      <c r="D117" s="120" t="s">
        <v>453</v>
      </c>
      <c r="E117" s="120" t="s">
        <v>454</v>
      </c>
      <c r="F117" s="121" t="s">
        <v>295</v>
      </c>
      <c r="G117" s="121" t="s">
        <v>465</v>
      </c>
      <c r="H117" s="121" t="s">
        <v>460</v>
      </c>
      <c r="I117" s="121" t="s">
        <v>464</v>
      </c>
      <c r="J117" s="121" t="s">
        <v>294</v>
      </c>
    </row>
    <row r="118" spans="2:10" hidden="1" x14ac:dyDescent="0.2">
      <c r="B118" s="218" t="str">
        <f>IF(Capacity!N17=0,"",Capacity!N17)</f>
        <v>Ad Hoc 1</v>
      </c>
      <c r="C118" s="132" t="s">
        <v>1260</v>
      </c>
      <c r="D118" s="132"/>
      <c r="E118" s="132"/>
      <c r="F118" s="215">
        <f>IF(ROW(A1)&lt;=Capacity!$M$16,Capacity!Q17,"")</f>
        <v>10</v>
      </c>
      <c r="G118" s="320">
        <f>IF(ROW(A1)&lt;=Capacity!$M$16,'Capacity calculation (hide)'!BH112,"")</f>
        <v>10</v>
      </c>
      <c r="H118" s="215">
        <f>IF(ROW(A1)&lt;=Capacity!$M$16,Capacity!T17,"")</f>
        <v>40</v>
      </c>
      <c r="I118" s="217">
        <f ca="1">IF(ROW(A1)&lt;=Capacity!$M$16,'Capacity calculation (hide)'!DL111,"")</f>
        <v>80.615384615384627</v>
      </c>
      <c r="J118" s="218" t="str">
        <f>IFERROR(IF(G118-F118 &lt;0, "Under","Over"),"")</f>
        <v>Over</v>
      </c>
    </row>
    <row r="119" spans="2:10" hidden="1" x14ac:dyDescent="0.2">
      <c r="B119" s="218" t="str">
        <f>IF(Capacity!N18=0,"",Capacity!N18)</f>
        <v>Ad Hoc 2</v>
      </c>
      <c r="C119" s="132" t="s">
        <v>1260</v>
      </c>
      <c r="D119" s="132" t="s">
        <v>1259</v>
      </c>
      <c r="E119" s="132"/>
      <c r="F119" s="215">
        <f>IF(ROW(A2)&lt;=Capacity!$M$16,Capacity!Q18,"")</f>
        <v>12</v>
      </c>
      <c r="G119" s="320">
        <f>IF(ROW(A2)&lt;=Capacity!$M$16,'Capacity calculation (hide)'!BH113,"")</f>
        <v>13</v>
      </c>
      <c r="H119" s="215">
        <f>IF(ROW(A2)&lt;=Capacity!$M$16,Capacity!T18,"")</f>
        <v>48</v>
      </c>
      <c r="I119" s="217">
        <f ca="1">IF(ROW(A2)&lt;=Capacity!$M$16,'Capacity calculation (hide)'!DL112,"")</f>
        <v>40</v>
      </c>
      <c r="J119" s="218" t="str">
        <f t="shared" ref="J119:J182" si="2">IFERROR(IF(G119-F119 &lt;0, "Under","Over"),"")</f>
        <v>Over</v>
      </c>
    </row>
    <row r="120" spans="2:10" hidden="1" x14ac:dyDescent="0.2">
      <c r="B120" s="218" t="str">
        <f>IF(Capacity!N19=0,"",Capacity!N19)</f>
        <v/>
      </c>
      <c r="C120" s="132"/>
      <c r="D120" s="132"/>
      <c r="E120" s="132"/>
      <c r="F120" s="215" t="str">
        <f>IF(ROW(A3)&lt;=Capacity!$M$16,Capacity!Q19,"")</f>
        <v/>
      </c>
      <c r="G120" s="320" t="str">
        <f>IF(ROW(A3)&lt;=Capacity!$M$16,'Capacity calculation (hide)'!BH114,"")</f>
        <v/>
      </c>
      <c r="H120" s="215" t="str">
        <f>IF(ROW(A3)&lt;=Capacity!$M$16,Capacity!T19,"")</f>
        <v/>
      </c>
      <c r="I120" s="217" t="str">
        <f>IF(ROW(A3)&lt;=Capacity!$M$16,'Capacity calculation (hide)'!DL113,"")</f>
        <v/>
      </c>
      <c r="J120" s="218" t="str">
        <f t="shared" si="2"/>
        <v/>
      </c>
    </row>
    <row r="121" spans="2:10" hidden="1" x14ac:dyDescent="0.2">
      <c r="B121" s="218" t="str">
        <f>IF(Capacity!N20=0,"",Capacity!N20)</f>
        <v/>
      </c>
      <c r="C121" s="132"/>
      <c r="D121" s="132"/>
      <c r="E121" s="132"/>
      <c r="F121" s="215" t="str">
        <f>IF(ROW(A4)&lt;=Capacity!$M$16,Capacity!Q20,"")</f>
        <v/>
      </c>
      <c r="G121" s="320" t="str">
        <f>IF(ROW(A4)&lt;=Capacity!$M$16,'Capacity calculation (hide)'!BH115,"")</f>
        <v/>
      </c>
      <c r="H121" s="215" t="str">
        <f>IF(ROW(A4)&lt;=Capacity!$M$16,Capacity!T20,"")</f>
        <v/>
      </c>
      <c r="I121" s="217" t="str">
        <f>IF(ROW(A4)&lt;=Capacity!$M$16,'Capacity calculation (hide)'!DL114,"")</f>
        <v/>
      </c>
      <c r="J121" s="218" t="str">
        <f t="shared" si="2"/>
        <v/>
      </c>
    </row>
    <row r="122" spans="2:10" hidden="1" x14ac:dyDescent="0.2">
      <c r="B122" s="218" t="str">
        <f>IF(Capacity!N21=0,"",Capacity!N21)</f>
        <v/>
      </c>
      <c r="C122" s="132"/>
      <c r="D122" s="132"/>
      <c r="E122" s="132"/>
      <c r="F122" s="215" t="str">
        <f>IF(ROW(A5)&lt;=Capacity!$M$16,Capacity!Q21,"")</f>
        <v/>
      </c>
      <c r="G122" s="320" t="str">
        <f>IF(ROW(A5)&lt;=Capacity!$M$16,'Capacity calculation (hide)'!BH116,"")</f>
        <v/>
      </c>
      <c r="H122" s="215" t="str">
        <f>IF(ROW(A5)&lt;=Capacity!$M$16,Capacity!T21,"")</f>
        <v/>
      </c>
      <c r="I122" s="217" t="str">
        <f>IF(ROW(A5)&lt;=Capacity!$M$16,'Capacity calculation (hide)'!DL115,"")</f>
        <v/>
      </c>
      <c r="J122" s="218" t="str">
        <f t="shared" si="2"/>
        <v/>
      </c>
    </row>
    <row r="123" spans="2:10" hidden="1" x14ac:dyDescent="0.2">
      <c r="B123" s="218" t="str">
        <f>IF(Capacity!N22=0,"",Capacity!N22)</f>
        <v/>
      </c>
      <c r="C123" s="132"/>
      <c r="D123" s="132"/>
      <c r="E123" s="132"/>
      <c r="F123" s="215" t="str">
        <f>IF(ROW(A6)&lt;=Capacity!$M$16,Capacity!Q22,"")</f>
        <v/>
      </c>
      <c r="G123" s="320" t="str">
        <f>IF(ROW(A6)&lt;=Capacity!$M$16,'Capacity calculation (hide)'!BH117,"")</f>
        <v/>
      </c>
      <c r="H123" s="215" t="str">
        <f>IF(ROW(A6)&lt;=Capacity!$M$16,Capacity!T22,"")</f>
        <v/>
      </c>
      <c r="I123" s="217" t="str">
        <f>IF(ROW(A6)&lt;=Capacity!$M$16,'Capacity calculation (hide)'!DL116,"")</f>
        <v/>
      </c>
      <c r="J123" s="218" t="str">
        <f t="shared" si="2"/>
        <v/>
      </c>
    </row>
    <row r="124" spans="2:10" hidden="1" x14ac:dyDescent="0.2">
      <c r="B124" s="218" t="str">
        <f>IF(Capacity!N23=0,"",Capacity!N23)</f>
        <v/>
      </c>
      <c r="C124" s="132"/>
      <c r="D124" s="132"/>
      <c r="E124" s="132"/>
      <c r="F124" s="215" t="str">
        <f>IF(ROW(A7)&lt;=Capacity!$M$16,Capacity!Q23,"")</f>
        <v/>
      </c>
      <c r="G124" s="320" t="str">
        <f>IF(ROW(A7)&lt;=Capacity!$M$16,'Capacity calculation (hide)'!BH118,"")</f>
        <v/>
      </c>
      <c r="H124" s="215" t="str">
        <f>IF(ROW(A7)&lt;=Capacity!$M$16,Capacity!T23,"")</f>
        <v/>
      </c>
      <c r="I124" s="217" t="str">
        <f>IF(ROW(A7)&lt;=Capacity!$M$16,'Capacity calculation (hide)'!DL117,"")</f>
        <v/>
      </c>
      <c r="J124" s="218" t="str">
        <f t="shared" si="2"/>
        <v/>
      </c>
    </row>
    <row r="125" spans="2:10" hidden="1" x14ac:dyDescent="0.2">
      <c r="B125" s="218" t="str">
        <f>IF(Capacity!N24=0,"",Capacity!N24)</f>
        <v/>
      </c>
      <c r="C125" s="132"/>
      <c r="D125" s="132"/>
      <c r="E125" s="132"/>
      <c r="F125" s="215" t="str">
        <f>IF(ROW(A8)&lt;=Capacity!$M$16,Capacity!Q24,"")</f>
        <v/>
      </c>
      <c r="G125" s="320" t="str">
        <f>IF(ROW(A8)&lt;=Capacity!$M$16,'Capacity calculation (hide)'!BH119,"")</f>
        <v/>
      </c>
      <c r="H125" s="215" t="str">
        <f>IF(ROW(A8)&lt;=Capacity!$M$16,Capacity!T24,"")</f>
        <v/>
      </c>
      <c r="I125" s="217" t="str">
        <f>IF(ROW(A8)&lt;=Capacity!$M$16,'Capacity calculation (hide)'!DL118,"")</f>
        <v/>
      </c>
      <c r="J125" s="218" t="str">
        <f t="shared" si="2"/>
        <v/>
      </c>
    </row>
    <row r="126" spans="2:10" hidden="1" x14ac:dyDescent="0.2">
      <c r="B126" s="218" t="str">
        <f>IF(Capacity!N25=0,"",Capacity!N25)</f>
        <v/>
      </c>
      <c r="C126" s="132"/>
      <c r="D126" s="132"/>
      <c r="E126" s="132"/>
      <c r="F126" s="215" t="str">
        <f>IF(ROW(A9)&lt;=Capacity!$M$16,Capacity!Q25,"")</f>
        <v/>
      </c>
      <c r="G126" s="320" t="str">
        <f>IF(ROW(A9)&lt;=Capacity!$M$16,'Capacity calculation (hide)'!BH120,"")</f>
        <v/>
      </c>
      <c r="H126" s="215" t="str">
        <f>IF(ROW(A9)&lt;=Capacity!$M$16,Capacity!T25,"")</f>
        <v/>
      </c>
      <c r="I126" s="217" t="str">
        <f>IF(ROW(A9)&lt;=Capacity!$M$16,'Capacity calculation (hide)'!DL119,"")</f>
        <v/>
      </c>
      <c r="J126" s="218" t="str">
        <f t="shared" si="2"/>
        <v/>
      </c>
    </row>
    <row r="127" spans="2:10" hidden="1" x14ac:dyDescent="0.2">
      <c r="B127" s="218" t="str">
        <f>IF(Capacity!N26=0,"",Capacity!N26)</f>
        <v/>
      </c>
      <c r="C127" s="132"/>
      <c r="D127" s="132"/>
      <c r="E127" s="132"/>
      <c r="F127" s="215" t="str">
        <f>IF(ROW(A10)&lt;=Capacity!$M$16,Capacity!Q26,"")</f>
        <v/>
      </c>
      <c r="G127" s="320" t="str">
        <f>IF(ROW(A10)&lt;=Capacity!$M$16,'Capacity calculation (hide)'!BH121,"")</f>
        <v/>
      </c>
      <c r="H127" s="215" t="str">
        <f>IF(ROW(A10)&lt;=Capacity!$M$16,Capacity!T26,"")</f>
        <v/>
      </c>
      <c r="I127" s="217" t="str">
        <f>IF(ROW(A10)&lt;=Capacity!$M$16,'Capacity calculation (hide)'!DL120,"")</f>
        <v/>
      </c>
      <c r="J127" s="218" t="str">
        <f t="shared" si="2"/>
        <v/>
      </c>
    </row>
    <row r="128" spans="2:10" hidden="1" x14ac:dyDescent="0.2">
      <c r="B128" s="218" t="str">
        <f>IF(Capacity!N27=0,"",Capacity!N27)</f>
        <v/>
      </c>
      <c r="C128" s="132"/>
      <c r="D128" s="132"/>
      <c r="E128" s="132"/>
      <c r="F128" s="215" t="str">
        <f>IF(ROW(A11)&lt;=Capacity!$M$16,Capacity!Q27,"")</f>
        <v/>
      </c>
      <c r="G128" s="320" t="str">
        <f>IF(ROW(A11)&lt;=Capacity!$M$16,'Capacity calculation (hide)'!BH122,"")</f>
        <v/>
      </c>
      <c r="H128" s="215" t="str">
        <f>IF(ROW(A11)&lt;=Capacity!$M$16,Capacity!T27,"")</f>
        <v/>
      </c>
      <c r="I128" s="217" t="str">
        <f>IF(ROW(A11)&lt;=Capacity!$M$16,'Capacity calculation (hide)'!DL121,"")</f>
        <v/>
      </c>
      <c r="J128" s="218" t="str">
        <f t="shared" si="2"/>
        <v/>
      </c>
    </row>
    <row r="129" spans="2:10" hidden="1" x14ac:dyDescent="0.2">
      <c r="B129" s="218" t="str">
        <f>IF(Capacity!N28=0,"",Capacity!N28)</f>
        <v/>
      </c>
      <c r="C129" s="132"/>
      <c r="D129" s="132"/>
      <c r="E129" s="132"/>
      <c r="F129" s="215" t="str">
        <f>IF(ROW(A12)&lt;=Capacity!$M$16,Capacity!Q28,"")</f>
        <v/>
      </c>
      <c r="G129" s="320" t="str">
        <f>IF(ROW(A12)&lt;=Capacity!$M$16,'Capacity calculation (hide)'!BH123,"")</f>
        <v/>
      </c>
      <c r="H129" s="215" t="str">
        <f>IF(ROW(A12)&lt;=Capacity!$M$16,Capacity!T28,"")</f>
        <v/>
      </c>
      <c r="I129" s="217" t="str">
        <f>IF(ROW(A12)&lt;=Capacity!$M$16,'Capacity calculation (hide)'!DL122,"")</f>
        <v/>
      </c>
      <c r="J129" s="218" t="str">
        <f t="shared" si="2"/>
        <v/>
      </c>
    </row>
    <row r="130" spans="2:10" hidden="1" x14ac:dyDescent="0.2">
      <c r="B130" s="218" t="str">
        <f>IF(Capacity!N29=0,"",Capacity!N29)</f>
        <v/>
      </c>
      <c r="C130" s="132"/>
      <c r="D130" s="132"/>
      <c r="E130" s="132"/>
      <c r="F130" s="215" t="str">
        <f>IF(ROW(A13)&lt;=Capacity!$M$16,Capacity!Q29,"")</f>
        <v/>
      </c>
      <c r="G130" s="320" t="str">
        <f>IF(ROW(A13)&lt;=Capacity!$M$16,'Capacity calculation (hide)'!BH124,"")</f>
        <v/>
      </c>
      <c r="H130" s="215" t="str">
        <f>IF(ROW(A13)&lt;=Capacity!$M$16,Capacity!T29,"")</f>
        <v/>
      </c>
      <c r="I130" s="217" t="str">
        <f>IF(ROW(A13)&lt;=Capacity!$M$16,'Capacity calculation (hide)'!DL123,"")</f>
        <v/>
      </c>
      <c r="J130" s="218" t="str">
        <f t="shared" si="2"/>
        <v/>
      </c>
    </row>
    <row r="131" spans="2:10" hidden="1" x14ac:dyDescent="0.2">
      <c r="B131" s="218" t="str">
        <f>IF(Capacity!N30=0,"",Capacity!N30)</f>
        <v/>
      </c>
      <c r="C131" s="132"/>
      <c r="D131" s="132"/>
      <c r="E131" s="132"/>
      <c r="F131" s="215" t="str">
        <f>IF(ROW(A14)&lt;=Capacity!$M$16,Capacity!Q30,"")</f>
        <v/>
      </c>
      <c r="G131" s="320" t="str">
        <f>IF(ROW(A14)&lt;=Capacity!$M$16,'Capacity calculation (hide)'!BH125,"")</f>
        <v/>
      </c>
      <c r="H131" s="215" t="str">
        <f>IF(ROW(A14)&lt;=Capacity!$M$16,Capacity!T30,"")</f>
        <v/>
      </c>
      <c r="I131" s="217" t="str">
        <f>IF(ROW(A14)&lt;=Capacity!$M$16,'Capacity calculation (hide)'!DL124,"")</f>
        <v/>
      </c>
      <c r="J131" s="218" t="str">
        <f t="shared" si="2"/>
        <v/>
      </c>
    </row>
    <row r="132" spans="2:10" hidden="1" x14ac:dyDescent="0.2">
      <c r="B132" s="218" t="str">
        <f>IF(Capacity!N31=0,"",Capacity!N31)</f>
        <v/>
      </c>
      <c r="C132" s="132"/>
      <c r="D132" s="132"/>
      <c r="E132" s="132"/>
      <c r="F132" s="215" t="str">
        <f>IF(ROW(A15)&lt;=Capacity!$M$16,Capacity!Q31,"")</f>
        <v/>
      </c>
      <c r="G132" s="320" t="str">
        <f>IF(ROW(A15)&lt;=Capacity!$M$16,'Capacity calculation (hide)'!BH126,"")</f>
        <v/>
      </c>
      <c r="H132" s="215" t="str">
        <f>IF(ROW(A15)&lt;=Capacity!$M$16,Capacity!T31,"")</f>
        <v/>
      </c>
      <c r="I132" s="217" t="str">
        <f>IF(ROW(A15)&lt;=Capacity!$M$16,'Capacity calculation (hide)'!DL125,"")</f>
        <v/>
      </c>
      <c r="J132" s="218" t="str">
        <f t="shared" si="2"/>
        <v/>
      </c>
    </row>
    <row r="133" spans="2:10" hidden="1" x14ac:dyDescent="0.2">
      <c r="B133" s="218" t="str">
        <f>IF(Capacity!N32=0,"",Capacity!N32)</f>
        <v/>
      </c>
      <c r="C133" s="132"/>
      <c r="D133" s="132"/>
      <c r="E133" s="132"/>
      <c r="F133" s="215" t="str">
        <f>IF(ROW(A16)&lt;=Capacity!$M$16,Capacity!Q32,"")</f>
        <v/>
      </c>
      <c r="G133" s="320" t="str">
        <f>IF(ROW(A16)&lt;=Capacity!$M$16,'Capacity calculation (hide)'!BH127,"")</f>
        <v/>
      </c>
      <c r="H133" s="215" t="str">
        <f>IF(ROW(A16)&lt;=Capacity!$M$16,Capacity!T32,"")</f>
        <v/>
      </c>
      <c r="I133" s="217" t="str">
        <f>IF(ROW(A16)&lt;=Capacity!$M$16,'Capacity calculation (hide)'!DL126,"")</f>
        <v/>
      </c>
      <c r="J133" s="218" t="str">
        <f t="shared" si="2"/>
        <v/>
      </c>
    </row>
    <row r="134" spans="2:10" hidden="1" x14ac:dyDescent="0.2">
      <c r="B134" s="218" t="str">
        <f>IF(Capacity!N33=0,"",Capacity!N33)</f>
        <v/>
      </c>
      <c r="C134" s="132"/>
      <c r="D134" s="132"/>
      <c r="E134" s="132"/>
      <c r="F134" s="215" t="str">
        <f>IF(ROW(A17)&lt;=Capacity!$M$16,Capacity!Q33,"")</f>
        <v/>
      </c>
      <c r="G134" s="320" t="str">
        <f>IF(ROW(A17)&lt;=Capacity!$M$16,'Capacity calculation (hide)'!BH128,"")</f>
        <v/>
      </c>
      <c r="H134" s="215" t="str">
        <f>IF(ROW(A17)&lt;=Capacity!$M$16,Capacity!T33,"")</f>
        <v/>
      </c>
      <c r="I134" s="217" t="str">
        <f>IF(ROW(A17)&lt;=Capacity!$M$16,'Capacity calculation (hide)'!DL127,"")</f>
        <v/>
      </c>
      <c r="J134" s="218" t="str">
        <f t="shared" si="2"/>
        <v/>
      </c>
    </row>
    <row r="135" spans="2:10" hidden="1" x14ac:dyDescent="0.2">
      <c r="B135" s="218" t="str">
        <f>IF(Capacity!N34=0,"",Capacity!N34)</f>
        <v/>
      </c>
      <c r="C135" s="132"/>
      <c r="D135" s="132"/>
      <c r="E135" s="132"/>
      <c r="F135" s="215" t="str">
        <f>IF(ROW(A18)&lt;=Capacity!$M$16,Capacity!Q34,"")</f>
        <v/>
      </c>
      <c r="G135" s="320" t="str">
        <f>IF(ROW(A18)&lt;=Capacity!$M$16,'Capacity calculation (hide)'!BH129,"")</f>
        <v/>
      </c>
      <c r="H135" s="215" t="str">
        <f>IF(ROW(A18)&lt;=Capacity!$M$16,Capacity!T34,"")</f>
        <v/>
      </c>
      <c r="I135" s="217" t="str">
        <f>IF(ROW(A18)&lt;=Capacity!$M$16,'Capacity calculation (hide)'!DL128,"")</f>
        <v/>
      </c>
      <c r="J135" s="218" t="str">
        <f t="shared" si="2"/>
        <v/>
      </c>
    </row>
    <row r="136" spans="2:10" hidden="1" x14ac:dyDescent="0.2">
      <c r="B136" s="218" t="str">
        <f>IF(Capacity!N35=0,"",Capacity!N35)</f>
        <v/>
      </c>
      <c r="C136" s="132"/>
      <c r="D136" s="132"/>
      <c r="E136" s="132"/>
      <c r="F136" s="215" t="str">
        <f>IF(ROW(A19)&lt;=Capacity!$M$16,Capacity!Q35,"")</f>
        <v/>
      </c>
      <c r="G136" s="320" t="str">
        <f>IF(ROW(A19)&lt;=Capacity!$M$16,'Capacity calculation (hide)'!BH130,"")</f>
        <v/>
      </c>
      <c r="H136" s="215" t="str">
        <f>IF(ROW(A19)&lt;=Capacity!$M$16,Capacity!T35,"")</f>
        <v/>
      </c>
      <c r="I136" s="217" t="str">
        <f>IF(ROW(A19)&lt;=Capacity!$M$16,'Capacity calculation (hide)'!DL129,"")</f>
        <v/>
      </c>
      <c r="J136" s="218" t="str">
        <f t="shared" si="2"/>
        <v/>
      </c>
    </row>
    <row r="137" spans="2:10" hidden="1" x14ac:dyDescent="0.2">
      <c r="B137" s="218" t="str">
        <f>IF(Capacity!N36=0,"",Capacity!N36)</f>
        <v/>
      </c>
      <c r="C137" s="132"/>
      <c r="D137" s="132"/>
      <c r="E137" s="132"/>
      <c r="F137" s="215" t="str">
        <f>IF(ROW(A20)&lt;=Capacity!$M$16,Capacity!Q36,"")</f>
        <v/>
      </c>
      <c r="G137" s="320" t="str">
        <f>IF(ROW(A20)&lt;=Capacity!$M$16,'Capacity calculation (hide)'!BH131,"")</f>
        <v/>
      </c>
      <c r="H137" s="215" t="str">
        <f>IF(ROW(A20)&lt;=Capacity!$M$16,Capacity!T36,"")</f>
        <v/>
      </c>
      <c r="I137" s="217" t="str">
        <f>IF(ROW(A20)&lt;=Capacity!$M$16,'Capacity calculation (hide)'!DL130,"")</f>
        <v/>
      </c>
      <c r="J137" s="218" t="str">
        <f t="shared" si="2"/>
        <v/>
      </c>
    </row>
    <row r="138" spans="2:10" hidden="1" x14ac:dyDescent="0.2">
      <c r="B138" s="218" t="str">
        <f>IF(Capacity!N37=0,"",Capacity!N37)</f>
        <v/>
      </c>
      <c r="C138" s="132"/>
      <c r="D138" s="132"/>
      <c r="E138" s="132"/>
      <c r="F138" s="215" t="str">
        <f>IF(ROW(A21)&lt;=Capacity!$M$16,Capacity!Q37,"")</f>
        <v/>
      </c>
      <c r="G138" s="320" t="str">
        <f>IF(ROW(A21)&lt;=Capacity!$M$16,'Capacity calculation (hide)'!BH132,"")</f>
        <v/>
      </c>
      <c r="H138" s="215" t="str">
        <f>IF(ROW(A21)&lt;=Capacity!$M$16,Capacity!T37,"")</f>
        <v/>
      </c>
      <c r="I138" s="217" t="str">
        <f>IF(ROW(A21)&lt;=Capacity!$M$16,'Capacity calculation (hide)'!DL131,"")</f>
        <v/>
      </c>
      <c r="J138" s="218" t="str">
        <f t="shared" si="2"/>
        <v/>
      </c>
    </row>
    <row r="139" spans="2:10" hidden="1" x14ac:dyDescent="0.2">
      <c r="B139" s="218" t="str">
        <f>IF(Capacity!N38=0,"",Capacity!N38)</f>
        <v/>
      </c>
      <c r="C139" s="132"/>
      <c r="D139" s="132"/>
      <c r="E139" s="132"/>
      <c r="F139" s="215" t="str">
        <f>IF(ROW(A22)&lt;=Capacity!$M$16,Capacity!Q38,"")</f>
        <v/>
      </c>
      <c r="G139" s="320" t="str">
        <f>IF(ROW(A22)&lt;=Capacity!$M$16,'Capacity calculation (hide)'!BH133,"")</f>
        <v/>
      </c>
      <c r="H139" s="215" t="str">
        <f>IF(ROW(A22)&lt;=Capacity!$M$16,Capacity!T38,"")</f>
        <v/>
      </c>
      <c r="I139" s="217" t="str">
        <f>IF(ROW(A22)&lt;=Capacity!$M$16,'Capacity calculation (hide)'!DL132,"")</f>
        <v/>
      </c>
      <c r="J139" s="218" t="str">
        <f t="shared" si="2"/>
        <v/>
      </c>
    </row>
    <row r="140" spans="2:10" hidden="1" x14ac:dyDescent="0.2">
      <c r="B140" s="218" t="str">
        <f>IF(Capacity!N39=0,"",Capacity!N39)</f>
        <v/>
      </c>
      <c r="C140" s="132"/>
      <c r="D140" s="132"/>
      <c r="E140" s="132"/>
      <c r="F140" s="215" t="str">
        <f>IF(ROW(A23)&lt;=Capacity!$M$16,Capacity!Q39,"")</f>
        <v/>
      </c>
      <c r="G140" s="320" t="str">
        <f>IF(ROW(A23)&lt;=Capacity!$M$16,'Capacity calculation (hide)'!BH134,"")</f>
        <v/>
      </c>
      <c r="H140" s="215" t="str">
        <f>IF(ROW(A23)&lt;=Capacity!$M$16,Capacity!T39,"")</f>
        <v/>
      </c>
      <c r="I140" s="217" t="str">
        <f>IF(ROW(A23)&lt;=Capacity!$M$16,'Capacity calculation (hide)'!DL133,"")</f>
        <v/>
      </c>
      <c r="J140" s="218" t="str">
        <f t="shared" si="2"/>
        <v/>
      </c>
    </row>
    <row r="141" spans="2:10" hidden="1" x14ac:dyDescent="0.2">
      <c r="B141" s="218" t="str">
        <f>IF(Capacity!N40=0,"",Capacity!N40)</f>
        <v/>
      </c>
      <c r="C141" s="132"/>
      <c r="D141" s="132"/>
      <c r="E141" s="132"/>
      <c r="F141" s="215" t="str">
        <f>IF(ROW(A24)&lt;=Capacity!$M$16,Capacity!Q40,"")</f>
        <v/>
      </c>
      <c r="G141" s="320" t="str">
        <f>IF(ROW(A24)&lt;=Capacity!$M$16,'Capacity calculation (hide)'!BH135,"")</f>
        <v/>
      </c>
      <c r="H141" s="215" t="str">
        <f>IF(ROW(A24)&lt;=Capacity!$M$16,Capacity!T40,"")</f>
        <v/>
      </c>
      <c r="I141" s="217" t="str">
        <f>IF(ROW(A24)&lt;=Capacity!$M$16,'Capacity calculation (hide)'!DL134,"")</f>
        <v/>
      </c>
      <c r="J141" s="218" t="str">
        <f t="shared" si="2"/>
        <v/>
      </c>
    </row>
    <row r="142" spans="2:10" hidden="1" x14ac:dyDescent="0.2">
      <c r="B142" s="218" t="str">
        <f>IF(Capacity!N41=0,"",Capacity!N41)</f>
        <v/>
      </c>
      <c r="C142" s="132"/>
      <c r="D142" s="132"/>
      <c r="E142" s="132"/>
      <c r="F142" s="215" t="str">
        <f>IF(ROW(A25)&lt;=Capacity!$M$16,Capacity!Q41,"")</f>
        <v/>
      </c>
      <c r="G142" s="320" t="str">
        <f>IF(ROW(A25)&lt;=Capacity!$M$16,'Capacity calculation (hide)'!BH136,"")</f>
        <v/>
      </c>
      <c r="H142" s="215" t="str">
        <f>IF(ROW(A25)&lt;=Capacity!$M$16,Capacity!T41,"")</f>
        <v/>
      </c>
      <c r="I142" s="217" t="str">
        <f>IF(ROW(A25)&lt;=Capacity!$M$16,'Capacity calculation (hide)'!DL135,"")</f>
        <v/>
      </c>
      <c r="J142" s="218" t="str">
        <f t="shared" si="2"/>
        <v/>
      </c>
    </row>
    <row r="143" spans="2:10" hidden="1" x14ac:dyDescent="0.2">
      <c r="B143" s="218" t="str">
        <f>IF(Capacity!N42=0,"",Capacity!N42)</f>
        <v/>
      </c>
      <c r="C143" s="132"/>
      <c r="D143" s="132"/>
      <c r="E143" s="132"/>
      <c r="F143" s="215" t="str">
        <f>IF(ROW(A26)&lt;=Capacity!$M$16,Capacity!Q42,"")</f>
        <v/>
      </c>
      <c r="G143" s="320" t="str">
        <f>IF(ROW(A26)&lt;=Capacity!$M$16,'Capacity calculation (hide)'!BH137,"")</f>
        <v/>
      </c>
      <c r="H143" s="215" t="str">
        <f>IF(ROW(A26)&lt;=Capacity!$M$16,Capacity!T42,"")</f>
        <v/>
      </c>
      <c r="I143" s="217" t="str">
        <f>IF(ROW(A26)&lt;=Capacity!$M$16,'Capacity calculation (hide)'!DL136,"")</f>
        <v/>
      </c>
      <c r="J143" s="218" t="str">
        <f t="shared" si="2"/>
        <v/>
      </c>
    </row>
    <row r="144" spans="2:10" hidden="1" x14ac:dyDescent="0.2">
      <c r="B144" s="218" t="str">
        <f>IF(Capacity!N43=0,"",Capacity!N43)</f>
        <v/>
      </c>
      <c r="C144" s="132"/>
      <c r="D144" s="132"/>
      <c r="E144" s="132"/>
      <c r="F144" s="215" t="str">
        <f>IF(ROW(A27)&lt;=Capacity!$M$16,Capacity!Q43,"")</f>
        <v/>
      </c>
      <c r="G144" s="320" t="str">
        <f>IF(ROW(A27)&lt;=Capacity!$M$16,'Capacity calculation (hide)'!BH138,"")</f>
        <v/>
      </c>
      <c r="H144" s="215" t="str">
        <f>IF(ROW(A27)&lt;=Capacity!$M$16,Capacity!T43,"")</f>
        <v/>
      </c>
      <c r="I144" s="217" t="str">
        <f>IF(ROW(A27)&lt;=Capacity!$M$16,'Capacity calculation (hide)'!DL137,"")</f>
        <v/>
      </c>
      <c r="J144" s="218" t="str">
        <f t="shared" si="2"/>
        <v/>
      </c>
    </row>
    <row r="145" spans="2:10" hidden="1" x14ac:dyDescent="0.2">
      <c r="B145" s="218" t="str">
        <f>IF(Capacity!N44=0,"",Capacity!N44)</f>
        <v/>
      </c>
      <c r="C145" s="132"/>
      <c r="D145" s="132"/>
      <c r="E145" s="132"/>
      <c r="F145" s="215" t="str">
        <f>IF(ROW(A28)&lt;=Capacity!$M$16,Capacity!Q44,"")</f>
        <v/>
      </c>
      <c r="G145" s="320" t="str">
        <f>IF(ROW(A28)&lt;=Capacity!$M$16,'Capacity calculation (hide)'!BH139,"")</f>
        <v/>
      </c>
      <c r="H145" s="215" t="str">
        <f>IF(ROW(A28)&lt;=Capacity!$M$16,Capacity!T44,"")</f>
        <v/>
      </c>
      <c r="I145" s="217" t="str">
        <f>IF(ROW(A28)&lt;=Capacity!$M$16,'Capacity calculation (hide)'!DL138,"")</f>
        <v/>
      </c>
      <c r="J145" s="218" t="str">
        <f t="shared" si="2"/>
        <v/>
      </c>
    </row>
    <row r="146" spans="2:10" hidden="1" x14ac:dyDescent="0.2">
      <c r="B146" s="218" t="str">
        <f>IF(Capacity!N45=0,"",Capacity!N45)</f>
        <v/>
      </c>
      <c r="C146" s="132"/>
      <c r="D146" s="132"/>
      <c r="E146" s="132"/>
      <c r="F146" s="215" t="str">
        <f>IF(ROW(A29)&lt;=Capacity!$M$16,Capacity!Q45,"")</f>
        <v/>
      </c>
      <c r="G146" s="320" t="str">
        <f>IF(ROW(A29)&lt;=Capacity!$M$16,'Capacity calculation (hide)'!BH140,"")</f>
        <v/>
      </c>
      <c r="H146" s="215" t="str">
        <f>IF(ROW(A29)&lt;=Capacity!$M$16,Capacity!T45,"")</f>
        <v/>
      </c>
      <c r="I146" s="217" t="str">
        <f>IF(ROW(A29)&lt;=Capacity!$M$16,'Capacity calculation (hide)'!DL139,"")</f>
        <v/>
      </c>
      <c r="J146" s="218" t="str">
        <f t="shared" si="2"/>
        <v/>
      </c>
    </row>
    <row r="147" spans="2:10" hidden="1" x14ac:dyDescent="0.2">
      <c r="B147" s="218" t="str">
        <f>IF(Capacity!N46=0,"",Capacity!N46)</f>
        <v/>
      </c>
      <c r="C147" s="132"/>
      <c r="D147" s="132"/>
      <c r="E147" s="132"/>
      <c r="F147" s="215" t="str">
        <f>IF(ROW(A30)&lt;=Capacity!$M$16,Capacity!Q46,"")</f>
        <v/>
      </c>
      <c r="G147" s="320" t="str">
        <f>IF(ROW(A30)&lt;=Capacity!$M$16,'Capacity calculation (hide)'!BH141,"")</f>
        <v/>
      </c>
      <c r="H147" s="215" t="str">
        <f>IF(ROW(A30)&lt;=Capacity!$M$16,Capacity!T46,"")</f>
        <v/>
      </c>
      <c r="I147" s="217" t="str">
        <f>IF(ROW(A30)&lt;=Capacity!$M$16,'Capacity calculation (hide)'!DL140,"")</f>
        <v/>
      </c>
      <c r="J147" s="218" t="str">
        <f t="shared" si="2"/>
        <v/>
      </c>
    </row>
    <row r="148" spans="2:10" hidden="1" x14ac:dyDescent="0.2">
      <c r="B148" s="218" t="str">
        <f>IF(Capacity!N47=0,"",Capacity!N47)</f>
        <v/>
      </c>
      <c r="C148" s="132"/>
      <c r="D148" s="132"/>
      <c r="E148" s="132"/>
      <c r="F148" s="215" t="str">
        <f>IF(ROW(A31)&lt;=Capacity!$M$16,Capacity!Q47,"")</f>
        <v/>
      </c>
      <c r="G148" s="320" t="str">
        <f>IF(ROW(A31)&lt;=Capacity!$M$16,'Capacity calculation (hide)'!BH142,"")</f>
        <v/>
      </c>
      <c r="H148" s="215" t="str">
        <f>IF(ROW(A31)&lt;=Capacity!$M$16,Capacity!T47,"")</f>
        <v/>
      </c>
      <c r="I148" s="217" t="str">
        <f>IF(ROW(A31)&lt;=Capacity!$M$16,'Capacity calculation (hide)'!DL141,"")</f>
        <v/>
      </c>
      <c r="J148" s="218" t="str">
        <f t="shared" si="2"/>
        <v/>
      </c>
    </row>
    <row r="149" spans="2:10" hidden="1" x14ac:dyDescent="0.2">
      <c r="B149" s="218" t="str">
        <f>IF(Capacity!N48=0,"",Capacity!N48)</f>
        <v/>
      </c>
      <c r="C149" s="132"/>
      <c r="D149" s="132"/>
      <c r="E149" s="132"/>
      <c r="F149" s="215" t="str">
        <f>IF(ROW(A32)&lt;=Capacity!$M$16,Capacity!Q48,"")</f>
        <v/>
      </c>
      <c r="G149" s="320" t="str">
        <f>IF(ROW(A32)&lt;=Capacity!$M$16,'Capacity calculation (hide)'!BH143,"")</f>
        <v/>
      </c>
      <c r="H149" s="215" t="str">
        <f>IF(ROW(A32)&lt;=Capacity!$M$16,Capacity!T48,"")</f>
        <v/>
      </c>
      <c r="I149" s="217" t="str">
        <f>IF(ROW(A32)&lt;=Capacity!$M$16,'Capacity calculation (hide)'!DL142,"")</f>
        <v/>
      </c>
      <c r="J149" s="218" t="str">
        <f t="shared" si="2"/>
        <v/>
      </c>
    </row>
    <row r="150" spans="2:10" hidden="1" x14ac:dyDescent="0.2">
      <c r="B150" s="218" t="str">
        <f>IF(Capacity!N49=0,"",Capacity!N49)</f>
        <v/>
      </c>
      <c r="C150" s="132"/>
      <c r="D150" s="132"/>
      <c r="E150" s="132"/>
      <c r="F150" s="215" t="str">
        <f>IF(ROW(A33)&lt;=Capacity!$M$16,Capacity!Q49,"")</f>
        <v/>
      </c>
      <c r="G150" s="320" t="str">
        <f>IF(ROW(A33)&lt;=Capacity!$M$16,'Capacity calculation (hide)'!BH144,"")</f>
        <v/>
      </c>
      <c r="H150" s="215" t="str">
        <f>IF(ROW(A33)&lt;=Capacity!$M$16,Capacity!T49,"")</f>
        <v/>
      </c>
      <c r="I150" s="217" t="str">
        <f>IF(ROW(A33)&lt;=Capacity!$M$16,'Capacity calculation (hide)'!DL143,"")</f>
        <v/>
      </c>
      <c r="J150" s="218" t="str">
        <f t="shared" si="2"/>
        <v/>
      </c>
    </row>
    <row r="151" spans="2:10" hidden="1" x14ac:dyDescent="0.2">
      <c r="B151" s="218" t="str">
        <f>IF(Capacity!N50=0,"",Capacity!N50)</f>
        <v/>
      </c>
      <c r="C151" s="132"/>
      <c r="D151" s="132"/>
      <c r="E151" s="132"/>
      <c r="F151" s="215" t="str">
        <f>IF(ROW(A34)&lt;=Capacity!$M$16,Capacity!Q50,"")</f>
        <v/>
      </c>
      <c r="G151" s="320" t="str">
        <f>IF(ROW(A34)&lt;=Capacity!$M$16,'Capacity calculation (hide)'!BH145,"")</f>
        <v/>
      </c>
      <c r="H151" s="215" t="str">
        <f>IF(ROW(A34)&lt;=Capacity!$M$16,Capacity!T50,"")</f>
        <v/>
      </c>
      <c r="I151" s="217" t="str">
        <f>IF(ROW(A34)&lt;=Capacity!$M$16,'Capacity calculation (hide)'!DL144,"")</f>
        <v/>
      </c>
      <c r="J151" s="218" t="str">
        <f t="shared" si="2"/>
        <v/>
      </c>
    </row>
    <row r="152" spans="2:10" hidden="1" x14ac:dyDescent="0.2">
      <c r="B152" s="218" t="str">
        <f>IF(Capacity!N51=0,"",Capacity!N51)</f>
        <v/>
      </c>
      <c r="C152" s="132"/>
      <c r="D152" s="132"/>
      <c r="E152" s="132"/>
      <c r="F152" s="215" t="str">
        <f>IF(ROW(A35)&lt;=Capacity!$M$16,Capacity!Q51,"")</f>
        <v/>
      </c>
      <c r="G152" s="320" t="str">
        <f>IF(ROW(A35)&lt;=Capacity!$M$16,'Capacity calculation (hide)'!BH146,"")</f>
        <v/>
      </c>
      <c r="H152" s="215" t="str">
        <f>IF(ROW(A35)&lt;=Capacity!$M$16,Capacity!T51,"")</f>
        <v/>
      </c>
      <c r="I152" s="217" t="str">
        <f>IF(ROW(A35)&lt;=Capacity!$M$16,'Capacity calculation (hide)'!DL145,"")</f>
        <v/>
      </c>
      <c r="J152" s="218" t="str">
        <f t="shared" si="2"/>
        <v/>
      </c>
    </row>
    <row r="153" spans="2:10" hidden="1" x14ac:dyDescent="0.2">
      <c r="B153" s="218" t="str">
        <f>IF(Capacity!N52=0,"",Capacity!N52)</f>
        <v/>
      </c>
      <c r="C153" s="132"/>
      <c r="D153" s="132"/>
      <c r="E153" s="132"/>
      <c r="F153" s="215" t="str">
        <f>IF(ROW(A36)&lt;=Capacity!$M$16,Capacity!Q52,"")</f>
        <v/>
      </c>
      <c r="G153" s="320" t="str">
        <f>IF(ROW(A36)&lt;=Capacity!$M$16,'Capacity calculation (hide)'!BH147,"")</f>
        <v/>
      </c>
      <c r="H153" s="215" t="str">
        <f>IF(ROW(A36)&lt;=Capacity!$M$16,Capacity!T52,"")</f>
        <v/>
      </c>
      <c r="I153" s="217" t="str">
        <f>IF(ROW(A36)&lt;=Capacity!$M$16,'Capacity calculation (hide)'!DL146,"")</f>
        <v/>
      </c>
      <c r="J153" s="218" t="str">
        <f t="shared" si="2"/>
        <v/>
      </c>
    </row>
    <row r="154" spans="2:10" hidden="1" x14ac:dyDescent="0.2">
      <c r="B154" s="218" t="str">
        <f>IF(Capacity!N53=0,"",Capacity!N53)</f>
        <v/>
      </c>
      <c r="C154" s="132"/>
      <c r="D154" s="132"/>
      <c r="E154" s="132"/>
      <c r="F154" s="215" t="str">
        <f>IF(ROW(A37)&lt;=Capacity!$M$16,Capacity!Q53,"")</f>
        <v/>
      </c>
      <c r="G154" s="320" t="str">
        <f>IF(ROW(A37)&lt;=Capacity!$M$16,'Capacity calculation (hide)'!BH148,"")</f>
        <v/>
      </c>
      <c r="H154" s="215" t="str">
        <f>IF(ROW(A37)&lt;=Capacity!$M$16,Capacity!T53,"")</f>
        <v/>
      </c>
      <c r="I154" s="217" t="str">
        <f>IF(ROW(A37)&lt;=Capacity!$M$16,'Capacity calculation (hide)'!DL147,"")</f>
        <v/>
      </c>
      <c r="J154" s="218" t="str">
        <f t="shared" si="2"/>
        <v/>
      </c>
    </row>
    <row r="155" spans="2:10" hidden="1" x14ac:dyDescent="0.2">
      <c r="B155" s="218" t="str">
        <f>IF(Capacity!N54=0,"",Capacity!N54)</f>
        <v/>
      </c>
      <c r="C155" s="132"/>
      <c r="D155" s="132"/>
      <c r="E155" s="132"/>
      <c r="F155" s="215" t="str">
        <f>IF(ROW(A38)&lt;=Capacity!$M$16,Capacity!Q54,"")</f>
        <v/>
      </c>
      <c r="G155" s="320" t="str">
        <f>IF(ROW(A38)&lt;=Capacity!$M$16,'Capacity calculation (hide)'!BH149,"")</f>
        <v/>
      </c>
      <c r="H155" s="215" t="str">
        <f>IF(ROW(A38)&lt;=Capacity!$M$16,Capacity!T54,"")</f>
        <v/>
      </c>
      <c r="I155" s="217" t="str">
        <f>IF(ROW(A38)&lt;=Capacity!$M$16,'Capacity calculation (hide)'!DL148,"")</f>
        <v/>
      </c>
      <c r="J155" s="218" t="str">
        <f t="shared" si="2"/>
        <v/>
      </c>
    </row>
    <row r="156" spans="2:10" hidden="1" x14ac:dyDescent="0.2">
      <c r="B156" s="218" t="str">
        <f>IF(Capacity!N55=0,"",Capacity!N55)</f>
        <v/>
      </c>
      <c r="C156" s="132"/>
      <c r="D156" s="132"/>
      <c r="E156" s="132"/>
      <c r="F156" s="215" t="str">
        <f>IF(ROW(A39)&lt;=Capacity!$M$16,Capacity!Q55,"")</f>
        <v/>
      </c>
      <c r="G156" s="320" t="str">
        <f>IF(ROW(A39)&lt;=Capacity!$M$16,'Capacity calculation (hide)'!BH150,"")</f>
        <v/>
      </c>
      <c r="H156" s="215" t="str">
        <f>IF(ROW(A39)&lt;=Capacity!$M$16,Capacity!T55,"")</f>
        <v/>
      </c>
      <c r="I156" s="217" t="str">
        <f>IF(ROW(A39)&lt;=Capacity!$M$16,'Capacity calculation (hide)'!DL149,"")</f>
        <v/>
      </c>
      <c r="J156" s="218" t="str">
        <f t="shared" si="2"/>
        <v/>
      </c>
    </row>
    <row r="157" spans="2:10" hidden="1" x14ac:dyDescent="0.2">
      <c r="B157" s="218" t="str">
        <f>IF(Capacity!N56=0,"",Capacity!N56)</f>
        <v/>
      </c>
      <c r="C157" s="132"/>
      <c r="D157" s="132"/>
      <c r="E157" s="132"/>
      <c r="F157" s="215" t="str">
        <f>IF(ROW(A40)&lt;=Capacity!$M$16,Capacity!Q56,"")</f>
        <v/>
      </c>
      <c r="G157" s="320" t="str">
        <f>IF(ROW(A40)&lt;=Capacity!$M$16,'Capacity calculation (hide)'!BH151,"")</f>
        <v/>
      </c>
      <c r="H157" s="215" t="str">
        <f>IF(ROW(A40)&lt;=Capacity!$M$16,Capacity!T56,"")</f>
        <v/>
      </c>
      <c r="I157" s="217" t="str">
        <f>IF(ROW(A40)&lt;=Capacity!$M$16,'Capacity calculation (hide)'!DL150,"")</f>
        <v/>
      </c>
      <c r="J157" s="218" t="str">
        <f t="shared" si="2"/>
        <v/>
      </c>
    </row>
    <row r="158" spans="2:10" hidden="1" x14ac:dyDescent="0.2">
      <c r="B158" s="218" t="str">
        <f>IF(Capacity!N57=0,"",Capacity!N57)</f>
        <v/>
      </c>
      <c r="C158" s="132"/>
      <c r="D158" s="132"/>
      <c r="E158" s="132"/>
      <c r="F158" s="215" t="str">
        <f>IF(ROW(A41)&lt;=Capacity!$M$16,Capacity!Q57,"")</f>
        <v/>
      </c>
      <c r="G158" s="320" t="str">
        <f>IF(ROW(A41)&lt;=Capacity!$M$16,'Capacity calculation (hide)'!BH152,"")</f>
        <v/>
      </c>
      <c r="H158" s="215" t="str">
        <f>IF(ROW(A41)&lt;=Capacity!$M$16,Capacity!T57,"")</f>
        <v/>
      </c>
      <c r="I158" s="217" t="str">
        <f>IF(ROW(A41)&lt;=Capacity!$M$16,'Capacity calculation (hide)'!DL151,"")</f>
        <v/>
      </c>
      <c r="J158" s="218" t="str">
        <f t="shared" si="2"/>
        <v/>
      </c>
    </row>
    <row r="159" spans="2:10" hidden="1" x14ac:dyDescent="0.2">
      <c r="B159" s="218" t="str">
        <f>IF(Capacity!N58=0,"",Capacity!N58)</f>
        <v/>
      </c>
      <c r="C159" s="132"/>
      <c r="D159" s="132"/>
      <c r="E159" s="132"/>
      <c r="F159" s="215" t="str">
        <f>IF(ROW(A42)&lt;=Capacity!$M$16,Capacity!Q58,"")</f>
        <v/>
      </c>
      <c r="G159" s="320" t="str">
        <f>IF(ROW(A42)&lt;=Capacity!$M$16,'Capacity calculation (hide)'!BH153,"")</f>
        <v/>
      </c>
      <c r="H159" s="215" t="str">
        <f>IF(ROW(A42)&lt;=Capacity!$M$16,Capacity!T58,"")</f>
        <v/>
      </c>
      <c r="I159" s="217" t="str">
        <f>IF(ROW(A42)&lt;=Capacity!$M$16,'Capacity calculation (hide)'!DL152,"")</f>
        <v/>
      </c>
      <c r="J159" s="218" t="str">
        <f t="shared" si="2"/>
        <v/>
      </c>
    </row>
    <row r="160" spans="2:10" hidden="1" x14ac:dyDescent="0.2">
      <c r="B160" s="218" t="str">
        <f>IF(Capacity!N59=0,"",Capacity!N59)</f>
        <v/>
      </c>
      <c r="C160" s="132"/>
      <c r="D160" s="132"/>
      <c r="E160" s="132"/>
      <c r="F160" s="215" t="str">
        <f>IF(ROW(A43)&lt;=Capacity!$M$16,Capacity!Q59,"")</f>
        <v/>
      </c>
      <c r="G160" s="320" t="str">
        <f>IF(ROW(A43)&lt;=Capacity!$M$16,'Capacity calculation (hide)'!BH154,"")</f>
        <v/>
      </c>
      <c r="H160" s="215" t="str">
        <f>IF(ROW(A43)&lt;=Capacity!$M$16,Capacity!T59,"")</f>
        <v/>
      </c>
      <c r="I160" s="217" t="str">
        <f>IF(ROW(A43)&lt;=Capacity!$M$16,'Capacity calculation (hide)'!DL153,"")</f>
        <v/>
      </c>
      <c r="J160" s="218" t="str">
        <f t="shared" si="2"/>
        <v/>
      </c>
    </row>
    <row r="161" spans="2:10" hidden="1" x14ac:dyDescent="0.2">
      <c r="B161" s="218" t="str">
        <f>IF(Capacity!N60=0,"",Capacity!N60)</f>
        <v/>
      </c>
      <c r="C161" s="132"/>
      <c r="D161" s="132"/>
      <c r="E161" s="132"/>
      <c r="F161" s="215" t="str">
        <f>IF(ROW(A44)&lt;=Capacity!$M$16,Capacity!Q60,"")</f>
        <v/>
      </c>
      <c r="G161" s="320" t="str">
        <f>IF(ROW(A44)&lt;=Capacity!$M$16,'Capacity calculation (hide)'!BH155,"")</f>
        <v/>
      </c>
      <c r="H161" s="215" t="str">
        <f>IF(ROW(A44)&lt;=Capacity!$M$16,Capacity!T60,"")</f>
        <v/>
      </c>
      <c r="I161" s="217" t="str">
        <f>IF(ROW(A44)&lt;=Capacity!$M$16,'Capacity calculation (hide)'!DL154,"")</f>
        <v/>
      </c>
      <c r="J161" s="218" t="str">
        <f t="shared" si="2"/>
        <v/>
      </c>
    </row>
    <row r="162" spans="2:10" hidden="1" x14ac:dyDescent="0.2">
      <c r="B162" s="218" t="str">
        <f>IF(Capacity!N61=0,"",Capacity!N61)</f>
        <v/>
      </c>
      <c r="C162" s="132"/>
      <c r="D162" s="132"/>
      <c r="E162" s="132"/>
      <c r="F162" s="215" t="str">
        <f>IF(ROW(A45)&lt;=Capacity!$M$16,Capacity!Q61,"")</f>
        <v/>
      </c>
      <c r="G162" s="320" t="str">
        <f>IF(ROW(A45)&lt;=Capacity!$M$16,'Capacity calculation (hide)'!BH156,"")</f>
        <v/>
      </c>
      <c r="H162" s="215" t="str">
        <f>IF(ROW(A45)&lt;=Capacity!$M$16,Capacity!T61,"")</f>
        <v/>
      </c>
      <c r="I162" s="217" t="str">
        <f>IF(ROW(A45)&lt;=Capacity!$M$16,'Capacity calculation (hide)'!DL155,"")</f>
        <v/>
      </c>
      <c r="J162" s="218" t="str">
        <f t="shared" si="2"/>
        <v/>
      </c>
    </row>
    <row r="163" spans="2:10" hidden="1" x14ac:dyDescent="0.2">
      <c r="B163" s="218" t="str">
        <f>IF(Capacity!N62=0,"",Capacity!N62)</f>
        <v/>
      </c>
      <c r="C163" s="132"/>
      <c r="D163" s="132"/>
      <c r="E163" s="132"/>
      <c r="F163" s="215" t="str">
        <f>IF(ROW(A46)&lt;=Capacity!$M$16,Capacity!Q62,"")</f>
        <v/>
      </c>
      <c r="G163" s="320" t="str">
        <f>IF(ROW(A46)&lt;=Capacity!$M$16,'Capacity calculation (hide)'!BH157,"")</f>
        <v/>
      </c>
      <c r="H163" s="215" t="str">
        <f>IF(ROW(A46)&lt;=Capacity!$M$16,Capacity!T62,"")</f>
        <v/>
      </c>
      <c r="I163" s="217" t="str">
        <f>IF(ROW(A46)&lt;=Capacity!$M$16,'Capacity calculation (hide)'!DL156,"")</f>
        <v/>
      </c>
      <c r="J163" s="218" t="str">
        <f t="shared" si="2"/>
        <v/>
      </c>
    </row>
    <row r="164" spans="2:10" hidden="1" x14ac:dyDescent="0.2">
      <c r="B164" s="218" t="str">
        <f>IF(Capacity!N63=0,"",Capacity!N63)</f>
        <v/>
      </c>
      <c r="C164" s="132"/>
      <c r="D164" s="132"/>
      <c r="E164" s="132"/>
      <c r="F164" s="215" t="str">
        <f>IF(ROW(A47)&lt;=Capacity!$M$16,Capacity!Q63,"")</f>
        <v/>
      </c>
      <c r="G164" s="320" t="str">
        <f>IF(ROW(A47)&lt;=Capacity!$M$16,'Capacity calculation (hide)'!BH158,"")</f>
        <v/>
      </c>
      <c r="H164" s="215" t="str">
        <f>IF(ROW(A47)&lt;=Capacity!$M$16,Capacity!T63,"")</f>
        <v/>
      </c>
      <c r="I164" s="217" t="str">
        <f>IF(ROW(A47)&lt;=Capacity!$M$16,'Capacity calculation (hide)'!DL157,"")</f>
        <v/>
      </c>
      <c r="J164" s="218" t="str">
        <f t="shared" si="2"/>
        <v/>
      </c>
    </row>
    <row r="165" spans="2:10" hidden="1" x14ac:dyDescent="0.2">
      <c r="B165" s="218" t="str">
        <f>IF(Capacity!N64=0,"",Capacity!N64)</f>
        <v/>
      </c>
      <c r="C165" s="132"/>
      <c r="D165" s="132"/>
      <c r="E165" s="132"/>
      <c r="F165" s="215" t="str">
        <f>IF(ROW(A48)&lt;=Capacity!$M$16,Capacity!Q64,"")</f>
        <v/>
      </c>
      <c r="G165" s="320" t="str">
        <f>IF(ROW(A48)&lt;=Capacity!$M$16,'Capacity calculation (hide)'!BH159,"")</f>
        <v/>
      </c>
      <c r="H165" s="215" t="str">
        <f>IF(ROW(A48)&lt;=Capacity!$M$16,Capacity!T64,"")</f>
        <v/>
      </c>
      <c r="I165" s="217" t="str">
        <f>IF(ROW(A48)&lt;=Capacity!$M$16,'Capacity calculation (hide)'!DL158,"")</f>
        <v/>
      </c>
      <c r="J165" s="218" t="str">
        <f t="shared" si="2"/>
        <v/>
      </c>
    </row>
    <row r="166" spans="2:10" hidden="1" x14ac:dyDescent="0.2">
      <c r="B166" s="218" t="str">
        <f>IF(Capacity!N65=0,"",Capacity!N65)</f>
        <v/>
      </c>
      <c r="C166" s="132"/>
      <c r="D166" s="132"/>
      <c r="E166" s="132"/>
      <c r="F166" s="215" t="str">
        <f>IF(ROW(A49)&lt;=Capacity!$M$16,Capacity!Q65,"")</f>
        <v/>
      </c>
      <c r="G166" s="320" t="str">
        <f>IF(ROW(A49)&lt;=Capacity!$M$16,'Capacity calculation (hide)'!BH160,"")</f>
        <v/>
      </c>
      <c r="H166" s="215" t="str">
        <f>IF(ROW(A49)&lt;=Capacity!$M$16,Capacity!T65,"")</f>
        <v/>
      </c>
      <c r="I166" s="217" t="str">
        <f>IF(ROW(A49)&lt;=Capacity!$M$16,'Capacity calculation (hide)'!DL159,"")</f>
        <v/>
      </c>
      <c r="J166" s="218" t="str">
        <f t="shared" si="2"/>
        <v/>
      </c>
    </row>
    <row r="167" spans="2:10" hidden="1" x14ac:dyDescent="0.2">
      <c r="B167" s="218" t="str">
        <f>IF(Capacity!N66=0,"",Capacity!N66)</f>
        <v/>
      </c>
      <c r="C167" s="132"/>
      <c r="D167" s="132"/>
      <c r="E167" s="132"/>
      <c r="F167" s="215" t="str">
        <f>IF(ROW(A50)&lt;=Capacity!$M$16,Capacity!Q66,"")</f>
        <v/>
      </c>
      <c r="G167" s="320" t="str">
        <f>IF(ROW(A50)&lt;=Capacity!$M$16,'Capacity calculation (hide)'!BH161,"")</f>
        <v/>
      </c>
      <c r="H167" s="215" t="str">
        <f>IF(ROW(A50)&lt;=Capacity!$M$16,Capacity!T66,"")</f>
        <v/>
      </c>
      <c r="I167" s="217" t="str">
        <f>IF(ROW(A50)&lt;=Capacity!$M$16,'Capacity calculation (hide)'!DL160,"")</f>
        <v/>
      </c>
      <c r="J167" s="218" t="str">
        <f t="shared" si="2"/>
        <v/>
      </c>
    </row>
    <row r="168" spans="2:10" hidden="1" x14ac:dyDescent="0.2">
      <c r="B168" s="218" t="str">
        <f>IF(Capacity!N67=0,"",Capacity!N67)</f>
        <v/>
      </c>
      <c r="C168" s="132"/>
      <c r="D168" s="132"/>
      <c r="E168" s="132"/>
      <c r="F168" s="215" t="str">
        <f>IF(ROW(A51)&lt;=Capacity!$M$16,Capacity!Q67,"")</f>
        <v/>
      </c>
      <c r="G168" s="320" t="str">
        <f>IF(ROW(A51)&lt;=Capacity!$M$16,'Capacity calculation (hide)'!BH162,"")</f>
        <v/>
      </c>
      <c r="H168" s="215" t="str">
        <f>IF(ROW(A51)&lt;=Capacity!$M$16,Capacity!T67,"")</f>
        <v/>
      </c>
      <c r="I168" s="217" t="str">
        <f>IF(ROW(A51)&lt;=Capacity!$M$16,'Capacity calculation (hide)'!DL161,"")</f>
        <v/>
      </c>
      <c r="J168" s="218" t="str">
        <f t="shared" si="2"/>
        <v/>
      </c>
    </row>
    <row r="169" spans="2:10" hidden="1" x14ac:dyDescent="0.2">
      <c r="B169" s="218" t="str">
        <f>IF(Capacity!N68=0,"",Capacity!N68)</f>
        <v/>
      </c>
      <c r="C169" s="132"/>
      <c r="D169" s="132"/>
      <c r="E169" s="132"/>
      <c r="F169" s="215" t="str">
        <f>IF(ROW(A52)&lt;=Capacity!$M$16,Capacity!Q68,"")</f>
        <v/>
      </c>
      <c r="G169" s="320" t="str">
        <f>IF(ROW(A52)&lt;=Capacity!$M$16,'Capacity calculation (hide)'!BH163,"")</f>
        <v/>
      </c>
      <c r="H169" s="215" t="str">
        <f>IF(ROW(A52)&lt;=Capacity!$M$16,Capacity!T68,"")</f>
        <v/>
      </c>
      <c r="I169" s="217" t="str">
        <f>IF(ROW(A52)&lt;=Capacity!$M$16,'Capacity calculation (hide)'!DL162,"")</f>
        <v/>
      </c>
      <c r="J169" s="218" t="str">
        <f t="shared" si="2"/>
        <v/>
      </c>
    </row>
    <row r="170" spans="2:10" hidden="1" x14ac:dyDescent="0.2">
      <c r="B170" s="218" t="str">
        <f>IF(Capacity!N69=0,"",Capacity!N69)</f>
        <v/>
      </c>
      <c r="C170" s="132"/>
      <c r="D170" s="132"/>
      <c r="E170" s="132"/>
      <c r="F170" s="215" t="str">
        <f>IF(ROW(A53)&lt;=Capacity!$M$16,Capacity!Q69,"")</f>
        <v/>
      </c>
      <c r="G170" s="320" t="str">
        <f>IF(ROW(A53)&lt;=Capacity!$M$16,'Capacity calculation (hide)'!BH164,"")</f>
        <v/>
      </c>
      <c r="H170" s="215" t="str">
        <f>IF(ROW(A53)&lt;=Capacity!$M$16,Capacity!T69,"")</f>
        <v/>
      </c>
      <c r="I170" s="217" t="str">
        <f>IF(ROW(A53)&lt;=Capacity!$M$16,'Capacity calculation (hide)'!DL163,"")</f>
        <v/>
      </c>
      <c r="J170" s="218" t="str">
        <f t="shared" si="2"/>
        <v/>
      </c>
    </row>
    <row r="171" spans="2:10" hidden="1" x14ac:dyDescent="0.2">
      <c r="B171" s="218" t="str">
        <f>IF(Capacity!N70=0,"",Capacity!N70)</f>
        <v/>
      </c>
      <c r="C171" s="132"/>
      <c r="D171" s="132"/>
      <c r="E171" s="132"/>
      <c r="F171" s="215" t="str">
        <f>IF(ROW(A54)&lt;=Capacity!$M$16,Capacity!Q70,"")</f>
        <v/>
      </c>
      <c r="G171" s="320" t="str">
        <f>IF(ROW(A54)&lt;=Capacity!$M$16,'Capacity calculation (hide)'!BH165,"")</f>
        <v/>
      </c>
      <c r="H171" s="215" t="str">
        <f>IF(ROW(A54)&lt;=Capacity!$M$16,Capacity!T70,"")</f>
        <v/>
      </c>
      <c r="I171" s="217" t="str">
        <f>IF(ROW(A54)&lt;=Capacity!$M$16,'Capacity calculation (hide)'!DL164,"")</f>
        <v/>
      </c>
      <c r="J171" s="218" t="str">
        <f t="shared" si="2"/>
        <v/>
      </c>
    </row>
    <row r="172" spans="2:10" hidden="1" x14ac:dyDescent="0.2">
      <c r="B172" s="218" t="str">
        <f>IF(Capacity!N71=0,"",Capacity!N71)</f>
        <v/>
      </c>
      <c r="C172" s="132"/>
      <c r="D172" s="132"/>
      <c r="E172" s="132"/>
      <c r="F172" s="215" t="str">
        <f>IF(ROW(A55)&lt;=Capacity!$M$16,Capacity!Q71,"")</f>
        <v/>
      </c>
      <c r="G172" s="320" t="str">
        <f>IF(ROW(A55)&lt;=Capacity!$M$16,'Capacity calculation (hide)'!BH166,"")</f>
        <v/>
      </c>
      <c r="H172" s="215" t="str">
        <f>IF(ROW(A55)&lt;=Capacity!$M$16,Capacity!T71,"")</f>
        <v/>
      </c>
      <c r="I172" s="217" t="str">
        <f>IF(ROW(A55)&lt;=Capacity!$M$16,'Capacity calculation (hide)'!DL165,"")</f>
        <v/>
      </c>
      <c r="J172" s="218" t="str">
        <f t="shared" si="2"/>
        <v/>
      </c>
    </row>
    <row r="173" spans="2:10" hidden="1" x14ac:dyDescent="0.2">
      <c r="B173" s="218" t="str">
        <f>IF(Capacity!N72=0,"",Capacity!N72)</f>
        <v/>
      </c>
      <c r="C173" s="132"/>
      <c r="D173" s="132"/>
      <c r="E173" s="132"/>
      <c r="F173" s="215" t="str">
        <f>IF(ROW(A56)&lt;=Capacity!$M$16,Capacity!Q72,"")</f>
        <v/>
      </c>
      <c r="G173" s="320" t="str">
        <f>IF(ROW(A56)&lt;=Capacity!$M$16,'Capacity calculation (hide)'!BH167,"")</f>
        <v/>
      </c>
      <c r="H173" s="215" t="str">
        <f>IF(ROW(A56)&lt;=Capacity!$M$16,Capacity!T72,"")</f>
        <v/>
      </c>
      <c r="I173" s="217" t="str">
        <f>IF(ROW(A56)&lt;=Capacity!$M$16,'Capacity calculation (hide)'!DL166,"")</f>
        <v/>
      </c>
      <c r="J173" s="218" t="str">
        <f t="shared" si="2"/>
        <v/>
      </c>
    </row>
    <row r="174" spans="2:10" hidden="1" x14ac:dyDescent="0.2">
      <c r="B174" s="218" t="str">
        <f>IF(Capacity!N73=0,"",Capacity!N73)</f>
        <v/>
      </c>
      <c r="C174" s="132"/>
      <c r="D174" s="132"/>
      <c r="E174" s="132"/>
      <c r="F174" s="215" t="str">
        <f>IF(ROW(A57)&lt;=Capacity!$M$16,Capacity!Q73,"")</f>
        <v/>
      </c>
      <c r="G174" s="320" t="str">
        <f>IF(ROW(A57)&lt;=Capacity!$M$16,'Capacity calculation (hide)'!BH168,"")</f>
        <v/>
      </c>
      <c r="H174" s="215" t="str">
        <f>IF(ROW(A57)&lt;=Capacity!$M$16,Capacity!T73,"")</f>
        <v/>
      </c>
      <c r="I174" s="217" t="str">
        <f>IF(ROW(A57)&lt;=Capacity!$M$16,'Capacity calculation (hide)'!DL167,"")</f>
        <v/>
      </c>
      <c r="J174" s="218" t="str">
        <f t="shared" si="2"/>
        <v/>
      </c>
    </row>
    <row r="175" spans="2:10" hidden="1" x14ac:dyDescent="0.2">
      <c r="B175" s="218" t="str">
        <f>IF(Capacity!N74=0,"",Capacity!N74)</f>
        <v/>
      </c>
      <c r="C175" s="132"/>
      <c r="D175" s="132"/>
      <c r="E175" s="132"/>
      <c r="F175" s="215" t="str">
        <f>IF(ROW(A58)&lt;=Capacity!$M$16,Capacity!Q74,"")</f>
        <v/>
      </c>
      <c r="G175" s="320" t="str">
        <f>IF(ROW(A58)&lt;=Capacity!$M$16,'Capacity calculation (hide)'!BH169,"")</f>
        <v/>
      </c>
      <c r="H175" s="215" t="str">
        <f>IF(ROW(A58)&lt;=Capacity!$M$16,Capacity!T74,"")</f>
        <v/>
      </c>
      <c r="I175" s="217" t="str">
        <f>IF(ROW(A58)&lt;=Capacity!$M$16,'Capacity calculation (hide)'!DL168,"")</f>
        <v/>
      </c>
      <c r="J175" s="218" t="str">
        <f t="shared" si="2"/>
        <v/>
      </c>
    </row>
    <row r="176" spans="2:10" hidden="1" x14ac:dyDescent="0.2">
      <c r="B176" s="218" t="str">
        <f>IF(Capacity!N75=0,"",Capacity!N75)</f>
        <v/>
      </c>
      <c r="C176" s="132"/>
      <c r="D176" s="132"/>
      <c r="E176" s="132"/>
      <c r="F176" s="215" t="str">
        <f>IF(ROW(A59)&lt;=Capacity!$M$16,Capacity!Q75,"")</f>
        <v/>
      </c>
      <c r="G176" s="320" t="str">
        <f>IF(ROW(A59)&lt;=Capacity!$M$16,'Capacity calculation (hide)'!BH170,"")</f>
        <v/>
      </c>
      <c r="H176" s="215" t="str">
        <f>IF(ROW(A59)&lt;=Capacity!$M$16,Capacity!T75,"")</f>
        <v/>
      </c>
      <c r="I176" s="217" t="str">
        <f>IF(ROW(A59)&lt;=Capacity!$M$16,'Capacity calculation (hide)'!DL169,"")</f>
        <v/>
      </c>
      <c r="J176" s="218" t="str">
        <f t="shared" si="2"/>
        <v/>
      </c>
    </row>
    <row r="177" spans="2:10" hidden="1" x14ac:dyDescent="0.2">
      <c r="B177" s="218" t="str">
        <f>IF(Capacity!N76=0,"",Capacity!N76)</f>
        <v/>
      </c>
      <c r="C177" s="132"/>
      <c r="D177" s="132"/>
      <c r="E177" s="132"/>
      <c r="F177" s="215" t="str">
        <f>IF(ROW(A60)&lt;=Capacity!$M$16,Capacity!Q76,"")</f>
        <v/>
      </c>
      <c r="G177" s="320" t="str">
        <f>IF(ROW(A60)&lt;=Capacity!$M$16,'Capacity calculation (hide)'!BH171,"")</f>
        <v/>
      </c>
      <c r="H177" s="215" t="str">
        <f>IF(ROW(A60)&lt;=Capacity!$M$16,Capacity!T76,"")</f>
        <v/>
      </c>
      <c r="I177" s="217" t="str">
        <f>IF(ROW(A60)&lt;=Capacity!$M$16,'Capacity calculation (hide)'!DL170,"")</f>
        <v/>
      </c>
      <c r="J177" s="218" t="str">
        <f t="shared" si="2"/>
        <v/>
      </c>
    </row>
    <row r="178" spans="2:10" hidden="1" x14ac:dyDescent="0.2">
      <c r="B178" s="218" t="str">
        <f>IF(Capacity!N77=0,"",Capacity!N77)</f>
        <v/>
      </c>
      <c r="C178" s="132"/>
      <c r="D178" s="132"/>
      <c r="E178" s="132"/>
      <c r="F178" s="215" t="str">
        <f>IF(ROW(A61)&lt;=Capacity!$M$16,Capacity!Q77,"")</f>
        <v/>
      </c>
      <c r="G178" s="320" t="str">
        <f>IF(ROW(A61)&lt;=Capacity!$M$16,'Capacity calculation (hide)'!BH172,"")</f>
        <v/>
      </c>
      <c r="H178" s="215" t="str">
        <f>IF(ROW(A61)&lt;=Capacity!$M$16,Capacity!T77,"")</f>
        <v/>
      </c>
      <c r="I178" s="217" t="str">
        <f>IF(ROW(A61)&lt;=Capacity!$M$16,'Capacity calculation (hide)'!DL171,"")</f>
        <v/>
      </c>
      <c r="J178" s="218" t="str">
        <f t="shared" si="2"/>
        <v/>
      </c>
    </row>
    <row r="179" spans="2:10" hidden="1" x14ac:dyDescent="0.2">
      <c r="B179" s="218" t="str">
        <f>IF(Capacity!N78=0,"",Capacity!N78)</f>
        <v/>
      </c>
      <c r="C179" s="132"/>
      <c r="D179" s="132"/>
      <c r="E179" s="132"/>
      <c r="F179" s="215" t="str">
        <f>IF(ROW(A62)&lt;=Capacity!$M$16,Capacity!Q78,"")</f>
        <v/>
      </c>
      <c r="G179" s="320" t="str">
        <f>IF(ROW(A62)&lt;=Capacity!$M$16,'Capacity calculation (hide)'!BH173,"")</f>
        <v/>
      </c>
      <c r="H179" s="215" t="str">
        <f>IF(ROW(A62)&lt;=Capacity!$M$16,Capacity!T78,"")</f>
        <v/>
      </c>
      <c r="I179" s="217" t="str">
        <f>IF(ROW(A62)&lt;=Capacity!$M$16,'Capacity calculation (hide)'!DL172,"")</f>
        <v/>
      </c>
      <c r="J179" s="218" t="str">
        <f t="shared" si="2"/>
        <v/>
      </c>
    </row>
    <row r="180" spans="2:10" hidden="1" x14ac:dyDescent="0.2">
      <c r="B180" s="218" t="str">
        <f>IF(Capacity!N79=0,"",Capacity!N79)</f>
        <v/>
      </c>
      <c r="C180" s="132"/>
      <c r="D180" s="132"/>
      <c r="E180" s="132"/>
      <c r="F180" s="215" t="str">
        <f>IF(ROW(A63)&lt;=Capacity!$M$16,Capacity!Q79,"")</f>
        <v/>
      </c>
      <c r="G180" s="320" t="str">
        <f>IF(ROW(A63)&lt;=Capacity!$M$16,'Capacity calculation (hide)'!BH174,"")</f>
        <v/>
      </c>
      <c r="H180" s="215" t="str">
        <f>IF(ROW(A63)&lt;=Capacity!$M$16,Capacity!T79,"")</f>
        <v/>
      </c>
      <c r="I180" s="217" t="str">
        <f>IF(ROW(A63)&lt;=Capacity!$M$16,'Capacity calculation (hide)'!DL173,"")</f>
        <v/>
      </c>
      <c r="J180" s="218" t="str">
        <f t="shared" si="2"/>
        <v/>
      </c>
    </row>
    <row r="181" spans="2:10" hidden="1" x14ac:dyDescent="0.2">
      <c r="B181" s="218" t="str">
        <f>IF(Capacity!N80=0,"",Capacity!N80)</f>
        <v/>
      </c>
      <c r="C181" s="132"/>
      <c r="D181" s="132"/>
      <c r="E181" s="132"/>
      <c r="F181" s="215" t="str">
        <f>IF(ROW(A64)&lt;=Capacity!$M$16,Capacity!Q80,"")</f>
        <v/>
      </c>
      <c r="G181" s="320" t="str">
        <f>IF(ROW(A64)&lt;=Capacity!$M$16,'Capacity calculation (hide)'!BH175,"")</f>
        <v/>
      </c>
      <c r="H181" s="215" t="str">
        <f>IF(ROW(A64)&lt;=Capacity!$M$16,Capacity!T80,"")</f>
        <v/>
      </c>
      <c r="I181" s="217" t="str">
        <f>IF(ROW(A64)&lt;=Capacity!$M$16,'Capacity calculation (hide)'!DL174,"")</f>
        <v/>
      </c>
      <c r="J181" s="218" t="str">
        <f t="shared" si="2"/>
        <v/>
      </c>
    </row>
    <row r="182" spans="2:10" hidden="1" x14ac:dyDescent="0.2">
      <c r="B182" s="218" t="str">
        <f>IF(Capacity!N81=0,"",Capacity!N81)</f>
        <v/>
      </c>
      <c r="C182" s="132"/>
      <c r="D182" s="132"/>
      <c r="E182" s="132"/>
      <c r="F182" s="215" t="str">
        <f>IF(ROW(A65)&lt;=Capacity!$M$16,Capacity!Q81,"")</f>
        <v/>
      </c>
      <c r="G182" s="320" t="str">
        <f>IF(ROW(A65)&lt;=Capacity!$M$16,'Capacity calculation (hide)'!BH176,"")</f>
        <v/>
      </c>
      <c r="H182" s="215" t="str">
        <f>IF(ROW(A65)&lt;=Capacity!$M$16,Capacity!T81,"")</f>
        <v/>
      </c>
      <c r="I182" s="217" t="str">
        <f>IF(ROW(A65)&lt;=Capacity!$M$16,'Capacity calculation (hide)'!DL175,"")</f>
        <v/>
      </c>
      <c r="J182" s="218" t="str">
        <f t="shared" si="2"/>
        <v/>
      </c>
    </row>
    <row r="183" spans="2:10" hidden="1" x14ac:dyDescent="0.2">
      <c r="B183" s="218" t="str">
        <f>IF(Capacity!N82=0,"",Capacity!N82)</f>
        <v/>
      </c>
      <c r="C183" s="132"/>
      <c r="D183" s="132"/>
      <c r="E183" s="132"/>
      <c r="F183" s="215" t="str">
        <f>IF(ROW(A66)&lt;=Capacity!$M$16,Capacity!Q82,"")</f>
        <v/>
      </c>
      <c r="G183" s="320" t="str">
        <f>IF(ROW(A66)&lt;=Capacity!$M$16,'Capacity calculation (hide)'!BH177,"")</f>
        <v/>
      </c>
      <c r="H183" s="215" t="str">
        <f>IF(ROW(A66)&lt;=Capacity!$M$16,Capacity!T82,"")</f>
        <v/>
      </c>
      <c r="I183" s="217" t="str">
        <f>IF(ROW(A66)&lt;=Capacity!$M$16,'Capacity calculation (hide)'!DL176,"")</f>
        <v/>
      </c>
      <c r="J183" s="218" t="str">
        <f t="shared" ref="J183:J217" si="3">IFERROR(IF(G183-F183 &lt;0, "Under","Over"),"")</f>
        <v/>
      </c>
    </row>
    <row r="184" spans="2:10" hidden="1" x14ac:dyDescent="0.2">
      <c r="B184" s="218" t="str">
        <f>IF(Capacity!N83=0,"",Capacity!N83)</f>
        <v/>
      </c>
      <c r="C184" s="132"/>
      <c r="D184" s="132"/>
      <c r="E184" s="132"/>
      <c r="F184" s="215" t="str">
        <f>IF(ROW(A67)&lt;=Capacity!$M$16,Capacity!Q83,"")</f>
        <v/>
      </c>
      <c r="G184" s="320" t="str">
        <f>IF(ROW(A67)&lt;=Capacity!$M$16,'Capacity calculation (hide)'!BH178,"")</f>
        <v/>
      </c>
      <c r="H184" s="215" t="str">
        <f>IF(ROW(A67)&lt;=Capacity!$M$16,Capacity!T83,"")</f>
        <v/>
      </c>
      <c r="I184" s="217" t="str">
        <f>IF(ROW(A67)&lt;=Capacity!$M$16,'Capacity calculation (hide)'!DL177,"")</f>
        <v/>
      </c>
      <c r="J184" s="218" t="str">
        <f t="shared" si="3"/>
        <v/>
      </c>
    </row>
    <row r="185" spans="2:10" hidden="1" x14ac:dyDescent="0.2">
      <c r="B185" s="218" t="str">
        <f>IF(Capacity!N84=0,"",Capacity!N84)</f>
        <v/>
      </c>
      <c r="C185" s="132"/>
      <c r="D185" s="132"/>
      <c r="E185" s="132"/>
      <c r="F185" s="215" t="str">
        <f>IF(ROW(A68)&lt;=Capacity!$M$16,Capacity!Q84,"")</f>
        <v/>
      </c>
      <c r="G185" s="320" t="str">
        <f>IF(ROW(A68)&lt;=Capacity!$M$16,'Capacity calculation (hide)'!BH179,"")</f>
        <v/>
      </c>
      <c r="H185" s="215" t="str">
        <f>IF(ROW(A68)&lt;=Capacity!$M$16,Capacity!T84,"")</f>
        <v/>
      </c>
      <c r="I185" s="217" t="str">
        <f>IF(ROW(A68)&lt;=Capacity!$M$16,'Capacity calculation (hide)'!DL178,"")</f>
        <v/>
      </c>
      <c r="J185" s="218" t="str">
        <f t="shared" si="3"/>
        <v/>
      </c>
    </row>
    <row r="186" spans="2:10" hidden="1" x14ac:dyDescent="0.2">
      <c r="B186" s="218" t="str">
        <f>IF(Capacity!N85=0,"",Capacity!N85)</f>
        <v/>
      </c>
      <c r="C186" s="132"/>
      <c r="D186" s="132"/>
      <c r="E186" s="132"/>
      <c r="F186" s="215" t="str">
        <f>IF(ROW(A69)&lt;=Capacity!$M$16,Capacity!Q85,"")</f>
        <v/>
      </c>
      <c r="G186" s="320" t="str">
        <f>IF(ROW(A69)&lt;=Capacity!$M$16,'Capacity calculation (hide)'!BH180,"")</f>
        <v/>
      </c>
      <c r="H186" s="215" t="str">
        <f>IF(ROW(A69)&lt;=Capacity!$M$16,Capacity!T85,"")</f>
        <v/>
      </c>
      <c r="I186" s="217" t="str">
        <f>IF(ROW(A69)&lt;=Capacity!$M$16,'Capacity calculation (hide)'!DL179,"")</f>
        <v/>
      </c>
      <c r="J186" s="218" t="str">
        <f t="shared" si="3"/>
        <v/>
      </c>
    </row>
    <row r="187" spans="2:10" hidden="1" x14ac:dyDescent="0.2">
      <c r="B187" s="218" t="str">
        <f>IF(Capacity!N86=0,"",Capacity!N86)</f>
        <v/>
      </c>
      <c r="C187" s="132"/>
      <c r="D187" s="132"/>
      <c r="E187" s="132"/>
      <c r="F187" s="215" t="str">
        <f>IF(ROW(A70)&lt;=Capacity!$M$16,Capacity!Q86,"")</f>
        <v/>
      </c>
      <c r="G187" s="320" t="str">
        <f>IF(ROW(A70)&lt;=Capacity!$M$16,'Capacity calculation (hide)'!BH181,"")</f>
        <v/>
      </c>
      <c r="H187" s="215" t="str">
        <f>IF(ROW(A70)&lt;=Capacity!$M$16,Capacity!T86,"")</f>
        <v/>
      </c>
      <c r="I187" s="217" t="str">
        <f>IF(ROW(A70)&lt;=Capacity!$M$16,'Capacity calculation (hide)'!DL180,"")</f>
        <v/>
      </c>
      <c r="J187" s="218" t="str">
        <f t="shared" si="3"/>
        <v/>
      </c>
    </row>
    <row r="188" spans="2:10" hidden="1" x14ac:dyDescent="0.2">
      <c r="B188" s="218" t="str">
        <f>IF(Capacity!N87=0,"",Capacity!N87)</f>
        <v/>
      </c>
      <c r="C188" s="132"/>
      <c r="D188" s="132"/>
      <c r="E188" s="132"/>
      <c r="F188" s="215" t="str">
        <f>IF(ROW(A71)&lt;=Capacity!$M$16,Capacity!Q87,"")</f>
        <v/>
      </c>
      <c r="G188" s="320" t="str">
        <f>IF(ROW(A71)&lt;=Capacity!$M$16,'Capacity calculation (hide)'!BH182,"")</f>
        <v/>
      </c>
      <c r="H188" s="215" t="str">
        <f>IF(ROW(A71)&lt;=Capacity!$M$16,Capacity!T87,"")</f>
        <v/>
      </c>
      <c r="I188" s="217" t="str">
        <f>IF(ROW(A71)&lt;=Capacity!$M$16,'Capacity calculation (hide)'!DL181,"")</f>
        <v/>
      </c>
      <c r="J188" s="218" t="str">
        <f t="shared" si="3"/>
        <v/>
      </c>
    </row>
    <row r="189" spans="2:10" hidden="1" x14ac:dyDescent="0.2">
      <c r="B189" s="218" t="str">
        <f>IF(Capacity!N88=0,"",Capacity!N88)</f>
        <v/>
      </c>
      <c r="C189" s="132"/>
      <c r="D189" s="132"/>
      <c r="E189" s="132"/>
      <c r="F189" s="215" t="str">
        <f>IF(ROW(A72)&lt;=Capacity!$M$16,Capacity!Q88,"")</f>
        <v/>
      </c>
      <c r="G189" s="320" t="str">
        <f>IF(ROW(A72)&lt;=Capacity!$M$16,'Capacity calculation (hide)'!BH183,"")</f>
        <v/>
      </c>
      <c r="H189" s="215" t="str">
        <f>IF(ROW(A72)&lt;=Capacity!$M$16,Capacity!T88,"")</f>
        <v/>
      </c>
      <c r="I189" s="217" t="str">
        <f>IF(ROW(A72)&lt;=Capacity!$M$16,'Capacity calculation (hide)'!DL182,"")</f>
        <v/>
      </c>
      <c r="J189" s="218" t="str">
        <f t="shared" si="3"/>
        <v/>
      </c>
    </row>
    <row r="190" spans="2:10" hidden="1" x14ac:dyDescent="0.2">
      <c r="B190" s="218" t="str">
        <f>IF(Capacity!N89=0,"",Capacity!N89)</f>
        <v/>
      </c>
      <c r="C190" s="132"/>
      <c r="D190" s="132"/>
      <c r="E190" s="132"/>
      <c r="F190" s="215" t="str">
        <f>IF(ROW(A73)&lt;=Capacity!$M$16,Capacity!Q89,"")</f>
        <v/>
      </c>
      <c r="G190" s="320" t="str">
        <f>IF(ROW(A73)&lt;=Capacity!$M$16,'Capacity calculation (hide)'!BH184,"")</f>
        <v/>
      </c>
      <c r="H190" s="215" t="str">
        <f>IF(ROW(A73)&lt;=Capacity!$M$16,Capacity!T89,"")</f>
        <v/>
      </c>
      <c r="I190" s="217" t="str">
        <f>IF(ROW(A73)&lt;=Capacity!$M$16,'Capacity calculation (hide)'!DL183,"")</f>
        <v/>
      </c>
      <c r="J190" s="218" t="str">
        <f t="shared" si="3"/>
        <v/>
      </c>
    </row>
    <row r="191" spans="2:10" hidden="1" x14ac:dyDescent="0.2">
      <c r="B191" s="218" t="str">
        <f>IF(Capacity!N90=0,"",Capacity!N90)</f>
        <v/>
      </c>
      <c r="C191" s="132"/>
      <c r="D191" s="132"/>
      <c r="E191" s="132"/>
      <c r="F191" s="215" t="str">
        <f>IF(ROW(A74)&lt;=Capacity!$M$16,Capacity!Q90,"")</f>
        <v/>
      </c>
      <c r="G191" s="320" t="str">
        <f>IF(ROW(A74)&lt;=Capacity!$M$16,'Capacity calculation (hide)'!BH185,"")</f>
        <v/>
      </c>
      <c r="H191" s="215" t="str">
        <f>IF(ROW(A74)&lt;=Capacity!$M$16,Capacity!T90,"")</f>
        <v/>
      </c>
      <c r="I191" s="217" t="str">
        <f>IF(ROW(A74)&lt;=Capacity!$M$16,'Capacity calculation (hide)'!DL184,"")</f>
        <v/>
      </c>
      <c r="J191" s="218" t="str">
        <f t="shared" si="3"/>
        <v/>
      </c>
    </row>
    <row r="192" spans="2:10" hidden="1" x14ac:dyDescent="0.2">
      <c r="B192" s="218" t="str">
        <f>IF(Capacity!N91=0,"",Capacity!N91)</f>
        <v/>
      </c>
      <c r="C192" s="132"/>
      <c r="D192" s="132"/>
      <c r="E192" s="132"/>
      <c r="F192" s="215" t="str">
        <f>IF(ROW(A75)&lt;=Capacity!$M$16,Capacity!Q91,"")</f>
        <v/>
      </c>
      <c r="G192" s="320" t="str">
        <f>IF(ROW(A75)&lt;=Capacity!$M$16,'Capacity calculation (hide)'!BH186,"")</f>
        <v/>
      </c>
      <c r="H192" s="215" t="str">
        <f>IF(ROW(A75)&lt;=Capacity!$M$16,Capacity!T91,"")</f>
        <v/>
      </c>
      <c r="I192" s="217" t="str">
        <f>IF(ROW(A75)&lt;=Capacity!$M$16,'Capacity calculation (hide)'!DL185,"")</f>
        <v/>
      </c>
      <c r="J192" s="218" t="str">
        <f t="shared" si="3"/>
        <v/>
      </c>
    </row>
    <row r="193" spans="2:10" hidden="1" x14ac:dyDescent="0.2">
      <c r="B193" s="218" t="str">
        <f>IF(Capacity!N92=0,"",Capacity!N92)</f>
        <v/>
      </c>
      <c r="C193" s="132"/>
      <c r="D193" s="132"/>
      <c r="E193" s="132"/>
      <c r="F193" s="215" t="str">
        <f>IF(ROW(A76)&lt;=Capacity!$M$16,Capacity!Q92,"")</f>
        <v/>
      </c>
      <c r="G193" s="320" t="str">
        <f>IF(ROW(A76)&lt;=Capacity!$M$16,'Capacity calculation (hide)'!BH187,"")</f>
        <v/>
      </c>
      <c r="H193" s="215" t="str">
        <f>IF(ROW(A76)&lt;=Capacity!$M$16,Capacity!T92,"")</f>
        <v/>
      </c>
      <c r="I193" s="217" t="str">
        <f>IF(ROW(A76)&lt;=Capacity!$M$16,'Capacity calculation (hide)'!DL186,"")</f>
        <v/>
      </c>
      <c r="J193" s="218" t="str">
        <f t="shared" si="3"/>
        <v/>
      </c>
    </row>
    <row r="194" spans="2:10" hidden="1" x14ac:dyDescent="0.2">
      <c r="B194" s="218" t="str">
        <f>IF(Capacity!N93=0,"",Capacity!N93)</f>
        <v/>
      </c>
      <c r="C194" s="132"/>
      <c r="D194" s="132"/>
      <c r="E194" s="132"/>
      <c r="F194" s="215" t="str">
        <f>IF(ROW(A77)&lt;=Capacity!$M$16,Capacity!Q93,"")</f>
        <v/>
      </c>
      <c r="G194" s="320" t="str">
        <f>IF(ROW(A77)&lt;=Capacity!$M$16,'Capacity calculation (hide)'!BH188,"")</f>
        <v/>
      </c>
      <c r="H194" s="215" t="str">
        <f>IF(ROW(A77)&lt;=Capacity!$M$16,Capacity!T93,"")</f>
        <v/>
      </c>
      <c r="I194" s="217" t="str">
        <f>IF(ROW(A77)&lt;=Capacity!$M$16,'Capacity calculation (hide)'!DL187,"")</f>
        <v/>
      </c>
      <c r="J194" s="218" t="str">
        <f t="shared" si="3"/>
        <v/>
      </c>
    </row>
    <row r="195" spans="2:10" hidden="1" x14ac:dyDescent="0.2">
      <c r="B195" s="218" t="str">
        <f>IF(Capacity!N94=0,"",Capacity!N94)</f>
        <v/>
      </c>
      <c r="C195" s="132"/>
      <c r="D195" s="132"/>
      <c r="E195" s="132"/>
      <c r="F195" s="215" t="str">
        <f>IF(ROW(A78)&lt;=Capacity!$M$16,Capacity!Q94,"")</f>
        <v/>
      </c>
      <c r="G195" s="320" t="str">
        <f>IF(ROW(A78)&lt;=Capacity!$M$16,'Capacity calculation (hide)'!BH189,"")</f>
        <v/>
      </c>
      <c r="H195" s="215" t="str">
        <f>IF(ROW(A78)&lt;=Capacity!$M$16,Capacity!T94,"")</f>
        <v/>
      </c>
      <c r="I195" s="217" t="str">
        <f>IF(ROW(A78)&lt;=Capacity!$M$16,'Capacity calculation (hide)'!DL188,"")</f>
        <v/>
      </c>
      <c r="J195" s="218" t="str">
        <f t="shared" si="3"/>
        <v/>
      </c>
    </row>
    <row r="196" spans="2:10" hidden="1" x14ac:dyDescent="0.2">
      <c r="B196" s="218" t="str">
        <f>IF(Capacity!N95=0,"",Capacity!N95)</f>
        <v/>
      </c>
      <c r="C196" s="132"/>
      <c r="D196" s="132"/>
      <c r="E196" s="132"/>
      <c r="F196" s="215" t="str">
        <f>IF(ROW(A79)&lt;=Capacity!$M$16,Capacity!Q95,"")</f>
        <v/>
      </c>
      <c r="G196" s="320" t="str">
        <f>IF(ROW(A79)&lt;=Capacity!$M$16,'Capacity calculation (hide)'!BH190,"")</f>
        <v/>
      </c>
      <c r="H196" s="215" t="str">
        <f>IF(ROW(A79)&lt;=Capacity!$M$16,Capacity!T95,"")</f>
        <v/>
      </c>
      <c r="I196" s="217" t="str">
        <f>IF(ROW(A79)&lt;=Capacity!$M$16,'Capacity calculation (hide)'!DL189,"")</f>
        <v/>
      </c>
      <c r="J196" s="218" t="str">
        <f t="shared" si="3"/>
        <v/>
      </c>
    </row>
    <row r="197" spans="2:10" hidden="1" x14ac:dyDescent="0.2">
      <c r="B197" s="218" t="str">
        <f>IF(Capacity!N96=0,"",Capacity!N96)</f>
        <v/>
      </c>
      <c r="C197" s="132"/>
      <c r="D197" s="132"/>
      <c r="E197" s="132"/>
      <c r="F197" s="215" t="str">
        <f>IF(ROW(A80)&lt;=Capacity!$M$16,Capacity!Q96,"")</f>
        <v/>
      </c>
      <c r="G197" s="320" t="str">
        <f>IF(ROW(A80)&lt;=Capacity!$M$16,'Capacity calculation (hide)'!BH191,"")</f>
        <v/>
      </c>
      <c r="H197" s="215" t="str">
        <f>IF(ROW(A80)&lt;=Capacity!$M$16,Capacity!T96,"")</f>
        <v/>
      </c>
      <c r="I197" s="217" t="str">
        <f>IF(ROW(A80)&lt;=Capacity!$M$16,'Capacity calculation (hide)'!DL190,"")</f>
        <v/>
      </c>
      <c r="J197" s="218" t="str">
        <f t="shared" si="3"/>
        <v/>
      </c>
    </row>
    <row r="198" spans="2:10" hidden="1" x14ac:dyDescent="0.2">
      <c r="B198" s="218" t="str">
        <f>IF(Capacity!N97=0,"",Capacity!N97)</f>
        <v/>
      </c>
      <c r="C198" s="132"/>
      <c r="D198" s="132"/>
      <c r="E198" s="132"/>
      <c r="F198" s="215" t="str">
        <f>IF(ROW(A81)&lt;=Capacity!$M$16,Capacity!Q97,"")</f>
        <v/>
      </c>
      <c r="G198" s="320" t="str">
        <f>IF(ROW(A81)&lt;=Capacity!$M$16,'Capacity calculation (hide)'!BH192,"")</f>
        <v/>
      </c>
      <c r="H198" s="215" t="str">
        <f>IF(ROW(A81)&lt;=Capacity!$M$16,Capacity!T97,"")</f>
        <v/>
      </c>
      <c r="I198" s="217" t="str">
        <f>IF(ROW(A81)&lt;=Capacity!$M$16,'Capacity calculation (hide)'!DL191,"")</f>
        <v/>
      </c>
      <c r="J198" s="218" t="str">
        <f t="shared" si="3"/>
        <v/>
      </c>
    </row>
    <row r="199" spans="2:10" hidden="1" x14ac:dyDescent="0.2">
      <c r="B199" s="218" t="str">
        <f>IF(Capacity!N98=0,"",Capacity!N98)</f>
        <v/>
      </c>
      <c r="C199" s="132"/>
      <c r="D199" s="132"/>
      <c r="E199" s="132"/>
      <c r="F199" s="215" t="str">
        <f>IF(ROW(A82)&lt;=Capacity!$M$16,Capacity!Q98,"")</f>
        <v/>
      </c>
      <c r="G199" s="320" t="str">
        <f>IF(ROW(A82)&lt;=Capacity!$M$16,'Capacity calculation (hide)'!BH193,"")</f>
        <v/>
      </c>
      <c r="H199" s="215" t="str">
        <f>IF(ROW(A82)&lt;=Capacity!$M$16,Capacity!T98,"")</f>
        <v/>
      </c>
      <c r="I199" s="217" t="str">
        <f>IF(ROW(A82)&lt;=Capacity!$M$16,'Capacity calculation (hide)'!DL192,"")</f>
        <v/>
      </c>
      <c r="J199" s="218" t="str">
        <f t="shared" si="3"/>
        <v/>
      </c>
    </row>
    <row r="200" spans="2:10" hidden="1" x14ac:dyDescent="0.2">
      <c r="B200" s="218" t="str">
        <f>IF(Capacity!N99=0,"",Capacity!N99)</f>
        <v/>
      </c>
      <c r="C200" s="132"/>
      <c r="D200" s="132"/>
      <c r="E200" s="132"/>
      <c r="F200" s="215" t="str">
        <f>IF(ROW(A83)&lt;=Capacity!$M$16,Capacity!Q99,"")</f>
        <v/>
      </c>
      <c r="G200" s="320" t="str">
        <f>IF(ROW(A83)&lt;=Capacity!$M$16,'Capacity calculation (hide)'!BH194,"")</f>
        <v/>
      </c>
      <c r="H200" s="215" t="str">
        <f>IF(ROW(A83)&lt;=Capacity!$M$16,Capacity!T99,"")</f>
        <v/>
      </c>
      <c r="I200" s="217" t="str">
        <f>IF(ROW(A83)&lt;=Capacity!$M$16,'Capacity calculation (hide)'!DL193,"")</f>
        <v/>
      </c>
      <c r="J200" s="218" t="str">
        <f t="shared" si="3"/>
        <v/>
      </c>
    </row>
    <row r="201" spans="2:10" hidden="1" x14ac:dyDescent="0.2">
      <c r="B201" s="218" t="str">
        <f>IF(Capacity!N100=0,"",Capacity!N100)</f>
        <v/>
      </c>
      <c r="C201" s="132"/>
      <c r="D201" s="132"/>
      <c r="E201" s="132"/>
      <c r="F201" s="215" t="str">
        <f>IF(ROW(A84)&lt;=Capacity!$M$16,Capacity!Q100,"")</f>
        <v/>
      </c>
      <c r="G201" s="320" t="str">
        <f>IF(ROW(A84)&lt;=Capacity!$M$16,'Capacity calculation (hide)'!BH195,"")</f>
        <v/>
      </c>
      <c r="H201" s="215" t="str">
        <f>IF(ROW(A84)&lt;=Capacity!$M$16,Capacity!T100,"")</f>
        <v/>
      </c>
      <c r="I201" s="217" t="str">
        <f>IF(ROW(A84)&lt;=Capacity!$M$16,'Capacity calculation (hide)'!DL194,"")</f>
        <v/>
      </c>
      <c r="J201" s="218" t="str">
        <f t="shared" si="3"/>
        <v/>
      </c>
    </row>
    <row r="202" spans="2:10" hidden="1" x14ac:dyDescent="0.2">
      <c r="B202" s="218" t="str">
        <f>IF(Capacity!N101=0,"",Capacity!N101)</f>
        <v/>
      </c>
      <c r="C202" s="132"/>
      <c r="D202" s="132"/>
      <c r="E202" s="132"/>
      <c r="F202" s="215" t="str">
        <f>IF(ROW(A85)&lt;=Capacity!$M$16,Capacity!Q101,"")</f>
        <v/>
      </c>
      <c r="G202" s="320" t="str">
        <f>IF(ROW(A85)&lt;=Capacity!$M$16,'Capacity calculation (hide)'!BH196,"")</f>
        <v/>
      </c>
      <c r="H202" s="215" t="str">
        <f>IF(ROW(A85)&lt;=Capacity!$M$16,Capacity!T101,"")</f>
        <v/>
      </c>
      <c r="I202" s="217" t="str">
        <f>IF(ROW(A85)&lt;=Capacity!$M$16,'Capacity calculation (hide)'!DL195,"")</f>
        <v/>
      </c>
      <c r="J202" s="218" t="str">
        <f t="shared" si="3"/>
        <v/>
      </c>
    </row>
    <row r="203" spans="2:10" hidden="1" x14ac:dyDescent="0.2">
      <c r="B203" s="218" t="str">
        <f>IF(Capacity!N102=0,"",Capacity!N102)</f>
        <v/>
      </c>
      <c r="C203" s="132"/>
      <c r="D203" s="132"/>
      <c r="E203" s="132"/>
      <c r="F203" s="215" t="str">
        <f>IF(ROW(A86)&lt;=Capacity!$M$16,Capacity!Q102,"")</f>
        <v/>
      </c>
      <c r="G203" s="320" t="str">
        <f>IF(ROW(A86)&lt;=Capacity!$M$16,'Capacity calculation (hide)'!BH197,"")</f>
        <v/>
      </c>
      <c r="H203" s="215" t="str">
        <f>IF(ROW(A86)&lt;=Capacity!$M$16,Capacity!T102,"")</f>
        <v/>
      </c>
      <c r="I203" s="217" t="str">
        <f>IF(ROW(A86)&lt;=Capacity!$M$16,'Capacity calculation (hide)'!DL196,"")</f>
        <v/>
      </c>
      <c r="J203" s="218" t="str">
        <f t="shared" si="3"/>
        <v/>
      </c>
    </row>
    <row r="204" spans="2:10" hidden="1" x14ac:dyDescent="0.2">
      <c r="B204" s="218" t="str">
        <f>IF(Capacity!N103=0,"",Capacity!N103)</f>
        <v/>
      </c>
      <c r="C204" s="132"/>
      <c r="D204" s="132"/>
      <c r="E204" s="132"/>
      <c r="F204" s="215" t="str">
        <f>IF(ROW(A87)&lt;=Capacity!$M$16,Capacity!Q103,"")</f>
        <v/>
      </c>
      <c r="G204" s="320" t="str">
        <f>IF(ROW(A87)&lt;=Capacity!$M$16,'Capacity calculation (hide)'!BH198,"")</f>
        <v/>
      </c>
      <c r="H204" s="215" t="str">
        <f>IF(ROW(A87)&lt;=Capacity!$M$16,Capacity!T103,"")</f>
        <v/>
      </c>
      <c r="I204" s="217" t="str">
        <f>IF(ROW(A87)&lt;=Capacity!$M$16,'Capacity calculation (hide)'!DL197,"")</f>
        <v/>
      </c>
      <c r="J204" s="218" t="str">
        <f t="shared" si="3"/>
        <v/>
      </c>
    </row>
    <row r="205" spans="2:10" hidden="1" x14ac:dyDescent="0.2">
      <c r="B205" s="218" t="str">
        <f>IF(Capacity!N104=0,"",Capacity!N104)</f>
        <v/>
      </c>
      <c r="C205" s="132"/>
      <c r="D205" s="132"/>
      <c r="E205" s="132"/>
      <c r="F205" s="215" t="str">
        <f>IF(ROW(A88)&lt;=Capacity!$M$16,Capacity!Q104,"")</f>
        <v/>
      </c>
      <c r="G205" s="320" t="str">
        <f>IF(ROW(A88)&lt;=Capacity!$M$16,'Capacity calculation (hide)'!BH199,"")</f>
        <v/>
      </c>
      <c r="H205" s="215" t="str">
        <f>IF(ROW(A88)&lt;=Capacity!$M$16,Capacity!T104,"")</f>
        <v/>
      </c>
      <c r="I205" s="217" t="str">
        <f>IF(ROW(A88)&lt;=Capacity!$M$16,'Capacity calculation (hide)'!DL198,"")</f>
        <v/>
      </c>
      <c r="J205" s="218" t="str">
        <f t="shared" si="3"/>
        <v/>
      </c>
    </row>
    <row r="206" spans="2:10" hidden="1" x14ac:dyDescent="0.2">
      <c r="B206" s="218" t="str">
        <f>IF(Capacity!N105=0,"",Capacity!N105)</f>
        <v/>
      </c>
      <c r="C206" s="132"/>
      <c r="D206" s="132"/>
      <c r="E206" s="132"/>
      <c r="F206" s="215" t="str">
        <f>IF(ROW(A89)&lt;=Capacity!$M$16,Capacity!Q105,"")</f>
        <v/>
      </c>
      <c r="G206" s="320" t="str">
        <f>IF(ROW(A89)&lt;=Capacity!$M$16,'Capacity calculation (hide)'!BH200,"")</f>
        <v/>
      </c>
      <c r="H206" s="215" t="str">
        <f>IF(ROW(A89)&lt;=Capacity!$M$16,Capacity!T105,"")</f>
        <v/>
      </c>
      <c r="I206" s="217" t="str">
        <f>IF(ROW(A89)&lt;=Capacity!$M$16,'Capacity calculation (hide)'!DL199,"")</f>
        <v/>
      </c>
      <c r="J206" s="218" t="str">
        <f t="shared" si="3"/>
        <v/>
      </c>
    </row>
    <row r="207" spans="2:10" hidden="1" x14ac:dyDescent="0.2">
      <c r="B207" s="218" t="str">
        <f>IF(Capacity!N106=0,"",Capacity!N106)</f>
        <v/>
      </c>
      <c r="C207" s="132"/>
      <c r="D207" s="132"/>
      <c r="E207" s="132"/>
      <c r="F207" s="215" t="str">
        <f>IF(ROW(A90)&lt;=Capacity!$M$16,Capacity!Q106,"")</f>
        <v/>
      </c>
      <c r="G207" s="320" t="str">
        <f>IF(ROW(A90)&lt;=Capacity!$M$16,'Capacity calculation (hide)'!BH201,"")</f>
        <v/>
      </c>
      <c r="H207" s="215" t="str">
        <f>IF(ROW(A90)&lt;=Capacity!$M$16,Capacity!T106,"")</f>
        <v/>
      </c>
      <c r="I207" s="217" t="str">
        <f>IF(ROW(A90)&lt;=Capacity!$M$16,'Capacity calculation (hide)'!DL200,"")</f>
        <v/>
      </c>
      <c r="J207" s="218" t="str">
        <f t="shared" si="3"/>
        <v/>
      </c>
    </row>
    <row r="208" spans="2:10" hidden="1" x14ac:dyDescent="0.2">
      <c r="B208" s="218" t="str">
        <f>IF(Capacity!N107=0,"",Capacity!N107)</f>
        <v/>
      </c>
      <c r="C208" s="132"/>
      <c r="D208" s="132"/>
      <c r="E208" s="132"/>
      <c r="F208" s="215" t="str">
        <f>IF(ROW(A91)&lt;=Capacity!$M$16,Capacity!Q107,"")</f>
        <v/>
      </c>
      <c r="G208" s="320" t="str">
        <f>IF(ROW(A91)&lt;=Capacity!$M$16,'Capacity calculation (hide)'!BH202,"")</f>
        <v/>
      </c>
      <c r="H208" s="215" t="str">
        <f>IF(ROW(A91)&lt;=Capacity!$M$16,Capacity!T107,"")</f>
        <v/>
      </c>
      <c r="I208" s="217" t="str">
        <f>IF(ROW(A91)&lt;=Capacity!$M$16,'Capacity calculation (hide)'!DL201,"")</f>
        <v/>
      </c>
      <c r="J208" s="218" t="str">
        <f t="shared" si="3"/>
        <v/>
      </c>
    </row>
    <row r="209" spans="2:10" hidden="1" x14ac:dyDescent="0.2">
      <c r="B209" s="218" t="str">
        <f>IF(Capacity!N108=0,"",Capacity!N108)</f>
        <v/>
      </c>
      <c r="C209" s="132"/>
      <c r="D209" s="132"/>
      <c r="E209" s="132"/>
      <c r="F209" s="215" t="str">
        <f>IF(ROW(A92)&lt;=Capacity!$M$16,Capacity!Q108,"")</f>
        <v/>
      </c>
      <c r="G209" s="320" t="str">
        <f>IF(ROW(A92)&lt;=Capacity!$M$16,'Capacity calculation (hide)'!BH203,"")</f>
        <v/>
      </c>
      <c r="H209" s="215" t="str">
        <f>IF(ROW(A92)&lt;=Capacity!$M$16,Capacity!T108,"")</f>
        <v/>
      </c>
      <c r="I209" s="217" t="str">
        <f>IF(ROW(A92)&lt;=Capacity!$M$16,'Capacity calculation (hide)'!DL202,"")</f>
        <v/>
      </c>
      <c r="J209" s="218" t="str">
        <f t="shared" si="3"/>
        <v/>
      </c>
    </row>
    <row r="210" spans="2:10" hidden="1" x14ac:dyDescent="0.2">
      <c r="B210" s="218" t="str">
        <f>IF(Capacity!N109=0,"",Capacity!N109)</f>
        <v/>
      </c>
      <c r="C210" s="132"/>
      <c r="D210" s="132"/>
      <c r="E210" s="132"/>
      <c r="F210" s="215" t="str">
        <f>IF(ROW(A93)&lt;=Capacity!$M$16,Capacity!Q109,"")</f>
        <v/>
      </c>
      <c r="G210" s="320" t="str">
        <f>IF(ROW(A93)&lt;=Capacity!$M$16,'Capacity calculation (hide)'!BH204,"")</f>
        <v/>
      </c>
      <c r="H210" s="215" t="str">
        <f>IF(ROW(A93)&lt;=Capacity!$M$16,Capacity!T109,"")</f>
        <v/>
      </c>
      <c r="I210" s="217" t="str">
        <f>IF(ROW(A93)&lt;=Capacity!$M$16,'Capacity calculation (hide)'!DL203,"")</f>
        <v/>
      </c>
      <c r="J210" s="218" t="str">
        <f t="shared" si="3"/>
        <v/>
      </c>
    </row>
    <row r="211" spans="2:10" hidden="1" x14ac:dyDescent="0.2">
      <c r="B211" s="218" t="str">
        <f>IF(Capacity!N110=0,"",Capacity!N110)</f>
        <v/>
      </c>
      <c r="C211" s="132"/>
      <c r="D211" s="132"/>
      <c r="E211" s="132"/>
      <c r="F211" s="215" t="str">
        <f>IF(ROW(A94)&lt;=Capacity!$M$16,Capacity!Q110,"")</f>
        <v/>
      </c>
      <c r="G211" s="320" t="str">
        <f>IF(ROW(A94)&lt;=Capacity!$M$16,'Capacity calculation (hide)'!BH205,"")</f>
        <v/>
      </c>
      <c r="H211" s="215" t="str">
        <f>IF(ROW(A94)&lt;=Capacity!$M$16,Capacity!T110,"")</f>
        <v/>
      </c>
      <c r="I211" s="217" t="str">
        <f>IF(ROW(A94)&lt;=Capacity!$M$16,'Capacity calculation (hide)'!DL204,"")</f>
        <v/>
      </c>
      <c r="J211" s="218" t="str">
        <f t="shared" si="3"/>
        <v/>
      </c>
    </row>
    <row r="212" spans="2:10" hidden="1" x14ac:dyDescent="0.2">
      <c r="B212" s="218" t="str">
        <f>IF(Capacity!N111=0,"",Capacity!N111)</f>
        <v/>
      </c>
      <c r="C212" s="132"/>
      <c r="D212" s="132"/>
      <c r="E212" s="132"/>
      <c r="F212" s="215" t="str">
        <f>IF(ROW(A95)&lt;=Capacity!$M$16,Capacity!Q111,"")</f>
        <v/>
      </c>
      <c r="G212" s="320" t="str">
        <f>IF(ROW(A95)&lt;=Capacity!$M$16,'Capacity calculation (hide)'!BH206,"")</f>
        <v/>
      </c>
      <c r="H212" s="215" t="str">
        <f>IF(ROW(A95)&lt;=Capacity!$M$16,Capacity!T111,"")</f>
        <v/>
      </c>
      <c r="I212" s="217" t="str">
        <f>IF(ROW(A95)&lt;=Capacity!$M$16,'Capacity calculation (hide)'!DL205,"")</f>
        <v/>
      </c>
      <c r="J212" s="218" t="str">
        <f t="shared" si="3"/>
        <v/>
      </c>
    </row>
    <row r="213" spans="2:10" hidden="1" x14ac:dyDescent="0.2">
      <c r="B213" s="218" t="str">
        <f>IF(Capacity!N112=0,"",Capacity!N112)</f>
        <v/>
      </c>
      <c r="C213" s="132"/>
      <c r="D213" s="132"/>
      <c r="E213" s="132"/>
      <c r="F213" s="215" t="str">
        <f>IF(ROW(A96)&lt;=Capacity!$M$16,Capacity!Q112,"")</f>
        <v/>
      </c>
      <c r="G213" s="320" t="str">
        <f>IF(ROW(A96)&lt;=Capacity!$M$16,'Capacity calculation (hide)'!BH207,"")</f>
        <v/>
      </c>
      <c r="H213" s="215" t="str">
        <f>IF(ROW(A96)&lt;=Capacity!$M$16,Capacity!T112,"")</f>
        <v/>
      </c>
      <c r="I213" s="217" t="str">
        <f>IF(ROW(A96)&lt;=Capacity!$M$16,'Capacity calculation (hide)'!DL206,"")</f>
        <v/>
      </c>
      <c r="J213" s="218" t="str">
        <f t="shared" si="3"/>
        <v/>
      </c>
    </row>
    <row r="214" spans="2:10" hidden="1" x14ac:dyDescent="0.2">
      <c r="B214" s="218" t="str">
        <f>IF(Capacity!N113=0,"",Capacity!N113)</f>
        <v/>
      </c>
      <c r="C214" s="132"/>
      <c r="D214" s="132"/>
      <c r="E214" s="132"/>
      <c r="F214" s="215" t="str">
        <f>IF(ROW(A97)&lt;=Capacity!$M$16,Capacity!Q113,"")</f>
        <v/>
      </c>
      <c r="G214" s="320" t="str">
        <f>IF(ROW(A97)&lt;=Capacity!$M$16,'Capacity calculation (hide)'!BH208,"")</f>
        <v/>
      </c>
      <c r="H214" s="215" t="str">
        <f>IF(ROW(A97)&lt;=Capacity!$M$16,Capacity!T113,"")</f>
        <v/>
      </c>
      <c r="I214" s="217" t="str">
        <f>IF(ROW(A97)&lt;=Capacity!$M$16,'Capacity calculation (hide)'!DL207,"")</f>
        <v/>
      </c>
      <c r="J214" s="218" t="str">
        <f t="shared" si="3"/>
        <v/>
      </c>
    </row>
    <row r="215" spans="2:10" hidden="1" x14ac:dyDescent="0.2">
      <c r="B215" s="218" t="str">
        <f>IF(Capacity!N114=0,"",Capacity!N114)</f>
        <v/>
      </c>
      <c r="C215" s="132"/>
      <c r="D215" s="132"/>
      <c r="E215" s="132"/>
      <c r="F215" s="215" t="str">
        <f>IF(ROW(A98)&lt;=Capacity!$M$16,Capacity!Q114,"")</f>
        <v/>
      </c>
      <c r="G215" s="320" t="str">
        <f>IF(ROW(A98)&lt;=Capacity!$M$16,'Capacity calculation (hide)'!BH209,"")</f>
        <v/>
      </c>
      <c r="H215" s="215" t="str">
        <f>IF(ROW(A98)&lt;=Capacity!$M$16,Capacity!T114,"")</f>
        <v/>
      </c>
      <c r="I215" s="217" t="str">
        <f>IF(ROW(A98)&lt;=Capacity!$M$16,'Capacity calculation (hide)'!DL208,"")</f>
        <v/>
      </c>
      <c r="J215" s="218" t="str">
        <f t="shared" si="3"/>
        <v/>
      </c>
    </row>
    <row r="216" spans="2:10" hidden="1" x14ac:dyDescent="0.2">
      <c r="B216" s="218" t="str">
        <f>IF(Capacity!N115=0,"",Capacity!N115)</f>
        <v/>
      </c>
      <c r="C216" s="132"/>
      <c r="D216" s="132"/>
      <c r="E216" s="132"/>
      <c r="F216" s="215" t="str">
        <f>IF(ROW(A99)&lt;=Capacity!$M$16,Capacity!Q115,"")</f>
        <v/>
      </c>
      <c r="G216" s="320" t="str">
        <f>IF(ROW(A99)&lt;=Capacity!$M$16,'Capacity calculation (hide)'!BH210,"")</f>
        <v/>
      </c>
      <c r="H216" s="215" t="str">
        <f>IF(ROW(A99)&lt;=Capacity!$M$16,Capacity!T115,"")</f>
        <v/>
      </c>
      <c r="I216" s="217" t="str">
        <f>IF(ROW(A99)&lt;=Capacity!$M$16,'Capacity calculation (hide)'!DL209,"")</f>
        <v/>
      </c>
      <c r="J216" s="218" t="str">
        <f t="shared" si="3"/>
        <v/>
      </c>
    </row>
    <row r="217" spans="2:10" hidden="1" x14ac:dyDescent="0.2">
      <c r="B217" s="218" t="str">
        <f>IF(Capacity!N116=0,"",Capacity!N116)</f>
        <v/>
      </c>
      <c r="C217" s="132"/>
      <c r="D217" s="132"/>
      <c r="E217" s="132"/>
      <c r="F217" s="215" t="str">
        <f>IF(ROW(A100)&lt;=Capacity!$M$16,Capacity!Q116,"")</f>
        <v/>
      </c>
      <c r="G217" s="320" t="str">
        <f>IF(ROW(A100)&lt;=Capacity!$M$16,'Capacity calculation (hide)'!BH211,"")</f>
        <v/>
      </c>
      <c r="H217" s="215" t="str">
        <f>IF(ROW(A100)&lt;=Capacity!$M$16,Capacity!T116,"")</f>
        <v/>
      </c>
      <c r="I217" s="217" t="str">
        <f>IF(ROW(A100)&lt;=Capacity!$M$16,'Capacity calculation (hide)'!DL210,"")</f>
        <v/>
      </c>
      <c r="J217" s="218" t="str">
        <f t="shared" si="3"/>
        <v/>
      </c>
    </row>
  </sheetData>
  <sheetProtection algorithmName="SHA-512" hashValue="FH72q9jbE4SE3gJ0MiSaPSiA4m4gJ3u24Z86sh4GK0M+wuLs/7JxGpPRVcLGTTFWRBtb6BrEchx2qTXyMD/uGA==" saltValue="m/fRmCfsVErMjuNkQqhVMQ==" spinCount="100000" sheet="1" objects="1" scenarios="1"/>
  <dataConsolidate/>
  <mergeCells count="1">
    <mergeCell ref="B1:D1"/>
  </mergeCells>
  <conditionalFormatting sqref="B12:J111">
    <cfRule type="expression" dxfId="33" priority="4">
      <formula>IF($B12="",FALSE,TRUE)</formula>
    </cfRule>
  </conditionalFormatting>
  <conditionalFormatting sqref="B12:B111 F12:I111">
    <cfRule type="expression" dxfId="32" priority="3">
      <formula>IF($B12="",FALSE, TRUE)</formula>
    </cfRule>
  </conditionalFormatting>
  <conditionalFormatting sqref="B118:J217">
    <cfRule type="expression" dxfId="31" priority="2">
      <formula>IF($B118="",FALSE,TRUE)</formula>
    </cfRule>
  </conditionalFormatting>
  <conditionalFormatting sqref="B118:B217 F118:I217">
    <cfRule type="expression" dxfId="30"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348"/>
  <sheetViews>
    <sheetView showGridLines="0" zoomScaleNormal="100" workbookViewId="0">
      <selection activeCell="H24" sqref="H24:BG25"/>
    </sheetView>
  </sheetViews>
  <sheetFormatPr defaultColWidth="9" defaultRowHeight="14.25" x14ac:dyDescent="0.2"/>
  <cols>
    <col min="1" max="1" width="0.25" style="67" customWidth="1"/>
    <col min="2" max="2" width="19.625" style="67" customWidth="1"/>
    <col min="3" max="6" width="9.125" style="67" customWidth="1"/>
    <col min="7" max="7" width="6.125" style="67" customWidth="1"/>
    <col min="8" max="9" width="2.125" style="67" customWidth="1"/>
    <col min="10" max="10" width="2.25" style="67" customWidth="1"/>
    <col min="11" max="12" width="2.125" style="67" customWidth="1"/>
    <col min="13" max="13" width="2.5" style="67" customWidth="1"/>
    <col min="14" max="16" width="2.125" style="67" customWidth="1"/>
    <col min="17" max="17" width="2.25" style="67" customWidth="1"/>
    <col min="18" max="19" width="2.125" style="67" customWidth="1"/>
    <col min="20" max="20" width="2.25" style="67" customWidth="1"/>
    <col min="21" max="21" width="2.125" style="67" customWidth="1"/>
    <col min="22" max="22" width="2.25" style="67" customWidth="1"/>
    <col min="23" max="25" width="2.125" style="67" customWidth="1"/>
    <col min="26" max="27" width="2.25" style="67" customWidth="1"/>
    <col min="28" max="28" width="2.125" style="67" customWidth="1"/>
    <col min="29" max="29" width="2.25" style="67" customWidth="1"/>
    <col min="30" max="30" width="2.125" style="67" customWidth="1"/>
    <col min="31" max="32" width="2.25" style="67" customWidth="1"/>
    <col min="33" max="33" width="2.125" style="67" customWidth="1"/>
    <col min="34" max="34" width="2.25" style="67" customWidth="1"/>
    <col min="35" max="36" width="2.125" style="67" customWidth="1"/>
    <col min="37" max="37" width="2.5" style="67" customWidth="1"/>
    <col min="38" max="40" width="2.125" style="67" customWidth="1"/>
    <col min="41" max="41" width="2.25" style="67" customWidth="1"/>
    <col min="42" max="44" width="2.125" style="67" customWidth="1"/>
    <col min="45" max="46" width="2.25" style="67" customWidth="1"/>
    <col min="47" max="48" width="2.125" style="67" customWidth="1"/>
    <col min="49" max="49" width="2.25" style="67" customWidth="1"/>
    <col min="50" max="50" width="2.125" style="67" customWidth="1"/>
    <col min="51" max="51" width="2.25" style="67" customWidth="1"/>
    <col min="52" max="52" width="2.125" style="67" customWidth="1"/>
    <col min="53" max="53" width="2.5" style="67" customWidth="1"/>
    <col min="54" max="57" width="2.125" style="67" customWidth="1"/>
    <col min="58" max="58" width="2.25" style="67" customWidth="1"/>
    <col min="59" max="59" width="2.125" style="67" customWidth="1"/>
    <col min="60" max="60" width="2.75" style="67" customWidth="1"/>
    <col min="61" max="61" width="6.5" style="67" bestFit="1" customWidth="1"/>
    <col min="62" max="66" width="9" style="67" customWidth="1"/>
    <col min="67" max="16384" width="9" style="67"/>
  </cols>
  <sheetData>
    <row r="2" spans="2:64" ht="15" x14ac:dyDescent="0.25">
      <c r="B2" s="2" t="s">
        <v>477</v>
      </c>
    </row>
    <row r="3" spans="2:64" x14ac:dyDescent="0.2">
      <c r="C3" s="45" t="s">
        <v>480</v>
      </c>
      <c r="D3" s="45" t="s">
        <v>481</v>
      </c>
    </row>
    <row r="4" spans="2:64" ht="28.5" x14ac:dyDescent="0.2">
      <c r="B4" s="80" t="str">
        <f>"Total Capacity 
("&amp;$C$16&amp;" per year):"</f>
        <v>Total Capacity 
(Patients per year):</v>
      </c>
      <c r="C4" s="221">
        <f ca="1">'Capacity calculation (hide)'!DL4</f>
        <v>756.36425684888013</v>
      </c>
      <c r="D4" s="221">
        <f ca="1">'Capacity calculation (hide)'!DL111</f>
        <v>80.615384615384627</v>
      </c>
      <c r="E4" s="135"/>
      <c r="F4" s="135"/>
    </row>
    <row r="5" spans="2:64" x14ac:dyDescent="0.2">
      <c r="H5" s="79"/>
      <c r="I5" s="79"/>
      <c r="J5" s="79"/>
      <c r="K5" s="79"/>
      <c r="L5" s="79"/>
      <c r="M5" s="79"/>
      <c r="N5" s="79"/>
      <c r="O5" s="79"/>
      <c r="P5" s="79"/>
      <c r="Q5" s="79"/>
      <c r="R5" s="79"/>
      <c r="S5" s="79"/>
      <c r="T5" s="79"/>
      <c r="U5" s="79"/>
      <c r="V5" s="79"/>
      <c r="W5" s="79"/>
      <c r="X5" s="79"/>
      <c r="Y5" s="79"/>
    </row>
    <row r="6" spans="2:64" ht="14.25" customHeight="1" x14ac:dyDescent="0.2">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
      <c r="B10" s="133" t="s">
        <v>471</v>
      </c>
      <c r="C10" s="401" t="s">
        <v>57</v>
      </c>
      <c r="D10" s="402"/>
      <c r="E10" s="403"/>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
      <c r="B11" s="134" t="s">
        <v>472</v>
      </c>
      <c r="C11" s="401" t="s">
        <v>57</v>
      </c>
      <c r="D11" s="402"/>
      <c r="E11" s="403"/>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ht="15" x14ac:dyDescent="0.25">
      <c r="C13" s="304" t="s">
        <v>481</v>
      </c>
      <c r="D13" s="304"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
      <c r="B14" s="81" t="s">
        <v>1157</v>
      </c>
      <c r="C14" s="153" t="s">
        <v>20</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
      <c r="B18" s="334"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
      <c r="B19" s="335"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ht="15" x14ac:dyDescent="0.25">
      <c r="B20" s="314"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 customHeight="1" x14ac:dyDescent="0.2">
      <c r="B21" s="433" t="s">
        <v>1303</v>
      </c>
      <c r="C21" s="436" t="s">
        <v>486</v>
      </c>
      <c r="D21" s="437"/>
      <c r="E21" s="440" t="s">
        <v>483</v>
      </c>
      <c r="F21" s="441"/>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
      <c r="B22" s="434"/>
      <c r="C22" s="438"/>
      <c r="D22" s="439"/>
      <c r="E22" s="442"/>
      <c r="F22" s="443"/>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8.5" x14ac:dyDescent="0.2">
      <c r="B23" s="435"/>
      <c r="C23" s="303" t="s">
        <v>484</v>
      </c>
      <c r="D23" s="143" t="s">
        <v>485</v>
      </c>
      <c r="E23" s="143" t="s">
        <v>484</v>
      </c>
      <c r="F23" s="282" t="s">
        <v>485</v>
      </c>
      <c r="H23" s="340"/>
      <c r="I23" s="340"/>
      <c r="J23" s="340"/>
      <c r="K23" s="340"/>
      <c r="L23" s="340"/>
      <c r="M23" s="340"/>
      <c r="N23" s="340"/>
      <c r="O23" s="340"/>
      <c r="P23" s="340"/>
      <c r="Q23" s="340"/>
      <c r="R23" s="340"/>
      <c r="S23" s="340"/>
      <c r="T23" s="340"/>
      <c r="U23" s="340"/>
      <c r="V23" s="340"/>
      <c r="W23" s="340"/>
      <c r="X23" s="340"/>
      <c r="Y23" s="340"/>
      <c r="Z23" s="340"/>
      <c r="AA23" s="340"/>
      <c r="AB23" s="340"/>
      <c r="AC23" s="340"/>
      <c r="AD23" s="340"/>
      <c r="AE23" s="340"/>
      <c r="AF23" s="340"/>
      <c r="AG23" s="340"/>
      <c r="AH23" s="340"/>
      <c r="AI23" s="340"/>
      <c r="AJ23" s="340"/>
      <c r="AK23" s="340"/>
      <c r="AL23" s="340"/>
      <c r="AM23" s="340"/>
      <c r="AN23" s="340"/>
      <c r="AO23" s="340"/>
      <c r="AP23" s="340"/>
      <c r="AQ23" s="340"/>
      <c r="AR23" s="340"/>
      <c r="AS23" s="340"/>
      <c r="AT23" s="340"/>
      <c r="AU23" s="340"/>
      <c r="AV23" s="340"/>
      <c r="AW23" s="340"/>
      <c r="AX23" s="340"/>
      <c r="AY23" s="340"/>
      <c r="AZ23" s="340"/>
      <c r="BA23" s="340"/>
      <c r="BB23" s="340"/>
      <c r="BC23" s="340"/>
      <c r="BD23" s="340"/>
      <c r="BE23" s="340"/>
      <c r="BF23" s="340"/>
      <c r="BG23" s="340"/>
      <c r="BH23" s="125"/>
      <c r="BI23" s="282" t="s">
        <v>1242</v>
      </c>
      <c r="BJ23" s="125"/>
      <c r="BK23" s="125"/>
      <c r="BL23" s="125"/>
    </row>
    <row r="24" spans="2:64" x14ac:dyDescent="0.2">
      <c r="B24" s="219" t="str">
        <f>IF(Capacity!N17="","",Capacity!N17)</f>
        <v>Ad Hoc 1</v>
      </c>
      <c r="C24" s="220">
        <f>IF(B24="","",Capacity!Q17)</f>
        <v>10</v>
      </c>
      <c r="D24" s="309">
        <f>IF(B24="","",Capacity!R17)</f>
        <v>4</v>
      </c>
      <c r="E24" s="220">
        <f>IF(B24="","",IF(COUNTBLANK(H24:BG24)=52,SUM('Capacity calculation (hide)'!H112:BG112),52-COUNTBLANK(H24:BG24)))</f>
        <v>10</v>
      </c>
      <c r="F24" s="310">
        <f>'Capacity calculation (hide)'!BI112</f>
        <v>4</v>
      </c>
      <c r="H24" s="362"/>
      <c r="I24" s="362" t="s">
        <v>1237</v>
      </c>
      <c r="J24" s="362"/>
      <c r="K24" s="362" t="s">
        <v>1237</v>
      </c>
      <c r="L24" s="362"/>
      <c r="M24" s="362" t="s">
        <v>1237</v>
      </c>
      <c r="N24" s="362" t="s">
        <v>1237</v>
      </c>
      <c r="O24" s="362"/>
      <c r="P24" s="362"/>
      <c r="Q24" s="362" t="s">
        <v>1237</v>
      </c>
      <c r="R24" s="362" t="s">
        <v>1237</v>
      </c>
      <c r="S24" s="362"/>
      <c r="T24" s="362"/>
      <c r="U24" s="362" t="s">
        <v>1237</v>
      </c>
      <c r="V24" s="362"/>
      <c r="W24" s="362"/>
      <c r="X24" s="362"/>
      <c r="Y24" s="362"/>
      <c r="Z24" s="362"/>
      <c r="AA24" s="362"/>
      <c r="AB24" s="362"/>
      <c r="AC24" s="362"/>
      <c r="AD24" s="362"/>
      <c r="AE24" s="362"/>
      <c r="AF24" s="362"/>
      <c r="AG24" s="362"/>
      <c r="AH24" s="362"/>
      <c r="AI24" s="362" t="s">
        <v>1237</v>
      </c>
      <c r="AJ24" s="362" t="s">
        <v>1237</v>
      </c>
      <c r="AK24" s="362"/>
      <c r="AL24" s="362"/>
      <c r="AM24" s="362"/>
      <c r="AN24" s="362"/>
      <c r="AO24" s="362"/>
      <c r="AP24" s="362"/>
      <c r="AQ24" s="362"/>
      <c r="AR24" s="362" t="s">
        <v>1237</v>
      </c>
      <c r="AS24" s="362"/>
      <c r="AT24" s="362"/>
      <c r="AU24" s="362"/>
      <c r="AV24" s="362"/>
      <c r="AW24" s="362"/>
      <c r="AX24" s="362"/>
      <c r="AY24" s="362"/>
      <c r="AZ24" s="362"/>
      <c r="BA24" s="362"/>
      <c r="BB24" s="362"/>
      <c r="BC24" s="362"/>
      <c r="BD24" s="362"/>
      <c r="BE24" s="362"/>
      <c r="BF24" s="362"/>
      <c r="BG24" s="362"/>
      <c r="BH24" s="66"/>
      <c r="BI24" s="341" t="s">
        <v>1237</v>
      </c>
      <c r="BJ24" s="66"/>
      <c r="BK24" s="66"/>
      <c r="BL24" s="66"/>
    </row>
    <row r="25" spans="2:64" x14ac:dyDescent="0.2">
      <c r="B25" s="219" t="str">
        <f>IF(Capacity!N18="","",Capacity!N18)</f>
        <v>Ad Hoc 2</v>
      </c>
      <c r="C25" s="220">
        <f>IF(B25="","",Capacity!Q18)</f>
        <v>12</v>
      </c>
      <c r="D25" s="309">
        <f>IF(B25="","",Capacity!R18)</f>
        <v>4</v>
      </c>
      <c r="E25" s="220">
        <f>IF(B25="","",IF(COUNTBLANK(H25:BG25)=52,SUM('Capacity calculation (hide)'!H113:BG113),52-COUNTBLANK(H25:BG25)))</f>
        <v>13</v>
      </c>
      <c r="F25" s="310">
        <f>'Capacity calculation (hide)'!BI113</f>
        <v>3.6923076923076925</v>
      </c>
      <c r="H25" s="364"/>
      <c r="I25" s="362"/>
      <c r="J25" s="362"/>
      <c r="K25" s="362"/>
      <c r="L25" s="362"/>
      <c r="M25" s="362"/>
      <c r="N25" s="362"/>
      <c r="O25" s="362"/>
      <c r="P25" s="362" t="s">
        <v>1237</v>
      </c>
      <c r="Q25" s="362" t="s">
        <v>1237</v>
      </c>
      <c r="R25" s="362"/>
      <c r="S25" s="362"/>
      <c r="T25" s="362"/>
      <c r="U25" s="362" t="s">
        <v>1237</v>
      </c>
      <c r="V25" s="362"/>
      <c r="W25" s="362"/>
      <c r="X25" s="362"/>
      <c r="Y25" s="362"/>
      <c r="Z25" s="362"/>
      <c r="AA25" s="362"/>
      <c r="AB25" s="362"/>
      <c r="AC25" s="362"/>
      <c r="AD25" s="362"/>
      <c r="AE25" s="362"/>
      <c r="AF25" s="362"/>
      <c r="AG25" s="362" t="s">
        <v>1237</v>
      </c>
      <c r="AH25" s="362" t="s">
        <v>1237</v>
      </c>
      <c r="AI25" s="362" t="s">
        <v>1237</v>
      </c>
      <c r="AJ25" s="362" t="s">
        <v>1237</v>
      </c>
      <c r="AK25" s="362" t="s">
        <v>1237</v>
      </c>
      <c r="AL25" s="362" t="s">
        <v>1237</v>
      </c>
      <c r="AM25" s="362" t="s">
        <v>1237</v>
      </c>
      <c r="AN25" s="362" t="s">
        <v>1237</v>
      </c>
      <c r="AO25" s="362" t="s">
        <v>1237</v>
      </c>
      <c r="AP25" s="362" t="s">
        <v>1237</v>
      </c>
      <c r="AQ25" s="362"/>
      <c r="AR25" s="362"/>
      <c r="AS25" s="362"/>
      <c r="AT25" s="362"/>
      <c r="AU25" s="362"/>
      <c r="AV25" s="362"/>
      <c r="AW25" s="362"/>
      <c r="AX25" s="362"/>
      <c r="AY25" s="362"/>
      <c r="AZ25" s="362"/>
      <c r="BA25" s="362"/>
      <c r="BB25" s="362"/>
      <c r="BC25" s="362"/>
      <c r="BD25" s="362"/>
      <c r="BE25" s="362"/>
      <c r="BF25" s="362"/>
      <c r="BG25" s="365"/>
      <c r="BH25" s="66"/>
      <c r="BI25" s="341" t="s">
        <v>1237</v>
      </c>
    </row>
    <row r="26" spans="2:64" x14ac:dyDescent="0.2">
      <c r="B26" s="219" t="str">
        <f>IF(Capacity!N19="","",Capacity!N19)</f>
        <v/>
      </c>
      <c r="C26" s="220" t="str">
        <f>IF(B26="","",Capacity!Q19)</f>
        <v/>
      </c>
      <c r="D26" s="309" t="str">
        <f>IF(B26="","",Capacity!R19)</f>
        <v/>
      </c>
      <c r="E26" s="220" t="str">
        <f>IF(B26="","",IF(COUNTBLANK(H26:BG26)=52,SUM('Capacity calculation (hide)'!H114:BG114),52-COUNTBLANK(H26:BG26)))</f>
        <v/>
      </c>
      <c r="F26" s="310" t="str">
        <f>'Capacity calculation (hide)'!BI114</f>
        <v/>
      </c>
      <c r="H26" s="363"/>
      <c r="I26" s="363"/>
      <c r="J26" s="363"/>
      <c r="K26" s="363"/>
      <c r="L26" s="363"/>
      <c r="M26" s="363"/>
      <c r="N26" s="363"/>
      <c r="O26" s="363"/>
      <c r="P26" s="363"/>
      <c r="Q26" s="363"/>
      <c r="R26" s="363"/>
      <c r="S26" s="363"/>
      <c r="T26" s="363"/>
      <c r="U26" s="363"/>
      <c r="V26" s="363"/>
      <c r="W26" s="363"/>
      <c r="X26" s="363"/>
      <c r="Y26" s="363"/>
      <c r="Z26" s="363"/>
      <c r="AA26" s="363"/>
      <c r="AB26" s="363"/>
      <c r="AC26" s="363"/>
      <c r="AD26" s="363"/>
      <c r="AE26" s="363"/>
      <c r="AF26" s="363"/>
      <c r="AG26" s="363"/>
      <c r="AH26" s="363"/>
      <c r="AI26" s="363"/>
      <c r="AJ26" s="363"/>
      <c r="AK26" s="363"/>
      <c r="AL26" s="363"/>
      <c r="AM26" s="363"/>
      <c r="AN26" s="363"/>
      <c r="AO26" s="363"/>
      <c r="AP26" s="363"/>
      <c r="AQ26" s="363"/>
      <c r="AR26" s="363"/>
      <c r="AS26" s="363"/>
      <c r="AT26" s="363"/>
      <c r="AU26" s="363"/>
      <c r="AV26" s="363"/>
      <c r="AW26" s="363"/>
      <c r="AX26" s="363"/>
      <c r="AY26" s="363"/>
      <c r="AZ26" s="363"/>
      <c r="BA26" s="363"/>
      <c r="BB26" s="363"/>
      <c r="BC26" s="363"/>
      <c r="BD26" s="363"/>
      <c r="BE26" s="363"/>
      <c r="BF26" s="363"/>
      <c r="BG26" s="363"/>
      <c r="BH26" s="129"/>
      <c r="BI26" s="341" t="s">
        <v>1237</v>
      </c>
    </row>
    <row r="27" spans="2:64" x14ac:dyDescent="0.2">
      <c r="B27" s="219" t="str">
        <f>IF(Capacity!N20="","",Capacity!N20)</f>
        <v/>
      </c>
      <c r="C27" s="220" t="str">
        <f>IF(B27="","",Capacity!Q20)</f>
        <v/>
      </c>
      <c r="D27" s="309" t="str">
        <f>IF(B27="","",Capacity!R20)</f>
        <v/>
      </c>
      <c r="E27" s="220" t="str">
        <f>IF(B27="","",IF(COUNTBLANK(H27:BG27)=52,SUM('Capacity calculation (hide)'!H115:BG115),52-COUNTBLANK(H27:BG27)))</f>
        <v/>
      </c>
      <c r="F27" s="310" t="str">
        <f>'Capacity calculation (hide)'!BI115</f>
        <v/>
      </c>
      <c r="H27" s="363"/>
      <c r="I27" s="363"/>
      <c r="J27" s="363"/>
      <c r="K27" s="363"/>
      <c r="L27" s="363"/>
      <c r="M27" s="363"/>
      <c r="N27" s="363"/>
      <c r="O27" s="363"/>
      <c r="P27" s="363"/>
      <c r="Q27" s="363"/>
      <c r="R27" s="363"/>
      <c r="S27" s="363"/>
      <c r="T27" s="363"/>
      <c r="U27" s="363"/>
      <c r="V27" s="363"/>
      <c r="W27" s="363"/>
      <c r="X27" s="363"/>
      <c r="Y27" s="363"/>
      <c r="Z27" s="363"/>
      <c r="AA27" s="363"/>
      <c r="AB27" s="363"/>
      <c r="AC27" s="363"/>
      <c r="AD27" s="362"/>
      <c r="AE27" s="362"/>
      <c r="AF27" s="362"/>
      <c r="AG27" s="362"/>
      <c r="AH27" s="362"/>
      <c r="AI27" s="362"/>
      <c r="AJ27" s="362"/>
      <c r="AK27" s="362"/>
      <c r="AL27" s="362"/>
      <c r="AM27" s="362"/>
      <c r="AN27" s="362"/>
      <c r="AO27" s="362"/>
      <c r="AP27" s="362"/>
      <c r="AQ27" s="362"/>
      <c r="AR27" s="362"/>
      <c r="AS27" s="362"/>
      <c r="AT27" s="362"/>
      <c r="AU27" s="362"/>
      <c r="AV27" s="362"/>
      <c r="AW27" s="362"/>
      <c r="AX27" s="362"/>
      <c r="AY27" s="362"/>
      <c r="AZ27" s="362"/>
      <c r="BA27" s="362"/>
      <c r="BB27" s="362"/>
      <c r="BC27" s="362"/>
      <c r="BD27" s="362"/>
      <c r="BE27" s="362"/>
      <c r="BF27" s="362"/>
      <c r="BG27" s="362"/>
      <c r="BI27" s="341" t="s">
        <v>1237</v>
      </c>
    </row>
    <row r="28" spans="2:64" x14ac:dyDescent="0.2">
      <c r="B28" s="219" t="str">
        <f>IF(Capacity!N21="","",Capacity!N21)</f>
        <v/>
      </c>
      <c r="C28" s="220" t="str">
        <f>IF(B28="","",Capacity!Q21)</f>
        <v/>
      </c>
      <c r="D28" s="309" t="str">
        <f>IF(B28="","",Capacity!R21)</f>
        <v/>
      </c>
      <c r="E28" s="220" t="str">
        <f>IF(B28="","",IF(COUNTBLANK(H28:BG28)=52,SUM('Capacity calculation (hide)'!H116:BG116),52-COUNTBLANK(H28:BG28)))</f>
        <v/>
      </c>
      <c r="F28" s="310" t="str">
        <f>'Capacity calculation (hide)'!BI116</f>
        <v/>
      </c>
      <c r="H28" s="363"/>
      <c r="I28" s="363"/>
      <c r="J28" s="363"/>
      <c r="K28" s="363"/>
      <c r="L28" s="363"/>
      <c r="M28" s="363"/>
      <c r="N28" s="363"/>
      <c r="O28" s="363"/>
      <c r="P28" s="363"/>
      <c r="Q28" s="363"/>
      <c r="R28" s="363"/>
      <c r="S28" s="363"/>
      <c r="T28" s="363"/>
      <c r="U28" s="363"/>
      <c r="V28" s="363"/>
      <c r="W28" s="363"/>
      <c r="X28" s="363"/>
      <c r="Y28" s="363"/>
      <c r="Z28" s="363"/>
      <c r="AA28" s="363"/>
      <c r="AB28" s="363"/>
      <c r="AC28" s="363"/>
      <c r="AD28" s="362"/>
      <c r="AE28" s="362"/>
      <c r="AF28" s="362"/>
      <c r="AG28" s="362"/>
      <c r="AH28" s="362"/>
      <c r="AI28" s="362"/>
      <c r="AJ28" s="362"/>
      <c r="AK28" s="362"/>
      <c r="AL28" s="362"/>
      <c r="AM28" s="362"/>
      <c r="AN28" s="362"/>
      <c r="AO28" s="362"/>
      <c r="AP28" s="362"/>
      <c r="AQ28" s="362"/>
      <c r="AR28" s="362"/>
      <c r="AS28" s="362"/>
      <c r="AT28" s="362"/>
      <c r="AU28" s="362"/>
      <c r="AV28" s="362"/>
      <c r="AW28" s="362"/>
      <c r="AX28" s="362"/>
      <c r="AY28" s="362"/>
      <c r="AZ28" s="362"/>
      <c r="BA28" s="362"/>
      <c r="BB28" s="362"/>
      <c r="BC28" s="362"/>
      <c r="BD28" s="362"/>
      <c r="BE28" s="362"/>
      <c r="BF28" s="362"/>
      <c r="BG28" s="362"/>
      <c r="BI28" s="341" t="s">
        <v>1237</v>
      </c>
    </row>
    <row r="29" spans="2:64" x14ac:dyDescent="0.2">
      <c r="B29" s="219" t="str">
        <f>IF(Capacity!N22="","",Capacity!N22)</f>
        <v/>
      </c>
      <c r="C29" s="220" t="str">
        <f>IF(B29="","",Capacity!Q22)</f>
        <v/>
      </c>
      <c r="D29" s="309" t="str">
        <f>IF(B29="","",Capacity!R22)</f>
        <v/>
      </c>
      <c r="E29" s="220" t="str">
        <f>IF(B29="","",IF(COUNTBLANK(H29:BG29)=52,SUM('Capacity calculation (hide)'!H117:BG117),52-COUNTBLANK(H29:BG29)))</f>
        <v/>
      </c>
      <c r="F29" s="310" t="str">
        <f>'Capacity calculation (hide)'!BI117</f>
        <v/>
      </c>
      <c r="H29" s="363"/>
      <c r="I29" s="363"/>
      <c r="J29" s="363"/>
      <c r="K29" s="363"/>
      <c r="L29" s="363"/>
      <c r="M29" s="363"/>
      <c r="N29" s="363"/>
      <c r="O29" s="363"/>
      <c r="P29" s="363"/>
      <c r="Q29" s="363"/>
      <c r="R29" s="363"/>
      <c r="S29" s="363"/>
      <c r="T29" s="363"/>
      <c r="U29" s="363"/>
      <c r="V29" s="363"/>
      <c r="W29" s="363"/>
      <c r="X29" s="363"/>
      <c r="Y29" s="363"/>
      <c r="Z29" s="363"/>
      <c r="AA29" s="363"/>
      <c r="AB29" s="363"/>
      <c r="AC29" s="363"/>
      <c r="AD29" s="362"/>
      <c r="AE29" s="362"/>
      <c r="AF29" s="362"/>
      <c r="AG29" s="362"/>
      <c r="AH29" s="362"/>
      <c r="AI29" s="362"/>
      <c r="AJ29" s="362"/>
      <c r="AK29" s="362"/>
      <c r="AL29" s="362"/>
      <c r="AM29" s="362"/>
      <c r="AN29" s="362"/>
      <c r="AO29" s="362"/>
      <c r="AP29" s="362"/>
      <c r="AQ29" s="362"/>
      <c r="AR29" s="362"/>
      <c r="AS29" s="362"/>
      <c r="AT29" s="362"/>
      <c r="AU29" s="362"/>
      <c r="AV29" s="362"/>
      <c r="AW29" s="362"/>
      <c r="AX29" s="362"/>
      <c r="AY29" s="362"/>
      <c r="AZ29" s="362"/>
      <c r="BA29" s="362"/>
      <c r="BB29" s="362"/>
      <c r="BC29" s="362"/>
      <c r="BD29" s="362"/>
      <c r="BE29" s="362"/>
      <c r="BF29" s="362"/>
      <c r="BG29" s="362"/>
      <c r="BI29" s="341" t="s">
        <v>1237</v>
      </c>
    </row>
    <row r="30" spans="2:64" x14ac:dyDescent="0.2">
      <c r="B30" s="219" t="str">
        <f>IF(Capacity!N23="","",Capacity!N23)</f>
        <v/>
      </c>
      <c r="C30" s="220" t="str">
        <f>IF(B30="","",Capacity!Q23)</f>
        <v/>
      </c>
      <c r="D30" s="309" t="str">
        <f>IF(B30="","",Capacity!R23)</f>
        <v/>
      </c>
      <c r="E30" s="220" t="str">
        <f>IF(B30="","",IF(COUNTBLANK(H30:BG30)=52,SUM('Capacity calculation (hide)'!H118:BG118),52-COUNTBLANK(H30:BG30)))</f>
        <v/>
      </c>
      <c r="F30" s="310" t="str">
        <f>'Capacity calculation (hide)'!BI118</f>
        <v/>
      </c>
      <c r="H30" s="363"/>
      <c r="I30" s="363"/>
      <c r="J30" s="363"/>
      <c r="K30" s="363"/>
      <c r="L30" s="363"/>
      <c r="M30" s="363"/>
      <c r="N30" s="363"/>
      <c r="O30" s="363"/>
      <c r="P30" s="363"/>
      <c r="Q30" s="363"/>
      <c r="R30" s="363"/>
      <c r="S30" s="363"/>
      <c r="T30" s="363"/>
      <c r="U30" s="363"/>
      <c r="V30" s="363"/>
      <c r="W30" s="363"/>
      <c r="X30" s="363"/>
      <c r="Y30" s="363"/>
      <c r="Z30" s="363"/>
      <c r="AA30" s="363"/>
      <c r="AB30" s="363"/>
      <c r="AC30" s="363"/>
      <c r="AD30" s="362"/>
      <c r="AE30" s="362"/>
      <c r="AF30" s="362"/>
      <c r="AG30" s="362"/>
      <c r="AH30" s="362"/>
      <c r="AI30" s="362"/>
      <c r="AJ30" s="362"/>
      <c r="AK30" s="362"/>
      <c r="AL30" s="362"/>
      <c r="AM30" s="362"/>
      <c r="AN30" s="362"/>
      <c r="AO30" s="362"/>
      <c r="AP30" s="362"/>
      <c r="AQ30" s="362"/>
      <c r="AR30" s="362"/>
      <c r="AS30" s="362"/>
      <c r="AT30" s="362"/>
      <c r="AU30" s="362"/>
      <c r="AV30" s="362"/>
      <c r="AW30" s="362"/>
      <c r="AX30" s="362"/>
      <c r="AY30" s="362"/>
      <c r="AZ30" s="362"/>
      <c r="BA30" s="362"/>
      <c r="BB30" s="362"/>
      <c r="BC30" s="362"/>
      <c r="BD30" s="362"/>
      <c r="BE30" s="362"/>
      <c r="BF30" s="362"/>
      <c r="BG30" s="362"/>
      <c r="BI30" s="341" t="s">
        <v>1237</v>
      </c>
    </row>
    <row r="31" spans="2:64" x14ac:dyDescent="0.2">
      <c r="B31" s="219" t="str">
        <f>IF(Capacity!N24="","",Capacity!N24)</f>
        <v/>
      </c>
      <c r="C31" s="220" t="str">
        <f>IF(B31="","",Capacity!Q24)</f>
        <v/>
      </c>
      <c r="D31" s="309" t="str">
        <f>IF(B31="","",Capacity!R24)</f>
        <v/>
      </c>
      <c r="E31" s="220" t="str">
        <f>IF(B31="","",IF(COUNTBLANK(H31:BG31)=52,SUM('Capacity calculation (hide)'!H119:BG119),52-COUNTBLANK(H31:BG31)))</f>
        <v/>
      </c>
      <c r="F31" s="310" t="str">
        <f>'Capacity calculation (hide)'!BI119</f>
        <v/>
      </c>
      <c r="H31" s="363"/>
      <c r="I31" s="363"/>
      <c r="J31" s="363"/>
      <c r="K31" s="363"/>
      <c r="L31" s="363"/>
      <c r="M31" s="363"/>
      <c r="N31" s="363"/>
      <c r="O31" s="363"/>
      <c r="P31" s="363"/>
      <c r="Q31" s="363"/>
      <c r="R31" s="363"/>
      <c r="S31" s="363"/>
      <c r="T31" s="363"/>
      <c r="U31" s="363"/>
      <c r="V31" s="363"/>
      <c r="W31" s="363"/>
      <c r="X31" s="363"/>
      <c r="Y31" s="363"/>
      <c r="Z31" s="363"/>
      <c r="AA31" s="363"/>
      <c r="AB31" s="363"/>
      <c r="AC31" s="363"/>
      <c r="AD31" s="362"/>
      <c r="AE31" s="362"/>
      <c r="AF31" s="362"/>
      <c r="AG31" s="362"/>
      <c r="AH31" s="362"/>
      <c r="AI31" s="362"/>
      <c r="AJ31" s="362"/>
      <c r="AK31" s="362"/>
      <c r="AL31" s="362"/>
      <c r="AM31" s="362"/>
      <c r="AN31" s="362"/>
      <c r="AO31" s="362"/>
      <c r="AP31" s="362"/>
      <c r="AQ31" s="362"/>
      <c r="AR31" s="362"/>
      <c r="AS31" s="362"/>
      <c r="AT31" s="362"/>
      <c r="AU31" s="362"/>
      <c r="AV31" s="362"/>
      <c r="AW31" s="362"/>
      <c r="AX31" s="362"/>
      <c r="AY31" s="362"/>
      <c r="AZ31" s="362"/>
      <c r="BA31" s="362"/>
      <c r="BB31" s="362"/>
      <c r="BC31" s="362"/>
      <c r="BD31" s="362"/>
      <c r="BE31" s="362"/>
      <c r="BF31" s="362"/>
      <c r="BG31" s="362"/>
      <c r="BI31" s="341" t="s">
        <v>1237</v>
      </c>
    </row>
    <row r="32" spans="2:64" x14ac:dyDescent="0.2">
      <c r="B32" s="219" t="str">
        <f>IF(Capacity!N25="","",Capacity!N25)</f>
        <v/>
      </c>
      <c r="C32" s="220" t="str">
        <f>IF(B32="","",Capacity!Q25)</f>
        <v/>
      </c>
      <c r="D32" s="309" t="str">
        <f>IF(B32="","",Capacity!R25)</f>
        <v/>
      </c>
      <c r="E32" s="220" t="str">
        <f>IF(B32="","",IF(COUNTBLANK(H32:BG32)=52,SUM('Capacity calculation (hide)'!H120:BG120),52-COUNTBLANK(H32:BG32)))</f>
        <v/>
      </c>
      <c r="F32" s="310" t="str">
        <f>'Capacity calculation (hide)'!BI120</f>
        <v/>
      </c>
      <c r="H32" s="363"/>
      <c r="I32" s="363"/>
      <c r="J32" s="363"/>
      <c r="K32" s="363"/>
      <c r="L32" s="363"/>
      <c r="M32" s="363"/>
      <c r="N32" s="363"/>
      <c r="O32" s="363"/>
      <c r="P32" s="363"/>
      <c r="Q32" s="363"/>
      <c r="R32" s="363"/>
      <c r="S32" s="363"/>
      <c r="T32" s="363"/>
      <c r="U32" s="363"/>
      <c r="V32" s="363"/>
      <c r="W32" s="363"/>
      <c r="X32" s="363"/>
      <c r="Y32" s="363"/>
      <c r="Z32" s="363"/>
      <c r="AA32" s="363"/>
      <c r="AB32" s="363"/>
      <c r="AC32" s="363"/>
      <c r="AD32" s="362"/>
      <c r="AE32" s="362"/>
      <c r="AF32" s="362"/>
      <c r="AG32" s="362"/>
      <c r="AH32" s="362"/>
      <c r="AI32" s="362"/>
      <c r="AJ32" s="362"/>
      <c r="AK32" s="362"/>
      <c r="AL32" s="362"/>
      <c r="AM32" s="362"/>
      <c r="AN32" s="362"/>
      <c r="AO32" s="362"/>
      <c r="AP32" s="362"/>
      <c r="AQ32" s="362"/>
      <c r="AR32" s="362"/>
      <c r="AS32" s="362"/>
      <c r="AT32" s="362"/>
      <c r="AU32" s="362"/>
      <c r="AV32" s="362"/>
      <c r="AW32" s="362"/>
      <c r="AX32" s="362"/>
      <c r="AY32" s="362"/>
      <c r="AZ32" s="362"/>
      <c r="BA32" s="362"/>
      <c r="BB32" s="362"/>
      <c r="BC32" s="362"/>
      <c r="BD32" s="362"/>
      <c r="BE32" s="362"/>
      <c r="BF32" s="362"/>
      <c r="BG32" s="362"/>
      <c r="BI32" s="341" t="s">
        <v>1237</v>
      </c>
    </row>
    <row r="33" spans="2:61" x14ac:dyDescent="0.2">
      <c r="B33" s="219" t="str">
        <f>IF(Capacity!N26="","",Capacity!N26)</f>
        <v/>
      </c>
      <c r="C33" s="220" t="str">
        <f>IF(B33="","",Capacity!Q26)</f>
        <v/>
      </c>
      <c r="D33" s="309" t="str">
        <f>IF(B33="","",Capacity!R26)</f>
        <v/>
      </c>
      <c r="E33" s="220" t="str">
        <f>IF(B33="","",IF(COUNTBLANK(H33:BG33)=52,SUM('Capacity calculation (hide)'!H121:BG121),52-COUNTBLANK(H33:BG33)))</f>
        <v/>
      </c>
      <c r="F33" s="310" t="str">
        <f>'Capacity calculation (hide)'!BI121</f>
        <v/>
      </c>
      <c r="H33" s="363"/>
      <c r="I33" s="363"/>
      <c r="J33" s="363"/>
      <c r="K33" s="363"/>
      <c r="L33" s="363"/>
      <c r="M33" s="363"/>
      <c r="N33" s="363"/>
      <c r="O33" s="363"/>
      <c r="P33" s="363"/>
      <c r="Q33" s="363"/>
      <c r="R33" s="363"/>
      <c r="S33" s="363"/>
      <c r="T33" s="363"/>
      <c r="U33" s="363"/>
      <c r="V33" s="363"/>
      <c r="W33" s="363"/>
      <c r="X33" s="363"/>
      <c r="Y33" s="363"/>
      <c r="Z33" s="363"/>
      <c r="AA33" s="363"/>
      <c r="AB33" s="363"/>
      <c r="AC33" s="363"/>
      <c r="AD33" s="362"/>
      <c r="AE33" s="362"/>
      <c r="AF33" s="362"/>
      <c r="AG33" s="362"/>
      <c r="AH33" s="362"/>
      <c r="AI33" s="362"/>
      <c r="AJ33" s="362"/>
      <c r="AK33" s="362"/>
      <c r="AL33" s="362"/>
      <c r="AM33" s="362"/>
      <c r="AN33" s="362"/>
      <c r="AO33" s="362"/>
      <c r="AP33" s="362"/>
      <c r="AQ33" s="362"/>
      <c r="AR33" s="362"/>
      <c r="AS33" s="362"/>
      <c r="AT33" s="362"/>
      <c r="AU33" s="362"/>
      <c r="AV33" s="362"/>
      <c r="AW33" s="362"/>
      <c r="AX33" s="362"/>
      <c r="AY33" s="362"/>
      <c r="AZ33" s="362"/>
      <c r="BA33" s="362"/>
      <c r="BB33" s="362"/>
      <c r="BC33" s="362"/>
      <c r="BD33" s="362"/>
      <c r="BE33" s="362"/>
      <c r="BF33" s="362"/>
      <c r="BG33" s="362"/>
      <c r="BI33" s="341" t="s">
        <v>1237</v>
      </c>
    </row>
    <row r="34" spans="2:61" x14ac:dyDescent="0.2">
      <c r="B34" s="219" t="str">
        <f>IF(Capacity!N27="","",Capacity!N27)</f>
        <v/>
      </c>
      <c r="C34" s="220" t="str">
        <f>IF(B34="","",Capacity!Q27)</f>
        <v/>
      </c>
      <c r="D34" s="309" t="str">
        <f>IF(B34="","",Capacity!R27)</f>
        <v/>
      </c>
      <c r="E34" s="220" t="str">
        <f>IF(B34="","",IF(COUNTBLANK(H34:BG34)=52,SUM('Capacity calculation (hide)'!H122:BG122),52-COUNTBLANK(H34:BG34)))</f>
        <v/>
      </c>
      <c r="F34" s="310" t="str">
        <f>'Capacity calculation (hide)'!BI122</f>
        <v/>
      </c>
      <c r="H34" s="362"/>
      <c r="I34" s="362"/>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6"/>
      <c r="AI34" s="366"/>
      <c r="AJ34" s="366"/>
      <c r="AK34" s="366"/>
      <c r="AL34" s="366"/>
      <c r="AM34" s="366"/>
      <c r="AN34" s="366"/>
      <c r="AO34" s="366"/>
      <c r="AP34" s="366"/>
      <c r="AQ34" s="366"/>
      <c r="AR34" s="366"/>
      <c r="AS34" s="366"/>
      <c r="AT34" s="366"/>
      <c r="AU34" s="366"/>
      <c r="AV34" s="366"/>
      <c r="AW34" s="366"/>
      <c r="AX34" s="366"/>
      <c r="AY34" s="366"/>
      <c r="AZ34" s="366"/>
      <c r="BA34" s="366"/>
      <c r="BB34" s="366"/>
      <c r="BC34" s="366"/>
      <c r="BD34" s="366"/>
      <c r="BE34" s="366"/>
      <c r="BF34" s="366"/>
      <c r="BG34" s="362"/>
      <c r="BI34" s="341" t="s">
        <v>1237</v>
      </c>
    </row>
    <row r="35" spans="2:61" x14ac:dyDescent="0.2">
      <c r="B35" s="219" t="str">
        <f>IF(Capacity!N28="","",Capacity!N28)</f>
        <v/>
      </c>
      <c r="C35" s="220" t="str">
        <f>IF(B35="","",Capacity!Q28)</f>
        <v/>
      </c>
      <c r="D35" s="309" t="str">
        <f>IF(B35="","",Capacity!R28)</f>
        <v/>
      </c>
      <c r="E35" s="220" t="str">
        <f>IF(B35="","",IF(COUNTBLANK(H35:BG35)=52,SUM('Capacity calculation (hide)'!H123:BG123),52-COUNTBLANK(H35:BG35)))</f>
        <v/>
      </c>
      <c r="F35" s="310" t="str">
        <f>'Capacity calculation (hide)'!BI123</f>
        <v/>
      </c>
      <c r="H35" s="363"/>
      <c r="I35" s="363"/>
      <c r="J35" s="363"/>
      <c r="K35" s="363"/>
      <c r="L35" s="363"/>
      <c r="M35" s="363"/>
      <c r="N35" s="363"/>
      <c r="O35" s="363"/>
      <c r="P35" s="363"/>
      <c r="Q35" s="363"/>
      <c r="R35" s="363"/>
      <c r="S35" s="363"/>
      <c r="T35" s="363"/>
      <c r="U35" s="363"/>
      <c r="V35" s="363"/>
      <c r="W35" s="363"/>
      <c r="X35" s="363"/>
      <c r="Y35" s="363"/>
      <c r="Z35" s="363"/>
      <c r="AA35" s="363"/>
      <c r="AB35" s="363"/>
      <c r="AC35" s="363"/>
      <c r="AD35" s="363"/>
      <c r="AE35" s="363"/>
      <c r="AF35" s="363"/>
      <c r="AG35" s="363"/>
      <c r="AH35" s="363"/>
      <c r="AI35" s="363"/>
      <c r="AJ35" s="363"/>
      <c r="AK35" s="363"/>
      <c r="AL35" s="363"/>
      <c r="AM35" s="363"/>
      <c r="AN35" s="363"/>
      <c r="AO35" s="363"/>
      <c r="AP35" s="363"/>
      <c r="AQ35" s="363"/>
      <c r="AR35" s="363"/>
      <c r="AS35" s="363"/>
      <c r="AT35" s="363"/>
      <c r="AU35" s="363"/>
      <c r="AV35" s="363"/>
      <c r="AW35" s="363"/>
      <c r="AX35" s="363"/>
      <c r="AY35" s="363"/>
      <c r="AZ35" s="363"/>
      <c r="BA35" s="363"/>
      <c r="BB35" s="363"/>
      <c r="BC35" s="363"/>
      <c r="BD35" s="363"/>
      <c r="BE35" s="363"/>
      <c r="BF35" s="363"/>
      <c r="BG35" s="363"/>
      <c r="BI35" s="341" t="s">
        <v>1237</v>
      </c>
    </row>
    <row r="36" spans="2:61" x14ac:dyDescent="0.2">
      <c r="B36" s="219" t="str">
        <f>IF(Capacity!N29="","",Capacity!N29)</f>
        <v/>
      </c>
      <c r="C36" s="220" t="str">
        <f>IF(B36="","",Capacity!Q29)</f>
        <v/>
      </c>
      <c r="D36" s="309" t="str">
        <f>IF(B36="","",Capacity!R29)</f>
        <v/>
      </c>
      <c r="E36" s="220" t="str">
        <f>IF(B36="","",IF(COUNTBLANK(H36:BG36)=52,SUM('Capacity calculation (hide)'!H124:BG124),52-COUNTBLANK(H36:BG36)))</f>
        <v/>
      </c>
      <c r="F36" s="310" t="str">
        <f>'Capacity calculation (hide)'!BI124</f>
        <v/>
      </c>
      <c r="H36" s="363"/>
      <c r="I36" s="363"/>
      <c r="J36" s="363"/>
      <c r="K36" s="363"/>
      <c r="L36" s="363"/>
      <c r="M36" s="363"/>
      <c r="N36" s="363"/>
      <c r="O36" s="363"/>
      <c r="P36" s="363"/>
      <c r="Q36" s="363"/>
      <c r="R36" s="363"/>
      <c r="S36" s="363"/>
      <c r="T36" s="363"/>
      <c r="U36" s="363"/>
      <c r="V36" s="363"/>
      <c r="W36" s="363"/>
      <c r="X36" s="363"/>
      <c r="Y36" s="363"/>
      <c r="Z36" s="363"/>
      <c r="AA36" s="363"/>
      <c r="AB36" s="363"/>
      <c r="AC36" s="363"/>
      <c r="AD36" s="363"/>
      <c r="AE36" s="363"/>
      <c r="AF36" s="363"/>
      <c r="AG36" s="363"/>
      <c r="AH36" s="363"/>
      <c r="AI36" s="363"/>
      <c r="AJ36" s="363"/>
      <c r="AK36" s="363"/>
      <c r="AL36" s="363"/>
      <c r="AM36" s="363"/>
      <c r="AN36" s="363"/>
      <c r="AO36" s="363"/>
      <c r="AP36" s="363"/>
      <c r="AQ36" s="363"/>
      <c r="AR36" s="363"/>
      <c r="AS36" s="363"/>
      <c r="AT36" s="363"/>
      <c r="AU36" s="363"/>
      <c r="AV36" s="363"/>
      <c r="AW36" s="363"/>
      <c r="AX36" s="363"/>
      <c r="AY36" s="363"/>
      <c r="AZ36" s="363"/>
      <c r="BA36" s="363"/>
      <c r="BB36" s="363"/>
      <c r="BC36" s="363"/>
      <c r="BD36" s="363"/>
      <c r="BE36" s="363"/>
      <c r="BF36" s="363"/>
      <c r="BG36" s="363"/>
      <c r="BI36" s="341" t="s">
        <v>1237</v>
      </c>
    </row>
    <row r="37" spans="2:61" x14ac:dyDescent="0.2">
      <c r="B37" s="219" t="str">
        <f>IF(Capacity!N30="","",Capacity!N30)</f>
        <v/>
      </c>
      <c r="C37" s="220" t="str">
        <f>IF(B37="","",Capacity!Q30)</f>
        <v/>
      </c>
      <c r="D37" s="309" t="str">
        <f>IF(B37="","",Capacity!R30)</f>
        <v/>
      </c>
      <c r="E37" s="220" t="str">
        <f>IF(B37="","",IF(COUNTBLANK(H37:BG37)=52,SUM('Capacity calculation (hide)'!H125:BG125),52-COUNTBLANK(H37:BG37)))</f>
        <v/>
      </c>
      <c r="F37" s="310" t="str">
        <f>'Capacity calculation (hide)'!BI125</f>
        <v/>
      </c>
      <c r="H37" s="362"/>
      <c r="I37" s="362"/>
      <c r="J37" s="362"/>
      <c r="K37" s="362"/>
      <c r="L37" s="362"/>
      <c r="M37" s="362"/>
      <c r="N37" s="362"/>
      <c r="O37" s="362"/>
      <c r="P37" s="362"/>
      <c r="Q37" s="362"/>
      <c r="R37" s="362"/>
      <c r="S37" s="362"/>
      <c r="T37" s="362"/>
      <c r="U37" s="362"/>
      <c r="V37" s="362"/>
      <c r="W37" s="362"/>
      <c r="X37" s="362"/>
      <c r="Y37" s="362"/>
      <c r="Z37" s="362"/>
      <c r="AA37" s="362"/>
      <c r="AB37" s="362"/>
      <c r="AC37" s="362"/>
      <c r="AD37" s="362"/>
      <c r="AE37" s="362"/>
      <c r="AF37" s="362"/>
      <c r="AG37" s="362"/>
      <c r="AH37" s="362"/>
      <c r="AI37" s="362"/>
      <c r="AJ37" s="362"/>
      <c r="AK37" s="362"/>
      <c r="AL37" s="362"/>
      <c r="AM37" s="362"/>
      <c r="AN37" s="362"/>
      <c r="AO37" s="362"/>
      <c r="AP37" s="362"/>
      <c r="AQ37" s="362"/>
      <c r="AR37" s="362"/>
      <c r="AS37" s="362"/>
      <c r="AT37" s="362"/>
      <c r="AU37" s="362"/>
      <c r="AV37" s="362"/>
      <c r="AW37" s="362"/>
      <c r="AX37" s="362"/>
      <c r="AY37" s="362"/>
      <c r="AZ37" s="362"/>
      <c r="BA37" s="362"/>
      <c r="BB37" s="362"/>
      <c r="BC37" s="362"/>
      <c r="BD37" s="362"/>
      <c r="BE37" s="362"/>
      <c r="BF37" s="362"/>
      <c r="BG37" s="362"/>
      <c r="BI37" s="341" t="s">
        <v>1237</v>
      </c>
    </row>
    <row r="38" spans="2:61" x14ac:dyDescent="0.2">
      <c r="B38" s="219" t="str">
        <f>IF(Capacity!N31="","",Capacity!N31)</f>
        <v/>
      </c>
      <c r="C38" s="220" t="str">
        <f>IF(B38="","",Capacity!Q31)</f>
        <v/>
      </c>
      <c r="D38" s="309" t="str">
        <f>IF(B38="","",Capacity!R31)</f>
        <v/>
      </c>
      <c r="E38" s="220" t="str">
        <f>IF(B38="","",IF(COUNTBLANK(H38:BG38)=52,SUM('Capacity calculation (hide)'!H126:BG126),52-COUNTBLANK(H38:BG38)))</f>
        <v/>
      </c>
      <c r="F38" s="310" t="str">
        <f>'Capacity calculation (hide)'!BI126</f>
        <v/>
      </c>
      <c r="H38" s="362"/>
      <c r="I38" s="362"/>
      <c r="J38" s="362"/>
      <c r="K38" s="362"/>
      <c r="L38" s="362"/>
      <c r="M38" s="362"/>
      <c r="N38" s="362"/>
      <c r="O38" s="362"/>
      <c r="P38" s="362"/>
      <c r="Q38" s="362"/>
      <c r="R38" s="362"/>
      <c r="S38" s="362"/>
      <c r="T38" s="362"/>
      <c r="U38" s="362"/>
      <c r="V38" s="362"/>
      <c r="W38" s="362"/>
      <c r="X38" s="362"/>
      <c r="Y38" s="362"/>
      <c r="Z38" s="362"/>
      <c r="AA38" s="362"/>
      <c r="AB38" s="362"/>
      <c r="AC38" s="362"/>
      <c r="AD38" s="362"/>
      <c r="AE38" s="362"/>
      <c r="AF38" s="362"/>
      <c r="AG38" s="362"/>
      <c r="AH38" s="362"/>
      <c r="AI38" s="362"/>
      <c r="AJ38" s="362"/>
      <c r="AK38" s="362"/>
      <c r="AL38" s="362"/>
      <c r="AM38" s="362"/>
      <c r="AN38" s="362"/>
      <c r="AO38" s="362"/>
      <c r="AP38" s="362"/>
      <c r="AQ38" s="362"/>
      <c r="AR38" s="362"/>
      <c r="AS38" s="362"/>
      <c r="AT38" s="362"/>
      <c r="AU38" s="362"/>
      <c r="AV38" s="362"/>
      <c r="AW38" s="362"/>
      <c r="AX38" s="362"/>
      <c r="AY38" s="362"/>
      <c r="AZ38" s="362"/>
      <c r="BA38" s="362"/>
      <c r="BB38" s="362"/>
      <c r="BC38" s="362"/>
      <c r="BD38" s="362"/>
      <c r="BE38" s="362"/>
      <c r="BF38" s="362"/>
      <c r="BG38" s="362"/>
      <c r="BI38" s="341" t="s">
        <v>1237</v>
      </c>
    </row>
    <row r="39" spans="2:61" x14ac:dyDescent="0.2">
      <c r="B39" s="219" t="str">
        <f>IF(Capacity!N32="","",Capacity!N32)</f>
        <v/>
      </c>
      <c r="C39" s="220" t="str">
        <f>IF(B39="","",Capacity!Q32)</f>
        <v/>
      </c>
      <c r="D39" s="309" t="str">
        <f>IF(B39="","",Capacity!R32)</f>
        <v/>
      </c>
      <c r="E39" s="220" t="str">
        <f>IF(B39="","",IF(COUNTBLANK(H39:BG39)=52,SUM('Capacity calculation (hide)'!H127:BG127),52-COUNTBLANK(H39:BG39)))</f>
        <v/>
      </c>
      <c r="F39" s="310" t="str">
        <f>'Capacity calculation (hide)'!BI127</f>
        <v/>
      </c>
      <c r="H39" s="362"/>
      <c r="I39" s="362"/>
      <c r="J39" s="362"/>
      <c r="K39" s="362"/>
      <c r="L39" s="362"/>
      <c r="M39" s="362"/>
      <c r="N39" s="362"/>
      <c r="O39" s="362"/>
      <c r="P39" s="362"/>
      <c r="Q39" s="362"/>
      <c r="R39" s="362"/>
      <c r="S39" s="362"/>
      <c r="T39" s="362"/>
      <c r="U39" s="362"/>
      <c r="V39" s="362"/>
      <c r="W39" s="362"/>
      <c r="X39" s="362"/>
      <c r="Y39" s="362"/>
      <c r="Z39" s="362"/>
      <c r="AA39" s="362"/>
      <c r="AB39" s="362"/>
      <c r="AC39" s="362"/>
      <c r="AD39" s="362"/>
      <c r="AE39" s="362"/>
      <c r="AF39" s="362"/>
      <c r="AG39" s="362"/>
      <c r="AH39" s="362"/>
      <c r="AI39" s="362"/>
      <c r="AJ39" s="362"/>
      <c r="AK39" s="362"/>
      <c r="AL39" s="362"/>
      <c r="AM39" s="362"/>
      <c r="AN39" s="362"/>
      <c r="AO39" s="362"/>
      <c r="AP39" s="362"/>
      <c r="AQ39" s="362"/>
      <c r="AR39" s="362"/>
      <c r="AS39" s="362"/>
      <c r="AT39" s="362"/>
      <c r="AU39" s="362"/>
      <c r="AV39" s="362"/>
      <c r="AW39" s="362"/>
      <c r="AX39" s="362"/>
      <c r="AY39" s="362"/>
      <c r="AZ39" s="362"/>
      <c r="BA39" s="362"/>
      <c r="BB39" s="362"/>
      <c r="BC39" s="362"/>
      <c r="BD39" s="362"/>
      <c r="BE39" s="362"/>
      <c r="BF39" s="362"/>
      <c r="BG39" s="362"/>
      <c r="BI39" s="341" t="s">
        <v>1237</v>
      </c>
    </row>
    <row r="40" spans="2:61" x14ac:dyDescent="0.2">
      <c r="B40" s="219" t="str">
        <f>IF(Capacity!N33="","",Capacity!N33)</f>
        <v/>
      </c>
      <c r="C40" s="220" t="str">
        <f>IF(B40="","",Capacity!Q33)</f>
        <v/>
      </c>
      <c r="D40" s="309" t="str">
        <f>IF(B40="","",Capacity!R33)</f>
        <v/>
      </c>
      <c r="E40" s="220" t="str">
        <f>IF(B40="","",IF(COUNTBLANK(H40:BG40)=52,SUM('Capacity calculation (hide)'!H128:BG128),52-COUNTBLANK(H40:BG40)))</f>
        <v/>
      </c>
      <c r="F40" s="310" t="str">
        <f>'Capacity calculation (hide)'!BI128</f>
        <v/>
      </c>
      <c r="H40" s="362"/>
      <c r="I40" s="362"/>
      <c r="J40" s="362"/>
      <c r="K40" s="362"/>
      <c r="L40" s="362"/>
      <c r="M40" s="362"/>
      <c r="N40" s="362"/>
      <c r="O40" s="362"/>
      <c r="P40" s="362"/>
      <c r="Q40" s="362"/>
      <c r="R40" s="362"/>
      <c r="S40" s="362"/>
      <c r="T40" s="362"/>
      <c r="U40" s="362"/>
      <c r="V40" s="362"/>
      <c r="W40" s="362"/>
      <c r="X40" s="362"/>
      <c r="Y40" s="362"/>
      <c r="Z40" s="362"/>
      <c r="AA40" s="362"/>
      <c r="AB40" s="362"/>
      <c r="AC40" s="362"/>
      <c r="AD40" s="362"/>
      <c r="AE40" s="362"/>
      <c r="AF40" s="362"/>
      <c r="AG40" s="362"/>
      <c r="AH40" s="362"/>
      <c r="AI40" s="362"/>
      <c r="AJ40" s="362"/>
      <c r="AK40" s="362"/>
      <c r="AL40" s="362"/>
      <c r="AM40" s="362"/>
      <c r="AN40" s="362"/>
      <c r="AO40" s="362"/>
      <c r="AP40" s="362"/>
      <c r="AQ40" s="362"/>
      <c r="AR40" s="362"/>
      <c r="AS40" s="362"/>
      <c r="AT40" s="362"/>
      <c r="AU40" s="362"/>
      <c r="AV40" s="362"/>
      <c r="AW40" s="362"/>
      <c r="AX40" s="362"/>
      <c r="AY40" s="362"/>
      <c r="AZ40" s="362"/>
      <c r="BA40" s="362"/>
      <c r="BB40" s="362"/>
      <c r="BC40" s="362"/>
      <c r="BD40" s="362"/>
      <c r="BE40" s="362"/>
      <c r="BF40" s="362"/>
      <c r="BG40" s="362"/>
      <c r="BI40" s="341" t="s">
        <v>1237</v>
      </c>
    </row>
    <row r="41" spans="2:61" x14ac:dyDescent="0.2">
      <c r="B41" s="219" t="str">
        <f>IF(Capacity!N34="","",Capacity!N34)</f>
        <v/>
      </c>
      <c r="C41" s="220" t="str">
        <f>IF(B41="","",Capacity!Q34)</f>
        <v/>
      </c>
      <c r="D41" s="309" t="str">
        <f>IF(B41="","",Capacity!R34)</f>
        <v/>
      </c>
      <c r="E41" s="220" t="str">
        <f>IF(B41="","",IF(COUNTBLANK(H41:BG41)=52,SUM('Capacity calculation (hide)'!H129:BG129),52-COUNTBLANK(H41:BG41)))</f>
        <v/>
      </c>
      <c r="F41" s="310" t="str">
        <f>'Capacity calculation (hide)'!BI129</f>
        <v/>
      </c>
      <c r="H41" s="362"/>
      <c r="I41" s="362"/>
      <c r="J41" s="362"/>
      <c r="K41" s="362"/>
      <c r="L41" s="362"/>
      <c r="M41" s="362"/>
      <c r="N41" s="362"/>
      <c r="O41" s="362"/>
      <c r="P41" s="362"/>
      <c r="Q41" s="362"/>
      <c r="R41" s="362"/>
      <c r="S41" s="362"/>
      <c r="T41" s="362"/>
      <c r="U41" s="362"/>
      <c r="V41" s="362"/>
      <c r="W41" s="362"/>
      <c r="X41" s="362"/>
      <c r="Y41" s="362"/>
      <c r="Z41" s="362"/>
      <c r="AA41" s="362"/>
      <c r="AB41" s="362"/>
      <c r="AC41" s="362"/>
      <c r="AD41" s="362"/>
      <c r="AE41" s="362"/>
      <c r="AF41" s="362"/>
      <c r="AG41" s="362"/>
      <c r="AH41" s="362"/>
      <c r="AI41" s="362"/>
      <c r="AJ41" s="362"/>
      <c r="AK41" s="362"/>
      <c r="AL41" s="362"/>
      <c r="AM41" s="362"/>
      <c r="AN41" s="362"/>
      <c r="AO41" s="362"/>
      <c r="AP41" s="362"/>
      <c r="AQ41" s="362"/>
      <c r="AR41" s="362"/>
      <c r="AS41" s="362"/>
      <c r="AT41" s="362"/>
      <c r="AU41" s="362"/>
      <c r="AV41" s="362"/>
      <c r="AW41" s="362"/>
      <c r="AX41" s="362"/>
      <c r="AY41" s="362"/>
      <c r="AZ41" s="362"/>
      <c r="BA41" s="362"/>
      <c r="BB41" s="362"/>
      <c r="BC41" s="362"/>
      <c r="BD41" s="362"/>
      <c r="BE41" s="362"/>
      <c r="BF41" s="362"/>
      <c r="BG41" s="362"/>
      <c r="BI41" s="341" t="s">
        <v>1237</v>
      </c>
    </row>
    <row r="42" spans="2:61" x14ac:dyDescent="0.2">
      <c r="B42" s="219" t="str">
        <f>IF(Capacity!N35="","",Capacity!N35)</f>
        <v/>
      </c>
      <c r="C42" s="220" t="str">
        <f>IF(B42="","",Capacity!Q35)</f>
        <v/>
      </c>
      <c r="D42" s="309" t="str">
        <f>IF(B42="","",Capacity!R35)</f>
        <v/>
      </c>
      <c r="E42" s="220" t="str">
        <f>IF(B42="","",IF(COUNTBLANK(H42:BG42)=52,SUM('Capacity calculation (hide)'!H130:BG130),52-COUNTBLANK(H42:BG42)))</f>
        <v/>
      </c>
      <c r="F42" s="310" t="str">
        <f>'Capacity calculation (hide)'!BI130</f>
        <v/>
      </c>
      <c r="H42" s="362"/>
      <c r="I42" s="362"/>
      <c r="J42" s="362"/>
      <c r="K42" s="362"/>
      <c r="L42" s="362"/>
      <c r="M42" s="362"/>
      <c r="N42" s="362"/>
      <c r="O42" s="362"/>
      <c r="P42" s="362"/>
      <c r="Q42" s="362"/>
      <c r="R42" s="362"/>
      <c r="S42" s="362"/>
      <c r="T42" s="362"/>
      <c r="U42" s="362"/>
      <c r="V42" s="362"/>
      <c r="W42" s="362"/>
      <c r="X42" s="362"/>
      <c r="Y42" s="362"/>
      <c r="Z42" s="362"/>
      <c r="AA42" s="362"/>
      <c r="AB42" s="362"/>
      <c r="AC42" s="362"/>
      <c r="AD42" s="362"/>
      <c r="AE42" s="362"/>
      <c r="AF42" s="362"/>
      <c r="AG42" s="362"/>
      <c r="AH42" s="362"/>
      <c r="AI42" s="362"/>
      <c r="AJ42" s="362"/>
      <c r="AK42" s="362"/>
      <c r="AL42" s="362"/>
      <c r="AM42" s="362"/>
      <c r="AN42" s="362"/>
      <c r="AO42" s="362"/>
      <c r="AP42" s="362"/>
      <c r="AQ42" s="362"/>
      <c r="AR42" s="362"/>
      <c r="AS42" s="362"/>
      <c r="AT42" s="362"/>
      <c r="AU42" s="362"/>
      <c r="AV42" s="362"/>
      <c r="AW42" s="362"/>
      <c r="AX42" s="362"/>
      <c r="AY42" s="362"/>
      <c r="AZ42" s="362"/>
      <c r="BA42" s="362"/>
      <c r="BB42" s="362"/>
      <c r="BC42" s="362"/>
      <c r="BD42" s="362"/>
      <c r="BE42" s="362"/>
      <c r="BF42" s="362"/>
      <c r="BG42" s="362"/>
      <c r="BI42" s="341" t="s">
        <v>1237</v>
      </c>
    </row>
    <row r="43" spans="2:61" x14ac:dyDescent="0.2">
      <c r="B43" s="219" t="str">
        <f>IF(Capacity!N36="","",Capacity!N36)</f>
        <v/>
      </c>
      <c r="C43" s="220" t="str">
        <f>IF(B43="","",Capacity!Q36)</f>
        <v/>
      </c>
      <c r="D43" s="309" t="str">
        <f>IF(B43="","",Capacity!R36)</f>
        <v/>
      </c>
      <c r="E43" s="220" t="str">
        <f>IF(B43="","",IF(COUNTBLANK(H43:BG43)=52,SUM('Capacity calculation (hide)'!H131:BG131),52-COUNTBLANK(H43:BG43)))</f>
        <v/>
      </c>
      <c r="F43" s="310" t="str">
        <f>'Capacity calculation (hide)'!BI131</f>
        <v/>
      </c>
      <c r="H43" s="362"/>
      <c r="I43" s="362"/>
      <c r="J43" s="362"/>
      <c r="K43" s="362"/>
      <c r="L43" s="362"/>
      <c r="M43" s="362"/>
      <c r="N43" s="362"/>
      <c r="O43" s="362"/>
      <c r="P43" s="362"/>
      <c r="Q43" s="362"/>
      <c r="R43" s="362"/>
      <c r="S43" s="362"/>
      <c r="T43" s="362"/>
      <c r="U43" s="362"/>
      <c r="V43" s="362"/>
      <c r="W43" s="362"/>
      <c r="X43" s="362"/>
      <c r="Y43" s="362"/>
      <c r="Z43" s="362"/>
      <c r="AA43" s="362"/>
      <c r="AB43" s="362"/>
      <c r="AC43" s="362"/>
      <c r="AD43" s="362"/>
      <c r="AE43" s="362"/>
      <c r="AF43" s="362"/>
      <c r="AG43" s="362"/>
      <c r="AH43" s="362"/>
      <c r="AI43" s="362"/>
      <c r="AJ43" s="362"/>
      <c r="AK43" s="362"/>
      <c r="AL43" s="362"/>
      <c r="AM43" s="362"/>
      <c r="AN43" s="362"/>
      <c r="AO43" s="362"/>
      <c r="AP43" s="362"/>
      <c r="AQ43" s="362"/>
      <c r="AR43" s="362"/>
      <c r="AS43" s="362"/>
      <c r="AT43" s="362"/>
      <c r="AU43" s="362"/>
      <c r="AV43" s="362"/>
      <c r="AW43" s="362"/>
      <c r="AX43" s="362"/>
      <c r="AY43" s="362"/>
      <c r="AZ43" s="362"/>
      <c r="BA43" s="362"/>
      <c r="BB43" s="362"/>
      <c r="BC43" s="362"/>
      <c r="BD43" s="362"/>
      <c r="BE43" s="362"/>
      <c r="BF43" s="362"/>
      <c r="BG43" s="362"/>
      <c r="BI43" s="341" t="s">
        <v>1237</v>
      </c>
    </row>
    <row r="44" spans="2:61" x14ac:dyDescent="0.2">
      <c r="B44" s="219" t="str">
        <f>IF(Capacity!N37="","",Capacity!N37)</f>
        <v/>
      </c>
      <c r="C44" s="220" t="str">
        <f>IF(B44="","",Capacity!Q37)</f>
        <v/>
      </c>
      <c r="D44" s="309" t="str">
        <f>IF(B44="","",Capacity!R37)</f>
        <v/>
      </c>
      <c r="E44" s="220" t="str">
        <f>IF(B44="","",IF(COUNTBLANK(H44:BG44)=52,SUM('Capacity calculation (hide)'!H132:BG132),52-COUNTBLANK(H44:BG44)))</f>
        <v/>
      </c>
      <c r="F44" s="310" t="str">
        <f>'Capacity calculation (hide)'!BI132</f>
        <v/>
      </c>
      <c r="H44" s="362"/>
      <c r="I44" s="362"/>
      <c r="J44" s="362"/>
      <c r="K44" s="362"/>
      <c r="L44" s="362"/>
      <c r="M44" s="362"/>
      <c r="N44" s="362"/>
      <c r="O44" s="362"/>
      <c r="P44" s="362"/>
      <c r="Q44" s="362"/>
      <c r="R44" s="362"/>
      <c r="S44" s="362"/>
      <c r="T44" s="362"/>
      <c r="U44" s="362"/>
      <c r="V44" s="362"/>
      <c r="W44" s="362"/>
      <c r="X44" s="362"/>
      <c r="Y44" s="362"/>
      <c r="Z44" s="362"/>
      <c r="AA44" s="362"/>
      <c r="AB44" s="362"/>
      <c r="AC44" s="362"/>
      <c r="AD44" s="362"/>
      <c r="AE44" s="362"/>
      <c r="AF44" s="362"/>
      <c r="AG44" s="362"/>
      <c r="AH44" s="362"/>
      <c r="AI44" s="362"/>
      <c r="AJ44" s="362"/>
      <c r="AK44" s="362"/>
      <c r="AL44" s="362"/>
      <c r="AM44" s="362"/>
      <c r="AN44" s="362"/>
      <c r="AO44" s="362"/>
      <c r="AP44" s="362"/>
      <c r="AQ44" s="362"/>
      <c r="AR44" s="362"/>
      <c r="AS44" s="362"/>
      <c r="AT44" s="362"/>
      <c r="AU44" s="362"/>
      <c r="AV44" s="362"/>
      <c r="AW44" s="362"/>
      <c r="AX44" s="362"/>
      <c r="AY44" s="362"/>
      <c r="AZ44" s="362"/>
      <c r="BA44" s="362"/>
      <c r="BB44" s="362"/>
      <c r="BC44" s="362"/>
      <c r="BD44" s="362"/>
      <c r="BE44" s="362"/>
      <c r="BF44" s="362"/>
      <c r="BG44" s="362"/>
      <c r="BI44" s="341" t="s">
        <v>1237</v>
      </c>
    </row>
    <row r="45" spans="2:61" x14ac:dyDescent="0.2">
      <c r="B45" s="219" t="str">
        <f>IF(Capacity!N38="","",Capacity!N38)</f>
        <v/>
      </c>
      <c r="C45" s="220" t="str">
        <f>IF(B45="","",Capacity!Q38)</f>
        <v/>
      </c>
      <c r="D45" s="309" t="str">
        <f>IF(B45="","",Capacity!R38)</f>
        <v/>
      </c>
      <c r="E45" s="220" t="str">
        <f>IF(B45="","",IF(COUNTBLANK(H45:BG45)=52,SUM('Capacity calculation (hide)'!H133:BG133),52-COUNTBLANK(H45:BG45)))</f>
        <v/>
      </c>
      <c r="F45" s="310" t="str">
        <f>'Capacity calculation (hide)'!BI133</f>
        <v/>
      </c>
      <c r="H45" s="362"/>
      <c r="I45" s="362"/>
      <c r="J45" s="362"/>
      <c r="K45" s="362"/>
      <c r="L45" s="362"/>
      <c r="M45" s="362"/>
      <c r="N45" s="362"/>
      <c r="O45" s="362"/>
      <c r="P45" s="362"/>
      <c r="Q45" s="362"/>
      <c r="R45" s="362"/>
      <c r="S45" s="362"/>
      <c r="T45" s="362"/>
      <c r="U45" s="362"/>
      <c r="V45" s="362"/>
      <c r="W45" s="362"/>
      <c r="X45" s="362"/>
      <c r="Y45" s="362"/>
      <c r="Z45" s="362"/>
      <c r="AA45" s="362"/>
      <c r="AB45" s="362"/>
      <c r="AC45" s="362"/>
      <c r="AD45" s="362"/>
      <c r="AE45" s="362"/>
      <c r="AF45" s="362"/>
      <c r="AG45" s="362"/>
      <c r="AH45" s="362"/>
      <c r="AI45" s="362"/>
      <c r="AJ45" s="362"/>
      <c r="AK45" s="362"/>
      <c r="AL45" s="362"/>
      <c r="AM45" s="362"/>
      <c r="AN45" s="362"/>
      <c r="AO45" s="362"/>
      <c r="AP45" s="362"/>
      <c r="AQ45" s="362"/>
      <c r="AR45" s="362"/>
      <c r="AS45" s="362"/>
      <c r="AT45" s="362"/>
      <c r="AU45" s="362"/>
      <c r="AV45" s="362"/>
      <c r="AW45" s="362"/>
      <c r="AX45" s="362"/>
      <c r="AY45" s="362"/>
      <c r="AZ45" s="362"/>
      <c r="BA45" s="362"/>
      <c r="BB45" s="362"/>
      <c r="BC45" s="362"/>
      <c r="BD45" s="362"/>
      <c r="BE45" s="362"/>
      <c r="BF45" s="362"/>
      <c r="BG45" s="362"/>
      <c r="BI45" s="341" t="s">
        <v>1237</v>
      </c>
    </row>
    <row r="46" spans="2:61" x14ac:dyDescent="0.2">
      <c r="B46" s="219" t="str">
        <f>IF(Capacity!N39="","",Capacity!N39)</f>
        <v/>
      </c>
      <c r="C46" s="220" t="str">
        <f>IF(B46="","",Capacity!Q39)</f>
        <v/>
      </c>
      <c r="D46" s="309" t="str">
        <f>IF(B46="","",Capacity!R39)</f>
        <v/>
      </c>
      <c r="E46" s="220" t="str">
        <f>IF(B46="","",IF(COUNTBLANK(H46:BG46)=52,SUM('Capacity calculation (hide)'!H134:BG134),52-COUNTBLANK(H46:BG46)))</f>
        <v/>
      </c>
      <c r="F46" s="310" t="str">
        <f>'Capacity calculation (hide)'!BI134</f>
        <v/>
      </c>
      <c r="H46" s="362"/>
      <c r="I46" s="362"/>
      <c r="J46" s="362"/>
      <c r="K46" s="362"/>
      <c r="L46" s="362"/>
      <c r="M46" s="362"/>
      <c r="N46" s="362"/>
      <c r="O46" s="362"/>
      <c r="P46" s="362"/>
      <c r="Q46" s="362"/>
      <c r="R46" s="362"/>
      <c r="S46" s="362"/>
      <c r="T46" s="362"/>
      <c r="U46" s="362"/>
      <c r="V46" s="362"/>
      <c r="W46" s="362"/>
      <c r="X46" s="362"/>
      <c r="Y46" s="362"/>
      <c r="Z46" s="362"/>
      <c r="AA46" s="362"/>
      <c r="AB46" s="362"/>
      <c r="AC46" s="362"/>
      <c r="AD46" s="362"/>
      <c r="AE46" s="362"/>
      <c r="AF46" s="362"/>
      <c r="AG46" s="362"/>
      <c r="AH46" s="362"/>
      <c r="AI46" s="362"/>
      <c r="AJ46" s="362"/>
      <c r="AK46" s="362"/>
      <c r="AL46" s="362"/>
      <c r="AM46" s="362"/>
      <c r="AN46" s="362"/>
      <c r="AO46" s="362"/>
      <c r="AP46" s="362"/>
      <c r="AQ46" s="362"/>
      <c r="AR46" s="362"/>
      <c r="AS46" s="362"/>
      <c r="AT46" s="362"/>
      <c r="AU46" s="362"/>
      <c r="AV46" s="362"/>
      <c r="AW46" s="362"/>
      <c r="AX46" s="362"/>
      <c r="AY46" s="362"/>
      <c r="AZ46" s="362"/>
      <c r="BA46" s="362"/>
      <c r="BB46" s="362"/>
      <c r="BC46" s="362"/>
      <c r="BD46" s="362"/>
      <c r="BE46" s="362"/>
      <c r="BF46" s="362"/>
      <c r="BG46" s="362"/>
      <c r="BI46" s="341" t="s">
        <v>1237</v>
      </c>
    </row>
    <row r="47" spans="2:61" x14ac:dyDescent="0.2">
      <c r="B47" s="219" t="str">
        <f>IF(Capacity!N40="","",Capacity!N40)</f>
        <v/>
      </c>
      <c r="C47" s="220" t="str">
        <f>IF(B47="","",Capacity!Q40)</f>
        <v/>
      </c>
      <c r="D47" s="309" t="str">
        <f>IF(B47="","",Capacity!R40)</f>
        <v/>
      </c>
      <c r="E47" s="220" t="str">
        <f>IF(B47="","",IF(COUNTBLANK(H47:BG47)=52,SUM('Capacity calculation (hide)'!H135:BG135),52-COUNTBLANK(H47:BG47)))</f>
        <v/>
      </c>
      <c r="F47" s="310" t="str">
        <f>'Capacity calculation (hide)'!BI135</f>
        <v/>
      </c>
      <c r="H47" s="362"/>
      <c r="I47" s="362"/>
      <c r="J47" s="362"/>
      <c r="K47" s="362"/>
      <c r="L47" s="362"/>
      <c r="M47" s="362"/>
      <c r="N47" s="362"/>
      <c r="O47" s="362"/>
      <c r="P47" s="362"/>
      <c r="Q47" s="362"/>
      <c r="R47" s="362"/>
      <c r="S47" s="362"/>
      <c r="T47" s="362"/>
      <c r="U47" s="362"/>
      <c r="V47" s="362"/>
      <c r="W47" s="362"/>
      <c r="X47" s="362"/>
      <c r="Y47" s="362"/>
      <c r="Z47" s="362"/>
      <c r="AA47" s="362"/>
      <c r="AB47" s="362"/>
      <c r="AC47" s="362"/>
      <c r="AD47" s="362"/>
      <c r="AE47" s="362"/>
      <c r="AF47" s="362"/>
      <c r="AG47" s="362"/>
      <c r="AH47" s="362"/>
      <c r="AI47" s="362"/>
      <c r="AJ47" s="362"/>
      <c r="AK47" s="362"/>
      <c r="AL47" s="362"/>
      <c r="AM47" s="362"/>
      <c r="AN47" s="362"/>
      <c r="AO47" s="362"/>
      <c r="AP47" s="362"/>
      <c r="AQ47" s="362"/>
      <c r="AR47" s="362"/>
      <c r="AS47" s="362"/>
      <c r="AT47" s="362"/>
      <c r="AU47" s="362"/>
      <c r="AV47" s="362"/>
      <c r="AW47" s="362"/>
      <c r="AX47" s="362"/>
      <c r="AY47" s="362"/>
      <c r="AZ47" s="362"/>
      <c r="BA47" s="362"/>
      <c r="BB47" s="362"/>
      <c r="BC47" s="362"/>
      <c r="BD47" s="362"/>
      <c r="BE47" s="362"/>
      <c r="BF47" s="362"/>
      <c r="BG47" s="362"/>
      <c r="BI47" s="341" t="s">
        <v>1237</v>
      </c>
    </row>
    <row r="48" spans="2:61" x14ac:dyDescent="0.2">
      <c r="B48" s="219" t="str">
        <f>IF(Capacity!N41="","",Capacity!N41)</f>
        <v/>
      </c>
      <c r="C48" s="220" t="str">
        <f>IF(B48="","",Capacity!Q41)</f>
        <v/>
      </c>
      <c r="D48" s="309" t="str">
        <f>IF(B48="","",Capacity!R41)</f>
        <v/>
      </c>
      <c r="E48" s="220" t="str">
        <f>IF(B48="","",IF(COUNTBLANK(H48:BG48)=52,SUM('Capacity calculation (hide)'!H136:BG136),52-COUNTBLANK(H48:BG48)))</f>
        <v/>
      </c>
      <c r="F48" s="310" t="str">
        <f>'Capacity calculation (hide)'!BI136</f>
        <v/>
      </c>
      <c r="H48" s="362"/>
      <c r="I48" s="362"/>
      <c r="J48" s="362"/>
      <c r="K48" s="362"/>
      <c r="L48" s="362"/>
      <c r="M48" s="362"/>
      <c r="N48" s="362"/>
      <c r="O48" s="362"/>
      <c r="P48" s="362"/>
      <c r="Q48" s="362"/>
      <c r="R48" s="362"/>
      <c r="S48" s="362"/>
      <c r="T48" s="362"/>
      <c r="U48" s="362"/>
      <c r="V48" s="362"/>
      <c r="W48" s="362"/>
      <c r="X48" s="362"/>
      <c r="Y48" s="362"/>
      <c r="Z48" s="362"/>
      <c r="AA48" s="362"/>
      <c r="AB48" s="362"/>
      <c r="AC48" s="362"/>
      <c r="AD48" s="362"/>
      <c r="AE48" s="362"/>
      <c r="AF48" s="362"/>
      <c r="AG48" s="362"/>
      <c r="AH48" s="362"/>
      <c r="AI48" s="362"/>
      <c r="AJ48" s="362"/>
      <c r="AK48" s="362"/>
      <c r="AL48" s="362"/>
      <c r="AM48" s="362"/>
      <c r="AN48" s="362"/>
      <c r="AO48" s="362"/>
      <c r="AP48" s="362"/>
      <c r="AQ48" s="362"/>
      <c r="AR48" s="362"/>
      <c r="AS48" s="362"/>
      <c r="AT48" s="362"/>
      <c r="AU48" s="362"/>
      <c r="AV48" s="362"/>
      <c r="AW48" s="362"/>
      <c r="AX48" s="362"/>
      <c r="AY48" s="362"/>
      <c r="AZ48" s="362"/>
      <c r="BA48" s="362"/>
      <c r="BB48" s="362"/>
      <c r="BC48" s="362"/>
      <c r="BD48" s="362"/>
      <c r="BE48" s="362"/>
      <c r="BF48" s="362"/>
      <c r="BG48" s="362"/>
      <c r="BI48" s="341" t="s">
        <v>1237</v>
      </c>
    </row>
    <row r="49" spans="2:61" x14ac:dyDescent="0.2">
      <c r="B49" s="219" t="str">
        <f>IF(Capacity!N42="","",Capacity!N42)</f>
        <v/>
      </c>
      <c r="C49" s="220" t="str">
        <f>IF(B49="","",Capacity!Q42)</f>
        <v/>
      </c>
      <c r="D49" s="309" t="str">
        <f>IF(B49="","",Capacity!R42)</f>
        <v/>
      </c>
      <c r="E49" s="220" t="str">
        <f>IF(B49="","",IF(COUNTBLANK(H49:BG49)=52,SUM('Capacity calculation (hide)'!H137:BG137),52-COUNTBLANK(H49:BG49)))</f>
        <v/>
      </c>
      <c r="F49" s="310" t="str">
        <f>'Capacity calculation (hide)'!BI137</f>
        <v/>
      </c>
      <c r="H49" s="362"/>
      <c r="I49" s="362"/>
      <c r="J49" s="362"/>
      <c r="K49" s="362"/>
      <c r="L49" s="362"/>
      <c r="M49" s="362"/>
      <c r="N49" s="362"/>
      <c r="O49" s="362"/>
      <c r="P49" s="362"/>
      <c r="Q49" s="362"/>
      <c r="R49" s="362"/>
      <c r="S49" s="362"/>
      <c r="T49" s="362"/>
      <c r="U49" s="362"/>
      <c r="V49" s="362"/>
      <c r="W49" s="362"/>
      <c r="X49" s="362"/>
      <c r="Y49" s="362"/>
      <c r="Z49" s="362"/>
      <c r="AA49" s="362"/>
      <c r="AB49" s="362"/>
      <c r="AC49" s="362"/>
      <c r="AD49" s="362"/>
      <c r="AE49" s="362"/>
      <c r="AF49" s="362"/>
      <c r="AG49" s="362"/>
      <c r="AH49" s="362"/>
      <c r="AI49" s="362"/>
      <c r="AJ49" s="362"/>
      <c r="AK49" s="362"/>
      <c r="AL49" s="362"/>
      <c r="AM49" s="362"/>
      <c r="AN49" s="362"/>
      <c r="AO49" s="362"/>
      <c r="AP49" s="362"/>
      <c r="AQ49" s="362"/>
      <c r="AR49" s="362"/>
      <c r="AS49" s="362"/>
      <c r="AT49" s="362"/>
      <c r="AU49" s="362"/>
      <c r="AV49" s="362"/>
      <c r="AW49" s="362"/>
      <c r="AX49" s="362"/>
      <c r="AY49" s="362"/>
      <c r="AZ49" s="362"/>
      <c r="BA49" s="362"/>
      <c r="BB49" s="362"/>
      <c r="BC49" s="362"/>
      <c r="BD49" s="362"/>
      <c r="BE49" s="362"/>
      <c r="BF49" s="362"/>
      <c r="BG49" s="362"/>
      <c r="BI49" s="341" t="s">
        <v>1237</v>
      </c>
    </row>
    <row r="50" spans="2:61" x14ac:dyDescent="0.2">
      <c r="B50" s="219" t="str">
        <f>IF(Capacity!N43="","",Capacity!N43)</f>
        <v/>
      </c>
      <c r="C50" s="220" t="str">
        <f>IF(B50="","",Capacity!Q43)</f>
        <v/>
      </c>
      <c r="D50" s="309" t="str">
        <f>IF(B50="","",Capacity!R43)</f>
        <v/>
      </c>
      <c r="E50" s="220" t="str">
        <f>IF(B50="","",IF(COUNTBLANK(H50:BG50)=52,SUM('Capacity calculation (hide)'!H138:BG138),52-COUNTBLANK(H50:BG50)))</f>
        <v/>
      </c>
      <c r="F50" s="310" t="str">
        <f>'Capacity calculation (hide)'!BI138</f>
        <v/>
      </c>
      <c r="H50" s="362"/>
      <c r="I50" s="362"/>
      <c r="J50" s="362"/>
      <c r="K50" s="362"/>
      <c r="L50" s="362"/>
      <c r="M50" s="362"/>
      <c r="N50" s="362"/>
      <c r="O50" s="362"/>
      <c r="P50" s="362"/>
      <c r="Q50" s="362"/>
      <c r="R50" s="362"/>
      <c r="S50" s="362"/>
      <c r="T50" s="362"/>
      <c r="U50" s="362"/>
      <c r="V50" s="362"/>
      <c r="W50" s="362"/>
      <c r="X50" s="362"/>
      <c r="Y50" s="362"/>
      <c r="Z50" s="362"/>
      <c r="AA50" s="362"/>
      <c r="AB50" s="362"/>
      <c r="AC50" s="362"/>
      <c r="AD50" s="362"/>
      <c r="AE50" s="362"/>
      <c r="AF50" s="362"/>
      <c r="AG50" s="362"/>
      <c r="AH50" s="362"/>
      <c r="AI50" s="362"/>
      <c r="AJ50" s="362"/>
      <c r="AK50" s="362"/>
      <c r="AL50" s="362"/>
      <c r="AM50" s="362"/>
      <c r="AN50" s="362"/>
      <c r="AO50" s="362"/>
      <c r="AP50" s="362"/>
      <c r="AQ50" s="362"/>
      <c r="AR50" s="362"/>
      <c r="AS50" s="362"/>
      <c r="AT50" s="362"/>
      <c r="AU50" s="362"/>
      <c r="AV50" s="362"/>
      <c r="AW50" s="362"/>
      <c r="AX50" s="362"/>
      <c r="AY50" s="362"/>
      <c r="AZ50" s="362"/>
      <c r="BA50" s="362"/>
      <c r="BB50" s="362"/>
      <c r="BC50" s="362"/>
      <c r="BD50" s="362"/>
      <c r="BE50" s="362"/>
      <c r="BF50" s="362"/>
      <c r="BG50" s="362"/>
      <c r="BI50" s="341" t="s">
        <v>1237</v>
      </c>
    </row>
    <row r="51" spans="2:61" x14ac:dyDescent="0.2">
      <c r="B51" s="219" t="str">
        <f>IF(Capacity!N44="","",Capacity!N44)</f>
        <v/>
      </c>
      <c r="C51" s="220" t="str">
        <f>IF(B51="","",Capacity!Q44)</f>
        <v/>
      </c>
      <c r="D51" s="309" t="str">
        <f>IF(B51="","",Capacity!R44)</f>
        <v/>
      </c>
      <c r="E51" s="220" t="str">
        <f>IF(B51="","",IF(COUNTBLANK(H51:BG51)=52,SUM('Capacity calculation (hide)'!H139:BG139),52-COUNTBLANK(H51:BG51)))</f>
        <v/>
      </c>
      <c r="F51" s="310" t="str">
        <f>'Capacity calculation (hide)'!BI139</f>
        <v/>
      </c>
      <c r="H51" s="362"/>
      <c r="I51" s="362"/>
      <c r="J51" s="362"/>
      <c r="K51" s="362"/>
      <c r="L51" s="362"/>
      <c r="M51" s="362"/>
      <c r="N51" s="362"/>
      <c r="O51" s="362"/>
      <c r="P51" s="362"/>
      <c r="Q51" s="362"/>
      <c r="R51" s="362"/>
      <c r="S51" s="362"/>
      <c r="T51" s="362"/>
      <c r="U51" s="362"/>
      <c r="V51" s="362"/>
      <c r="W51" s="362"/>
      <c r="X51" s="362"/>
      <c r="Y51" s="362"/>
      <c r="Z51" s="362"/>
      <c r="AA51" s="362"/>
      <c r="AB51" s="362"/>
      <c r="AC51" s="362"/>
      <c r="AD51" s="362"/>
      <c r="AE51" s="362"/>
      <c r="AF51" s="362"/>
      <c r="AG51" s="362"/>
      <c r="AH51" s="362"/>
      <c r="AI51" s="362"/>
      <c r="AJ51" s="362"/>
      <c r="AK51" s="362"/>
      <c r="AL51" s="362"/>
      <c r="AM51" s="362"/>
      <c r="AN51" s="362"/>
      <c r="AO51" s="362"/>
      <c r="AP51" s="362"/>
      <c r="AQ51" s="362"/>
      <c r="AR51" s="362"/>
      <c r="AS51" s="362"/>
      <c r="AT51" s="362"/>
      <c r="AU51" s="362"/>
      <c r="AV51" s="362"/>
      <c r="AW51" s="362"/>
      <c r="AX51" s="362"/>
      <c r="AY51" s="362"/>
      <c r="AZ51" s="362"/>
      <c r="BA51" s="362"/>
      <c r="BB51" s="362"/>
      <c r="BC51" s="362"/>
      <c r="BD51" s="362"/>
      <c r="BE51" s="362"/>
      <c r="BF51" s="362"/>
      <c r="BG51" s="362"/>
      <c r="BI51" s="341" t="s">
        <v>1237</v>
      </c>
    </row>
    <row r="52" spans="2:61" x14ac:dyDescent="0.2">
      <c r="B52" s="219" t="str">
        <f>IF(Capacity!N45="","",Capacity!N45)</f>
        <v/>
      </c>
      <c r="C52" s="220" t="str">
        <f>IF(B52="","",Capacity!Q45)</f>
        <v/>
      </c>
      <c r="D52" s="309" t="str">
        <f>IF(B52="","",Capacity!R45)</f>
        <v/>
      </c>
      <c r="E52" s="220" t="str">
        <f>IF(B52="","",IF(COUNTBLANK(H52:BG52)=52,SUM('Capacity calculation (hide)'!H140:BG140),52-COUNTBLANK(H52:BG52)))</f>
        <v/>
      </c>
      <c r="F52" s="310" t="str">
        <f>'Capacity calculation (hide)'!BI140</f>
        <v/>
      </c>
      <c r="H52" s="362"/>
      <c r="I52" s="362"/>
      <c r="J52" s="362"/>
      <c r="K52" s="362"/>
      <c r="L52" s="362"/>
      <c r="M52" s="362"/>
      <c r="N52" s="362"/>
      <c r="O52" s="362"/>
      <c r="P52" s="362"/>
      <c r="Q52" s="362"/>
      <c r="R52" s="362"/>
      <c r="S52" s="362"/>
      <c r="T52" s="362"/>
      <c r="U52" s="362"/>
      <c r="V52" s="362"/>
      <c r="W52" s="362"/>
      <c r="X52" s="362"/>
      <c r="Y52" s="362"/>
      <c r="Z52" s="362"/>
      <c r="AA52" s="362"/>
      <c r="AB52" s="362"/>
      <c r="AC52" s="362"/>
      <c r="AD52" s="362"/>
      <c r="AE52" s="362"/>
      <c r="AF52" s="362"/>
      <c r="AG52" s="362"/>
      <c r="AH52" s="362"/>
      <c r="AI52" s="362"/>
      <c r="AJ52" s="362"/>
      <c r="AK52" s="362"/>
      <c r="AL52" s="362"/>
      <c r="AM52" s="362"/>
      <c r="AN52" s="362"/>
      <c r="AO52" s="362"/>
      <c r="AP52" s="362"/>
      <c r="AQ52" s="362"/>
      <c r="AR52" s="362"/>
      <c r="AS52" s="362"/>
      <c r="AT52" s="362"/>
      <c r="AU52" s="362"/>
      <c r="AV52" s="362"/>
      <c r="AW52" s="362"/>
      <c r="AX52" s="362"/>
      <c r="AY52" s="362"/>
      <c r="AZ52" s="362"/>
      <c r="BA52" s="362"/>
      <c r="BB52" s="362"/>
      <c r="BC52" s="362"/>
      <c r="BD52" s="362"/>
      <c r="BE52" s="362"/>
      <c r="BF52" s="362"/>
      <c r="BG52" s="362"/>
      <c r="BI52" s="341" t="s">
        <v>1237</v>
      </c>
    </row>
    <row r="53" spans="2:61" x14ac:dyDescent="0.2">
      <c r="B53" s="219" t="str">
        <f>IF(Capacity!N46="","",Capacity!N46)</f>
        <v/>
      </c>
      <c r="C53" s="220" t="str">
        <f>IF(B53="","",Capacity!Q46)</f>
        <v/>
      </c>
      <c r="D53" s="309" t="str">
        <f>IF(B53="","",Capacity!R46)</f>
        <v/>
      </c>
      <c r="E53" s="220" t="str">
        <f>IF(B53="","",IF(COUNTBLANK(H53:BG53)=52,SUM('Capacity calculation (hide)'!H141:BG141),52-COUNTBLANK(H53:BG53)))</f>
        <v/>
      </c>
      <c r="F53" s="310" t="str">
        <f>'Capacity calculation (hide)'!BI141</f>
        <v/>
      </c>
      <c r="H53" s="362"/>
      <c r="I53" s="362"/>
      <c r="J53" s="362"/>
      <c r="K53" s="362"/>
      <c r="L53" s="362"/>
      <c r="M53" s="362"/>
      <c r="N53" s="362"/>
      <c r="O53" s="362"/>
      <c r="P53" s="362"/>
      <c r="Q53" s="362"/>
      <c r="R53" s="362"/>
      <c r="S53" s="362"/>
      <c r="T53" s="362"/>
      <c r="U53" s="362"/>
      <c r="V53" s="362"/>
      <c r="W53" s="362"/>
      <c r="X53" s="362"/>
      <c r="Y53" s="362"/>
      <c r="Z53" s="362"/>
      <c r="AA53" s="362"/>
      <c r="AB53" s="362"/>
      <c r="AC53" s="362"/>
      <c r="AD53" s="362"/>
      <c r="AE53" s="362"/>
      <c r="AF53" s="362"/>
      <c r="AG53" s="362"/>
      <c r="AH53" s="362"/>
      <c r="AI53" s="362"/>
      <c r="AJ53" s="362"/>
      <c r="AK53" s="362"/>
      <c r="AL53" s="362"/>
      <c r="AM53" s="362"/>
      <c r="AN53" s="362"/>
      <c r="AO53" s="362"/>
      <c r="AP53" s="362"/>
      <c r="AQ53" s="362"/>
      <c r="AR53" s="362"/>
      <c r="AS53" s="362"/>
      <c r="AT53" s="362"/>
      <c r="AU53" s="362"/>
      <c r="AV53" s="362"/>
      <c r="AW53" s="362"/>
      <c r="AX53" s="362"/>
      <c r="AY53" s="362"/>
      <c r="AZ53" s="362"/>
      <c r="BA53" s="362"/>
      <c r="BB53" s="362"/>
      <c r="BC53" s="362"/>
      <c r="BD53" s="362"/>
      <c r="BE53" s="362"/>
      <c r="BF53" s="362"/>
      <c r="BG53" s="362"/>
      <c r="BI53" s="341" t="s">
        <v>1237</v>
      </c>
    </row>
    <row r="54" spans="2:61" x14ac:dyDescent="0.2">
      <c r="B54" s="219" t="str">
        <f>IF(Capacity!N47="","",Capacity!N47)</f>
        <v/>
      </c>
      <c r="C54" s="220" t="str">
        <f>IF(B54="","",Capacity!Q47)</f>
        <v/>
      </c>
      <c r="D54" s="309" t="str">
        <f>IF(B54="","",Capacity!R47)</f>
        <v/>
      </c>
      <c r="E54" s="220" t="str">
        <f>IF(B54="","",IF(COUNTBLANK(H54:BG54)=52,SUM('Capacity calculation (hide)'!H142:BG142),52-COUNTBLANK(H54:BG54)))</f>
        <v/>
      </c>
      <c r="F54" s="310" t="str">
        <f>'Capacity calculation (hide)'!BI142</f>
        <v/>
      </c>
      <c r="H54" s="362"/>
      <c r="I54" s="362"/>
      <c r="J54" s="362"/>
      <c r="K54" s="362"/>
      <c r="L54" s="362"/>
      <c r="M54" s="362"/>
      <c r="N54" s="362"/>
      <c r="O54" s="362"/>
      <c r="P54" s="362"/>
      <c r="Q54" s="362"/>
      <c r="R54" s="362"/>
      <c r="S54" s="362"/>
      <c r="T54" s="362"/>
      <c r="U54" s="362"/>
      <c r="V54" s="362"/>
      <c r="W54" s="362"/>
      <c r="X54" s="362"/>
      <c r="Y54" s="362"/>
      <c r="Z54" s="362"/>
      <c r="AA54" s="362"/>
      <c r="AB54" s="362"/>
      <c r="AC54" s="362"/>
      <c r="AD54" s="362"/>
      <c r="AE54" s="362"/>
      <c r="AF54" s="362"/>
      <c r="AG54" s="362"/>
      <c r="AH54" s="362"/>
      <c r="AI54" s="362"/>
      <c r="AJ54" s="362"/>
      <c r="AK54" s="362"/>
      <c r="AL54" s="362"/>
      <c r="AM54" s="362"/>
      <c r="AN54" s="362"/>
      <c r="AO54" s="362"/>
      <c r="AP54" s="362"/>
      <c r="AQ54" s="362"/>
      <c r="AR54" s="362"/>
      <c r="AS54" s="362"/>
      <c r="AT54" s="362"/>
      <c r="AU54" s="362"/>
      <c r="AV54" s="362"/>
      <c r="AW54" s="362"/>
      <c r="AX54" s="362"/>
      <c r="AY54" s="362"/>
      <c r="AZ54" s="362"/>
      <c r="BA54" s="362"/>
      <c r="BB54" s="362"/>
      <c r="BC54" s="362"/>
      <c r="BD54" s="362"/>
      <c r="BE54" s="362"/>
      <c r="BF54" s="362"/>
      <c r="BG54" s="362"/>
      <c r="BI54" s="341" t="s">
        <v>1237</v>
      </c>
    </row>
    <row r="55" spans="2:61" x14ac:dyDescent="0.2">
      <c r="B55" s="219" t="str">
        <f>IF(Capacity!N48="","",Capacity!N48)</f>
        <v/>
      </c>
      <c r="C55" s="220" t="str">
        <f>IF(B55="","",Capacity!Q48)</f>
        <v/>
      </c>
      <c r="D55" s="309" t="str">
        <f>IF(B55="","",Capacity!R48)</f>
        <v/>
      </c>
      <c r="E55" s="220" t="str">
        <f>IF(B55="","",IF(COUNTBLANK(H55:BG55)=52,SUM('Capacity calculation (hide)'!H143:BG143),52-COUNTBLANK(H55:BG55)))</f>
        <v/>
      </c>
      <c r="F55" s="310" t="str">
        <f>'Capacity calculation (hide)'!BI143</f>
        <v/>
      </c>
      <c r="H55" s="362"/>
      <c r="I55" s="362"/>
      <c r="J55" s="362"/>
      <c r="K55" s="362"/>
      <c r="L55" s="362"/>
      <c r="M55" s="362"/>
      <c r="N55" s="362"/>
      <c r="O55" s="362"/>
      <c r="P55" s="362"/>
      <c r="Q55" s="362"/>
      <c r="R55" s="362"/>
      <c r="S55" s="362"/>
      <c r="T55" s="362"/>
      <c r="U55" s="362"/>
      <c r="V55" s="362"/>
      <c r="W55" s="362"/>
      <c r="X55" s="362"/>
      <c r="Y55" s="362"/>
      <c r="Z55" s="362"/>
      <c r="AA55" s="362"/>
      <c r="AB55" s="362"/>
      <c r="AC55" s="362"/>
      <c r="AD55" s="362"/>
      <c r="AE55" s="362"/>
      <c r="AF55" s="362"/>
      <c r="AG55" s="362"/>
      <c r="AH55" s="362"/>
      <c r="AI55" s="362"/>
      <c r="AJ55" s="362"/>
      <c r="AK55" s="362"/>
      <c r="AL55" s="362"/>
      <c r="AM55" s="362"/>
      <c r="AN55" s="362"/>
      <c r="AO55" s="362"/>
      <c r="AP55" s="362"/>
      <c r="AQ55" s="362"/>
      <c r="AR55" s="362"/>
      <c r="AS55" s="362"/>
      <c r="AT55" s="362"/>
      <c r="AU55" s="362"/>
      <c r="AV55" s="362"/>
      <c r="AW55" s="362"/>
      <c r="AX55" s="362"/>
      <c r="AY55" s="362"/>
      <c r="AZ55" s="362"/>
      <c r="BA55" s="362"/>
      <c r="BB55" s="362"/>
      <c r="BC55" s="362"/>
      <c r="BD55" s="362"/>
      <c r="BE55" s="362"/>
      <c r="BF55" s="362"/>
      <c r="BG55" s="362"/>
      <c r="BI55" s="341" t="s">
        <v>1237</v>
      </c>
    </row>
    <row r="56" spans="2:61" x14ac:dyDescent="0.2">
      <c r="B56" s="219" t="str">
        <f>IF(Capacity!N49="","",Capacity!N49)</f>
        <v/>
      </c>
      <c r="C56" s="220" t="str">
        <f>IF(B56="","",Capacity!Q49)</f>
        <v/>
      </c>
      <c r="D56" s="309" t="str">
        <f>IF(B56="","",Capacity!R49)</f>
        <v/>
      </c>
      <c r="E56" s="220" t="str">
        <f>IF(B56="","",IF(COUNTBLANK(H56:BG56)=52,SUM('Capacity calculation (hide)'!H144:BG144),52-COUNTBLANK(H56:BG56)))</f>
        <v/>
      </c>
      <c r="F56" s="310" t="str">
        <f>'Capacity calculation (hide)'!BI144</f>
        <v/>
      </c>
      <c r="H56" s="362"/>
      <c r="I56" s="362"/>
      <c r="J56" s="362"/>
      <c r="K56" s="362"/>
      <c r="L56" s="362"/>
      <c r="M56" s="362"/>
      <c r="N56" s="362"/>
      <c r="O56" s="362"/>
      <c r="P56" s="362"/>
      <c r="Q56" s="362"/>
      <c r="R56" s="362"/>
      <c r="S56" s="362"/>
      <c r="T56" s="362"/>
      <c r="U56" s="362"/>
      <c r="V56" s="362"/>
      <c r="W56" s="362"/>
      <c r="X56" s="362"/>
      <c r="Y56" s="362"/>
      <c r="Z56" s="362"/>
      <c r="AA56" s="362"/>
      <c r="AB56" s="362"/>
      <c r="AC56" s="362"/>
      <c r="AD56" s="362"/>
      <c r="AE56" s="362"/>
      <c r="AF56" s="362"/>
      <c r="AG56" s="362"/>
      <c r="AH56" s="362"/>
      <c r="AI56" s="362"/>
      <c r="AJ56" s="362"/>
      <c r="AK56" s="362"/>
      <c r="AL56" s="362"/>
      <c r="AM56" s="362"/>
      <c r="AN56" s="362"/>
      <c r="AO56" s="362"/>
      <c r="AP56" s="362"/>
      <c r="AQ56" s="362"/>
      <c r="AR56" s="362"/>
      <c r="AS56" s="362"/>
      <c r="AT56" s="362"/>
      <c r="AU56" s="362"/>
      <c r="AV56" s="362"/>
      <c r="AW56" s="362"/>
      <c r="AX56" s="362"/>
      <c r="AY56" s="362"/>
      <c r="AZ56" s="362"/>
      <c r="BA56" s="362"/>
      <c r="BB56" s="362"/>
      <c r="BC56" s="362"/>
      <c r="BD56" s="362"/>
      <c r="BE56" s="362"/>
      <c r="BF56" s="362"/>
      <c r="BG56" s="362"/>
      <c r="BI56" s="341" t="s">
        <v>1237</v>
      </c>
    </row>
    <row r="57" spans="2:61" x14ac:dyDescent="0.2">
      <c r="B57" s="219" t="str">
        <f>IF(Capacity!N50="","",Capacity!N50)</f>
        <v/>
      </c>
      <c r="C57" s="220" t="str">
        <f>IF(B57="","",Capacity!Q50)</f>
        <v/>
      </c>
      <c r="D57" s="309" t="str">
        <f>IF(B57="","",Capacity!R50)</f>
        <v/>
      </c>
      <c r="E57" s="220" t="str">
        <f>IF(B57="","",IF(COUNTBLANK(H57:BG57)=52,SUM('Capacity calculation (hide)'!H145:BG145),52-COUNTBLANK(H57:BG57)))</f>
        <v/>
      </c>
      <c r="F57" s="310" t="str">
        <f>'Capacity calculation (hide)'!BI145</f>
        <v/>
      </c>
      <c r="H57" s="362"/>
      <c r="I57" s="362"/>
      <c r="J57" s="362"/>
      <c r="K57" s="362"/>
      <c r="L57" s="362"/>
      <c r="M57" s="362"/>
      <c r="N57" s="362"/>
      <c r="O57" s="362"/>
      <c r="P57" s="362"/>
      <c r="Q57" s="362"/>
      <c r="R57" s="362"/>
      <c r="S57" s="362"/>
      <c r="T57" s="362"/>
      <c r="U57" s="362"/>
      <c r="V57" s="362"/>
      <c r="W57" s="362"/>
      <c r="X57" s="362"/>
      <c r="Y57" s="362"/>
      <c r="Z57" s="362"/>
      <c r="AA57" s="362"/>
      <c r="AB57" s="362"/>
      <c r="AC57" s="362"/>
      <c r="AD57" s="362"/>
      <c r="AE57" s="362"/>
      <c r="AF57" s="362"/>
      <c r="AG57" s="362"/>
      <c r="AH57" s="362"/>
      <c r="AI57" s="362"/>
      <c r="AJ57" s="362"/>
      <c r="AK57" s="362"/>
      <c r="AL57" s="362"/>
      <c r="AM57" s="362"/>
      <c r="AN57" s="362"/>
      <c r="AO57" s="362"/>
      <c r="AP57" s="362"/>
      <c r="AQ57" s="362"/>
      <c r="AR57" s="362"/>
      <c r="AS57" s="362"/>
      <c r="AT57" s="362"/>
      <c r="AU57" s="362"/>
      <c r="AV57" s="362"/>
      <c r="AW57" s="362"/>
      <c r="AX57" s="362"/>
      <c r="AY57" s="362"/>
      <c r="AZ57" s="362"/>
      <c r="BA57" s="362"/>
      <c r="BB57" s="362"/>
      <c r="BC57" s="362"/>
      <c r="BD57" s="362"/>
      <c r="BE57" s="362"/>
      <c r="BF57" s="362"/>
      <c r="BG57" s="362"/>
      <c r="BI57" s="341" t="s">
        <v>1237</v>
      </c>
    </row>
    <row r="58" spans="2:61" x14ac:dyDescent="0.2">
      <c r="B58" s="219" t="str">
        <f>IF(Capacity!N51="","",Capacity!N51)</f>
        <v/>
      </c>
      <c r="C58" s="220" t="str">
        <f>IF(B58="","",Capacity!Q51)</f>
        <v/>
      </c>
      <c r="D58" s="309" t="str">
        <f>IF(B58="","",Capacity!R51)</f>
        <v/>
      </c>
      <c r="E58" s="220" t="str">
        <f>IF(B58="","",IF(COUNTBLANK(H58:BG58)=52,SUM('Capacity calculation (hide)'!H146:BG146),52-COUNTBLANK(H58:BG58)))</f>
        <v/>
      </c>
      <c r="F58" s="310" t="str">
        <f>'Capacity calculation (hide)'!BI146</f>
        <v/>
      </c>
      <c r="H58" s="362"/>
      <c r="I58" s="362"/>
      <c r="J58" s="362"/>
      <c r="K58" s="362"/>
      <c r="L58" s="362"/>
      <c r="M58" s="362"/>
      <c r="N58" s="362"/>
      <c r="O58" s="362"/>
      <c r="P58" s="362"/>
      <c r="Q58" s="362"/>
      <c r="R58" s="362"/>
      <c r="S58" s="362"/>
      <c r="T58" s="362"/>
      <c r="U58" s="362"/>
      <c r="V58" s="362"/>
      <c r="W58" s="362"/>
      <c r="X58" s="362"/>
      <c r="Y58" s="362"/>
      <c r="Z58" s="362"/>
      <c r="AA58" s="362"/>
      <c r="AB58" s="362"/>
      <c r="AC58" s="362"/>
      <c r="AD58" s="362"/>
      <c r="AE58" s="362"/>
      <c r="AF58" s="362"/>
      <c r="AG58" s="362"/>
      <c r="AH58" s="362"/>
      <c r="AI58" s="362"/>
      <c r="AJ58" s="362"/>
      <c r="AK58" s="362"/>
      <c r="AL58" s="362"/>
      <c r="AM58" s="362"/>
      <c r="AN58" s="362"/>
      <c r="AO58" s="362"/>
      <c r="AP58" s="362"/>
      <c r="AQ58" s="362"/>
      <c r="AR58" s="362"/>
      <c r="AS58" s="362"/>
      <c r="AT58" s="362"/>
      <c r="AU58" s="362"/>
      <c r="AV58" s="362"/>
      <c r="AW58" s="362"/>
      <c r="AX58" s="362"/>
      <c r="AY58" s="362"/>
      <c r="AZ58" s="362"/>
      <c r="BA58" s="362"/>
      <c r="BB58" s="362"/>
      <c r="BC58" s="362"/>
      <c r="BD58" s="362"/>
      <c r="BE58" s="362"/>
      <c r="BF58" s="362"/>
      <c r="BG58" s="362"/>
      <c r="BI58" s="341" t="s">
        <v>1237</v>
      </c>
    </row>
    <row r="59" spans="2:61" x14ac:dyDescent="0.2">
      <c r="B59" s="219" t="str">
        <f>IF(Capacity!N52="","",Capacity!N52)</f>
        <v/>
      </c>
      <c r="C59" s="220" t="str">
        <f>IF(B59="","",Capacity!Q52)</f>
        <v/>
      </c>
      <c r="D59" s="309" t="str">
        <f>IF(B59="","",Capacity!R52)</f>
        <v/>
      </c>
      <c r="E59" s="220" t="str">
        <f>IF(B59="","",IF(COUNTBLANK(H59:BG59)=52,SUM('Capacity calculation (hide)'!H147:BG147),52-COUNTBLANK(H59:BG59)))</f>
        <v/>
      </c>
      <c r="F59" s="310" t="str">
        <f>'Capacity calculation (hide)'!BI147</f>
        <v/>
      </c>
      <c r="H59" s="362"/>
      <c r="I59" s="362"/>
      <c r="J59" s="362"/>
      <c r="K59" s="362"/>
      <c r="L59" s="362"/>
      <c r="M59" s="362"/>
      <c r="N59" s="362"/>
      <c r="O59" s="362"/>
      <c r="P59" s="362"/>
      <c r="Q59" s="362"/>
      <c r="R59" s="362"/>
      <c r="S59" s="362"/>
      <c r="T59" s="362"/>
      <c r="U59" s="362"/>
      <c r="V59" s="362"/>
      <c r="W59" s="362"/>
      <c r="X59" s="362"/>
      <c r="Y59" s="362"/>
      <c r="Z59" s="362"/>
      <c r="AA59" s="362"/>
      <c r="AB59" s="362"/>
      <c r="AC59" s="362"/>
      <c r="AD59" s="362"/>
      <c r="AE59" s="362"/>
      <c r="AF59" s="362"/>
      <c r="AG59" s="362"/>
      <c r="AH59" s="362"/>
      <c r="AI59" s="362"/>
      <c r="AJ59" s="362"/>
      <c r="AK59" s="362"/>
      <c r="AL59" s="362"/>
      <c r="AM59" s="362"/>
      <c r="AN59" s="362"/>
      <c r="AO59" s="362"/>
      <c r="AP59" s="362"/>
      <c r="AQ59" s="362"/>
      <c r="AR59" s="362"/>
      <c r="AS59" s="362"/>
      <c r="AT59" s="362"/>
      <c r="AU59" s="362"/>
      <c r="AV59" s="362"/>
      <c r="AW59" s="362"/>
      <c r="AX59" s="362"/>
      <c r="AY59" s="362"/>
      <c r="AZ59" s="362"/>
      <c r="BA59" s="362"/>
      <c r="BB59" s="362"/>
      <c r="BC59" s="362"/>
      <c r="BD59" s="362"/>
      <c r="BE59" s="362"/>
      <c r="BF59" s="362"/>
      <c r="BG59" s="362"/>
      <c r="BI59" s="341" t="s">
        <v>1237</v>
      </c>
    </row>
    <row r="60" spans="2:61" x14ac:dyDescent="0.2">
      <c r="B60" s="219" t="str">
        <f>IF(Capacity!N53="","",Capacity!N53)</f>
        <v/>
      </c>
      <c r="C60" s="220" t="str">
        <f>IF(B60="","",Capacity!Q53)</f>
        <v/>
      </c>
      <c r="D60" s="309" t="str">
        <f>IF(B60="","",Capacity!R53)</f>
        <v/>
      </c>
      <c r="E60" s="220" t="str">
        <f>IF(B60="","",IF(COUNTBLANK(H60:BG60)=52,SUM('Capacity calculation (hide)'!H148:BG148),52-COUNTBLANK(H60:BG60)))</f>
        <v/>
      </c>
      <c r="F60" s="310" t="str">
        <f>'Capacity calculation (hide)'!BI148</f>
        <v/>
      </c>
      <c r="H60" s="362"/>
      <c r="I60" s="362"/>
      <c r="J60" s="362"/>
      <c r="K60" s="362"/>
      <c r="L60" s="362"/>
      <c r="M60" s="362"/>
      <c r="N60" s="362"/>
      <c r="O60" s="362"/>
      <c r="P60" s="362"/>
      <c r="Q60" s="362"/>
      <c r="R60" s="362"/>
      <c r="S60" s="362"/>
      <c r="T60" s="362"/>
      <c r="U60" s="362"/>
      <c r="V60" s="362"/>
      <c r="W60" s="362"/>
      <c r="X60" s="362"/>
      <c r="Y60" s="362"/>
      <c r="Z60" s="362"/>
      <c r="AA60" s="362"/>
      <c r="AB60" s="362"/>
      <c r="AC60" s="362"/>
      <c r="AD60" s="362"/>
      <c r="AE60" s="362"/>
      <c r="AF60" s="362"/>
      <c r="AG60" s="362"/>
      <c r="AH60" s="362"/>
      <c r="AI60" s="362"/>
      <c r="AJ60" s="362"/>
      <c r="AK60" s="362"/>
      <c r="AL60" s="362"/>
      <c r="AM60" s="362"/>
      <c r="AN60" s="362"/>
      <c r="AO60" s="362"/>
      <c r="AP60" s="362"/>
      <c r="AQ60" s="362"/>
      <c r="AR60" s="362"/>
      <c r="AS60" s="362"/>
      <c r="AT60" s="362"/>
      <c r="AU60" s="362"/>
      <c r="AV60" s="362"/>
      <c r="AW60" s="362"/>
      <c r="AX60" s="362"/>
      <c r="AY60" s="362"/>
      <c r="AZ60" s="362"/>
      <c r="BA60" s="362"/>
      <c r="BB60" s="362"/>
      <c r="BC60" s="362"/>
      <c r="BD60" s="362"/>
      <c r="BE60" s="362"/>
      <c r="BF60" s="362"/>
      <c r="BG60" s="362"/>
      <c r="BI60" s="341" t="s">
        <v>1237</v>
      </c>
    </row>
    <row r="61" spans="2:61" x14ac:dyDescent="0.2">
      <c r="B61" s="219" t="str">
        <f>IF(Capacity!N54="","",Capacity!N54)</f>
        <v/>
      </c>
      <c r="C61" s="220" t="str">
        <f>IF(B61="","",Capacity!Q54)</f>
        <v/>
      </c>
      <c r="D61" s="309" t="str">
        <f>IF(B61="","",Capacity!R54)</f>
        <v/>
      </c>
      <c r="E61" s="220" t="str">
        <f>IF(B61="","",IF(COUNTBLANK(H61:BG61)=52,SUM('Capacity calculation (hide)'!H149:BG149),52-COUNTBLANK(H61:BG61)))</f>
        <v/>
      </c>
      <c r="F61" s="310" t="str">
        <f>'Capacity calculation (hide)'!BI149</f>
        <v/>
      </c>
      <c r="H61" s="362"/>
      <c r="I61" s="362"/>
      <c r="J61" s="362"/>
      <c r="K61" s="362"/>
      <c r="L61" s="362"/>
      <c r="M61" s="362"/>
      <c r="N61" s="362"/>
      <c r="O61" s="362"/>
      <c r="P61" s="362"/>
      <c r="Q61" s="362"/>
      <c r="R61" s="362"/>
      <c r="S61" s="362"/>
      <c r="T61" s="362"/>
      <c r="U61" s="362"/>
      <c r="V61" s="362"/>
      <c r="W61" s="362"/>
      <c r="X61" s="362"/>
      <c r="Y61" s="362"/>
      <c r="Z61" s="362"/>
      <c r="AA61" s="362"/>
      <c r="AB61" s="362"/>
      <c r="AC61" s="362"/>
      <c r="AD61" s="362"/>
      <c r="AE61" s="362"/>
      <c r="AF61" s="362"/>
      <c r="AG61" s="362"/>
      <c r="AH61" s="362"/>
      <c r="AI61" s="362"/>
      <c r="AJ61" s="362"/>
      <c r="AK61" s="362"/>
      <c r="AL61" s="362"/>
      <c r="AM61" s="362"/>
      <c r="AN61" s="362"/>
      <c r="AO61" s="362"/>
      <c r="AP61" s="362"/>
      <c r="AQ61" s="362"/>
      <c r="AR61" s="362"/>
      <c r="AS61" s="362"/>
      <c r="AT61" s="362"/>
      <c r="AU61" s="362"/>
      <c r="AV61" s="362"/>
      <c r="AW61" s="362"/>
      <c r="AX61" s="362"/>
      <c r="AY61" s="362"/>
      <c r="AZ61" s="362"/>
      <c r="BA61" s="362"/>
      <c r="BB61" s="362"/>
      <c r="BC61" s="362"/>
      <c r="BD61" s="362"/>
      <c r="BE61" s="362"/>
      <c r="BF61" s="362"/>
      <c r="BG61" s="362"/>
      <c r="BI61" s="341" t="s">
        <v>1237</v>
      </c>
    </row>
    <row r="62" spans="2:61" x14ac:dyDescent="0.2">
      <c r="B62" s="219" t="str">
        <f>IF(Capacity!N55="","",Capacity!N55)</f>
        <v/>
      </c>
      <c r="C62" s="220" t="str">
        <f>IF(B62="","",Capacity!Q55)</f>
        <v/>
      </c>
      <c r="D62" s="309" t="str">
        <f>IF(B62="","",Capacity!R55)</f>
        <v/>
      </c>
      <c r="E62" s="220" t="str">
        <f>IF(B62="","",IF(COUNTBLANK(H62:BG62)=52,SUM('Capacity calculation (hide)'!H150:BG150),52-COUNTBLANK(H62:BG62)))</f>
        <v/>
      </c>
      <c r="F62" s="310" t="str">
        <f>'Capacity calculation (hide)'!BI150</f>
        <v/>
      </c>
      <c r="H62" s="362"/>
      <c r="I62" s="362"/>
      <c r="J62" s="362"/>
      <c r="K62" s="362"/>
      <c r="L62" s="362"/>
      <c r="M62" s="362"/>
      <c r="N62" s="362"/>
      <c r="O62" s="362"/>
      <c r="P62" s="362"/>
      <c r="Q62" s="362"/>
      <c r="R62" s="362"/>
      <c r="S62" s="362"/>
      <c r="T62" s="362"/>
      <c r="U62" s="362"/>
      <c r="V62" s="362"/>
      <c r="W62" s="362"/>
      <c r="X62" s="362"/>
      <c r="Y62" s="362"/>
      <c r="Z62" s="362"/>
      <c r="AA62" s="362"/>
      <c r="AB62" s="362"/>
      <c r="AC62" s="362"/>
      <c r="AD62" s="362"/>
      <c r="AE62" s="362"/>
      <c r="AF62" s="362"/>
      <c r="AG62" s="362"/>
      <c r="AH62" s="362"/>
      <c r="AI62" s="362"/>
      <c r="AJ62" s="362"/>
      <c r="AK62" s="362"/>
      <c r="AL62" s="362"/>
      <c r="AM62" s="362"/>
      <c r="AN62" s="362"/>
      <c r="AO62" s="362"/>
      <c r="AP62" s="362"/>
      <c r="AQ62" s="362"/>
      <c r="AR62" s="362"/>
      <c r="AS62" s="362"/>
      <c r="AT62" s="362"/>
      <c r="AU62" s="362"/>
      <c r="AV62" s="362"/>
      <c r="AW62" s="362"/>
      <c r="AX62" s="362"/>
      <c r="AY62" s="362"/>
      <c r="AZ62" s="362"/>
      <c r="BA62" s="362"/>
      <c r="BB62" s="362"/>
      <c r="BC62" s="362"/>
      <c r="BD62" s="362"/>
      <c r="BE62" s="362"/>
      <c r="BF62" s="362"/>
      <c r="BG62" s="362"/>
      <c r="BI62" s="341" t="s">
        <v>1237</v>
      </c>
    </row>
    <row r="63" spans="2:61" x14ac:dyDescent="0.2">
      <c r="B63" s="219" t="str">
        <f>IF(Capacity!N56="","",Capacity!N56)</f>
        <v/>
      </c>
      <c r="C63" s="220" t="str">
        <f>IF(B63="","",Capacity!Q56)</f>
        <v/>
      </c>
      <c r="D63" s="309" t="str">
        <f>IF(B63="","",Capacity!R56)</f>
        <v/>
      </c>
      <c r="E63" s="220" t="str">
        <f>IF(B63="","",IF(COUNTBLANK(H63:BG63)=52,SUM('Capacity calculation (hide)'!H151:BG151),52-COUNTBLANK(H63:BG63)))</f>
        <v/>
      </c>
      <c r="F63" s="310" t="str">
        <f>'Capacity calculation (hide)'!BI151</f>
        <v/>
      </c>
      <c r="H63" s="362"/>
      <c r="I63" s="362"/>
      <c r="J63" s="362"/>
      <c r="K63" s="362"/>
      <c r="L63" s="362"/>
      <c r="M63" s="362"/>
      <c r="N63" s="362"/>
      <c r="O63" s="362"/>
      <c r="P63" s="362"/>
      <c r="Q63" s="362"/>
      <c r="R63" s="362"/>
      <c r="S63" s="362"/>
      <c r="T63" s="362"/>
      <c r="U63" s="362"/>
      <c r="V63" s="362"/>
      <c r="W63" s="362"/>
      <c r="X63" s="362"/>
      <c r="Y63" s="362"/>
      <c r="Z63" s="362"/>
      <c r="AA63" s="362"/>
      <c r="AB63" s="362"/>
      <c r="AC63" s="362"/>
      <c r="AD63" s="362"/>
      <c r="AE63" s="362"/>
      <c r="AF63" s="362"/>
      <c r="AG63" s="362"/>
      <c r="AH63" s="362"/>
      <c r="AI63" s="362"/>
      <c r="AJ63" s="362"/>
      <c r="AK63" s="362"/>
      <c r="AL63" s="362"/>
      <c r="AM63" s="362"/>
      <c r="AN63" s="362"/>
      <c r="AO63" s="362"/>
      <c r="AP63" s="362"/>
      <c r="AQ63" s="362"/>
      <c r="AR63" s="362"/>
      <c r="AS63" s="362"/>
      <c r="AT63" s="362"/>
      <c r="AU63" s="362"/>
      <c r="AV63" s="362"/>
      <c r="AW63" s="362"/>
      <c r="AX63" s="362"/>
      <c r="AY63" s="362"/>
      <c r="AZ63" s="362"/>
      <c r="BA63" s="362"/>
      <c r="BB63" s="362"/>
      <c r="BC63" s="362"/>
      <c r="BD63" s="362"/>
      <c r="BE63" s="362"/>
      <c r="BF63" s="362"/>
      <c r="BG63" s="362"/>
      <c r="BI63" s="341" t="s">
        <v>1237</v>
      </c>
    </row>
    <row r="64" spans="2:61" x14ac:dyDescent="0.2">
      <c r="B64" s="219" t="str">
        <f>IF(Capacity!N57="","",Capacity!N57)</f>
        <v/>
      </c>
      <c r="C64" s="220" t="str">
        <f>IF(B64="","",Capacity!Q57)</f>
        <v/>
      </c>
      <c r="D64" s="309" t="str">
        <f>IF(B64="","",Capacity!R57)</f>
        <v/>
      </c>
      <c r="E64" s="220" t="str">
        <f>IF(B64="","",IF(COUNTBLANK(H64:BG64)=52,SUM('Capacity calculation (hide)'!H152:BG152),52-COUNTBLANK(H64:BG64)))</f>
        <v/>
      </c>
      <c r="F64" s="310" t="str">
        <f>'Capacity calculation (hide)'!BI152</f>
        <v/>
      </c>
      <c r="H64" s="362"/>
      <c r="I64" s="362"/>
      <c r="J64" s="362"/>
      <c r="K64" s="362"/>
      <c r="L64" s="362"/>
      <c r="M64" s="362"/>
      <c r="N64" s="362"/>
      <c r="O64" s="362"/>
      <c r="P64" s="362"/>
      <c r="Q64" s="362"/>
      <c r="R64" s="362"/>
      <c r="S64" s="362"/>
      <c r="T64" s="362"/>
      <c r="U64" s="362"/>
      <c r="V64" s="362"/>
      <c r="W64" s="362"/>
      <c r="X64" s="362"/>
      <c r="Y64" s="362"/>
      <c r="Z64" s="362"/>
      <c r="AA64" s="362"/>
      <c r="AB64" s="362"/>
      <c r="AC64" s="362"/>
      <c r="AD64" s="362"/>
      <c r="AE64" s="362"/>
      <c r="AF64" s="362"/>
      <c r="AG64" s="362"/>
      <c r="AH64" s="362"/>
      <c r="AI64" s="362"/>
      <c r="AJ64" s="362"/>
      <c r="AK64" s="362"/>
      <c r="AL64" s="362"/>
      <c r="AM64" s="362"/>
      <c r="AN64" s="362"/>
      <c r="AO64" s="362"/>
      <c r="AP64" s="362"/>
      <c r="AQ64" s="362"/>
      <c r="AR64" s="362"/>
      <c r="AS64" s="362"/>
      <c r="AT64" s="362"/>
      <c r="AU64" s="362"/>
      <c r="AV64" s="362"/>
      <c r="AW64" s="362"/>
      <c r="AX64" s="362"/>
      <c r="AY64" s="362"/>
      <c r="AZ64" s="362"/>
      <c r="BA64" s="362"/>
      <c r="BB64" s="362"/>
      <c r="BC64" s="362"/>
      <c r="BD64" s="362"/>
      <c r="BE64" s="362"/>
      <c r="BF64" s="362"/>
      <c r="BG64" s="362"/>
      <c r="BI64" s="341" t="s">
        <v>1237</v>
      </c>
    </row>
    <row r="65" spans="2:61" x14ac:dyDescent="0.2">
      <c r="B65" s="219" t="str">
        <f>IF(Capacity!N58="","",Capacity!N58)</f>
        <v/>
      </c>
      <c r="C65" s="220" t="str">
        <f>IF(B65="","",Capacity!Q58)</f>
        <v/>
      </c>
      <c r="D65" s="309" t="str">
        <f>IF(B65="","",Capacity!R58)</f>
        <v/>
      </c>
      <c r="E65" s="220" t="str">
        <f>IF(B65="","",IF(COUNTBLANK(H65:BG65)=52,SUM('Capacity calculation (hide)'!H153:BG153),52-COUNTBLANK(H65:BG65)))</f>
        <v/>
      </c>
      <c r="F65" s="310" t="str">
        <f>'Capacity calculation (hide)'!BI153</f>
        <v/>
      </c>
      <c r="H65" s="362"/>
      <c r="I65" s="362"/>
      <c r="J65" s="362"/>
      <c r="K65" s="362"/>
      <c r="L65" s="362"/>
      <c r="M65" s="362"/>
      <c r="N65" s="362"/>
      <c r="O65" s="362"/>
      <c r="P65" s="362"/>
      <c r="Q65" s="362"/>
      <c r="R65" s="362"/>
      <c r="S65" s="362"/>
      <c r="T65" s="362"/>
      <c r="U65" s="362"/>
      <c r="V65" s="362"/>
      <c r="W65" s="362"/>
      <c r="X65" s="362"/>
      <c r="Y65" s="362"/>
      <c r="Z65" s="362"/>
      <c r="AA65" s="362"/>
      <c r="AB65" s="362"/>
      <c r="AC65" s="362"/>
      <c r="AD65" s="362"/>
      <c r="AE65" s="362"/>
      <c r="AF65" s="362"/>
      <c r="AG65" s="362"/>
      <c r="AH65" s="362"/>
      <c r="AI65" s="362"/>
      <c r="AJ65" s="362"/>
      <c r="AK65" s="362"/>
      <c r="AL65" s="362"/>
      <c r="AM65" s="362"/>
      <c r="AN65" s="362"/>
      <c r="AO65" s="362"/>
      <c r="AP65" s="362"/>
      <c r="AQ65" s="362"/>
      <c r="AR65" s="362"/>
      <c r="AS65" s="362"/>
      <c r="AT65" s="362"/>
      <c r="AU65" s="362"/>
      <c r="AV65" s="362"/>
      <c r="AW65" s="362"/>
      <c r="AX65" s="362"/>
      <c r="AY65" s="362"/>
      <c r="AZ65" s="362"/>
      <c r="BA65" s="362"/>
      <c r="BB65" s="362"/>
      <c r="BC65" s="362"/>
      <c r="BD65" s="362"/>
      <c r="BE65" s="362"/>
      <c r="BF65" s="362"/>
      <c r="BG65" s="362"/>
      <c r="BI65" s="341" t="s">
        <v>1237</v>
      </c>
    </row>
    <row r="66" spans="2:61" x14ac:dyDescent="0.2">
      <c r="B66" s="219" t="str">
        <f>IF(Capacity!N59="","",Capacity!N59)</f>
        <v/>
      </c>
      <c r="C66" s="220" t="str">
        <f>IF(B66="","",Capacity!Q59)</f>
        <v/>
      </c>
      <c r="D66" s="309" t="str">
        <f>IF(B66="","",Capacity!R59)</f>
        <v/>
      </c>
      <c r="E66" s="220" t="str">
        <f>IF(B66="","",IF(COUNTBLANK(H66:BG66)=52,SUM('Capacity calculation (hide)'!H154:BG154),52-COUNTBLANK(H66:BG66)))</f>
        <v/>
      </c>
      <c r="F66" s="310" t="str">
        <f>'Capacity calculation (hide)'!BI154</f>
        <v/>
      </c>
      <c r="H66" s="362"/>
      <c r="I66" s="362"/>
      <c r="J66" s="362"/>
      <c r="K66" s="362"/>
      <c r="L66" s="362"/>
      <c r="M66" s="362"/>
      <c r="N66" s="362"/>
      <c r="O66" s="362"/>
      <c r="P66" s="362"/>
      <c r="Q66" s="362"/>
      <c r="R66" s="362"/>
      <c r="S66" s="362"/>
      <c r="T66" s="362"/>
      <c r="U66" s="362"/>
      <c r="V66" s="362"/>
      <c r="W66" s="362"/>
      <c r="X66" s="362"/>
      <c r="Y66" s="362"/>
      <c r="Z66" s="362"/>
      <c r="AA66" s="362"/>
      <c r="AB66" s="362"/>
      <c r="AC66" s="362"/>
      <c r="AD66" s="362"/>
      <c r="AE66" s="362"/>
      <c r="AF66" s="362"/>
      <c r="AG66" s="362"/>
      <c r="AH66" s="362"/>
      <c r="AI66" s="362"/>
      <c r="AJ66" s="362"/>
      <c r="AK66" s="362"/>
      <c r="AL66" s="362"/>
      <c r="AM66" s="362"/>
      <c r="AN66" s="362"/>
      <c r="AO66" s="362"/>
      <c r="AP66" s="362"/>
      <c r="AQ66" s="362"/>
      <c r="AR66" s="362"/>
      <c r="AS66" s="362"/>
      <c r="AT66" s="362"/>
      <c r="AU66" s="362"/>
      <c r="AV66" s="362"/>
      <c r="AW66" s="362"/>
      <c r="AX66" s="362"/>
      <c r="AY66" s="362"/>
      <c r="AZ66" s="362"/>
      <c r="BA66" s="362"/>
      <c r="BB66" s="362"/>
      <c r="BC66" s="362"/>
      <c r="BD66" s="362"/>
      <c r="BE66" s="362"/>
      <c r="BF66" s="362"/>
      <c r="BG66" s="362"/>
      <c r="BI66" s="341" t="s">
        <v>1237</v>
      </c>
    </row>
    <row r="67" spans="2:61" x14ac:dyDescent="0.2">
      <c r="B67" s="219" t="str">
        <f>IF(Capacity!N60="","",Capacity!N60)</f>
        <v/>
      </c>
      <c r="C67" s="220" t="str">
        <f>IF(B67="","",Capacity!Q60)</f>
        <v/>
      </c>
      <c r="D67" s="309" t="str">
        <f>IF(B67="","",Capacity!R60)</f>
        <v/>
      </c>
      <c r="E67" s="220" t="str">
        <f>IF(B67="","",IF(COUNTBLANK(H67:BG67)=52,SUM('Capacity calculation (hide)'!H155:BG155),52-COUNTBLANK(H67:BG67)))</f>
        <v/>
      </c>
      <c r="F67" s="310" t="str">
        <f>'Capacity calculation (hide)'!BI155</f>
        <v/>
      </c>
      <c r="H67" s="362"/>
      <c r="I67" s="362"/>
      <c r="J67" s="362"/>
      <c r="K67" s="362"/>
      <c r="L67" s="362"/>
      <c r="M67" s="362"/>
      <c r="N67" s="362"/>
      <c r="O67" s="362"/>
      <c r="P67" s="362"/>
      <c r="Q67" s="362"/>
      <c r="R67" s="362"/>
      <c r="S67" s="362"/>
      <c r="T67" s="362"/>
      <c r="U67" s="362"/>
      <c r="V67" s="362"/>
      <c r="W67" s="362"/>
      <c r="X67" s="362"/>
      <c r="Y67" s="362"/>
      <c r="Z67" s="362"/>
      <c r="AA67" s="362"/>
      <c r="AB67" s="362"/>
      <c r="AC67" s="362"/>
      <c r="AD67" s="362"/>
      <c r="AE67" s="362"/>
      <c r="AF67" s="362"/>
      <c r="AG67" s="362"/>
      <c r="AH67" s="362"/>
      <c r="AI67" s="362"/>
      <c r="AJ67" s="362"/>
      <c r="AK67" s="362"/>
      <c r="AL67" s="362"/>
      <c r="AM67" s="362"/>
      <c r="AN67" s="362"/>
      <c r="AO67" s="362"/>
      <c r="AP67" s="362"/>
      <c r="AQ67" s="362"/>
      <c r="AR67" s="362"/>
      <c r="AS67" s="362"/>
      <c r="AT67" s="362"/>
      <c r="AU67" s="362"/>
      <c r="AV67" s="362"/>
      <c r="AW67" s="362"/>
      <c r="AX67" s="362"/>
      <c r="AY67" s="362"/>
      <c r="AZ67" s="362"/>
      <c r="BA67" s="362"/>
      <c r="BB67" s="362"/>
      <c r="BC67" s="362"/>
      <c r="BD67" s="362"/>
      <c r="BE67" s="362"/>
      <c r="BF67" s="362"/>
      <c r="BG67" s="362"/>
      <c r="BI67" s="341" t="s">
        <v>1237</v>
      </c>
    </row>
    <row r="68" spans="2:61" x14ac:dyDescent="0.2">
      <c r="B68" s="219" t="str">
        <f>IF(Capacity!N61="","",Capacity!N61)</f>
        <v/>
      </c>
      <c r="C68" s="220" t="str">
        <f>IF(B68="","",Capacity!Q61)</f>
        <v/>
      </c>
      <c r="D68" s="309" t="str">
        <f>IF(B68="","",Capacity!R61)</f>
        <v/>
      </c>
      <c r="E68" s="220" t="str">
        <f>IF(B68="","",IF(COUNTBLANK(H68:BG68)=52,SUM('Capacity calculation (hide)'!H156:BG156),52-COUNTBLANK(H68:BG68)))</f>
        <v/>
      </c>
      <c r="F68" s="310" t="str">
        <f>'Capacity calculation (hide)'!BI156</f>
        <v/>
      </c>
      <c r="H68" s="362"/>
      <c r="I68" s="362"/>
      <c r="J68" s="362"/>
      <c r="K68" s="362"/>
      <c r="L68" s="362"/>
      <c r="M68" s="362"/>
      <c r="N68" s="362"/>
      <c r="O68" s="362"/>
      <c r="P68" s="362"/>
      <c r="Q68" s="362"/>
      <c r="R68" s="362"/>
      <c r="S68" s="362"/>
      <c r="T68" s="362"/>
      <c r="U68" s="362"/>
      <c r="V68" s="362"/>
      <c r="W68" s="362"/>
      <c r="X68" s="362"/>
      <c r="Y68" s="362"/>
      <c r="Z68" s="362"/>
      <c r="AA68" s="362"/>
      <c r="AB68" s="362"/>
      <c r="AC68" s="362"/>
      <c r="AD68" s="362"/>
      <c r="AE68" s="362"/>
      <c r="AF68" s="362"/>
      <c r="AG68" s="362"/>
      <c r="AH68" s="362"/>
      <c r="AI68" s="362"/>
      <c r="AJ68" s="362"/>
      <c r="AK68" s="362"/>
      <c r="AL68" s="362"/>
      <c r="AM68" s="362"/>
      <c r="AN68" s="362"/>
      <c r="AO68" s="362"/>
      <c r="AP68" s="362"/>
      <c r="AQ68" s="362"/>
      <c r="AR68" s="362"/>
      <c r="AS68" s="362"/>
      <c r="AT68" s="362"/>
      <c r="AU68" s="362"/>
      <c r="AV68" s="362"/>
      <c r="AW68" s="362"/>
      <c r="AX68" s="362"/>
      <c r="AY68" s="362"/>
      <c r="AZ68" s="362"/>
      <c r="BA68" s="362"/>
      <c r="BB68" s="362"/>
      <c r="BC68" s="362"/>
      <c r="BD68" s="362"/>
      <c r="BE68" s="362"/>
      <c r="BF68" s="362"/>
      <c r="BG68" s="362"/>
      <c r="BI68" s="341" t="s">
        <v>1237</v>
      </c>
    </row>
    <row r="69" spans="2:61" x14ac:dyDescent="0.2">
      <c r="B69" s="219" t="str">
        <f>IF(Capacity!N62="","",Capacity!N62)</f>
        <v/>
      </c>
      <c r="C69" s="220" t="str">
        <f>IF(B69="","",Capacity!Q62)</f>
        <v/>
      </c>
      <c r="D69" s="309" t="str">
        <f>IF(B69="","",Capacity!R62)</f>
        <v/>
      </c>
      <c r="E69" s="220" t="str">
        <f>IF(B69="","",IF(COUNTBLANK(H69:BG69)=52,SUM('Capacity calculation (hide)'!H157:BG157),52-COUNTBLANK(H69:BG69)))</f>
        <v/>
      </c>
      <c r="F69" s="310" t="str">
        <f>'Capacity calculation (hide)'!BI157</f>
        <v/>
      </c>
      <c r="H69" s="362"/>
      <c r="I69" s="362"/>
      <c r="J69" s="362"/>
      <c r="K69" s="362"/>
      <c r="L69" s="362"/>
      <c r="M69" s="362"/>
      <c r="N69" s="362"/>
      <c r="O69" s="362"/>
      <c r="P69" s="362"/>
      <c r="Q69" s="362"/>
      <c r="R69" s="362"/>
      <c r="S69" s="362"/>
      <c r="T69" s="362"/>
      <c r="U69" s="362"/>
      <c r="V69" s="362"/>
      <c r="W69" s="362"/>
      <c r="X69" s="362"/>
      <c r="Y69" s="362"/>
      <c r="Z69" s="362"/>
      <c r="AA69" s="362"/>
      <c r="AB69" s="362"/>
      <c r="AC69" s="362"/>
      <c r="AD69" s="362"/>
      <c r="AE69" s="362"/>
      <c r="AF69" s="362"/>
      <c r="AG69" s="362"/>
      <c r="AH69" s="362"/>
      <c r="AI69" s="362"/>
      <c r="AJ69" s="362"/>
      <c r="AK69" s="362"/>
      <c r="AL69" s="362"/>
      <c r="AM69" s="362"/>
      <c r="AN69" s="362"/>
      <c r="AO69" s="362"/>
      <c r="AP69" s="362"/>
      <c r="AQ69" s="362"/>
      <c r="AR69" s="362"/>
      <c r="AS69" s="362"/>
      <c r="AT69" s="362"/>
      <c r="AU69" s="362"/>
      <c r="AV69" s="362"/>
      <c r="AW69" s="362"/>
      <c r="AX69" s="362"/>
      <c r="AY69" s="362"/>
      <c r="AZ69" s="362"/>
      <c r="BA69" s="362"/>
      <c r="BB69" s="362"/>
      <c r="BC69" s="362"/>
      <c r="BD69" s="362"/>
      <c r="BE69" s="362"/>
      <c r="BF69" s="362"/>
      <c r="BG69" s="362"/>
      <c r="BI69" s="341" t="s">
        <v>1237</v>
      </c>
    </row>
    <row r="70" spans="2:61" x14ac:dyDescent="0.2">
      <c r="B70" s="219" t="str">
        <f>IF(Capacity!N63="","",Capacity!N63)</f>
        <v/>
      </c>
      <c r="C70" s="220" t="str">
        <f>IF(B70="","",Capacity!Q63)</f>
        <v/>
      </c>
      <c r="D70" s="309" t="str">
        <f>IF(B70="","",Capacity!R63)</f>
        <v/>
      </c>
      <c r="E70" s="220" t="str">
        <f>IF(B70="","",IF(COUNTBLANK(H70:BG70)=52,SUM('Capacity calculation (hide)'!H158:BG158),52-COUNTBLANK(H70:BG70)))</f>
        <v/>
      </c>
      <c r="F70" s="310" t="str">
        <f>'Capacity calculation (hide)'!BI158</f>
        <v/>
      </c>
      <c r="H70" s="362"/>
      <c r="I70" s="362"/>
      <c r="J70" s="362"/>
      <c r="K70" s="362"/>
      <c r="L70" s="362"/>
      <c r="M70" s="362"/>
      <c r="N70" s="362"/>
      <c r="O70" s="362"/>
      <c r="P70" s="362"/>
      <c r="Q70" s="362"/>
      <c r="R70" s="362"/>
      <c r="S70" s="362"/>
      <c r="T70" s="362"/>
      <c r="U70" s="362"/>
      <c r="V70" s="362"/>
      <c r="W70" s="362"/>
      <c r="X70" s="362"/>
      <c r="Y70" s="362"/>
      <c r="Z70" s="362"/>
      <c r="AA70" s="362"/>
      <c r="AB70" s="362"/>
      <c r="AC70" s="362"/>
      <c r="AD70" s="362"/>
      <c r="AE70" s="362"/>
      <c r="AF70" s="362"/>
      <c r="AG70" s="362"/>
      <c r="AH70" s="362"/>
      <c r="AI70" s="362"/>
      <c r="AJ70" s="362"/>
      <c r="AK70" s="362"/>
      <c r="AL70" s="362"/>
      <c r="AM70" s="362"/>
      <c r="AN70" s="362"/>
      <c r="AO70" s="362"/>
      <c r="AP70" s="362"/>
      <c r="AQ70" s="362"/>
      <c r="AR70" s="362"/>
      <c r="AS70" s="362"/>
      <c r="AT70" s="362"/>
      <c r="AU70" s="362"/>
      <c r="AV70" s="362"/>
      <c r="AW70" s="362"/>
      <c r="AX70" s="362"/>
      <c r="AY70" s="362"/>
      <c r="AZ70" s="362"/>
      <c r="BA70" s="362"/>
      <c r="BB70" s="362"/>
      <c r="BC70" s="362"/>
      <c r="BD70" s="362"/>
      <c r="BE70" s="362"/>
      <c r="BF70" s="362"/>
      <c r="BG70" s="362"/>
      <c r="BI70" s="341" t="s">
        <v>1237</v>
      </c>
    </row>
    <row r="71" spans="2:61" x14ac:dyDescent="0.2">
      <c r="B71" s="219" t="str">
        <f>IF(Capacity!N64="","",Capacity!N64)</f>
        <v/>
      </c>
      <c r="C71" s="220" t="str">
        <f>IF(B71="","",Capacity!Q64)</f>
        <v/>
      </c>
      <c r="D71" s="309" t="str">
        <f>IF(B71="","",Capacity!R64)</f>
        <v/>
      </c>
      <c r="E71" s="220" t="str">
        <f>IF(B71="","",IF(COUNTBLANK(H71:BG71)=52,SUM('Capacity calculation (hide)'!H159:BG159),52-COUNTBLANK(H71:BG71)))</f>
        <v/>
      </c>
      <c r="F71" s="310" t="str">
        <f>'Capacity calculation (hide)'!BI159</f>
        <v/>
      </c>
      <c r="H71" s="362"/>
      <c r="I71" s="362"/>
      <c r="J71" s="362"/>
      <c r="K71" s="362"/>
      <c r="L71" s="362"/>
      <c r="M71" s="362"/>
      <c r="N71" s="362"/>
      <c r="O71" s="362"/>
      <c r="P71" s="362"/>
      <c r="Q71" s="362"/>
      <c r="R71" s="362"/>
      <c r="S71" s="362"/>
      <c r="T71" s="362"/>
      <c r="U71" s="362"/>
      <c r="V71" s="362"/>
      <c r="W71" s="362"/>
      <c r="X71" s="362"/>
      <c r="Y71" s="362"/>
      <c r="Z71" s="362"/>
      <c r="AA71" s="362"/>
      <c r="AB71" s="362"/>
      <c r="AC71" s="362"/>
      <c r="AD71" s="362"/>
      <c r="AE71" s="362"/>
      <c r="AF71" s="362"/>
      <c r="AG71" s="362"/>
      <c r="AH71" s="362"/>
      <c r="AI71" s="362"/>
      <c r="AJ71" s="362"/>
      <c r="AK71" s="362"/>
      <c r="AL71" s="362"/>
      <c r="AM71" s="362"/>
      <c r="AN71" s="362"/>
      <c r="AO71" s="362"/>
      <c r="AP71" s="362"/>
      <c r="AQ71" s="362"/>
      <c r="AR71" s="362"/>
      <c r="AS71" s="362"/>
      <c r="AT71" s="362"/>
      <c r="AU71" s="362"/>
      <c r="AV71" s="362"/>
      <c r="AW71" s="362"/>
      <c r="AX71" s="362"/>
      <c r="AY71" s="362"/>
      <c r="AZ71" s="362"/>
      <c r="BA71" s="362"/>
      <c r="BB71" s="362"/>
      <c r="BC71" s="362"/>
      <c r="BD71" s="362"/>
      <c r="BE71" s="362"/>
      <c r="BF71" s="362"/>
      <c r="BG71" s="362"/>
      <c r="BI71" s="341" t="s">
        <v>1237</v>
      </c>
    </row>
    <row r="72" spans="2:61" x14ac:dyDescent="0.2">
      <c r="B72" s="219" t="str">
        <f>IF(Capacity!N65="","",Capacity!N65)</f>
        <v/>
      </c>
      <c r="C72" s="220" t="str">
        <f>IF(B72="","",Capacity!Q65)</f>
        <v/>
      </c>
      <c r="D72" s="309" t="str">
        <f>IF(B72="","",Capacity!R65)</f>
        <v/>
      </c>
      <c r="E72" s="220" t="str">
        <f>IF(B72="","",IF(COUNTBLANK(H72:BG72)=52,SUM('Capacity calculation (hide)'!H160:BG160),52-COUNTBLANK(H72:BG72)))</f>
        <v/>
      </c>
      <c r="F72" s="310" t="str">
        <f>'Capacity calculation (hide)'!BI160</f>
        <v/>
      </c>
      <c r="H72" s="362"/>
      <c r="I72" s="362"/>
      <c r="J72" s="362"/>
      <c r="K72" s="362"/>
      <c r="L72" s="362"/>
      <c r="M72" s="362"/>
      <c r="N72" s="362"/>
      <c r="O72" s="362"/>
      <c r="P72" s="362"/>
      <c r="Q72" s="362"/>
      <c r="R72" s="362"/>
      <c r="S72" s="362"/>
      <c r="T72" s="362"/>
      <c r="U72" s="362"/>
      <c r="V72" s="362"/>
      <c r="W72" s="362"/>
      <c r="X72" s="362"/>
      <c r="Y72" s="362"/>
      <c r="Z72" s="362"/>
      <c r="AA72" s="362"/>
      <c r="AB72" s="362"/>
      <c r="AC72" s="362"/>
      <c r="AD72" s="362"/>
      <c r="AE72" s="362"/>
      <c r="AF72" s="362"/>
      <c r="AG72" s="362"/>
      <c r="AH72" s="362"/>
      <c r="AI72" s="362"/>
      <c r="AJ72" s="362"/>
      <c r="AK72" s="362"/>
      <c r="AL72" s="362"/>
      <c r="AM72" s="362"/>
      <c r="AN72" s="362"/>
      <c r="AO72" s="362"/>
      <c r="AP72" s="362"/>
      <c r="AQ72" s="362"/>
      <c r="AR72" s="362"/>
      <c r="AS72" s="362"/>
      <c r="AT72" s="362"/>
      <c r="AU72" s="362"/>
      <c r="AV72" s="362"/>
      <c r="AW72" s="362"/>
      <c r="AX72" s="362"/>
      <c r="AY72" s="362"/>
      <c r="AZ72" s="362"/>
      <c r="BA72" s="362"/>
      <c r="BB72" s="362"/>
      <c r="BC72" s="362"/>
      <c r="BD72" s="362"/>
      <c r="BE72" s="362"/>
      <c r="BF72" s="362"/>
      <c r="BG72" s="362"/>
      <c r="BI72" s="341" t="s">
        <v>1237</v>
      </c>
    </row>
    <row r="73" spans="2:61" x14ac:dyDescent="0.2">
      <c r="B73" s="219" t="str">
        <f>IF(Capacity!N66="","",Capacity!N66)</f>
        <v/>
      </c>
      <c r="C73" s="220" t="str">
        <f>IF(B73="","",Capacity!Q66)</f>
        <v/>
      </c>
      <c r="D73" s="309" t="str">
        <f>IF(B73="","",Capacity!R66)</f>
        <v/>
      </c>
      <c r="E73" s="220" t="str">
        <f>IF(B73="","",IF(COUNTBLANK(H73:BG73)=52,SUM('Capacity calculation (hide)'!H161:BG161),52-COUNTBLANK(H73:BG73)))</f>
        <v/>
      </c>
      <c r="F73" s="310" t="str">
        <f>'Capacity calculation (hide)'!BI161</f>
        <v/>
      </c>
      <c r="H73" s="362"/>
      <c r="I73" s="362"/>
      <c r="J73" s="362"/>
      <c r="K73" s="362"/>
      <c r="L73" s="362"/>
      <c r="M73" s="362"/>
      <c r="N73" s="362"/>
      <c r="O73" s="362"/>
      <c r="P73" s="362"/>
      <c r="Q73" s="362"/>
      <c r="R73" s="362"/>
      <c r="S73" s="362"/>
      <c r="T73" s="362"/>
      <c r="U73" s="362"/>
      <c r="V73" s="362"/>
      <c r="W73" s="362"/>
      <c r="X73" s="362"/>
      <c r="Y73" s="362"/>
      <c r="Z73" s="362"/>
      <c r="AA73" s="362"/>
      <c r="AB73" s="362"/>
      <c r="AC73" s="362"/>
      <c r="AD73" s="362"/>
      <c r="AE73" s="362"/>
      <c r="AF73" s="362"/>
      <c r="AG73" s="362"/>
      <c r="AH73" s="362"/>
      <c r="AI73" s="362"/>
      <c r="AJ73" s="362"/>
      <c r="AK73" s="362"/>
      <c r="AL73" s="362"/>
      <c r="AM73" s="362"/>
      <c r="AN73" s="362"/>
      <c r="AO73" s="362"/>
      <c r="AP73" s="362"/>
      <c r="AQ73" s="362"/>
      <c r="AR73" s="362"/>
      <c r="AS73" s="362"/>
      <c r="AT73" s="362"/>
      <c r="AU73" s="362"/>
      <c r="AV73" s="362"/>
      <c r="AW73" s="362"/>
      <c r="AX73" s="362"/>
      <c r="AY73" s="362"/>
      <c r="AZ73" s="362"/>
      <c r="BA73" s="362"/>
      <c r="BB73" s="362"/>
      <c r="BC73" s="362"/>
      <c r="BD73" s="362"/>
      <c r="BE73" s="362"/>
      <c r="BF73" s="362"/>
      <c r="BG73" s="362"/>
      <c r="BI73" s="341" t="s">
        <v>1237</v>
      </c>
    </row>
    <row r="74" spans="2:61" x14ac:dyDescent="0.2">
      <c r="B74" s="219" t="str">
        <f>IF(Capacity!N67="","",Capacity!N67)</f>
        <v/>
      </c>
      <c r="C74" s="220" t="str">
        <f>IF(B74="","",Capacity!Q67)</f>
        <v/>
      </c>
      <c r="D74" s="309" t="str">
        <f>IF(B74="","",Capacity!R67)</f>
        <v/>
      </c>
      <c r="E74" s="220" t="str">
        <f>IF(B74="","",IF(COUNTBLANK(H74:BG74)=52,SUM('Capacity calculation (hide)'!H162:BG162),52-COUNTBLANK(H74:BG74)))</f>
        <v/>
      </c>
      <c r="F74" s="310" t="str">
        <f>'Capacity calculation (hide)'!BI162</f>
        <v/>
      </c>
      <c r="H74" s="362"/>
      <c r="I74" s="362"/>
      <c r="J74" s="362"/>
      <c r="K74" s="362"/>
      <c r="L74" s="362"/>
      <c r="M74" s="362"/>
      <c r="N74" s="362"/>
      <c r="O74" s="362"/>
      <c r="P74" s="362"/>
      <c r="Q74" s="362"/>
      <c r="R74" s="362"/>
      <c r="S74" s="362"/>
      <c r="T74" s="362"/>
      <c r="U74" s="362"/>
      <c r="V74" s="362"/>
      <c r="W74" s="362"/>
      <c r="X74" s="362"/>
      <c r="Y74" s="362"/>
      <c r="Z74" s="362"/>
      <c r="AA74" s="362"/>
      <c r="AB74" s="362"/>
      <c r="AC74" s="362"/>
      <c r="AD74" s="362"/>
      <c r="AE74" s="362"/>
      <c r="AF74" s="362"/>
      <c r="AG74" s="362"/>
      <c r="AH74" s="362"/>
      <c r="AI74" s="362"/>
      <c r="AJ74" s="362"/>
      <c r="AK74" s="362"/>
      <c r="AL74" s="362"/>
      <c r="AM74" s="362"/>
      <c r="AN74" s="362"/>
      <c r="AO74" s="362"/>
      <c r="AP74" s="362"/>
      <c r="AQ74" s="362"/>
      <c r="AR74" s="362"/>
      <c r="AS74" s="362"/>
      <c r="AT74" s="362"/>
      <c r="AU74" s="362"/>
      <c r="AV74" s="362"/>
      <c r="AW74" s="362"/>
      <c r="AX74" s="362"/>
      <c r="AY74" s="362"/>
      <c r="AZ74" s="362"/>
      <c r="BA74" s="362"/>
      <c r="BB74" s="362"/>
      <c r="BC74" s="362"/>
      <c r="BD74" s="362"/>
      <c r="BE74" s="362"/>
      <c r="BF74" s="362"/>
      <c r="BG74" s="362"/>
      <c r="BI74" s="341" t="s">
        <v>1237</v>
      </c>
    </row>
    <row r="75" spans="2:61" x14ac:dyDescent="0.2">
      <c r="B75" s="219" t="str">
        <f>IF(Capacity!N68="","",Capacity!N68)</f>
        <v/>
      </c>
      <c r="C75" s="220" t="str">
        <f>IF(B75="","",Capacity!Q68)</f>
        <v/>
      </c>
      <c r="D75" s="309" t="str">
        <f>IF(B75="","",Capacity!R68)</f>
        <v/>
      </c>
      <c r="E75" s="220" t="str">
        <f>IF(B75="","",IF(COUNTBLANK(H75:BG75)=52,SUM('Capacity calculation (hide)'!H163:BG163),52-COUNTBLANK(H75:BG75)))</f>
        <v/>
      </c>
      <c r="F75" s="310" t="str">
        <f>'Capacity calculation (hide)'!BI163</f>
        <v/>
      </c>
      <c r="H75" s="362"/>
      <c r="I75" s="362"/>
      <c r="J75" s="362"/>
      <c r="K75" s="362"/>
      <c r="L75" s="362"/>
      <c r="M75" s="362"/>
      <c r="N75" s="362"/>
      <c r="O75" s="362"/>
      <c r="P75" s="362"/>
      <c r="Q75" s="362"/>
      <c r="R75" s="362"/>
      <c r="S75" s="362"/>
      <c r="T75" s="362"/>
      <c r="U75" s="362"/>
      <c r="V75" s="362"/>
      <c r="W75" s="362"/>
      <c r="X75" s="362"/>
      <c r="Y75" s="362"/>
      <c r="Z75" s="362"/>
      <c r="AA75" s="362"/>
      <c r="AB75" s="362"/>
      <c r="AC75" s="362"/>
      <c r="AD75" s="362"/>
      <c r="AE75" s="362"/>
      <c r="AF75" s="362"/>
      <c r="AG75" s="362"/>
      <c r="AH75" s="362"/>
      <c r="AI75" s="362"/>
      <c r="AJ75" s="362"/>
      <c r="AK75" s="362"/>
      <c r="AL75" s="362"/>
      <c r="AM75" s="362"/>
      <c r="AN75" s="362"/>
      <c r="AO75" s="362"/>
      <c r="AP75" s="362"/>
      <c r="AQ75" s="362"/>
      <c r="AR75" s="362"/>
      <c r="AS75" s="362"/>
      <c r="AT75" s="362"/>
      <c r="AU75" s="362"/>
      <c r="AV75" s="362"/>
      <c r="AW75" s="362"/>
      <c r="AX75" s="362"/>
      <c r="AY75" s="362"/>
      <c r="AZ75" s="362"/>
      <c r="BA75" s="362"/>
      <c r="BB75" s="362"/>
      <c r="BC75" s="362"/>
      <c r="BD75" s="362"/>
      <c r="BE75" s="362"/>
      <c r="BF75" s="362"/>
      <c r="BG75" s="362"/>
      <c r="BI75" s="341" t="s">
        <v>1237</v>
      </c>
    </row>
    <row r="76" spans="2:61" x14ac:dyDescent="0.2">
      <c r="B76" s="219" t="str">
        <f>IF(Capacity!N69="","",Capacity!N69)</f>
        <v/>
      </c>
      <c r="C76" s="220" t="str">
        <f>IF(B76="","",Capacity!Q69)</f>
        <v/>
      </c>
      <c r="D76" s="309" t="str">
        <f>IF(B76="","",Capacity!R69)</f>
        <v/>
      </c>
      <c r="E76" s="220" t="str">
        <f>IF(B76="","",IF(COUNTBLANK(H76:BG76)=52,SUM('Capacity calculation (hide)'!H164:BG164),52-COUNTBLANK(H76:BG76)))</f>
        <v/>
      </c>
      <c r="F76" s="310" t="str">
        <f>'Capacity calculation (hide)'!BI164</f>
        <v/>
      </c>
      <c r="H76" s="362"/>
      <c r="I76" s="362"/>
      <c r="J76" s="362"/>
      <c r="K76" s="362"/>
      <c r="L76" s="362"/>
      <c r="M76" s="362"/>
      <c r="N76" s="362"/>
      <c r="O76" s="362"/>
      <c r="P76" s="362"/>
      <c r="Q76" s="362"/>
      <c r="R76" s="362"/>
      <c r="S76" s="362"/>
      <c r="T76" s="362"/>
      <c r="U76" s="362"/>
      <c r="V76" s="362"/>
      <c r="W76" s="362"/>
      <c r="X76" s="362"/>
      <c r="Y76" s="362"/>
      <c r="Z76" s="362"/>
      <c r="AA76" s="362"/>
      <c r="AB76" s="362"/>
      <c r="AC76" s="362"/>
      <c r="AD76" s="362"/>
      <c r="AE76" s="362"/>
      <c r="AF76" s="362"/>
      <c r="AG76" s="362"/>
      <c r="AH76" s="362"/>
      <c r="AI76" s="362"/>
      <c r="AJ76" s="362"/>
      <c r="AK76" s="362"/>
      <c r="AL76" s="362"/>
      <c r="AM76" s="362"/>
      <c r="AN76" s="362"/>
      <c r="AO76" s="362"/>
      <c r="AP76" s="362"/>
      <c r="AQ76" s="362"/>
      <c r="AR76" s="362"/>
      <c r="AS76" s="362"/>
      <c r="AT76" s="362"/>
      <c r="AU76" s="362"/>
      <c r="AV76" s="362"/>
      <c r="AW76" s="362"/>
      <c r="AX76" s="362"/>
      <c r="AY76" s="362"/>
      <c r="AZ76" s="362"/>
      <c r="BA76" s="362"/>
      <c r="BB76" s="362"/>
      <c r="BC76" s="362"/>
      <c r="BD76" s="362"/>
      <c r="BE76" s="362"/>
      <c r="BF76" s="362"/>
      <c r="BG76" s="362"/>
      <c r="BI76" s="341" t="s">
        <v>1237</v>
      </c>
    </row>
    <row r="77" spans="2:61" x14ac:dyDescent="0.2">
      <c r="B77" s="219" t="str">
        <f>IF(Capacity!N70="","",Capacity!N70)</f>
        <v/>
      </c>
      <c r="C77" s="220" t="str">
        <f>IF(B77="","",Capacity!Q70)</f>
        <v/>
      </c>
      <c r="D77" s="309" t="str">
        <f>IF(B77="","",Capacity!R70)</f>
        <v/>
      </c>
      <c r="E77" s="220" t="str">
        <f>IF(B77="","",IF(COUNTBLANK(H77:BG77)=52,SUM('Capacity calculation (hide)'!H165:BG165),52-COUNTBLANK(H77:BG77)))</f>
        <v/>
      </c>
      <c r="F77" s="310" t="str">
        <f>'Capacity calculation (hide)'!BI165</f>
        <v/>
      </c>
      <c r="H77" s="362"/>
      <c r="I77" s="362"/>
      <c r="J77" s="362"/>
      <c r="K77" s="362"/>
      <c r="L77" s="362"/>
      <c r="M77" s="362"/>
      <c r="N77" s="362"/>
      <c r="O77" s="362"/>
      <c r="P77" s="362"/>
      <c r="Q77" s="362"/>
      <c r="R77" s="362"/>
      <c r="S77" s="362"/>
      <c r="T77" s="362"/>
      <c r="U77" s="362"/>
      <c r="V77" s="362"/>
      <c r="W77" s="362"/>
      <c r="X77" s="362"/>
      <c r="Y77" s="362"/>
      <c r="Z77" s="362"/>
      <c r="AA77" s="362"/>
      <c r="AB77" s="362"/>
      <c r="AC77" s="362"/>
      <c r="AD77" s="362"/>
      <c r="AE77" s="362"/>
      <c r="AF77" s="362"/>
      <c r="AG77" s="362"/>
      <c r="AH77" s="362"/>
      <c r="AI77" s="362"/>
      <c r="AJ77" s="362"/>
      <c r="AK77" s="362"/>
      <c r="AL77" s="362"/>
      <c r="AM77" s="362"/>
      <c r="AN77" s="362"/>
      <c r="AO77" s="362"/>
      <c r="AP77" s="362"/>
      <c r="AQ77" s="362"/>
      <c r="AR77" s="362"/>
      <c r="AS77" s="362"/>
      <c r="AT77" s="362"/>
      <c r="AU77" s="362"/>
      <c r="AV77" s="362"/>
      <c r="AW77" s="362"/>
      <c r="AX77" s="362"/>
      <c r="AY77" s="362"/>
      <c r="AZ77" s="362"/>
      <c r="BA77" s="362"/>
      <c r="BB77" s="362"/>
      <c r="BC77" s="362"/>
      <c r="BD77" s="362"/>
      <c r="BE77" s="362"/>
      <c r="BF77" s="362"/>
      <c r="BG77" s="362"/>
      <c r="BI77" s="341" t="s">
        <v>1237</v>
      </c>
    </row>
    <row r="78" spans="2:61" x14ac:dyDescent="0.2">
      <c r="B78" s="219" t="str">
        <f>IF(Capacity!N71="","",Capacity!N71)</f>
        <v/>
      </c>
      <c r="C78" s="220" t="str">
        <f>IF(B78="","",Capacity!Q71)</f>
        <v/>
      </c>
      <c r="D78" s="309" t="str">
        <f>IF(B78="","",Capacity!R71)</f>
        <v/>
      </c>
      <c r="E78" s="220" t="str">
        <f>IF(B78="","",IF(COUNTBLANK(H78:BG78)=52,SUM('Capacity calculation (hide)'!H166:BG166),52-COUNTBLANK(H78:BG78)))</f>
        <v/>
      </c>
      <c r="F78" s="310" t="str">
        <f>'Capacity calculation (hide)'!BI166</f>
        <v/>
      </c>
      <c r="H78" s="362"/>
      <c r="I78" s="362"/>
      <c r="J78" s="362"/>
      <c r="K78" s="362"/>
      <c r="L78" s="362"/>
      <c r="M78" s="362"/>
      <c r="N78" s="362"/>
      <c r="O78" s="362"/>
      <c r="P78" s="362"/>
      <c r="Q78" s="362"/>
      <c r="R78" s="362"/>
      <c r="S78" s="362"/>
      <c r="T78" s="362"/>
      <c r="U78" s="362"/>
      <c r="V78" s="362"/>
      <c r="W78" s="362"/>
      <c r="X78" s="362"/>
      <c r="Y78" s="362"/>
      <c r="Z78" s="362"/>
      <c r="AA78" s="362"/>
      <c r="AB78" s="362"/>
      <c r="AC78" s="362"/>
      <c r="AD78" s="362"/>
      <c r="AE78" s="362"/>
      <c r="AF78" s="362"/>
      <c r="AG78" s="362"/>
      <c r="AH78" s="362"/>
      <c r="AI78" s="362"/>
      <c r="AJ78" s="362"/>
      <c r="AK78" s="362"/>
      <c r="AL78" s="362"/>
      <c r="AM78" s="362"/>
      <c r="AN78" s="362"/>
      <c r="AO78" s="362"/>
      <c r="AP78" s="362"/>
      <c r="AQ78" s="362"/>
      <c r="AR78" s="362"/>
      <c r="AS78" s="362"/>
      <c r="AT78" s="362"/>
      <c r="AU78" s="362"/>
      <c r="AV78" s="362"/>
      <c r="AW78" s="362"/>
      <c r="AX78" s="362"/>
      <c r="AY78" s="362"/>
      <c r="AZ78" s="362"/>
      <c r="BA78" s="362"/>
      <c r="BB78" s="362"/>
      <c r="BC78" s="362"/>
      <c r="BD78" s="362"/>
      <c r="BE78" s="362"/>
      <c r="BF78" s="362"/>
      <c r="BG78" s="362"/>
      <c r="BI78" s="341" t="s">
        <v>1237</v>
      </c>
    </row>
    <row r="79" spans="2:61" x14ac:dyDescent="0.2">
      <c r="B79" s="219" t="str">
        <f>IF(Capacity!N72="","",Capacity!N72)</f>
        <v/>
      </c>
      <c r="C79" s="220" t="str">
        <f>IF(B79="","",Capacity!Q72)</f>
        <v/>
      </c>
      <c r="D79" s="309" t="str">
        <f>IF(B79="","",Capacity!R72)</f>
        <v/>
      </c>
      <c r="E79" s="220" t="str">
        <f>IF(B79="","",IF(COUNTBLANK(H79:BG79)=52,SUM('Capacity calculation (hide)'!H167:BG167),52-COUNTBLANK(H79:BG79)))</f>
        <v/>
      </c>
      <c r="F79" s="310" t="str">
        <f>'Capacity calculation (hide)'!BI167</f>
        <v/>
      </c>
      <c r="H79" s="362"/>
      <c r="I79" s="362"/>
      <c r="J79" s="362"/>
      <c r="K79" s="362"/>
      <c r="L79" s="362"/>
      <c r="M79" s="362"/>
      <c r="N79" s="362"/>
      <c r="O79" s="362"/>
      <c r="P79" s="362"/>
      <c r="Q79" s="362"/>
      <c r="R79" s="362"/>
      <c r="S79" s="362"/>
      <c r="T79" s="362"/>
      <c r="U79" s="362"/>
      <c r="V79" s="362"/>
      <c r="W79" s="362"/>
      <c r="X79" s="362"/>
      <c r="Y79" s="362"/>
      <c r="Z79" s="362"/>
      <c r="AA79" s="362"/>
      <c r="AB79" s="362"/>
      <c r="AC79" s="362"/>
      <c r="AD79" s="362"/>
      <c r="AE79" s="362"/>
      <c r="AF79" s="362"/>
      <c r="AG79" s="362"/>
      <c r="AH79" s="362"/>
      <c r="AI79" s="362"/>
      <c r="AJ79" s="362"/>
      <c r="AK79" s="362"/>
      <c r="AL79" s="362"/>
      <c r="AM79" s="362"/>
      <c r="AN79" s="362"/>
      <c r="AO79" s="362"/>
      <c r="AP79" s="362"/>
      <c r="AQ79" s="362"/>
      <c r="AR79" s="362"/>
      <c r="AS79" s="362"/>
      <c r="AT79" s="362"/>
      <c r="AU79" s="362"/>
      <c r="AV79" s="362"/>
      <c r="AW79" s="362"/>
      <c r="AX79" s="362"/>
      <c r="AY79" s="362"/>
      <c r="AZ79" s="362"/>
      <c r="BA79" s="362"/>
      <c r="BB79" s="362"/>
      <c r="BC79" s="362"/>
      <c r="BD79" s="362"/>
      <c r="BE79" s="362"/>
      <c r="BF79" s="362"/>
      <c r="BG79" s="362"/>
      <c r="BI79" s="341" t="s">
        <v>1237</v>
      </c>
    </row>
    <row r="80" spans="2:61" x14ac:dyDescent="0.2">
      <c r="B80" s="219" t="str">
        <f>IF(Capacity!N73="","",Capacity!N73)</f>
        <v/>
      </c>
      <c r="C80" s="220" t="str">
        <f>IF(B80="","",Capacity!Q73)</f>
        <v/>
      </c>
      <c r="D80" s="309" t="str">
        <f>IF(B80="","",Capacity!R73)</f>
        <v/>
      </c>
      <c r="E80" s="220" t="str">
        <f>IF(B80="","",IF(COUNTBLANK(H80:BG80)=52,SUM('Capacity calculation (hide)'!H168:BG168),52-COUNTBLANK(H80:BG80)))</f>
        <v/>
      </c>
      <c r="F80" s="310" t="str">
        <f>'Capacity calculation (hide)'!BI168</f>
        <v/>
      </c>
      <c r="H80" s="362"/>
      <c r="I80" s="362"/>
      <c r="J80" s="362"/>
      <c r="K80" s="362"/>
      <c r="L80" s="362"/>
      <c r="M80" s="362"/>
      <c r="N80" s="362"/>
      <c r="O80" s="362"/>
      <c r="P80" s="362"/>
      <c r="Q80" s="362"/>
      <c r="R80" s="362"/>
      <c r="S80" s="362"/>
      <c r="T80" s="362"/>
      <c r="U80" s="362"/>
      <c r="V80" s="362"/>
      <c r="W80" s="362"/>
      <c r="X80" s="362"/>
      <c r="Y80" s="362"/>
      <c r="Z80" s="362"/>
      <c r="AA80" s="362"/>
      <c r="AB80" s="362"/>
      <c r="AC80" s="362"/>
      <c r="AD80" s="362"/>
      <c r="AE80" s="362"/>
      <c r="AF80" s="362"/>
      <c r="AG80" s="362"/>
      <c r="AH80" s="362"/>
      <c r="AI80" s="362"/>
      <c r="AJ80" s="362"/>
      <c r="AK80" s="362"/>
      <c r="AL80" s="362"/>
      <c r="AM80" s="362"/>
      <c r="AN80" s="362"/>
      <c r="AO80" s="362"/>
      <c r="AP80" s="362"/>
      <c r="AQ80" s="362"/>
      <c r="AR80" s="362"/>
      <c r="AS80" s="362"/>
      <c r="AT80" s="362"/>
      <c r="AU80" s="362"/>
      <c r="AV80" s="362"/>
      <c r="AW80" s="362"/>
      <c r="AX80" s="362"/>
      <c r="AY80" s="362"/>
      <c r="AZ80" s="362"/>
      <c r="BA80" s="362"/>
      <c r="BB80" s="362"/>
      <c r="BC80" s="362"/>
      <c r="BD80" s="362"/>
      <c r="BE80" s="362"/>
      <c r="BF80" s="362"/>
      <c r="BG80" s="362"/>
      <c r="BI80" s="341" t="s">
        <v>1237</v>
      </c>
    </row>
    <row r="81" spans="2:61" x14ac:dyDescent="0.2">
      <c r="B81" s="219" t="str">
        <f>IF(Capacity!N74="","",Capacity!N74)</f>
        <v/>
      </c>
      <c r="C81" s="220" t="str">
        <f>IF(B81="","",Capacity!Q74)</f>
        <v/>
      </c>
      <c r="D81" s="309" t="str">
        <f>IF(B81="","",Capacity!R74)</f>
        <v/>
      </c>
      <c r="E81" s="220" t="str">
        <f>IF(B81="","",IF(COUNTBLANK(H81:BG81)=52,SUM('Capacity calculation (hide)'!H169:BG169),52-COUNTBLANK(H81:BG81)))</f>
        <v/>
      </c>
      <c r="F81" s="310" t="str">
        <f>'Capacity calculation (hide)'!BI169</f>
        <v/>
      </c>
      <c r="H81" s="362"/>
      <c r="I81" s="362"/>
      <c r="J81" s="362"/>
      <c r="K81" s="362"/>
      <c r="L81" s="362"/>
      <c r="M81" s="362"/>
      <c r="N81" s="362"/>
      <c r="O81" s="362"/>
      <c r="P81" s="362"/>
      <c r="Q81" s="362"/>
      <c r="R81" s="362"/>
      <c r="S81" s="362"/>
      <c r="T81" s="362"/>
      <c r="U81" s="362"/>
      <c r="V81" s="362"/>
      <c r="W81" s="362"/>
      <c r="X81" s="362"/>
      <c r="Y81" s="362"/>
      <c r="Z81" s="362"/>
      <c r="AA81" s="362"/>
      <c r="AB81" s="362"/>
      <c r="AC81" s="362"/>
      <c r="AD81" s="362"/>
      <c r="AE81" s="362"/>
      <c r="AF81" s="362"/>
      <c r="AG81" s="362"/>
      <c r="AH81" s="362"/>
      <c r="AI81" s="362"/>
      <c r="AJ81" s="362"/>
      <c r="AK81" s="362"/>
      <c r="AL81" s="362"/>
      <c r="AM81" s="362"/>
      <c r="AN81" s="362"/>
      <c r="AO81" s="362"/>
      <c r="AP81" s="362"/>
      <c r="AQ81" s="362"/>
      <c r="AR81" s="362"/>
      <c r="AS81" s="362"/>
      <c r="AT81" s="362"/>
      <c r="AU81" s="362"/>
      <c r="AV81" s="362"/>
      <c r="AW81" s="362"/>
      <c r="AX81" s="362"/>
      <c r="AY81" s="362"/>
      <c r="AZ81" s="362"/>
      <c r="BA81" s="362"/>
      <c r="BB81" s="362"/>
      <c r="BC81" s="362"/>
      <c r="BD81" s="362"/>
      <c r="BE81" s="362"/>
      <c r="BF81" s="362"/>
      <c r="BG81" s="362"/>
      <c r="BI81" s="341" t="s">
        <v>1237</v>
      </c>
    </row>
    <row r="82" spans="2:61" x14ac:dyDescent="0.2">
      <c r="B82" s="219" t="str">
        <f>IF(Capacity!N75="","",Capacity!N75)</f>
        <v/>
      </c>
      <c r="C82" s="220" t="str">
        <f>IF(B82="","",Capacity!Q75)</f>
        <v/>
      </c>
      <c r="D82" s="309" t="str">
        <f>IF(B82="","",Capacity!R75)</f>
        <v/>
      </c>
      <c r="E82" s="220" t="str">
        <f>IF(B82="","",IF(COUNTBLANK(H82:BG82)=52,SUM('Capacity calculation (hide)'!H170:BG170),52-COUNTBLANK(H82:BG82)))</f>
        <v/>
      </c>
      <c r="F82" s="310" t="str">
        <f>'Capacity calculation (hide)'!BI170</f>
        <v/>
      </c>
      <c r="H82" s="362"/>
      <c r="I82" s="362"/>
      <c r="J82" s="362"/>
      <c r="K82" s="362"/>
      <c r="L82" s="362"/>
      <c r="M82" s="362"/>
      <c r="N82" s="362"/>
      <c r="O82" s="362"/>
      <c r="P82" s="362"/>
      <c r="Q82" s="362"/>
      <c r="R82" s="362"/>
      <c r="S82" s="362"/>
      <c r="T82" s="362"/>
      <c r="U82" s="362"/>
      <c r="V82" s="362"/>
      <c r="W82" s="362"/>
      <c r="X82" s="362"/>
      <c r="Y82" s="362"/>
      <c r="Z82" s="362"/>
      <c r="AA82" s="362"/>
      <c r="AB82" s="362"/>
      <c r="AC82" s="362"/>
      <c r="AD82" s="362"/>
      <c r="AE82" s="362"/>
      <c r="AF82" s="362"/>
      <c r="AG82" s="362"/>
      <c r="AH82" s="362"/>
      <c r="AI82" s="362"/>
      <c r="AJ82" s="362"/>
      <c r="AK82" s="362"/>
      <c r="AL82" s="362"/>
      <c r="AM82" s="362"/>
      <c r="AN82" s="362"/>
      <c r="AO82" s="362"/>
      <c r="AP82" s="362"/>
      <c r="AQ82" s="362"/>
      <c r="AR82" s="362"/>
      <c r="AS82" s="362"/>
      <c r="AT82" s="362"/>
      <c r="AU82" s="362"/>
      <c r="AV82" s="362"/>
      <c r="AW82" s="362"/>
      <c r="AX82" s="362"/>
      <c r="AY82" s="362"/>
      <c r="AZ82" s="362"/>
      <c r="BA82" s="362"/>
      <c r="BB82" s="362"/>
      <c r="BC82" s="362"/>
      <c r="BD82" s="362"/>
      <c r="BE82" s="362"/>
      <c r="BF82" s="362"/>
      <c r="BG82" s="362"/>
      <c r="BI82" s="341" t="s">
        <v>1237</v>
      </c>
    </row>
    <row r="83" spans="2:61" x14ac:dyDescent="0.2">
      <c r="B83" s="219" t="str">
        <f>IF(Capacity!N76="","",Capacity!N76)</f>
        <v/>
      </c>
      <c r="C83" s="220" t="str">
        <f>IF(B83="","",Capacity!Q76)</f>
        <v/>
      </c>
      <c r="D83" s="309" t="str">
        <f>IF(B83="","",Capacity!R76)</f>
        <v/>
      </c>
      <c r="E83" s="220" t="str">
        <f>IF(B83="","",IF(COUNTBLANK(H83:BG83)=52,SUM('Capacity calculation (hide)'!H171:BG171),52-COUNTBLANK(H83:BG83)))</f>
        <v/>
      </c>
      <c r="F83" s="310" t="str">
        <f>'Capacity calculation (hide)'!BI171</f>
        <v/>
      </c>
      <c r="H83" s="362"/>
      <c r="I83" s="362"/>
      <c r="J83" s="362"/>
      <c r="K83" s="362"/>
      <c r="L83" s="362"/>
      <c r="M83" s="362"/>
      <c r="N83" s="362"/>
      <c r="O83" s="362"/>
      <c r="P83" s="362"/>
      <c r="Q83" s="362"/>
      <c r="R83" s="362"/>
      <c r="S83" s="362"/>
      <c r="T83" s="362"/>
      <c r="U83" s="362"/>
      <c r="V83" s="362"/>
      <c r="W83" s="362"/>
      <c r="X83" s="362"/>
      <c r="Y83" s="362"/>
      <c r="Z83" s="362"/>
      <c r="AA83" s="362"/>
      <c r="AB83" s="362"/>
      <c r="AC83" s="362"/>
      <c r="AD83" s="362"/>
      <c r="AE83" s="362"/>
      <c r="AF83" s="362"/>
      <c r="AG83" s="362"/>
      <c r="AH83" s="362"/>
      <c r="AI83" s="362"/>
      <c r="AJ83" s="362"/>
      <c r="AK83" s="362"/>
      <c r="AL83" s="362"/>
      <c r="AM83" s="362"/>
      <c r="AN83" s="362"/>
      <c r="AO83" s="362"/>
      <c r="AP83" s="362"/>
      <c r="AQ83" s="362"/>
      <c r="AR83" s="362"/>
      <c r="AS83" s="362"/>
      <c r="AT83" s="362"/>
      <c r="AU83" s="362"/>
      <c r="AV83" s="362"/>
      <c r="AW83" s="362"/>
      <c r="AX83" s="362"/>
      <c r="AY83" s="362"/>
      <c r="AZ83" s="362"/>
      <c r="BA83" s="362"/>
      <c r="BB83" s="362"/>
      <c r="BC83" s="362"/>
      <c r="BD83" s="362"/>
      <c r="BE83" s="362"/>
      <c r="BF83" s="362"/>
      <c r="BG83" s="362"/>
      <c r="BI83" s="341" t="s">
        <v>1237</v>
      </c>
    </row>
    <row r="84" spans="2:61" x14ac:dyDescent="0.2">
      <c r="B84" s="219" t="str">
        <f>IF(Capacity!N77="","",Capacity!N77)</f>
        <v/>
      </c>
      <c r="C84" s="220" t="str">
        <f>IF(B84="","",Capacity!Q77)</f>
        <v/>
      </c>
      <c r="D84" s="309" t="str">
        <f>IF(B84="","",Capacity!R77)</f>
        <v/>
      </c>
      <c r="E84" s="220" t="str">
        <f>IF(B84="","",IF(COUNTBLANK(H84:BG84)=52,SUM('Capacity calculation (hide)'!H172:BG172),52-COUNTBLANK(H84:BG84)))</f>
        <v/>
      </c>
      <c r="F84" s="310" t="str">
        <f>'Capacity calculation (hide)'!BI172</f>
        <v/>
      </c>
      <c r="H84" s="362"/>
      <c r="I84" s="362"/>
      <c r="J84" s="362"/>
      <c r="K84" s="362"/>
      <c r="L84" s="362"/>
      <c r="M84" s="362"/>
      <c r="N84" s="362"/>
      <c r="O84" s="362"/>
      <c r="P84" s="362"/>
      <c r="Q84" s="362"/>
      <c r="R84" s="362"/>
      <c r="S84" s="362"/>
      <c r="T84" s="362"/>
      <c r="U84" s="362"/>
      <c r="V84" s="362"/>
      <c r="W84" s="362"/>
      <c r="X84" s="362"/>
      <c r="Y84" s="362"/>
      <c r="Z84" s="362"/>
      <c r="AA84" s="362"/>
      <c r="AB84" s="362"/>
      <c r="AC84" s="362"/>
      <c r="AD84" s="362"/>
      <c r="AE84" s="362"/>
      <c r="AF84" s="362"/>
      <c r="AG84" s="362"/>
      <c r="AH84" s="362"/>
      <c r="AI84" s="362"/>
      <c r="AJ84" s="362"/>
      <c r="AK84" s="362"/>
      <c r="AL84" s="362"/>
      <c r="AM84" s="362"/>
      <c r="AN84" s="362"/>
      <c r="AO84" s="362"/>
      <c r="AP84" s="362"/>
      <c r="AQ84" s="362"/>
      <c r="AR84" s="362"/>
      <c r="AS84" s="362"/>
      <c r="AT84" s="362"/>
      <c r="AU84" s="362"/>
      <c r="AV84" s="362"/>
      <c r="AW84" s="362"/>
      <c r="AX84" s="362"/>
      <c r="AY84" s="362"/>
      <c r="AZ84" s="362"/>
      <c r="BA84" s="362"/>
      <c r="BB84" s="362"/>
      <c r="BC84" s="362"/>
      <c r="BD84" s="362"/>
      <c r="BE84" s="362"/>
      <c r="BF84" s="362"/>
      <c r="BG84" s="362"/>
      <c r="BI84" s="341" t="s">
        <v>1237</v>
      </c>
    </row>
    <row r="85" spans="2:61" x14ac:dyDescent="0.2">
      <c r="B85" s="219" t="str">
        <f>IF(Capacity!N78="","",Capacity!N78)</f>
        <v/>
      </c>
      <c r="C85" s="220" t="str">
        <f>IF(B85="","",Capacity!Q78)</f>
        <v/>
      </c>
      <c r="D85" s="309" t="str">
        <f>IF(B85="","",Capacity!R78)</f>
        <v/>
      </c>
      <c r="E85" s="220" t="str">
        <f>IF(B85="","",IF(COUNTBLANK(H85:BG85)=52,SUM('Capacity calculation (hide)'!H173:BG173),52-COUNTBLANK(H85:BG85)))</f>
        <v/>
      </c>
      <c r="F85" s="310" t="str">
        <f>'Capacity calculation (hide)'!BI173</f>
        <v/>
      </c>
      <c r="H85" s="362"/>
      <c r="I85" s="362"/>
      <c r="J85" s="362"/>
      <c r="K85" s="362"/>
      <c r="L85" s="362"/>
      <c r="M85" s="362"/>
      <c r="N85" s="362"/>
      <c r="O85" s="362"/>
      <c r="P85" s="362"/>
      <c r="Q85" s="362"/>
      <c r="R85" s="362"/>
      <c r="S85" s="362"/>
      <c r="T85" s="362"/>
      <c r="U85" s="362"/>
      <c r="V85" s="362"/>
      <c r="W85" s="362"/>
      <c r="X85" s="362"/>
      <c r="Y85" s="362"/>
      <c r="Z85" s="362"/>
      <c r="AA85" s="362"/>
      <c r="AB85" s="362"/>
      <c r="AC85" s="362"/>
      <c r="AD85" s="362"/>
      <c r="AE85" s="362"/>
      <c r="AF85" s="362"/>
      <c r="AG85" s="362"/>
      <c r="AH85" s="362"/>
      <c r="AI85" s="362"/>
      <c r="AJ85" s="362"/>
      <c r="AK85" s="362"/>
      <c r="AL85" s="362"/>
      <c r="AM85" s="362"/>
      <c r="AN85" s="362"/>
      <c r="AO85" s="362"/>
      <c r="AP85" s="362"/>
      <c r="AQ85" s="362"/>
      <c r="AR85" s="362"/>
      <c r="AS85" s="362"/>
      <c r="AT85" s="362"/>
      <c r="AU85" s="362"/>
      <c r="AV85" s="362"/>
      <c r="AW85" s="362"/>
      <c r="AX85" s="362"/>
      <c r="AY85" s="362"/>
      <c r="AZ85" s="362"/>
      <c r="BA85" s="362"/>
      <c r="BB85" s="362"/>
      <c r="BC85" s="362"/>
      <c r="BD85" s="362"/>
      <c r="BE85" s="362"/>
      <c r="BF85" s="362"/>
      <c r="BG85" s="362"/>
      <c r="BI85" s="341" t="s">
        <v>1237</v>
      </c>
    </row>
    <row r="86" spans="2:61" x14ac:dyDescent="0.2">
      <c r="B86" s="219" t="str">
        <f>IF(Capacity!N79="","",Capacity!N79)</f>
        <v/>
      </c>
      <c r="C86" s="220" t="str">
        <f>IF(B86="","",Capacity!Q79)</f>
        <v/>
      </c>
      <c r="D86" s="309" t="str">
        <f>IF(B86="","",Capacity!R79)</f>
        <v/>
      </c>
      <c r="E86" s="220" t="str">
        <f>IF(B86="","",IF(COUNTBLANK(H86:BG86)=52,SUM('Capacity calculation (hide)'!H174:BG174),52-COUNTBLANK(H86:BG86)))</f>
        <v/>
      </c>
      <c r="F86" s="310" t="str">
        <f>'Capacity calculation (hide)'!BI174</f>
        <v/>
      </c>
      <c r="H86" s="362"/>
      <c r="I86" s="362"/>
      <c r="J86" s="362"/>
      <c r="K86" s="362"/>
      <c r="L86" s="362"/>
      <c r="M86" s="362"/>
      <c r="N86" s="362"/>
      <c r="O86" s="362"/>
      <c r="P86" s="362"/>
      <c r="Q86" s="362"/>
      <c r="R86" s="362"/>
      <c r="S86" s="362"/>
      <c r="T86" s="362"/>
      <c r="U86" s="362"/>
      <c r="V86" s="362"/>
      <c r="W86" s="362"/>
      <c r="X86" s="362"/>
      <c r="Y86" s="362"/>
      <c r="Z86" s="362"/>
      <c r="AA86" s="362"/>
      <c r="AB86" s="362"/>
      <c r="AC86" s="362"/>
      <c r="AD86" s="362"/>
      <c r="AE86" s="362"/>
      <c r="AF86" s="362"/>
      <c r="AG86" s="362"/>
      <c r="AH86" s="362"/>
      <c r="AI86" s="362"/>
      <c r="AJ86" s="362"/>
      <c r="AK86" s="362"/>
      <c r="AL86" s="362"/>
      <c r="AM86" s="362"/>
      <c r="AN86" s="362"/>
      <c r="AO86" s="362"/>
      <c r="AP86" s="362"/>
      <c r="AQ86" s="362"/>
      <c r="AR86" s="362"/>
      <c r="AS86" s="362"/>
      <c r="AT86" s="362"/>
      <c r="AU86" s="362"/>
      <c r="AV86" s="362"/>
      <c r="AW86" s="362"/>
      <c r="AX86" s="362"/>
      <c r="AY86" s="362"/>
      <c r="AZ86" s="362"/>
      <c r="BA86" s="362"/>
      <c r="BB86" s="362"/>
      <c r="BC86" s="362"/>
      <c r="BD86" s="362"/>
      <c r="BE86" s="362"/>
      <c r="BF86" s="362"/>
      <c r="BG86" s="362"/>
      <c r="BI86" s="341" t="s">
        <v>1237</v>
      </c>
    </row>
    <row r="87" spans="2:61" x14ac:dyDescent="0.2">
      <c r="B87" s="219" t="str">
        <f>IF(Capacity!N80="","",Capacity!N80)</f>
        <v/>
      </c>
      <c r="C87" s="220" t="str">
        <f>IF(B87="","",Capacity!Q80)</f>
        <v/>
      </c>
      <c r="D87" s="309" t="str">
        <f>IF(B87="","",Capacity!R80)</f>
        <v/>
      </c>
      <c r="E87" s="220" t="str">
        <f>IF(B87="","",IF(COUNTBLANK(H87:BG87)=52,SUM('Capacity calculation (hide)'!H175:BG175),52-COUNTBLANK(H87:BG87)))</f>
        <v/>
      </c>
      <c r="F87" s="310" t="str">
        <f>'Capacity calculation (hide)'!BI175</f>
        <v/>
      </c>
      <c r="H87" s="362"/>
      <c r="I87" s="362"/>
      <c r="J87" s="362"/>
      <c r="K87" s="362"/>
      <c r="L87" s="362"/>
      <c r="M87" s="362"/>
      <c r="N87" s="362"/>
      <c r="O87" s="362"/>
      <c r="P87" s="362"/>
      <c r="Q87" s="362"/>
      <c r="R87" s="362"/>
      <c r="S87" s="362"/>
      <c r="T87" s="362"/>
      <c r="U87" s="362"/>
      <c r="V87" s="362"/>
      <c r="W87" s="362"/>
      <c r="X87" s="362"/>
      <c r="Y87" s="362"/>
      <c r="Z87" s="362"/>
      <c r="AA87" s="362"/>
      <c r="AB87" s="362"/>
      <c r="AC87" s="362"/>
      <c r="AD87" s="362"/>
      <c r="AE87" s="362"/>
      <c r="AF87" s="362"/>
      <c r="AG87" s="362"/>
      <c r="AH87" s="362"/>
      <c r="AI87" s="362"/>
      <c r="AJ87" s="362"/>
      <c r="AK87" s="362"/>
      <c r="AL87" s="362"/>
      <c r="AM87" s="362"/>
      <c r="AN87" s="362"/>
      <c r="AO87" s="362"/>
      <c r="AP87" s="362"/>
      <c r="AQ87" s="362"/>
      <c r="AR87" s="362"/>
      <c r="AS87" s="362"/>
      <c r="AT87" s="362"/>
      <c r="AU87" s="362"/>
      <c r="AV87" s="362"/>
      <c r="AW87" s="362"/>
      <c r="AX87" s="362"/>
      <c r="AY87" s="362"/>
      <c r="AZ87" s="362"/>
      <c r="BA87" s="362"/>
      <c r="BB87" s="362"/>
      <c r="BC87" s="362"/>
      <c r="BD87" s="362"/>
      <c r="BE87" s="362"/>
      <c r="BF87" s="362"/>
      <c r="BG87" s="362"/>
      <c r="BI87" s="341" t="s">
        <v>1237</v>
      </c>
    </row>
    <row r="88" spans="2:61" x14ac:dyDescent="0.2">
      <c r="B88" s="219" t="str">
        <f>IF(Capacity!N81="","",Capacity!N81)</f>
        <v/>
      </c>
      <c r="C88" s="220" t="str">
        <f>IF(B88="","",Capacity!Q81)</f>
        <v/>
      </c>
      <c r="D88" s="309" t="str">
        <f>IF(B88="","",Capacity!R81)</f>
        <v/>
      </c>
      <c r="E88" s="220" t="str">
        <f>IF(B88="","",IF(COUNTBLANK(H88:BG88)=52,SUM('Capacity calculation (hide)'!H176:BG176),52-COUNTBLANK(H88:BG88)))</f>
        <v/>
      </c>
      <c r="F88" s="310" t="str">
        <f>'Capacity calculation (hide)'!BI176</f>
        <v/>
      </c>
      <c r="H88" s="362"/>
      <c r="I88" s="362"/>
      <c r="J88" s="362"/>
      <c r="K88" s="362"/>
      <c r="L88" s="362"/>
      <c r="M88" s="362"/>
      <c r="N88" s="362"/>
      <c r="O88" s="362"/>
      <c r="P88" s="362"/>
      <c r="Q88" s="362"/>
      <c r="R88" s="362"/>
      <c r="S88" s="362"/>
      <c r="T88" s="362"/>
      <c r="U88" s="362"/>
      <c r="V88" s="362"/>
      <c r="W88" s="362"/>
      <c r="X88" s="362"/>
      <c r="Y88" s="362"/>
      <c r="Z88" s="362"/>
      <c r="AA88" s="362"/>
      <c r="AB88" s="362"/>
      <c r="AC88" s="362"/>
      <c r="AD88" s="362"/>
      <c r="AE88" s="362"/>
      <c r="AF88" s="362"/>
      <c r="AG88" s="362"/>
      <c r="AH88" s="362"/>
      <c r="AI88" s="362"/>
      <c r="AJ88" s="362"/>
      <c r="AK88" s="362"/>
      <c r="AL88" s="362"/>
      <c r="AM88" s="362"/>
      <c r="AN88" s="362"/>
      <c r="AO88" s="362"/>
      <c r="AP88" s="362"/>
      <c r="AQ88" s="362"/>
      <c r="AR88" s="362"/>
      <c r="AS88" s="362"/>
      <c r="AT88" s="362"/>
      <c r="AU88" s="362"/>
      <c r="AV88" s="362"/>
      <c r="AW88" s="362"/>
      <c r="AX88" s="362"/>
      <c r="AY88" s="362"/>
      <c r="AZ88" s="362"/>
      <c r="BA88" s="362"/>
      <c r="BB88" s="362"/>
      <c r="BC88" s="362"/>
      <c r="BD88" s="362"/>
      <c r="BE88" s="362"/>
      <c r="BF88" s="362"/>
      <c r="BG88" s="362"/>
      <c r="BI88" s="341" t="s">
        <v>1237</v>
      </c>
    </row>
    <row r="89" spans="2:61" x14ac:dyDescent="0.2">
      <c r="B89" s="219" t="str">
        <f>IF(Capacity!N82="","",Capacity!N82)</f>
        <v/>
      </c>
      <c r="C89" s="220" t="str">
        <f>IF(B89="","",Capacity!Q82)</f>
        <v/>
      </c>
      <c r="D89" s="309" t="str">
        <f>IF(B89="","",Capacity!R82)</f>
        <v/>
      </c>
      <c r="E89" s="220" t="str">
        <f>IF(B89="","",IF(COUNTBLANK(H89:BG89)=52,SUM('Capacity calculation (hide)'!H177:BG177),52-COUNTBLANK(H89:BG89)))</f>
        <v/>
      </c>
      <c r="F89" s="310" t="str">
        <f>'Capacity calculation (hide)'!BI177</f>
        <v/>
      </c>
      <c r="H89" s="362"/>
      <c r="I89" s="362"/>
      <c r="J89" s="362"/>
      <c r="K89" s="362"/>
      <c r="L89" s="362"/>
      <c r="M89" s="362"/>
      <c r="N89" s="362"/>
      <c r="O89" s="362"/>
      <c r="P89" s="362"/>
      <c r="Q89" s="362"/>
      <c r="R89" s="362"/>
      <c r="S89" s="362"/>
      <c r="T89" s="362"/>
      <c r="U89" s="362"/>
      <c r="V89" s="362"/>
      <c r="W89" s="362"/>
      <c r="X89" s="362"/>
      <c r="Y89" s="362"/>
      <c r="Z89" s="362"/>
      <c r="AA89" s="362"/>
      <c r="AB89" s="362"/>
      <c r="AC89" s="362"/>
      <c r="AD89" s="362"/>
      <c r="AE89" s="362"/>
      <c r="AF89" s="362"/>
      <c r="AG89" s="362"/>
      <c r="AH89" s="362"/>
      <c r="AI89" s="362"/>
      <c r="AJ89" s="362"/>
      <c r="AK89" s="362"/>
      <c r="AL89" s="362"/>
      <c r="AM89" s="362"/>
      <c r="AN89" s="362"/>
      <c r="AO89" s="362"/>
      <c r="AP89" s="362"/>
      <c r="AQ89" s="362"/>
      <c r="AR89" s="362"/>
      <c r="AS89" s="362"/>
      <c r="AT89" s="362"/>
      <c r="AU89" s="362"/>
      <c r="AV89" s="362"/>
      <c r="AW89" s="362"/>
      <c r="AX89" s="362"/>
      <c r="AY89" s="362"/>
      <c r="AZ89" s="362"/>
      <c r="BA89" s="362"/>
      <c r="BB89" s="362"/>
      <c r="BC89" s="362"/>
      <c r="BD89" s="362"/>
      <c r="BE89" s="362"/>
      <c r="BF89" s="362"/>
      <c r="BG89" s="362"/>
      <c r="BI89" s="341" t="s">
        <v>1237</v>
      </c>
    </row>
    <row r="90" spans="2:61" x14ac:dyDescent="0.2">
      <c r="B90" s="219" t="str">
        <f>IF(Capacity!N83="","",Capacity!N83)</f>
        <v/>
      </c>
      <c r="C90" s="220" t="str">
        <f>IF(B90="","",Capacity!Q83)</f>
        <v/>
      </c>
      <c r="D90" s="309" t="str">
        <f>IF(B90="","",Capacity!R83)</f>
        <v/>
      </c>
      <c r="E90" s="220" t="str">
        <f>IF(B90="","",IF(COUNTBLANK(H90:BG90)=52,SUM('Capacity calculation (hide)'!H178:BG178),52-COUNTBLANK(H90:BG90)))</f>
        <v/>
      </c>
      <c r="F90" s="310" t="str">
        <f>'Capacity calculation (hide)'!BI178</f>
        <v/>
      </c>
      <c r="H90" s="362"/>
      <c r="I90" s="362"/>
      <c r="J90" s="362"/>
      <c r="K90" s="362"/>
      <c r="L90" s="362"/>
      <c r="M90" s="362"/>
      <c r="N90" s="362"/>
      <c r="O90" s="362"/>
      <c r="P90" s="362"/>
      <c r="Q90" s="362"/>
      <c r="R90" s="362"/>
      <c r="S90" s="362"/>
      <c r="T90" s="362"/>
      <c r="U90" s="362"/>
      <c r="V90" s="362"/>
      <c r="W90" s="362"/>
      <c r="X90" s="362"/>
      <c r="Y90" s="362"/>
      <c r="Z90" s="362"/>
      <c r="AA90" s="362"/>
      <c r="AB90" s="362"/>
      <c r="AC90" s="362"/>
      <c r="AD90" s="362"/>
      <c r="AE90" s="362"/>
      <c r="AF90" s="362"/>
      <c r="AG90" s="362"/>
      <c r="AH90" s="362"/>
      <c r="AI90" s="362"/>
      <c r="AJ90" s="362"/>
      <c r="AK90" s="362"/>
      <c r="AL90" s="362"/>
      <c r="AM90" s="362"/>
      <c r="AN90" s="362"/>
      <c r="AO90" s="362"/>
      <c r="AP90" s="362"/>
      <c r="AQ90" s="362"/>
      <c r="AR90" s="362"/>
      <c r="AS90" s="362"/>
      <c r="AT90" s="362"/>
      <c r="AU90" s="362"/>
      <c r="AV90" s="362"/>
      <c r="AW90" s="362"/>
      <c r="AX90" s="362"/>
      <c r="AY90" s="362"/>
      <c r="AZ90" s="362"/>
      <c r="BA90" s="362"/>
      <c r="BB90" s="362"/>
      <c r="BC90" s="362"/>
      <c r="BD90" s="362"/>
      <c r="BE90" s="362"/>
      <c r="BF90" s="362"/>
      <c r="BG90" s="362"/>
      <c r="BI90" s="341" t="s">
        <v>1237</v>
      </c>
    </row>
    <row r="91" spans="2:61" x14ac:dyDescent="0.2">
      <c r="B91" s="219" t="str">
        <f>IF(Capacity!N84="","",Capacity!N84)</f>
        <v/>
      </c>
      <c r="C91" s="220" t="str">
        <f>IF(B91="","",Capacity!Q84)</f>
        <v/>
      </c>
      <c r="D91" s="309" t="str">
        <f>IF(B91="","",Capacity!R84)</f>
        <v/>
      </c>
      <c r="E91" s="220" t="str">
        <f>IF(B91="","",IF(COUNTBLANK(H91:BG91)=52,SUM('Capacity calculation (hide)'!H179:BG179),52-COUNTBLANK(H91:BG91)))</f>
        <v/>
      </c>
      <c r="F91" s="310" t="str">
        <f>'Capacity calculation (hide)'!BI179</f>
        <v/>
      </c>
      <c r="H91" s="362"/>
      <c r="I91" s="362"/>
      <c r="J91" s="362"/>
      <c r="K91" s="362"/>
      <c r="L91" s="362"/>
      <c r="M91" s="362"/>
      <c r="N91" s="362"/>
      <c r="O91" s="362"/>
      <c r="P91" s="362"/>
      <c r="Q91" s="362"/>
      <c r="R91" s="362"/>
      <c r="S91" s="362"/>
      <c r="T91" s="362"/>
      <c r="U91" s="362"/>
      <c r="V91" s="362"/>
      <c r="W91" s="362"/>
      <c r="X91" s="362"/>
      <c r="Y91" s="362"/>
      <c r="Z91" s="362"/>
      <c r="AA91" s="362"/>
      <c r="AB91" s="362"/>
      <c r="AC91" s="362"/>
      <c r="AD91" s="362"/>
      <c r="AE91" s="362"/>
      <c r="AF91" s="362"/>
      <c r="AG91" s="362"/>
      <c r="AH91" s="362"/>
      <c r="AI91" s="362"/>
      <c r="AJ91" s="362"/>
      <c r="AK91" s="362"/>
      <c r="AL91" s="362"/>
      <c r="AM91" s="362"/>
      <c r="AN91" s="362"/>
      <c r="AO91" s="362"/>
      <c r="AP91" s="362"/>
      <c r="AQ91" s="362"/>
      <c r="AR91" s="362"/>
      <c r="AS91" s="362"/>
      <c r="AT91" s="362"/>
      <c r="AU91" s="362"/>
      <c r="AV91" s="362"/>
      <c r="AW91" s="362"/>
      <c r="AX91" s="362"/>
      <c r="AY91" s="362"/>
      <c r="AZ91" s="362"/>
      <c r="BA91" s="362"/>
      <c r="BB91" s="362"/>
      <c r="BC91" s="362"/>
      <c r="BD91" s="362"/>
      <c r="BE91" s="362"/>
      <c r="BF91" s="362"/>
      <c r="BG91" s="362"/>
      <c r="BI91" s="341" t="s">
        <v>1237</v>
      </c>
    </row>
    <row r="92" spans="2:61" x14ac:dyDescent="0.2">
      <c r="B92" s="219" t="str">
        <f>IF(Capacity!N85="","",Capacity!N85)</f>
        <v/>
      </c>
      <c r="C92" s="220" t="str">
        <f>IF(B92="","",Capacity!Q85)</f>
        <v/>
      </c>
      <c r="D92" s="309" t="str">
        <f>IF(B92="","",Capacity!R85)</f>
        <v/>
      </c>
      <c r="E92" s="220" t="str">
        <f>IF(B92="","",IF(COUNTBLANK(H92:BG92)=52,SUM('Capacity calculation (hide)'!H180:BG180),52-COUNTBLANK(H92:BG92)))</f>
        <v/>
      </c>
      <c r="F92" s="310" t="str">
        <f>'Capacity calculation (hide)'!BI180</f>
        <v/>
      </c>
      <c r="H92" s="362"/>
      <c r="I92" s="362"/>
      <c r="J92" s="362"/>
      <c r="K92" s="362"/>
      <c r="L92" s="362"/>
      <c r="M92" s="362"/>
      <c r="N92" s="362"/>
      <c r="O92" s="362"/>
      <c r="P92" s="362"/>
      <c r="Q92" s="362"/>
      <c r="R92" s="362"/>
      <c r="S92" s="362"/>
      <c r="T92" s="362"/>
      <c r="U92" s="362"/>
      <c r="V92" s="362"/>
      <c r="W92" s="362"/>
      <c r="X92" s="362"/>
      <c r="Y92" s="362"/>
      <c r="Z92" s="362"/>
      <c r="AA92" s="362"/>
      <c r="AB92" s="362"/>
      <c r="AC92" s="362"/>
      <c r="AD92" s="362"/>
      <c r="AE92" s="362"/>
      <c r="AF92" s="362"/>
      <c r="AG92" s="362"/>
      <c r="AH92" s="362"/>
      <c r="AI92" s="362"/>
      <c r="AJ92" s="362"/>
      <c r="AK92" s="362"/>
      <c r="AL92" s="362"/>
      <c r="AM92" s="362"/>
      <c r="AN92" s="362"/>
      <c r="AO92" s="362"/>
      <c r="AP92" s="362"/>
      <c r="AQ92" s="362"/>
      <c r="AR92" s="362"/>
      <c r="AS92" s="362"/>
      <c r="AT92" s="362"/>
      <c r="AU92" s="362"/>
      <c r="AV92" s="362"/>
      <c r="AW92" s="362"/>
      <c r="AX92" s="362"/>
      <c r="AY92" s="362"/>
      <c r="AZ92" s="362"/>
      <c r="BA92" s="362"/>
      <c r="BB92" s="362"/>
      <c r="BC92" s="362"/>
      <c r="BD92" s="362"/>
      <c r="BE92" s="362"/>
      <c r="BF92" s="362"/>
      <c r="BG92" s="362"/>
      <c r="BI92" s="341" t="s">
        <v>1237</v>
      </c>
    </row>
    <row r="93" spans="2:61" x14ac:dyDescent="0.2">
      <c r="B93" s="219" t="str">
        <f>IF(Capacity!N86="","",Capacity!N86)</f>
        <v/>
      </c>
      <c r="C93" s="220" t="str">
        <f>IF(B93="","",Capacity!Q86)</f>
        <v/>
      </c>
      <c r="D93" s="309" t="str">
        <f>IF(B93="","",Capacity!R86)</f>
        <v/>
      </c>
      <c r="E93" s="220" t="str">
        <f>IF(B93="","",IF(COUNTBLANK(H93:BG93)=52,SUM('Capacity calculation (hide)'!H181:BG181),52-COUNTBLANK(H93:BG93)))</f>
        <v/>
      </c>
      <c r="F93" s="310" t="str">
        <f>'Capacity calculation (hide)'!BI181</f>
        <v/>
      </c>
      <c r="H93" s="362"/>
      <c r="I93" s="362"/>
      <c r="J93" s="362"/>
      <c r="K93" s="362"/>
      <c r="L93" s="362"/>
      <c r="M93" s="362"/>
      <c r="N93" s="362"/>
      <c r="O93" s="362"/>
      <c r="P93" s="362"/>
      <c r="Q93" s="362"/>
      <c r="R93" s="362"/>
      <c r="S93" s="362"/>
      <c r="T93" s="362"/>
      <c r="U93" s="362"/>
      <c r="V93" s="362"/>
      <c r="W93" s="362"/>
      <c r="X93" s="362"/>
      <c r="Y93" s="362"/>
      <c r="Z93" s="362"/>
      <c r="AA93" s="362"/>
      <c r="AB93" s="362"/>
      <c r="AC93" s="362"/>
      <c r="AD93" s="362"/>
      <c r="AE93" s="362"/>
      <c r="AF93" s="362"/>
      <c r="AG93" s="362"/>
      <c r="AH93" s="362"/>
      <c r="AI93" s="362"/>
      <c r="AJ93" s="362"/>
      <c r="AK93" s="362"/>
      <c r="AL93" s="362"/>
      <c r="AM93" s="362"/>
      <c r="AN93" s="362"/>
      <c r="AO93" s="362"/>
      <c r="AP93" s="362"/>
      <c r="AQ93" s="362"/>
      <c r="AR93" s="362"/>
      <c r="AS93" s="362"/>
      <c r="AT93" s="362"/>
      <c r="AU93" s="362"/>
      <c r="AV93" s="362"/>
      <c r="AW93" s="362"/>
      <c r="AX93" s="362"/>
      <c r="AY93" s="362"/>
      <c r="AZ93" s="362"/>
      <c r="BA93" s="362"/>
      <c r="BB93" s="362"/>
      <c r="BC93" s="362"/>
      <c r="BD93" s="362"/>
      <c r="BE93" s="362"/>
      <c r="BF93" s="362"/>
      <c r="BG93" s="362"/>
      <c r="BI93" s="341" t="s">
        <v>1237</v>
      </c>
    </row>
    <row r="94" spans="2:61" x14ac:dyDescent="0.2">
      <c r="B94" s="219" t="str">
        <f>IF(Capacity!N87="","",Capacity!N87)</f>
        <v/>
      </c>
      <c r="C94" s="220" t="str">
        <f>IF(B94="","",Capacity!Q87)</f>
        <v/>
      </c>
      <c r="D94" s="309" t="str">
        <f>IF(B94="","",Capacity!R87)</f>
        <v/>
      </c>
      <c r="E94" s="220" t="str">
        <f>IF(B94="","",IF(COUNTBLANK(H94:BG94)=52,SUM('Capacity calculation (hide)'!H182:BG182),52-COUNTBLANK(H94:BG94)))</f>
        <v/>
      </c>
      <c r="F94" s="310" t="str">
        <f>'Capacity calculation (hide)'!BI182</f>
        <v/>
      </c>
      <c r="H94" s="362"/>
      <c r="I94" s="362"/>
      <c r="J94" s="362"/>
      <c r="K94" s="362"/>
      <c r="L94" s="362"/>
      <c r="M94" s="362"/>
      <c r="N94" s="362"/>
      <c r="O94" s="362"/>
      <c r="P94" s="362"/>
      <c r="Q94" s="362"/>
      <c r="R94" s="362"/>
      <c r="S94" s="362"/>
      <c r="T94" s="362"/>
      <c r="U94" s="362"/>
      <c r="V94" s="362"/>
      <c r="W94" s="362"/>
      <c r="X94" s="362"/>
      <c r="Y94" s="362"/>
      <c r="Z94" s="362"/>
      <c r="AA94" s="362"/>
      <c r="AB94" s="362"/>
      <c r="AC94" s="362"/>
      <c r="AD94" s="362"/>
      <c r="AE94" s="362"/>
      <c r="AF94" s="362"/>
      <c r="AG94" s="362"/>
      <c r="AH94" s="362"/>
      <c r="AI94" s="362"/>
      <c r="AJ94" s="362"/>
      <c r="AK94" s="362"/>
      <c r="AL94" s="362"/>
      <c r="AM94" s="362"/>
      <c r="AN94" s="362"/>
      <c r="AO94" s="362"/>
      <c r="AP94" s="362"/>
      <c r="AQ94" s="362"/>
      <c r="AR94" s="362"/>
      <c r="AS94" s="362"/>
      <c r="AT94" s="362"/>
      <c r="AU94" s="362"/>
      <c r="AV94" s="362"/>
      <c r="AW94" s="362"/>
      <c r="AX94" s="362"/>
      <c r="AY94" s="362"/>
      <c r="AZ94" s="362"/>
      <c r="BA94" s="362"/>
      <c r="BB94" s="362"/>
      <c r="BC94" s="362"/>
      <c r="BD94" s="362"/>
      <c r="BE94" s="362"/>
      <c r="BF94" s="362"/>
      <c r="BG94" s="362"/>
      <c r="BI94" s="341" t="s">
        <v>1237</v>
      </c>
    </row>
    <row r="95" spans="2:61" x14ac:dyDescent="0.2">
      <c r="B95" s="219" t="str">
        <f>IF(Capacity!N88="","",Capacity!N88)</f>
        <v/>
      </c>
      <c r="C95" s="220" t="str">
        <f>IF(B95="","",Capacity!Q88)</f>
        <v/>
      </c>
      <c r="D95" s="309" t="str">
        <f>IF(B95="","",Capacity!R88)</f>
        <v/>
      </c>
      <c r="E95" s="220" t="str">
        <f>IF(B95="","",IF(COUNTBLANK(H95:BG95)=52,SUM('Capacity calculation (hide)'!H183:BG183),52-COUNTBLANK(H95:BG95)))</f>
        <v/>
      </c>
      <c r="F95" s="310" t="str">
        <f>'Capacity calculation (hide)'!BI183</f>
        <v/>
      </c>
      <c r="H95" s="362"/>
      <c r="I95" s="362"/>
      <c r="J95" s="362"/>
      <c r="K95" s="362"/>
      <c r="L95" s="362"/>
      <c r="M95" s="362"/>
      <c r="N95" s="362"/>
      <c r="O95" s="362"/>
      <c r="P95" s="362"/>
      <c r="Q95" s="362"/>
      <c r="R95" s="362"/>
      <c r="S95" s="362"/>
      <c r="T95" s="362"/>
      <c r="U95" s="362"/>
      <c r="V95" s="362"/>
      <c r="W95" s="362"/>
      <c r="X95" s="362"/>
      <c r="Y95" s="362"/>
      <c r="Z95" s="362"/>
      <c r="AA95" s="362"/>
      <c r="AB95" s="362"/>
      <c r="AC95" s="362"/>
      <c r="AD95" s="362"/>
      <c r="AE95" s="362"/>
      <c r="AF95" s="362"/>
      <c r="AG95" s="362"/>
      <c r="AH95" s="362"/>
      <c r="AI95" s="362"/>
      <c r="AJ95" s="362"/>
      <c r="AK95" s="362"/>
      <c r="AL95" s="362"/>
      <c r="AM95" s="362"/>
      <c r="AN95" s="362"/>
      <c r="AO95" s="362"/>
      <c r="AP95" s="362"/>
      <c r="AQ95" s="362"/>
      <c r="AR95" s="362"/>
      <c r="AS95" s="362"/>
      <c r="AT95" s="362"/>
      <c r="AU95" s="362"/>
      <c r="AV95" s="362"/>
      <c r="AW95" s="362"/>
      <c r="AX95" s="362"/>
      <c r="AY95" s="362"/>
      <c r="AZ95" s="362"/>
      <c r="BA95" s="362"/>
      <c r="BB95" s="362"/>
      <c r="BC95" s="362"/>
      <c r="BD95" s="362"/>
      <c r="BE95" s="362"/>
      <c r="BF95" s="362"/>
      <c r="BG95" s="362"/>
      <c r="BI95" s="341" t="s">
        <v>1237</v>
      </c>
    </row>
    <row r="96" spans="2:61" x14ac:dyDescent="0.2">
      <c r="B96" s="219" t="str">
        <f>IF(Capacity!N89="","",Capacity!N89)</f>
        <v/>
      </c>
      <c r="C96" s="220" t="str">
        <f>IF(B96="","",Capacity!Q89)</f>
        <v/>
      </c>
      <c r="D96" s="309" t="str">
        <f>IF(B96="","",Capacity!R89)</f>
        <v/>
      </c>
      <c r="E96" s="220" t="str">
        <f>IF(B96="","",IF(COUNTBLANK(H96:BG96)=52,SUM('Capacity calculation (hide)'!H184:BG184),52-COUNTBLANK(H96:BG96)))</f>
        <v/>
      </c>
      <c r="F96" s="310" t="str">
        <f>'Capacity calculation (hide)'!BI184</f>
        <v/>
      </c>
      <c r="H96" s="362"/>
      <c r="I96" s="362"/>
      <c r="J96" s="362"/>
      <c r="K96" s="362"/>
      <c r="L96" s="362"/>
      <c r="M96" s="362"/>
      <c r="N96" s="362"/>
      <c r="O96" s="362"/>
      <c r="P96" s="362"/>
      <c r="Q96" s="362"/>
      <c r="R96" s="362"/>
      <c r="S96" s="362"/>
      <c r="T96" s="362"/>
      <c r="U96" s="362"/>
      <c r="V96" s="362"/>
      <c r="W96" s="362"/>
      <c r="X96" s="362"/>
      <c r="Y96" s="362"/>
      <c r="Z96" s="362"/>
      <c r="AA96" s="362"/>
      <c r="AB96" s="362"/>
      <c r="AC96" s="362"/>
      <c r="AD96" s="362"/>
      <c r="AE96" s="362"/>
      <c r="AF96" s="362"/>
      <c r="AG96" s="362"/>
      <c r="AH96" s="362"/>
      <c r="AI96" s="362"/>
      <c r="AJ96" s="362"/>
      <c r="AK96" s="362"/>
      <c r="AL96" s="362"/>
      <c r="AM96" s="362"/>
      <c r="AN96" s="362"/>
      <c r="AO96" s="362"/>
      <c r="AP96" s="362"/>
      <c r="AQ96" s="362"/>
      <c r="AR96" s="362"/>
      <c r="AS96" s="362"/>
      <c r="AT96" s="362"/>
      <c r="AU96" s="362"/>
      <c r="AV96" s="362"/>
      <c r="AW96" s="362"/>
      <c r="AX96" s="362"/>
      <c r="AY96" s="362"/>
      <c r="AZ96" s="362"/>
      <c r="BA96" s="362"/>
      <c r="BB96" s="362"/>
      <c r="BC96" s="362"/>
      <c r="BD96" s="362"/>
      <c r="BE96" s="362"/>
      <c r="BF96" s="362"/>
      <c r="BG96" s="362"/>
      <c r="BI96" s="341" t="s">
        <v>1237</v>
      </c>
    </row>
    <row r="97" spans="2:61" x14ac:dyDescent="0.2">
      <c r="B97" s="219" t="str">
        <f>IF(Capacity!N90="","",Capacity!N90)</f>
        <v/>
      </c>
      <c r="C97" s="220" t="str">
        <f>IF(B97="","",Capacity!Q90)</f>
        <v/>
      </c>
      <c r="D97" s="309" t="str">
        <f>IF(B97="","",Capacity!R90)</f>
        <v/>
      </c>
      <c r="E97" s="220" t="str">
        <f>IF(B97="","",IF(COUNTBLANK(H97:BG97)=52,SUM('Capacity calculation (hide)'!H185:BG185),52-COUNTBLANK(H97:BG97)))</f>
        <v/>
      </c>
      <c r="F97" s="310" t="str">
        <f>'Capacity calculation (hide)'!BI185</f>
        <v/>
      </c>
      <c r="H97" s="362"/>
      <c r="I97" s="362"/>
      <c r="J97" s="362"/>
      <c r="K97" s="362"/>
      <c r="L97" s="362"/>
      <c r="M97" s="362"/>
      <c r="N97" s="362"/>
      <c r="O97" s="362"/>
      <c r="P97" s="362"/>
      <c r="Q97" s="362"/>
      <c r="R97" s="362"/>
      <c r="S97" s="362"/>
      <c r="T97" s="362"/>
      <c r="U97" s="362"/>
      <c r="V97" s="362"/>
      <c r="W97" s="362"/>
      <c r="X97" s="362"/>
      <c r="Y97" s="362"/>
      <c r="Z97" s="362"/>
      <c r="AA97" s="362"/>
      <c r="AB97" s="362"/>
      <c r="AC97" s="362"/>
      <c r="AD97" s="362"/>
      <c r="AE97" s="362"/>
      <c r="AF97" s="362"/>
      <c r="AG97" s="362"/>
      <c r="AH97" s="362"/>
      <c r="AI97" s="362"/>
      <c r="AJ97" s="362"/>
      <c r="AK97" s="362"/>
      <c r="AL97" s="362"/>
      <c r="AM97" s="362"/>
      <c r="AN97" s="362"/>
      <c r="AO97" s="362"/>
      <c r="AP97" s="362"/>
      <c r="AQ97" s="362"/>
      <c r="AR97" s="362"/>
      <c r="AS97" s="362"/>
      <c r="AT97" s="362"/>
      <c r="AU97" s="362"/>
      <c r="AV97" s="362"/>
      <c r="AW97" s="362"/>
      <c r="AX97" s="362"/>
      <c r="AY97" s="362"/>
      <c r="AZ97" s="362"/>
      <c r="BA97" s="362"/>
      <c r="BB97" s="362"/>
      <c r="BC97" s="362"/>
      <c r="BD97" s="362"/>
      <c r="BE97" s="362"/>
      <c r="BF97" s="362"/>
      <c r="BG97" s="362"/>
      <c r="BI97" s="341" t="s">
        <v>1237</v>
      </c>
    </row>
    <row r="98" spans="2:61" x14ac:dyDescent="0.2">
      <c r="B98" s="219" t="str">
        <f>IF(Capacity!N91="","",Capacity!N91)</f>
        <v/>
      </c>
      <c r="C98" s="220" t="str">
        <f>IF(B98="","",Capacity!Q91)</f>
        <v/>
      </c>
      <c r="D98" s="309" t="str">
        <f>IF(B98="","",Capacity!R91)</f>
        <v/>
      </c>
      <c r="E98" s="220" t="str">
        <f>IF(B98="","",IF(COUNTBLANK(H98:BG98)=52,SUM('Capacity calculation (hide)'!H186:BG186),52-COUNTBLANK(H98:BG98)))</f>
        <v/>
      </c>
      <c r="F98" s="310" t="str">
        <f>'Capacity calculation (hide)'!BI186</f>
        <v/>
      </c>
      <c r="H98" s="362"/>
      <c r="I98" s="362"/>
      <c r="J98" s="362"/>
      <c r="K98" s="362"/>
      <c r="L98" s="362"/>
      <c r="M98" s="362"/>
      <c r="N98" s="362"/>
      <c r="O98" s="362"/>
      <c r="P98" s="362"/>
      <c r="Q98" s="362"/>
      <c r="R98" s="362"/>
      <c r="S98" s="362"/>
      <c r="T98" s="362"/>
      <c r="U98" s="362"/>
      <c r="V98" s="362"/>
      <c r="W98" s="362"/>
      <c r="X98" s="362"/>
      <c r="Y98" s="362"/>
      <c r="Z98" s="362"/>
      <c r="AA98" s="362"/>
      <c r="AB98" s="362"/>
      <c r="AC98" s="362"/>
      <c r="AD98" s="362"/>
      <c r="AE98" s="362"/>
      <c r="AF98" s="362"/>
      <c r="AG98" s="362"/>
      <c r="AH98" s="362"/>
      <c r="AI98" s="362"/>
      <c r="AJ98" s="362"/>
      <c r="AK98" s="362"/>
      <c r="AL98" s="362"/>
      <c r="AM98" s="362"/>
      <c r="AN98" s="362"/>
      <c r="AO98" s="362"/>
      <c r="AP98" s="362"/>
      <c r="AQ98" s="362"/>
      <c r="AR98" s="362"/>
      <c r="AS98" s="362"/>
      <c r="AT98" s="362"/>
      <c r="AU98" s="362"/>
      <c r="AV98" s="362"/>
      <c r="AW98" s="362"/>
      <c r="AX98" s="362"/>
      <c r="AY98" s="362"/>
      <c r="AZ98" s="362"/>
      <c r="BA98" s="362"/>
      <c r="BB98" s="362"/>
      <c r="BC98" s="362"/>
      <c r="BD98" s="362"/>
      <c r="BE98" s="362"/>
      <c r="BF98" s="362"/>
      <c r="BG98" s="362"/>
      <c r="BI98" s="341" t="s">
        <v>1237</v>
      </c>
    </row>
    <row r="99" spans="2:61" x14ac:dyDescent="0.2">
      <c r="B99" s="219" t="str">
        <f>IF(Capacity!N92="","",Capacity!N92)</f>
        <v/>
      </c>
      <c r="C99" s="220" t="str">
        <f>IF(B99="","",Capacity!Q92)</f>
        <v/>
      </c>
      <c r="D99" s="309" t="str">
        <f>IF(B99="","",Capacity!R92)</f>
        <v/>
      </c>
      <c r="E99" s="220" t="str">
        <f>IF(B99="","",IF(COUNTBLANK(H99:BG99)=52,SUM('Capacity calculation (hide)'!H187:BG187),52-COUNTBLANK(H99:BG99)))</f>
        <v/>
      </c>
      <c r="F99" s="310" t="str">
        <f>'Capacity calculation (hide)'!BI187</f>
        <v/>
      </c>
      <c r="H99" s="362"/>
      <c r="I99" s="362"/>
      <c r="J99" s="362"/>
      <c r="K99" s="362"/>
      <c r="L99" s="362"/>
      <c r="M99" s="362"/>
      <c r="N99" s="362"/>
      <c r="O99" s="362"/>
      <c r="P99" s="362"/>
      <c r="Q99" s="362"/>
      <c r="R99" s="362"/>
      <c r="S99" s="362"/>
      <c r="T99" s="362"/>
      <c r="U99" s="362"/>
      <c r="V99" s="362"/>
      <c r="W99" s="362"/>
      <c r="X99" s="362"/>
      <c r="Y99" s="362"/>
      <c r="Z99" s="362"/>
      <c r="AA99" s="362"/>
      <c r="AB99" s="362"/>
      <c r="AC99" s="362"/>
      <c r="AD99" s="362"/>
      <c r="AE99" s="362"/>
      <c r="AF99" s="362"/>
      <c r="AG99" s="362"/>
      <c r="AH99" s="362"/>
      <c r="AI99" s="362"/>
      <c r="AJ99" s="362"/>
      <c r="AK99" s="362"/>
      <c r="AL99" s="362"/>
      <c r="AM99" s="362"/>
      <c r="AN99" s="362"/>
      <c r="AO99" s="362"/>
      <c r="AP99" s="362"/>
      <c r="AQ99" s="362"/>
      <c r="AR99" s="362"/>
      <c r="AS99" s="362"/>
      <c r="AT99" s="362"/>
      <c r="AU99" s="362"/>
      <c r="AV99" s="362"/>
      <c r="AW99" s="362"/>
      <c r="AX99" s="362"/>
      <c r="AY99" s="362"/>
      <c r="AZ99" s="362"/>
      <c r="BA99" s="362"/>
      <c r="BB99" s="362"/>
      <c r="BC99" s="362"/>
      <c r="BD99" s="362"/>
      <c r="BE99" s="362"/>
      <c r="BF99" s="362"/>
      <c r="BG99" s="362"/>
      <c r="BI99" s="341" t="s">
        <v>1237</v>
      </c>
    </row>
    <row r="100" spans="2:61" x14ac:dyDescent="0.2">
      <c r="B100" s="219" t="str">
        <f>IF(Capacity!N93="","",Capacity!N93)</f>
        <v/>
      </c>
      <c r="C100" s="220" t="str">
        <f>IF(B100="","",Capacity!Q93)</f>
        <v/>
      </c>
      <c r="D100" s="309" t="str">
        <f>IF(B100="","",Capacity!R93)</f>
        <v/>
      </c>
      <c r="E100" s="220" t="str">
        <f>IF(B100="","",IF(COUNTBLANK(H100:BG100)=52,SUM('Capacity calculation (hide)'!H188:BG188),52-COUNTBLANK(H100:BG100)))</f>
        <v/>
      </c>
      <c r="F100" s="310" t="str">
        <f>'Capacity calculation (hide)'!BI188</f>
        <v/>
      </c>
      <c r="H100" s="362"/>
      <c r="I100" s="362"/>
      <c r="J100" s="362"/>
      <c r="K100" s="362"/>
      <c r="L100" s="362"/>
      <c r="M100" s="362"/>
      <c r="N100" s="362"/>
      <c r="O100" s="362"/>
      <c r="P100" s="362"/>
      <c r="Q100" s="362"/>
      <c r="R100" s="362"/>
      <c r="S100" s="362"/>
      <c r="T100" s="362"/>
      <c r="U100" s="362"/>
      <c r="V100" s="362"/>
      <c r="W100" s="362"/>
      <c r="X100" s="362"/>
      <c r="Y100" s="362"/>
      <c r="Z100" s="362"/>
      <c r="AA100" s="362"/>
      <c r="AB100" s="362"/>
      <c r="AC100" s="362"/>
      <c r="AD100" s="362"/>
      <c r="AE100" s="362"/>
      <c r="AF100" s="362"/>
      <c r="AG100" s="362"/>
      <c r="AH100" s="362"/>
      <c r="AI100" s="362"/>
      <c r="AJ100" s="362"/>
      <c r="AK100" s="362"/>
      <c r="AL100" s="362"/>
      <c r="AM100" s="362"/>
      <c r="AN100" s="362"/>
      <c r="AO100" s="362"/>
      <c r="AP100" s="362"/>
      <c r="AQ100" s="362"/>
      <c r="AR100" s="362"/>
      <c r="AS100" s="362"/>
      <c r="AT100" s="362"/>
      <c r="AU100" s="362"/>
      <c r="AV100" s="362"/>
      <c r="AW100" s="362"/>
      <c r="AX100" s="362"/>
      <c r="AY100" s="362"/>
      <c r="AZ100" s="362"/>
      <c r="BA100" s="362"/>
      <c r="BB100" s="362"/>
      <c r="BC100" s="362"/>
      <c r="BD100" s="362"/>
      <c r="BE100" s="362"/>
      <c r="BF100" s="362"/>
      <c r="BG100" s="362"/>
      <c r="BI100" s="341" t="s">
        <v>1237</v>
      </c>
    </row>
    <row r="101" spans="2:61" x14ac:dyDescent="0.2">
      <c r="B101" s="219" t="str">
        <f>IF(Capacity!N94="","",Capacity!N94)</f>
        <v/>
      </c>
      <c r="C101" s="220" t="str">
        <f>IF(B101="","",Capacity!Q94)</f>
        <v/>
      </c>
      <c r="D101" s="309" t="str">
        <f>IF(B101="","",Capacity!R94)</f>
        <v/>
      </c>
      <c r="E101" s="220" t="str">
        <f>IF(B101="","",IF(COUNTBLANK(H101:BG101)=52,SUM('Capacity calculation (hide)'!H189:BG189),52-COUNTBLANK(H101:BG101)))</f>
        <v/>
      </c>
      <c r="F101" s="310" t="str">
        <f>'Capacity calculation (hide)'!BI189</f>
        <v/>
      </c>
      <c r="H101" s="362"/>
      <c r="I101" s="362"/>
      <c r="J101" s="362"/>
      <c r="K101" s="362"/>
      <c r="L101" s="362"/>
      <c r="M101" s="362"/>
      <c r="N101" s="362"/>
      <c r="O101" s="362"/>
      <c r="P101" s="362"/>
      <c r="Q101" s="362"/>
      <c r="R101" s="362"/>
      <c r="S101" s="362"/>
      <c r="T101" s="362"/>
      <c r="U101" s="362"/>
      <c r="V101" s="362"/>
      <c r="W101" s="362"/>
      <c r="X101" s="362"/>
      <c r="Y101" s="362"/>
      <c r="Z101" s="362"/>
      <c r="AA101" s="362"/>
      <c r="AB101" s="362"/>
      <c r="AC101" s="362"/>
      <c r="AD101" s="362"/>
      <c r="AE101" s="362"/>
      <c r="AF101" s="362"/>
      <c r="AG101" s="362"/>
      <c r="AH101" s="362"/>
      <c r="AI101" s="362"/>
      <c r="AJ101" s="362"/>
      <c r="AK101" s="362"/>
      <c r="AL101" s="362"/>
      <c r="AM101" s="362"/>
      <c r="AN101" s="362"/>
      <c r="AO101" s="362"/>
      <c r="AP101" s="362"/>
      <c r="AQ101" s="362"/>
      <c r="AR101" s="362"/>
      <c r="AS101" s="362"/>
      <c r="AT101" s="362"/>
      <c r="AU101" s="362"/>
      <c r="AV101" s="362"/>
      <c r="AW101" s="362"/>
      <c r="AX101" s="362"/>
      <c r="AY101" s="362"/>
      <c r="AZ101" s="362"/>
      <c r="BA101" s="362"/>
      <c r="BB101" s="362"/>
      <c r="BC101" s="362"/>
      <c r="BD101" s="362"/>
      <c r="BE101" s="362"/>
      <c r="BF101" s="362"/>
      <c r="BG101" s="362"/>
      <c r="BI101" s="341" t="s">
        <v>1237</v>
      </c>
    </row>
    <row r="102" spans="2:61" x14ac:dyDescent="0.2">
      <c r="B102" s="219" t="str">
        <f>IF(Capacity!N95="","",Capacity!N95)</f>
        <v/>
      </c>
      <c r="C102" s="220" t="str">
        <f>IF(B102="","",Capacity!Q95)</f>
        <v/>
      </c>
      <c r="D102" s="309" t="str">
        <f>IF(B102="","",Capacity!R95)</f>
        <v/>
      </c>
      <c r="E102" s="220" t="str">
        <f>IF(B102="","",IF(COUNTBLANK(H102:BG102)=52,SUM('Capacity calculation (hide)'!H190:BG190),52-COUNTBLANK(H102:BG102)))</f>
        <v/>
      </c>
      <c r="F102" s="310" t="str">
        <f>'Capacity calculation (hide)'!BI190</f>
        <v/>
      </c>
      <c r="H102" s="362"/>
      <c r="I102" s="362"/>
      <c r="J102" s="362"/>
      <c r="K102" s="362"/>
      <c r="L102" s="362"/>
      <c r="M102" s="362"/>
      <c r="N102" s="362"/>
      <c r="O102" s="362"/>
      <c r="P102" s="362"/>
      <c r="Q102" s="362"/>
      <c r="R102" s="362"/>
      <c r="S102" s="362"/>
      <c r="T102" s="362"/>
      <c r="U102" s="362"/>
      <c r="V102" s="362"/>
      <c r="W102" s="362"/>
      <c r="X102" s="362"/>
      <c r="Y102" s="362"/>
      <c r="Z102" s="362"/>
      <c r="AA102" s="362"/>
      <c r="AB102" s="362"/>
      <c r="AC102" s="362"/>
      <c r="AD102" s="362"/>
      <c r="AE102" s="362"/>
      <c r="AF102" s="362"/>
      <c r="AG102" s="362"/>
      <c r="AH102" s="362"/>
      <c r="AI102" s="362"/>
      <c r="AJ102" s="362"/>
      <c r="AK102" s="362"/>
      <c r="AL102" s="362"/>
      <c r="AM102" s="362"/>
      <c r="AN102" s="362"/>
      <c r="AO102" s="362"/>
      <c r="AP102" s="362"/>
      <c r="AQ102" s="362"/>
      <c r="AR102" s="362"/>
      <c r="AS102" s="362"/>
      <c r="AT102" s="362"/>
      <c r="AU102" s="362"/>
      <c r="AV102" s="362"/>
      <c r="AW102" s="362"/>
      <c r="AX102" s="362"/>
      <c r="AY102" s="362"/>
      <c r="AZ102" s="362"/>
      <c r="BA102" s="362"/>
      <c r="BB102" s="362"/>
      <c r="BC102" s="362"/>
      <c r="BD102" s="362"/>
      <c r="BE102" s="362"/>
      <c r="BF102" s="362"/>
      <c r="BG102" s="362"/>
      <c r="BI102" s="341" t="s">
        <v>1237</v>
      </c>
    </row>
    <row r="103" spans="2:61" x14ac:dyDescent="0.2">
      <c r="B103" s="219" t="str">
        <f>IF(Capacity!N96="","",Capacity!N96)</f>
        <v/>
      </c>
      <c r="C103" s="220" t="str">
        <f>IF(B103="","",Capacity!Q96)</f>
        <v/>
      </c>
      <c r="D103" s="309" t="str">
        <f>IF(B103="","",Capacity!R96)</f>
        <v/>
      </c>
      <c r="E103" s="220" t="str">
        <f>IF(B103="","",IF(COUNTBLANK(H103:BG103)=52,SUM('Capacity calculation (hide)'!H191:BG191),52-COUNTBLANK(H103:BG103)))</f>
        <v/>
      </c>
      <c r="F103" s="310" t="str">
        <f>'Capacity calculation (hide)'!BI191</f>
        <v/>
      </c>
      <c r="H103" s="362"/>
      <c r="I103" s="362"/>
      <c r="J103" s="362"/>
      <c r="K103" s="362"/>
      <c r="L103" s="362"/>
      <c r="M103" s="362"/>
      <c r="N103" s="362"/>
      <c r="O103" s="362"/>
      <c r="P103" s="362"/>
      <c r="Q103" s="362"/>
      <c r="R103" s="362"/>
      <c r="S103" s="362"/>
      <c r="T103" s="362"/>
      <c r="U103" s="362"/>
      <c r="V103" s="362"/>
      <c r="W103" s="362"/>
      <c r="X103" s="362"/>
      <c r="Y103" s="362"/>
      <c r="Z103" s="362"/>
      <c r="AA103" s="362"/>
      <c r="AB103" s="362"/>
      <c r="AC103" s="362"/>
      <c r="AD103" s="362"/>
      <c r="AE103" s="362"/>
      <c r="AF103" s="362"/>
      <c r="AG103" s="362"/>
      <c r="AH103" s="362"/>
      <c r="AI103" s="362"/>
      <c r="AJ103" s="362"/>
      <c r="AK103" s="362"/>
      <c r="AL103" s="362"/>
      <c r="AM103" s="362"/>
      <c r="AN103" s="362"/>
      <c r="AO103" s="362"/>
      <c r="AP103" s="362"/>
      <c r="AQ103" s="362"/>
      <c r="AR103" s="362"/>
      <c r="AS103" s="362"/>
      <c r="AT103" s="362"/>
      <c r="AU103" s="362"/>
      <c r="AV103" s="362"/>
      <c r="AW103" s="362"/>
      <c r="AX103" s="362"/>
      <c r="AY103" s="362"/>
      <c r="AZ103" s="362"/>
      <c r="BA103" s="362"/>
      <c r="BB103" s="362"/>
      <c r="BC103" s="362"/>
      <c r="BD103" s="362"/>
      <c r="BE103" s="362"/>
      <c r="BF103" s="362"/>
      <c r="BG103" s="362"/>
      <c r="BI103" s="341" t="s">
        <v>1237</v>
      </c>
    </row>
    <row r="104" spans="2:61" x14ac:dyDescent="0.2">
      <c r="B104" s="219" t="str">
        <f>IF(Capacity!N97="","",Capacity!N97)</f>
        <v/>
      </c>
      <c r="C104" s="220" t="str">
        <f>IF(B104="","",Capacity!Q97)</f>
        <v/>
      </c>
      <c r="D104" s="309" t="str">
        <f>IF(B104="","",Capacity!R97)</f>
        <v/>
      </c>
      <c r="E104" s="220" t="str">
        <f>IF(B104="","",IF(COUNTBLANK(H104:BG104)=52,SUM('Capacity calculation (hide)'!H192:BG192),52-COUNTBLANK(H104:BG104)))</f>
        <v/>
      </c>
      <c r="F104" s="310" t="str">
        <f>'Capacity calculation (hide)'!BI192</f>
        <v/>
      </c>
      <c r="H104" s="362"/>
      <c r="I104" s="362"/>
      <c r="J104" s="362"/>
      <c r="K104" s="362"/>
      <c r="L104" s="362"/>
      <c r="M104" s="362"/>
      <c r="N104" s="362"/>
      <c r="O104" s="362"/>
      <c r="P104" s="362"/>
      <c r="Q104" s="362"/>
      <c r="R104" s="362"/>
      <c r="S104" s="362"/>
      <c r="T104" s="362"/>
      <c r="U104" s="362"/>
      <c r="V104" s="362"/>
      <c r="W104" s="362"/>
      <c r="X104" s="362"/>
      <c r="Y104" s="362"/>
      <c r="Z104" s="362"/>
      <c r="AA104" s="362"/>
      <c r="AB104" s="362"/>
      <c r="AC104" s="362"/>
      <c r="AD104" s="362"/>
      <c r="AE104" s="362"/>
      <c r="AF104" s="362"/>
      <c r="AG104" s="362"/>
      <c r="AH104" s="362"/>
      <c r="AI104" s="362"/>
      <c r="AJ104" s="362"/>
      <c r="AK104" s="362"/>
      <c r="AL104" s="362"/>
      <c r="AM104" s="362"/>
      <c r="AN104" s="362"/>
      <c r="AO104" s="362"/>
      <c r="AP104" s="362"/>
      <c r="AQ104" s="362"/>
      <c r="AR104" s="362"/>
      <c r="AS104" s="362"/>
      <c r="AT104" s="362"/>
      <c r="AU104" s="362"/>
      <c r="AV104" s="362"/>
      <c r="AW104" s="362"/>
      <c r="AX104" s="362"/>
      <c r="AY104" s="362"/>
      <c r="AZ104" s="362"/>
      <c r="BA104" s="362"/>
      <c r="BB104" s="362"/>
      <c r="BC104" s="362"/>
      <c r="BD104" s="362"/>
      <c r="BE104" s="362"/>
      <c r="BF104" s="362"/>
      <c r="BG104" s="362"/>
      <c r="BI104" s="341" t="s">
        <v>1237</v>
      </c>
    </row>
    <row r="105" spans="2:61" x14ac:dyDescent="0.2">
      <c r="B105" s="219" t="str">
        <f>IF(Capacity!N98="","",Capacity!N98)</f>
        <v/>
      </c>
      <c r="C105" s="220" t="str">
        <f>IF(B105="","",Capacity!Q98)</f>
        <v/>
      </c>
      <c r="D105" s="309" t="str">
        <f>IF(B105="","",Capacity!R98)</f>
        <v/>
      </c>
      <c r="E105" s="220" t="str">
        <f>IF(B105="","",IF(COUNTBLANK(H105:BG105)=52,SUM('Capacity calculation (hide)'!H193:BG193),52-COUNTBLANK(H105:BG105)))</f>
        <v/>
      </c>
      <c r="F105" s="310" t="str">
        <f>'Capacity calculation (hide)'!BI193</f>
        <v/>
      </c>
      <c r="H105" s="362"/>
      <c r="I105" s="362"/>
      <c r="J105" s="362"/>
      <c r="K105" s="362"/>
      <c r="L105" s="362"/>
      <c r="M105" s="362"/>
      <c r="N105" s="362"/>
      <c r="O105" s="362"/>
      <c r="P105" s="362"/>
      <c r="Q105" s="362"/>
      <c r="R105" s="362"/>
      <c r="S105" s="362"/>
      <c r="T105" s="362"/>
      <c r="U105" s="362"/>
      <c r="V105" s="362"/>
      <c r="W105" s="362"/>
      <c r="X105" s="362"/>
      <c r="Y105" s="362"/>
      <c r="Z105" s="362"/>
      <c r="AA105" s="362"/>
      <c r="AB105" s="362"/>
      <c r="AC105" s="362"/>
      <c r="AD105" s="362"/>
      <c r="AE105" s="362"/>
      <c r="AF105" s="362"/>
      <c r="AG105" s="362"/>
      <c r="AH105" s="362"/>
      <c r="AI105" s="362"/>
      <c r="AJ105" s="362"/>
      <c r="AK105" s="362"/>
      <c r="AL105" s="362"/>
      <c r="AM105" s="362"/>
      <c r="AN105" s="362"/>
      <c r="AO105" s="362"/>
      <c r="AP105" s="362"/>
      <c r="AQ105" s="362"/>
      <c r="AR105" s="362"/>
      <c r="AS105" s="362"/>
      <c r="AT105" s="362"/>
      <c r="AU105" s="362"/>
      <c r="AV105" s="362"/>
      <c r="AW105" s="362"/>
      <c r="AX105" s="362"/>
      <c r="AY105" s="362"/>
      <c r="AZ105" s="362"/>
      <c r="BA105" s="362"/>
      <c r="BB105" s="362"/>
      <c r="BC105" s="362"/>
      <c r="BD105" s="362"/>
      <c r="BE105" s="362"/>
      <c r="BF105" s="362"/>
      <c r="BG105" s="362"/>
      <c r="BI105" s="341" t="s">
        <v>1237</v>
      </c>
    </row>
    <row r="106" spans="2:61" x14ac:dyDescent="0.2">
      <c r="B106" s="219" t="str">
        <f>IF(Capacity!N99="","",Capacity!N99)</f>
        <v/>
      </c>
      <c r="C106" s="220" t="str">
        <f>IF(B106="","",Capacity!Q99)</f>
        <v/>
      </c>
      <c r="D106" s="309" t="str">
        <f>IF(B106="","",Capacity!R99)</f>
        <v/>
      </c>
      <c r="E106" s="220" t="str">
        <f>IF(B106="","",IF(COUNTBLANK(H106:BG106)=52,SUM('Capacity calculation (hide)'!H194:BG194),52-COUNTBLANK(H106:BG106)))</f>
        <v/>
      </c>
      <c r="F106" s="310" t="str">
        <f>'Capacity calculation (hide)'!BI194</f>
        <v/>
      </c>
      <c r="H106" s="362"/>
      <c r="I106" s="362"/>
      <c r="J106" s="362"/>
      <c r="K106" s="362"/>
      <c r="L106" s="362"/>
      <c r="M106" s="362"/>
      <c r="N106" s="362"/>
      <c r="O106" s="362"/>
      <c r="P106" s="362"/>
      <c r="Q106" s="362"/>
      <c r="R106" s="362"/>
      <c r="S106" s="362"/>
      <c r="T106" s="362"/>
      <c r="U106" s="362"/>
      <c r="V106" s="362"/>
      <c r="W106" s="362"/>
      <c r="X106" s="362"/>
      <c r="Y106" s="362"/>
      <c r="Z106" s="362"/>
      <c r="AA106" s="362"/>
      <c r="AB106" s="362"/>
      <c r="AC106" s="362"/>
      <c r="AD106" s="362"/>
      <c r="AE106" s="362"/>
      <c r="AF106" s="362"/>
      <c r="AG106" s="362"/>
      <c r="AH106" s="362"/>
      <c r="AI106" s="362"/>
      <c r="AJ106" s="362"/>
      <c r="AK106" s="362"/>
      <c r="AL106" s="362"/>
      <c r="AM106" s="362"/>
      <c r="AN106" s="362"/>
      <c r="AO106" s="362"/>
      <c r="AP106" s="362"/>
      <c r="AQ106" s="362"/>
      <c r="AR106" s="362"/>
      <c r="AS106" s="362"/>
      <c r="AT106" s="362"/>
      <c r="AU106" s="362"/>
      <c r="AV106" s="362"/>
      <c r="AW106" s="362"/>
      <c r="AX106" s="362"/>
      <c r="AY106" s="362"/>
      <c r="AZ106" s="362"/>
      <c r="BA106" s="362"/>
      <c r="BB106" s="362"/>
      <c r="BC106" s="362"/>
      <c r="BD106" s="362"/>
      <c r="BE106" s="362"/>
      <c r="BF106" s="362"/>
      <c r="BG106" s="362"/>
      <c r="BI106" s="341" t="s">
        <v>1237</v>
      </c>
    </row>
    <row r="107" spans="2:61" x14ac:dyDescent="0.2">
      <c r="B107" s="219" t="str">
        <f>IF(Capacity!N100="","",Capacity!N100)</f>
        <v/>
      </c>
      <c r="C107" s="220" t="str">
        <f>IF(B107="","",Capacity!Q100)</f>
        <v/>
      </c>
      <c r="D107" s="309" t="str">
        <f>IF(B107="","",Capacity!R100)</f>
        <v/>
      </c>
      <c r="E107" s="220" t="str">
        <f>IF(B107="","",IF(COUNTBLANK(H107:BG107)=52,SUM('Capacity calculation (hide)'!H195:BG195),52-COUNTBLANK(H107:BG107)))</f>
        <v/>
      </c>
      <c r="F107" s="310" t="str">
        <f>'Capacity calculation (hide)'!BI195</f>
        <v/>
      </c>
      <c r="H107" s="362"/>
      <c r="I107" s="362"/>
      <c r="J107" s="362"/>
      <c r="K107" s="362"/>
      <c r="L107" s="362"/>
      <c r="M107" s="362"/>
      <c r="N107" s="362"/>
      <c r="O107" s="362"/>
      <c r="P107" s="362"/>
      <c r="Q107" s="362"/>
      <c r="R107" s="362"/>
      <c r="S107" s="362"/>
      <c r="T107" s="362"/>
      <c r="U107" s="362"/>
      <c r="V107" s="362"/>
      <c r="W107" s="362"/>
      <c r="X107" s="362"/>
      <c r="Y107" s="362"/>
      <c r="Z107" s="362"/>
      <c r="AA107" s="362"/>
      <c r="AB107" s="362"/>
      <c r="AC107" s="362"/>
      <c r="AD107" s="362"/>
      <c r="AE107" s="362"/>
      <c r="AF107" s="362"/>
      <c r="AG107" s="362"/>
      <c r="AH107" s="362"/>
      <c r="AI107" s="362"/>
      <c r="AJ107" s="362"/>
      <c r="AK107" s="362"/>
      <c r="AL107" s="362"/>
      <c r="AM107" s="362"/>
      <c r="AN107" s="362"/>
      <c r="AO107" s="362"/>
      <c r="AP107" s="362"/>
      <c r="AQ107" s="362"/>
      <c r="AR107" s="362"/>
      <c r="AS107" s="362"/>
      <c r="AT107" s="362"/>
      <c r="AU107" s="362"/>
      <c r="AV107" s="362"/>
      <c r="AW107" s="362"/>
      <c r="AX107" s="362"/>
      <c r="AY107" s="362"/>
      <c r="AZ107" s="362"/>
      <c r="BA107" s="362"/>
      <c r="BB107" s="362"/>
      <c r="BC107" s="362"/>
      <c r="BD107" s="362"/>
      <c r="BE107" s="362"/>
      <c r="BF107" s="362"/>
      <c r="BG107" s="362"/>
      <c r="BI107" s="341" t="s">
        <v>1237</v>
      </c>
    </row>
    <row r="108" spans="2:61" x14ac:dyDescent="0.2">
      <c r="B108" s="219" t="str">
        <f>IF(Capacity!N101="","",Capacity!N101)</f>
        <v/>
      </c>
      <c r="C108" s="220" t="str">
        <f>IF(B108="","",Capacity!Q101)</f>
        <v/>
      </c>
      <c r="D108" s="309" t="str">
        <f>IF(B108="","",Capacity!R101)</f>
        <v/>
      </c>
      <c r="E108" s="220" t="str">
        <f>IF(B108="","",IF(COUNTBLANK(H108:BG108)=52,SUM('Capacity calculation (hide)'!H196:BG196),52-COUNTBLANK(H108:BG108)))</f>
        <v/>
      </c>
      <c r="F108" s="310" t="str">
        <f>'Capacity calculation (hide)'!BI196</f>
        <v/>
      </c>
      <c r="H108" s="362"/>
      <c r="I108" s="362"/>
      <c r="J108" s="362"/>
      <c r="K108" s="362"/>
      <c r="L108" s="362"/>
      <c r="M108" s="362"/>
      <c r="N108" s="362"/>
      <c r="O108" s="362"/>
      <c r="P108" s="362"/>
      <c r="Q108" s="362"/>
      <c r="R108" s="362"/>
      <c r="S108" s="362"/>
      <c r="T108" s="362"/>
      <c r="U108" s="362"/>
      <c r="V108" s="362"/>
      <c r="W108" s="362"/>
      <c r="X108" s="362"/>
      <c r="Y108" s="362"/>
      <c r="Z108" s="362"/>
      <c r="AA108" s="362"/>
      <c r="AB108" s="362"/>
      <c r="AC108" s="362"/>
      <c r="AD108" s="362"/>
      <c r="AE108" s="362"/>
      <c r="AF108" s="362"/>
      <c r="AG108" s="362"/>
      <c r="AH108" s="362"/>
      <c r="AI108" s="362"/>
      <c r="AJ108" s="362"/>
      <c r="AK108" s="362"/>
      <c r="AL108" s="362"/>
      <c r="AM108" s="362"/>
      <c r="AN108" s="362"/>
      <c r="AO108" s="362"/>
      <c r="AP108" s="362"/>
      <c r="AQ108" s="362"/>
      <c r="AR108" s="362"/>
      <c r="AS108" s="362"/>
      <c r="AT108" s="362"/>
      <c r="AU108" s="362"/>
      <c r="AV108" s="362"/>
      <c r="AW108" s="362"/>
      <c r="AX108" s="362"/>
      <c r="AY108" s="362"/>
      <c r="AZ108" s="362"/>
      <c r="BA108" s="362"/>
      <c r="BB108" s="362"/>
      <c r="BC108" s="362"/>
      <c r="BD108" s="362"/>
      <c r="BE108" s="362"/>
      <c r="BF108" s="362"/>
      <c r="BG108" s="362"/>
      <c r="BI108" s="341" t="s">
        <v>1237</v>
      </c>
    </row>
    <row r="109" spans="2:61" x14ac:dyDescent="0.2">
      <c r="B109" s="219" t="str">
        <f>IF(Capacity!N102="","",Capacity!N102)</f>
        <v/>
      </c>
      <c r="C109" s="220" t="str">
        <f>IF(B109="","",Capacity!Q102)</f>
        <v/>
      </c>
      <c r="D109" s="309" t="str">
        <f>IF(B109="","",Capacity!R102)</f>
        <v/>
      </c>
      <c r="E109" s="220" t="str">
        <f>IF(B109="","",IF(COUNTBLANK(H109:BG109)=52,SUM('Capacity calculation (hide)'!H197:BG197),52-COUNTBLANK(H109:BG109)))</f>
        <v/>
      </c>
      <c r="F109" s="310" t="str">
        <f>'Capacity calculation (hide)'!BI197</f>
        <v/>
      </c>
      <c r="H109" s="362"/>
      <c r="I109" s="362"/>
      <c r="J109" s="362"/>
      <c r="K109" s="362"/>
      <c r="L109" s="362"/>
      <c r="M109" s="362"/>
      <c r="N109" s="362"/>
      <c r="O109" s="362"/>
      <c r="P109" s="362"/>
      <c r="Q109" s="362"/>
      <c r="R109" s="362"/>
      <c r="S109" s="362"/>
      <c r="T109" s="362"/>
      <c r="U109" s="362"/>
      <c r="V109" s="362"/>
      <c r="W109" s="362"/>
      <c r="X109" s="362"/>
      <c r="Y109" s="362"/>
      <c r="Z109" s="362"/>
      <c r="AA109" s="362"/>
      <c r="AB109" s="362"/>
      <c r="AC109" s="362"/>
      <c r="AD109" s="362"/>
      <c r="AE109" s="362"/>
      <c r="AF109" s="362"/>
      <c r="AG109" s="362"/>
      <c r="AH109" s="362"/>
      <c r="AI109" s="362"/>
      <c r="AJ109" s="362"/>
      <c r="AK109" s="362"/>
      <c r="AL109" s="362"/>
      <c r="AM109" s="362"/>
      <c r="AN109" s="362"/>
      <c r="AO109" s="362"/>
      <c r="AP109" s="362"/>
      <c r="AQ109" s="362"/>
      <c r="AR109" s="362"/>
      <c r="AS109" s="362"/>
      <c r="AT109" s="362"/>
      <c r="AU109" s="362"/>
      <c r="AV109" s="362"/>
      <c r="AW109" s="362"/>
      <c r="AX109" s="362"/>
      <c r="AY109" s="362"/>
      <c r="AZ109" s="362"/>
      <c r="BA109" s="362"/>
      <c r="BB109" s="362"/>
      <c r="BC109" s="362"/>
      <c r="BD109" s="362"/>
      <c r="BE109" s="362"/>
      <c r="BF109" s="362"/>
      <c r="BG109" s="362"/>
      <c r="BI109" s="341" t="s">
        <v>1237</v>
      </c>
    </row>
    <row r="110" spans="2:61" x14ac:dyDescent="0.2">
      <c r="B110" s="219" t="str">
        <f>IF(Capacity!N103="","",Capacity!N103)</f>
        <v/>
      </c>
      <c r="C110" s="220" t="str">
        <f>IF(B110="","",Capacity!Q103)</f>
        <v/>
      </c>
      <c r="D110" s="309" t="str">
        <f>IF(B110="","",Capacity!R103)</f>
        <v/>
      </c>
      <c r="E110" s="220" t="str">
        <f>IF(B110="","",IF(COUNTBLANK(H110:BG110)=52,SUM('Capacity calculation (hide)'!H198:BG198),52-COUNTBLANK(H110:BG110)))</f>
        <v/>
      </c>
      <c r="F110" s="310" t="str">
        <f>'Capacity calculation (hide)'!BI198</f>
        <v/>
      </c>
      <c r="H110" s="362"/>
      <c r="I110" s="362"/>
      <c r="J110" s="362"/>
      <c r="K110" s="362"/>
      <c r="L110" s="362"/>
      <c r="M110" s="362"/>
      <c r="N110" s="362"/>
      <c r="O110" s="362"/>
      <c r="P110" s="362"/>
      <c r="Q110" s="362"/>
      <c r="R110" s="362"/>
      <c r="S110" s="362"/>
      <c r="T110" s="362"/>
      <c r="U110" s="362"/>
      <c r="V110" s="362"/>
      <c r="W110" s="362"/>
      <c r="X110" s="362"/>
      <c r="Y110" s="362"/>
      <c r="Z110" s="362"/>
      <c r="AA110" s="362"/>
      <c r="AB110" s="362"/>
      <c r="AC110" s="362"/>
      <c r="AD110" s="362"/>
      <c r="AE110" s="362"/>
      <c r="AF110" s="362"/>
      <c r="AG110" s="362"/>
      <c r="AH110" s="362"/>
      <c r="AI110" s="362"/>
      <c r="AJ110" s="362"/>
      <c r="AK110" s="362"/>
      <c r="AL110" s="362"/>
      <c r="AM110" s="362"/>
      <c r="AN110" s="362"/>
      <c r="AO110" s="362"/>
      <c r="AP110" s="362"/>
      <c r="AQ110" s="362"/>
      <c r="AR110" s="362"/>
      <c r="AS110" s="362"/>
      <c r="AT110" s="362"/>
      <c r="AU110" s="362"/>
      <c r="AV110" s="362"/>
      <c r="AW110" s="362"/>
      <c r="AX110" s="362"/>
      <c r="AY110" s="362"/>
      <c r="AZ110" s="362"/>
      <c r="BA110" s="362"/>
      <c r="BB110" s="362"/>
      <c r="BC110" s="362"/>
      <c r="BD110" s="362"/>
      <c r="BE110" s="362"/>
      <c r="BF110" s="362"/>
      <c r="BG110" s="362"/>
      <c r="BI110" s="341" t="s">
        <v>1237</v>
      </c>
    </row>
    <row r="111" spans="2:61" x14ac:dyDescent="0.2">
      <c r="B111" s="219" t="str">
        <f>IF(Capacity!N104="","",Capacity!N104)</f>
        <v/>
      </c>
      <c r="C111" s="220" t="str">
        <f>IF(B111="","",Capacity!Q104)</f>
        <v/>
      </c>
      <c r="D111" s="309" t="str">
        <f>IF(B111="","",Capacity!R104)</f>
        <v/>
      </c>
      <c r="E111" s="220" t="str">
        <f>IF(B111="","",IF(COUNTBLANK(H111:BG111)=52,SUM('Capacity calculation (hide)'!H199:BG199),52-COUNTBLANK(H111:BG111)))</f>
        <v/>
      </c>
      <c r="F111" s="310" t="str">
        <f>'Capacity calculation (hide)'!BI199</f>
        <v/>
      </c>
      <c r="H111" s="362"/>
      <c r="I111" s="362"/>
      <c r="J111" s="362"/>
      <c r="K111" s="362"/>
      <c r="L111" s="362"/>
      <c r="M111" s="362"/>
      <c r="N111" s="362"/>
      <c r="O111" s="362"/>
      <c r="P111" s="362"/>
      <c r="Q111" s="362"/>
      <c r="R111" s="362"/>
      <c r="S111" s="362"/>
      <c r="T111" s="362"/>
      <c r="U111" s="362"/>
      <c r="V111" s="362"/>
      <c r="W111" s="362"/>
      <c r="X111" s="362"/>
      <c r="Y111" s="362"/>
      <c r="Z111" s="362"/>
      <c r="AA111" s="362"/>
      <c r="AB111" s="362"/>
      <c r="AC111" s="362"/>
      <c r="AD111" s="362"/>
      <c r="AE111" s="362"/>
      <c r="AF111" s="362"/>
      <c r="AG111" s="362"/>
      <c r="AH111" s="362"/>
      <c r="AI111" s="362"/>
      <c r="AJ111" s="362"/>
      <c r="AK111" s="362"/>
      <c r="AL111" s="362"/>
      <c r="AM111" s="362"/>
      <c r="AN111" s="362"/>
      <c r="AO111" s="362"/>
      <c r="AP111" s="362"/>
      <c r="AQ111" s="362"/>
      <c r="AR111" s="362"/>
      <c r="AS111" s="362"/>
      <c r="AT111" s="362"/>
      <c r="AU111" s="362"/>
      <c r="AV111" s="362"/>
      <c r="AW111" s="362"/>
      <c r="AX111" s="362"/>
      <c r="AY111" s="362"/>
      <c r="AZ111" s="362"/>
      <c r="BA111" s="362"/>
      <c r="BB111" s="362"/>
      <c r="BC111" s="362"/>
      <c r="BD111" s="362"/>
      <c r="BE111" s="362"/>
      <c r="BF111" s="362"/>
      <c r="BG111" s="362"/>
      <c r="BI111" s="341" t="s">
        <v>1237</v>
      </c>
    </row>
    <row r="112" spans="2:61" x14ac:dyDescent="0.2">
      <c r="B112" s="219" t="str">
        <f>IF(Capacity!N105="","",Capacity!N105)</f>
        <v/>
      </c>
      <c r="C112" s="220" t="str">
        <f>IF(B112="","",Capacity!Q105)</f>
        <v/>
      </c>
      <c r="D112" s="309" t="str">
        <f>IF(B112="","",Capacity!R105)</f>
        <v/>
      </c>
      <c r="E112" s="220" t="str">
        <f>IF(B112="","",IF(COUNTBLANK(H112:BG112)=52,SUM('Capacity calculation (hide)'!H200:BG200),52-COUNTBLANK(H112:BG112)))</f>
        <v/>
      </c>
      <c r="F112" s="310" t="str">
        <f>'Capacity calculation (hide)'!BI200</f>
        <v/>
      </c>
      <c r="H112" s="362"/>
      <c r="I112" s="362"/>
      <c r="J112" s="362"/>
      <c r="K112" s="362"/>
      <c r="L112" s="362"/>
      <c r="M112" s="362"/>
      <c r="N112" s="362"/>
      <c r="O112" s="362"/>
      <c r="P112" s="362"/>
      <c r="Q112" s="362"/>
      <c r="R112" s="362"/>
      <c r="S112" s="362"/>
      <c r="T112" s="362"/>
      <c r="U112" s="362"/>
      <c r="V112" s="362"/>
      <c r="W112" s="362"/>
      <c r="X112" s="362"/>
      <c r="Y112" s="362"/>
      <c r="Z112" s="362"/>
      <c r="AA112" s="362"/>
      <c r="AB112" s="362"/>
      <c r="AC112" s="362"/>
      <c r="AD112" s="362"/>
      <c r="AE112" s="362"/>
      <c r="AF112" s="362"/>
      <c r="AG112" s="362"/>
      <c r="AH112" s="362"/>
      <c r="AI112" s="362"/>
      <c r="AJ112" s="362"/>
      <c r="AK112" s="362"/>
      <c r="AL112" s="362"/>
      <c r="AM112" s="362"/>
      <c r="AN112" s="362"/>
      <c r="AO112" s="362"/>
      <c r="AP112" s="362"/>
      <c r="AQ112" s="362"/>
      <c r="AR112" s="362"/>
      <c r="AS112" s="362"/>
      <c r="AT112" s="362"/>
      <c r="AU112" s="362"/>
      <c r="AV112" s="362"/>
      <c r="AW112" s="362"/>
      <c r="AX112" s="362"/>
      <c r="AY112" s="362"/>
      <c r="AZ112" s="362"/>
      <c r="BA112" s="362"/>
      <c r="BB112" s="362"/>
      <c r="BC112" s="362"/>
      <c r="BD112" s="362"/>
      <c r="BE112" s="362"/>
      <c r="BF112" s="362"/>
      <c r="BG112" s="362"/>
      <c r="BI112" s="341" t="s">
        <v>1237</v>
      </c>
    </row>
    <row r="113" spans="2:61" x14ac:dyDescent="0.2">
      <c r="B113" s="219" t="str">
        <f>IF(Capacity!N106="","",Capacity!N106)</f>
        <v/>
      </c>
      <c r="C113" s="220" t="str">
        <f>IF(B113="","",Capacity!Q106)</f>
        <v/>
      </c>
      <c r="D113" s="309" t="str">
        <f>IF(B113="","",Capacity!R106)</f>
        <v/>
      </c>
      <c r="E113" s="220" t="str">
        <f>IF(B113="","",IF(COUNTBLANK(H113:BG113)=52,SUM('Capacity calculation (hide)'!H201:BG201),52-COUNTBLANK(H113:BG113)))</f>
        <v/>
      </c>
      <c r="F113" s="310" t="str">
        <f>'Capacity calculation (hide)'!BI201</f>
        <v/>
      </c>
      <c r="H113" s="362"/>
      <c r="I113" s="362"/>
      <c r="J113" s="362"/>
      <c r="K113" s="362"/>
      <c r="L113" s="362"/>
      <c r="M113" s="362"/>
      <c r="N113" s="362"/>
      <c r="O113" s="362"/>
      <c r="P113" s="362"/>
      <c r="Q113" s="362"/>
      <c r="R113" s="362"/>
      <c r="S113" s="362"/>
      <c r="T113" s="362"/>
      <c r="U113" s="362"/>
      <c r="V113" s="362"/>
      <c r="W113" s="362"/>
      <c r="X113" s="362"/>
      <c r="Y113" s="362"/>
      <c r="Z113" s="362"/>
      <c r="AA113" s="362"/>
      <c r="AB113" s="362"/>
      <c r="AC113" s="362"/>
      <c r="AD113" s="362"/>
      <c r="AE113" s="362"/>
      <c r="AF113" s="362"/>
      <c r="AG113" s="362"/>
      <c r="AH113" s="362"/>
      <c r="AI113" s="362"/>
      <c r="AJ113" s="362"/>
      <c r="AK113" s="362"/>
      <c r="AL113" s="362"/>
      <c r="AM113" s="362"/>
      <c r="AN113" s="362"/>
      <c r="AO113" s="362"/>
      <c r="AP113" s="362"/>
      <c r="AQ113" s="362"/>
      <c r="AR113" s="362"/>
      <c r="AS113" s="362"/>
      <c r="AT113" s="362"/>
      <c r="AU113" s="362"/>
      <c r="AV113" s="362"/>
      <c r="AW113" s="362"/>
      <c r="AX113" s="362"/>
      <c r="AY113" s="362"/>
      <c r="AZ113" s="362"/>
      <c r="BA113" s="362"/>
      <c r="BB113" s="362"/>
      <c r="BC113" s="362"/>
      <c r="BD113" s="362"/>
      <c r="BE113" s="362"/>
      <c r="BF113" s="362"/>
      <c r="BG113" s="362"/>
      <c r="BI113" s="341" t="s">
        <v>1237</v>
      </c>
    </row>
    <row r="114" spans="2:61" x14ac:dyDescent="0.2">
      <c r="B114" s="219" t="str">
        <f>IF(Capacity!N107="","",Capacity!N107)</f>
        <v/>
      </c>
      <c r="C114" s="220" t="str">
        <f>IF(B114="","",Capacity!Q107)</f>
        <v/>
      </c>
      <c r="D114" s="309" t="str">
        <f>IF(B114="","",Capacity!R107)</f>
        <v/>
      </c>
      <c r="E114" s="220" t="str">
        <f>IF(B114="","",IF(COUNTBLANK(H114:BG114)=52,SUM('Capacity calculation (hide)'!H202:BG202),52-COUNTBLANK(H114:BG114)))</f>
        <v/>
      </c>
      <c r="F114" s="310" t="str">
        <f>'Capacity calculation (hide)'!BI202</f>
        <v/>
      </c>
      <c r="H114" s="362"/>
      <c r="I114" s="362"/>
      <c r="J114" s="362"/>
      <c r="K114" s="362"/>
      <c r="L114" s="362"/>
      <c r="M114" s="362"/>
      <c r="N114" s="362"/>
      <c r="O114" s="362"/>
      <c r="P114" s="362"/>
      <c r="Q114" s="362"/>
      <c r="R114" s="362"/>
      <c r="S114" s="362"/>
      <c r="T114" s="362"/>
      <c r="U114" s="362"/>
      <c r="V114" s="362"/>
      <c r="W114" s="362"/>
      <c r="X114" s="362"/>
      <c r="Y114" s="362"/>
      <c r="Z114" s="362"/>
      <c r="AA114" s="362"/>
      <c r="AB114" s="362"/>
      <c r="AC114" s="362"/>
      <c r="AD114" s="362"/>
      <c r="AE114" s="362"/>
      <c r="AF114" s="362"/>
      <c r="AG114" s="362"/>
      <c r="AH114" s="362"/>
      <c r="AI114" s="362"/>
      <c r="AJ114" s="362"/>
      <c r="AK114" s="362"/>
      <c r="AL114" s="362"/>
      <c r="AM114" s="362"/>
      <c r="AN114" s="362"/>
      <c r="AO114" s="362"/>
      <c r="AP114" s="362"/>
      <c r="AQ114" s="362"/>
      <c r="AR114" s="362"/>
      <c r="AS114" s="362"/>
      <c r="AT114" s="362"/>
      <c r="AU114" s="362"/>
      <c r="AV114" s="362"/>
      <c r="AW114" s="362"/>
      <c r="AX114" s="362"/>
      <c r="AY114" s="362"/>
      <c r="AZ114" s="362"/>
      <c r="BA114" s="362"/>
      <c r="BB114" s="362"/>
      <c r="BC114" s="362"/>
      <c r="BD114" s="362"/>
      <c r="BE114" s="362"/>
      <c r="BF114" s="362"/>
      <c r="BG114" s="362"/>
      <c r="BI114" s="341" t="s">
        <v>1237</v>
      </c>
    </row>
    <row r="115" spans="2:61" x14ac:dyDescent="0.2">
      <c r="B115" s="219" t="str">
        <f>IF(Capacity!N108="","",Capacity!N108)</f>
        <v/>
      </c>
      <c r="C115" s="220" t="str">
        <f>IF(B115="","",Capacity!Q108)</f>
        <v/>
      </c>
      <c r="D115" s="309" t="str">
        <f>IF(B115="","",Capacity!R108)</f>
        <v/>
      </c>
      <c r="E115" s="220" t="str">
        <f>IF(B115="","",IF(COUNTBLANK(H115:BG115)=52,SUM('Capacity calculation (hide)'!H203:BG203),52-COUNTBLANK(H115:BG115)))</f>
        <v/>
      </c>
      <c r="F115" s="310" t="str">
        <f>'Capacity calculation (hide)'!BI203</f>
        <v/>
      </c>
      <c r="H115" s="362"/>
      <c r="I115" s="362"/>
      <c r="J115" s="362"/>
      <c r="K115" s="362"/>
      <c r="L115" s="362"/>
      <c r="M115" s="362"/>
      <c r="N115" s="362"/>
      <c r="O115" s="362"/>
      <c r="P115" s="362"/>
      <c r="Q115" s="362"/>
      <c r="R115" s="362"/>
      <c r="S115" s="362"/>
      <c r="T115" s="362"/>
      <c r="U115" s="362"/>
      <c r="V115" s="362"/>
      <c r="W115" s="362"/>
      <c r="X115" s="362"/>
      <c r="Y115" s="362"/>
      <c r="Z115" s="362"/>
      <c r="AA115" s="362"/>
      <c r="AB115" s="362"/>
      <c r="AC115" s="362"/>
      <c r="AD115" s="362"/>
      <c r="AE115" s="362"/>
      <c r="AF115" s="362"/>
      <c r="AG115" s="362"/>
      <c r="AH115" s="362"/>
      <c r="AI115" s="362"/>
      <c r="AJ115" s="362"/>
      <c r="AK115" s="362"/>
      <c r="AL115" s="362"/>
      <c r="AM115" s="362"/>
      <c r="AN115" s="362"/>
      <c r="AO115" s="362"/>
      <c r="AP115" s="362"/>
      <c r="AQ115" s="362"/>
      <c r="AR115" s="362"/>
      <c r="AS115" s="362"/>
      <c r="AT115" s="362"/>
      <c r="AU115" s="362"/>
      <c r="AV115" s="362"/>
      <c r="AW115" s="362"/>
      <c r="AX115" s="362"/>
      <c r="AY115" s="362"/>
      <c r="AZ115" s="362"/>
      <c r="BA115" s="362"/>
      <c r="BB115" s="362"/>
      <c r="BC115" s="362"/>
      <c r="BD115" s="362"/>
      <c r="BE115" s="362"/>
      <c r="BF115" s="362"/>
      <c r="BG115" s="362"/>
      <c r="BI115" s="341" t="s">
        <v>1237</v>
      </c>
    </row>
    <row r="116" spans="2:61" x14ac:dyDescent="0.2">
      <c r="B116" s="219" t="str">
        <f>IF(Capacity!N109="","",Capacity!N109)</f>
        <v/>
      </c>
      <c r="C116" s="220" t="str">
        <f>IF(B116="","",Capacity!Q109)</f>
        <v/>
      </c>
      <c r="D116" s="309" t="str">
        <f>IF(B116="","",Capacity!R109)</f>
        <v/>
      </c>
      <c r="E116" s="220" t="str">
        <f>IF(B116="","",IF(COUNTBLANK(H116:BG116)=52,SUM('Capacity calculation (hide)'!H204:BG204),52-COUNTBLANK(H116:BG116)))</f>
        <v/>
      </c>
      <c r="F116" s="310" t="str">
        <f>'Capacity calculation (hide)'!BI204</f>
        <v/>
      </c>
      <c r="H116" s="362"/>
      <c r="I116" s="362"/>
      <c r="J116" s="362"/>
      <c r="K116" s="362"/>
      <c r="L116" s="362"/>
      <c r="M116" s="362"/>
      <c r="N116" s="362"/>
      <c r="O116" s="362"/>
      <c r="P116" s="362"/>
      <c r="Q116" s="362"/>
      <c r="R116" s="362"/>
      <c r="S116" s="362"/>
      <c r="T116" s="362"/>
      <c r="U116" s="362"/>
      <c r="V116" s="362"/>
      <c r="W116" s="362"/>
      <c r="X116" s="362"/>
      <c r="Y116" s="362"/>
      <c r="Z116" s="362"/>
      <c r="AA116" s="362"/>
      <c r="AB116" s="362"/>
      <c r="AC116" s="362"/>
      <c r="AD116" s="362"/>
      <c r="AE116" s="362"/>
      <c r="AF116" s="362"/>
      <c r="AG116" s="362"/>
      <c r="AH116" s="362"/>
      <c r="AI116" s="362"/>
      <c r="AJ116" s="362"/>
      <c r="AK116" s="362"/>
      <c r="AL116" s="362"/>
      <c r="AM116" s="362"/>
      <c r="AN116" s="362"/>
      <c r="AO116" s="362"/>
      <c r="AP116" s="362"/>
      <c r="AQ116" s="362"/>
      <c r="AR116" s="362"/>
      <c r="AS116" s="362"/>
      <c r="AT116" s="362"/>
      <c r="AU116" s="362"/>
      <c r="AV116" s="362"/>
      <c r="AW116" s="362"/>
      <c r="AX116" s="362"/>
      <c r="AY116" s="362"/>
      <c r="AZ116" s="362"/>
      <c r="BA116" s="362"/>
      <c r="BB116" s="362"/>
      <c r="BC116" s="362"/>
      <c r="BD116" s="362"/>
      <c r="BE116" s="362"/>
      <c r="BF116" s="362"/>
      <c r="BG116" s="362"/>
      <c r="BI116" s="341" t="s">
        <v>1237</v>
      </c>
    </row>
    <row r="117" spans="2:61" x14ac:dyDescent="0.2">
      <c r="B117" s="219" t="str">
        <f>IF(Capacity!N110="","",Capacity!N110)</f>
        <v/>
      </c>
      <c r="C117" s="220" t="str">
        <f>IF(B117="","",Capacity!Q110)</f>
        <v/>
      </c>
      <c r="D117" s="309" t="str">
        <f>IF(B117="","",Capacity!R110)</f>
        <v/>
      </c>
      <c r="E117" s="220" t="str">
        <f>IF(B117="","",IF(COUNTBLANK(H117:BG117)=52,SUM('Capacity calculation (hide)'!H205:BG205),52-COUNTBLANK(H117:BG117)))</f>
        <v/>
      </c>
      <c r="F117" s="310" t="str">
        <f>'Capacity calculation (hide)'!BI205</f>
        <v/>
      </c>
      <c r="H117" s="362"/>
      <c r="I117" s="362"/>
      <c r="J117" s="362"/>
      <c r="K117" s="362"/>
      <c r="L117" s="362"/>
      <c r="M117" s="362"/>
      <c r="N117" s="362"/>
      <c r="O117" s="362"/>
      <c r="P117" s="362"/>
      <c r="Q117" s="362"/>
      <c r="R117" s="362"/>
      <c r="S117" s="362"/>
      <c r="T117" s="362"/>
      <c r="U117" s="362"/>
      <c r="V117" s="362"/>
      <c r="W117" s="362"/>
      <c r="X117" s="362"/>
      <c r="Y117" s="362"/>
      <c r="Z117" s="362"/>
      <c r="AA117" s="362"/>
      <c r="AB117" s="362"/>
      <c r="AC117" s="362"/>
      <c r="AD117" s="362"/>
      <c r="AE117" s="362"/>
      <c r="AF117" s="362"/>
      <c r="AG117" s="362"/>
      <c r="AH117" s="362"/>
      <c r="AI117" s="362"/>
      <c r="AJ117" s="362"/>
      <c r="AK117" s="362"/>
      <c r="AL117" s="362"/>
      <c r="AM117" s="362"/>
      <c r="AN117" s="362"/>
      <c r="AO117" s="362"/>
      <c r="AP117" s="362"/>
      <c r="AQ117" s="362"/>
      <c r="AR117" s="362"/>
      <c r="AS117" s="362"/>
      <c r="AT117" s="362"/>
      <c r="AU117" s="362"/>
      <c r="AV117" s="362"/>
      <c r="AW117" s="362"/>
      <c r="AX117" s="362"/>
      <c r="AY117" s="362"/>
      <c r="AZ117" s="362"/>
      <c r="BA117" s="362"/>
      <c r="BB117" s="362"/>
      <c r="BC117" s="362"/>
      <c r="BD117" s="362"/>
      <c r="BE117" s="362"/>
      <c r="BF117" s="362"/>
      <c r="BG117" s="362"/>
      <c r="BI117" s="341" t="s">
        <v>1237</v>
      </c>
    </row>
    <row r="118" spans="2:61" x14ac:dyDescent="0.2">
      <c r="B118" s="219" t="str">
        <f>IF(Capacity!N111="","",Capacity!N111)</f>
        <v/>
      </c>
      <c r="C118" s="220" t="str">
        <f>IF(B118="","",Capacity!Q111)</f>
        <v/>
      </c>
      <c r="D118" s="309" t="str">
        <f>IF(B118="","",Capacity!R111)</f>
        <v/>
      </c>
      <c r="E118" s="220" t="str">
        <f>IF(B118="","",IF(COUNTBLANK(H118:BG118)=52,SUM('Capacity calculation (hide)'!H206:BG206),52-COUNTBLANK(H118:BG118)))</f>
        <v/>
      </c>
      <c r="F118" s="310" t="str">
        <f>'Capacity calculation (hide)'!BI206</f>
        <v/>
      </c>
      <c r="H118" s="362"/>
      <c r="I118" s="362"/>
      <c r="J118" s="362"/>
      <c r="K118" s="362"/>
      <c r="L118" s="362"/>
      <c r="M118" s="362"/>
      <c r="N118" s="362"/>
      <c r="O118" s="362"/>
      <c r="P118" s="362"/>
      <c r="Q118" s="362"/>
      <c r="R118" s="362"/>
      <c r="S118" s="362"/>
      <c r="T118" s="362"/>
      <c r="U118" s="362"/>
      <c r="V118" s="362"/>
      <c r="W118" s="362"/>
      <c r="X118" s="362"/>
      <c r="Y118" s="362"/>
      <c r="Z118" s="362"/>
      <c r="AA118" s="362"/>
      <c r="AB118" s="362"/>
      <c r="AC118" s="362"/>
      <c r="AD118" s="362"/>
      <c r="AE118" s="362"/>
      <c r="AF118" s="362"/>
      <c r="AG118" s="362"/>
      <c r="AH118" s="362"/>
      <c r="AI118" s="362"/>
      <c r="AJ118" s="362"/>
      <c r="AK118" s="362"/>
      <c r="AL118" s="362"/>
      <c r="AM118" s="362"/>
      <c r="AN118" s="362"/>
      <c r="AO118" s="362"/>
      <c r="AP118" s="362"/>
      <c r="AQ118" s="362"/>
      <c r="AR118" s="362"/>
      <c r="AS118" s="362"/>
      <c r="AT118" s="362"/>
      <c r="AU118" s="362"/>
      <c r="AV118" s="362"/>
      <c r="AW118" s="362"/>
      <c r="AX118" s="362"/>
      <c r="AY118" s="362"/>
      <c r="AZ118" s="362"/>
      <c r="BA118" s="362"/>
      <c r="BB118" s="362"/>
      <c r="BC118" s="362"/>
      <c r="BD118" s="362"/>
      <c r="BE118" s="362"/>
      <c r="BF118" s="362"/>
      <c r="BG118" s="362"/>
      <c r="BI118" s="341" t="s">
        <v>1237</v>
      </c>
    </row>
    <row r="119" spans="2:61" x14ac:dyDescent="0.2">
      <c r="B119" s="219" t="str">
        <f>IF(Capacity!N112="","",Capacity!N112)</f>
        <v/>
      </c>
      <c r="C119" s="220" t="str">
        <f>IF(B119="","",Capacity!Q112)</f>
        <v/>
      </c>
      <c r="D119" s="309" t="str">
        <f>IF(B119="","",Capacity!R112)</f>
        <v/>
      </c>
      <c r="E119" s="220" t="str">
        <f>IF(B119="","",IF(COUNTBLANK(H119:BG119)=52,SUM('Capacity calculation (hide)'!H207:BG207),52-COUNTBLANK(H119:BG119)))</f>
        <v/>
      </c>
      <c r="F119" s="310" t="str">
        <f>'Capacity calculation (hide)'!BI207</f>
        <v/>
      </c>
      <c r="H119" s="362"/>
      <c r="I119" s="362"/>
      <c r="J119" s="362"/>
      <c r="K119" s="362"/>
      <c r="L119" s="362"/>
      <c r="M119" s="362"/>
      <c r="N119" s="362"/>
      <c r="O119" s="362"/>
      <c r="P119" s="362"/>
      <c r="Q119" s="362"/>
      <c r="R119" s="362"/>
      <c r="S119" s="362"/>
      <c r="T119" s="362"/>
      <c r="U119" s="362"/>
      <c r="V119" s="362"/>
      <c r="W119" s="362"/>
      <c r="X119" s="362"/>
      <c r="Y119" s="362"/>
      <c r="Z119" s="362"/>
      <c r="AA119" s="362"/>
      <c r="AB119" s="362"/>
      <c r="AC119" s="362"/>
      <c r="AD119" s="362"/>
      <c r="AE119" s="362"/>
      <c r="AF119" s="362"/>
      <c r="AG119" s="362"/>
      <c r="AH119" s="362"/>
      <c r="AI119" s="362"/>
      <c r="AJ119" s="362"/>
      <c r="AK119" s="362"/>
      <c r="AL119" s="362"/>
      <c r="AM119" s="362"/>
      <c r="AN119" s="362"/>
      <c r="AO119" s="362"/>
      <c r="AP119" s="362"/>
      <c r="AQ119" s="362"/>
      <c r="AR119" s="362"/>
      <c r="AS119" s="362"/>
      <c r="AT119" s="362"/>
      <c r="AU119" s="362"/>
      <c r="AV119" s="362"/>
      <c r="AW119" s="362"/>
      <c r="AX119" s="362"/>
      <c r="AY119" s="362"/>
      <c r="AZ119" s="362"/>
      <c r="BA119" s="362"/>
      <c r="BB119" s="362"/>
      <c r="BC119" s="362"/>
      <c r="BD119" s="362"/>
      <c r="BE119" s="362"/>
      <c r="BF119" s="362"/>
      <c r="BG119" s="362"/>
      <c r="BI119" s="341" t="s">
        <v>1237</v>
      </c>
    </row>
    <row r="120" spans="2:61" x14ac:dyDescent="0.2">
      <c r="B120" s="219" t="str">
        <f>IF(Capacity!N113="","",Capacity!N113)</f>
        <v/>
      </c>
      <c r="C120" s="220" t="str">
        <f>IF(B120="","",Capacity!Q113)</f>
        <v/>
      </c>
      <c r="D120" s="309" t="str">
        <f>IF(B120="","",Capacity!R113)</f>
        <v/>
      </c>
      <c r="E120" s="220" t="str">
        <f>IF(B120="","",IF(COUNTBLANK(H120:BG120)=52,SUM('Capacity calculation (hide)'!H208:BG208),52-COUNTBLANK(H120:BG120)))</f>
        <v/>
      </c>
      <c r="F120" s="310" t="str">
        <f>'Capacity calculation (hide)'!BI208</f>
        <v/>
      </c>
      <c r="H120" s="362"/>
      <c r="I120" s="362"/>
      <c r="J120" s="362"/>
      <c r="K120" s="362"/>
      <c r="L120" s="362"/>
      <c r="M120" s="362"/>
      <c r="N120" s="362"/>
      <c r="O120" s="362"/>
      <c r="P120" s="362"/>
      <c r="Q120" s="362"/>
      <c r="R120" s="362"/>
      <c r="S120" s="362"/>
      <c r="T120" s="362"/>
      <c r="U120" s="362"/>
      <c r="V120" s="362"/>
      <c r="W120" s="362"/>
      <c r="X120" s="362"/>
      <c r="Y120" s="362"/>
      <c r="Z120" s="362"/>
      <c r="AA120" s="362"/>
      <c r="AB120" s="362"/>
      <c r="AC120" s="362"/>
      <c r="AD120" s="362"/>
      <c r="AE120" s="362"/>
      <c r="AF120" s="362"/>
      <c r="AG120" s="362"/>
      <c r="AH120" s="362"/>
      <c r="AI120" s="362"/>
      <c r="AJ120" s="362"/>
      <c r="AK120" s="362"/>
      <c r="AL120" s="362"/>
      <c r="AM120" s="362"/>
      <c r="AN120" s="362"/>
      <c r="AO120" s="362"/>
      <c r="AP120" s="362"/>
      <c r="AQ120" s="362"/>
      <c r="AR120" s="362"/>
      <c r="AS120" s="362"/>
      <c r="AT120" s="362"/>
      <c r="AU120" s="362"/>
      <c r="AV120" s="362"/>
      <c r="AW120" s="362"/>
      <c r="AX120" s="362"/>
      <c r="AY120" s="362"/>
      <c r="AZ120" s="362"/>
      <c r="BA120" s="362"/>
      <c r="BB120" s="362"/>
      <c r="BC120" s="362"/>
      <c r="BD120" s="362"/>
      <c r="BE120" s="362"/>
      <c r="BF120" s="362"/>
      <c r="BG120" s="362"/>
      <c r="BI120" s="341" t="s">
        <v>1237</v>
      </c>
    </row>
    <row r="121" spans="2:61" x14ac:dyDescent="0.2">
      <c r="B121" s="219" t="str">
        <f>IF(Capacity!N114="","",Capacity!N114)</f>
        <v/>
      </c>
      <c r="C121" s="220" t="str">
        <f>IF(B121="","",Capacity!Q114)</f>
        <v/>
      </c>
      <c r="D121" s="309" t="str">
        <f>IF(B121="","",Capacity!R114)</f>
        <v/>
      </c>
      <c r="E121" s="220" t="str">
        <f>IF(B121="","",IF(COUNTBLANK(H121:BG121)=52,SUM('Capacity calculation (hide)'!H209:BG209),52-COUNTBLANK(H121:BG121)))</f>
        <v/>
      </c>
      <c r="F121" s="310" t="str">
        <f>'Capacity calculation (hide)'!BI209</f>
        <v/>
      </c>
      <c r="H121" s="362"/>
      <c r="I121" s="362"/>
      <c r="J121" s="362"/>
      <c r="K121" s="362"/>
      <c r="L121" s="362"/>
      <c r="M121" s="362"/>
      <c r="N121" s="362"/>
      <c r="O121" s="362"/>
      <c r="P121" s="362"/>
      <c r="Q121" s="362"/>
      <c r="R121" s="362"/>
      <c r="S121" s="362"/>
      <c r="T121" s="362"/>
      <c r="U121" s="362"/>
      <c r="V121" s="362"/>
      <c r="W121" s="362"/>
      <c r="X121" s="362"/>
      <c r="Y121" s="362"/>
      <c r="Z121" s="362"/>
      <c r="AA121" s="362"/>
      <c r="AB121" s="362"/>
      <c r="AC121" s="362"/>
      <c r="AD121" s="362"/>
      <c r="AE121" s="362"/>
      <c r="AF121" s="362"/>
      <c r="AG121" s="362"/>
      <c r="AH121" s="362"/>
      <c r="AI121" s="362"/>
      <c r="AJ121" s="362"/>
      <c r="AK121" s="362"/>
      <c r="AL121" s="362"/>
      <c r="AM121" s="362"/>
      <c r="AN121" s="362"/>
      <c r="AO121" s="362"/>
      <c r="AP121" s="362"/>
      <c r="AQ121" s="362"/>
      <c r="AR121" s="362"/>
      <c r="AS121" s="362"/>
      <c r="AT121" s="362"/>
      <c r="AU121" s="362"/>
      <c r="AV121" s="362"/>
      <c r="AW121" s="362"/>
      <c r="AX121" s="362"/>
      <c r="AY121" s="362"/>
      <c r="AZ121" s="362"/>
      <c r="BA121" s="362"/>
      <c r="BB121" s="362"/>
      <c r="BC121" s="362"/>
      <c r="BD121" s="362"/>
      <c r="BE121" s="362"/>
      <c r="BF121" s="362"/>
      <c r="BG121" s="362"/>
      <c r="BI121" s="341" t="s">
        <v>1237</v>
      </c>
    </row>
    <row r="122" spans="2:61" x14ac:dyDescent="0.2">
      <c r="B122" s="219" t="str">
        <f>IF(Capacity!N115="","",Capacity!N115)</f>
        <v/>
      </c>
      <c r="C122" s="220" t="str">
        <f>IF(B122="","",Capacity!Q115)</f>
        <v/>
      </c>
      <c r="D122" s="309" t="str">
        <f>IF(B122="","",Capacity!R115)</f>
        <v/>
      </c>
      <c r="E122" s="220" t="str">
        <f>IF(B122="","",IF(COUNTBLANK(H122:BG122)=52,SUM('Capacity calculation (hide)'!H210:BG210),52-COUNTBLANK(H122:BG122)))</f>
        <v/>
      </c>
      <c r="F122" s="310" t="str">
        <f>'Capacity calculation (hide)'!BI210</f>
        <v/>
      </c>
      <c r="H122" s="362"/>
      <c r="I122" s="362"/>
      <c r="J122" s="362"/>
      <c r="K122" s="362"/>
      <c r="L122" s="362"/>
      <c r="M122" s="362"/>
      <c r="N122" s="362"/>
      <c r="O122" s="362"/>
      <c r="P122" s="362"/>
      <c r="Q122" s="362"/>
      <c r="R122" s="362"/>
      <c r="S122" s="362"/>
      <c r="T122" s="362"/>
      <c r="U122" s="362"/>
      <c r="V122" s="362"/>
      <c r="W122" s="362"/>
      <c r="X122" s="362"/>
      <c r="Y122" s="362"/>
      <c r="Z122" s="362"/>
      <c r="AA122" s="362"/>
      <c r="AB122" s="362"/>
      <c r="AC122" s="362"/>
      <c r="AD122" s="362"/>
      <c r="AE122" s="362"/>
      <c r="AF122" s="362"/>
      <c r="AG122" s="362"/>
      <c r="AH122" s="362"/>
      <c r="AI122" s="362"/>
      <c r="AJ122" s="362"/>
      <c r="AK122" s="362"/>
      <c r="AL122" s="362"/>
      <c r="AM122" s="362"/>
      <c r="AN122" s="362"/>
      <c r="AO122" s="362"/>
      <c r="AP122" s="362"/>
      <c r="AQ122" s="362"/>
      <c r="AR122" s="362"/>
      <c r="AS122" s="362"/>
      <c r="AT122" s="362"/>
      <c r="AU122" s="362"/>
      <c r="AV122" s="362"/>
      <c r="AW122" s="362"/>
      <c r="AX122" s="362"/>
      <c r="AY122" s="362"/>
      <c r="AZ122" s="362"/>
      <c r="BA122" s="362"/>
      <c r="BB122" s="362"/>
      <c r="BC122" s="362"/>
      <c r="BD122" s="362"/>
      <c r="BE122" s="362"/>
      <c r="BF122" s="362"/>
      <c r="BG122" s="362"/>
      <c r="BI122" s="341" t="s">
        <v>1237</v>
      </c>
    </row>
    <row r="123" spans="2:61" x14ac:dyDescent="0.2">
      <c r="B123" s="219" t="str">
        <f>IF(Capacity!N116="","",Capacity!N116)</f>
        <v/>
      </c>
      <c r="C123" s="220" t="str">
        <f>IF(B123="","",Capacity!Q116)</f>
        <v/>
      </c>
      <c r="D123" s="309" t="str">
        <f>IF(B123="","",Capacity!R116)</f>
        <v/>
      </c>
      <c r="E123" s="220" t="str">
        <f>IF(B123="","",IF(COUNTBLANK(H123:BG123)=52,SUM('Capacity calculation (hide)'!H211:BG211),52-COUNTBLANK(H123:BG123)))</f>
        <v/>
      </c>
      <c r="F123" s="310" t="str">
        <f>'Capacity calculation (hide)'!BI211</f>
        <v/>
      </c>
      <c r="H123" s="362"/>
      <c r="I123" s="362"/>
      <c r="J123" s="362"/>
      <c r="K123" s="362"/>
      <c r="L123" s="362"/>
      <c r="M123" s="362"/>
      <c r="N123" s="362"/>
      <c r="O123" s="362"/>
      <c r="P123" s="362"/>
      <c r="Q123" s="362"/>
      <c r="R123" s="362"/>
      <c r="S123" s="362"/>
      <c r="T123" s="362"/>
      <c r="U123" s="362"/>
      <c r="V123" s="362"/>
      <c r="W123" s="362"/>
      <c r="X123" s="362"/>
      <c r="Y123" s="362"/>
      <c r="Z123" s="362"/>
      <c r="AA123" s="362"/>
      <c r="AB123" s="362"/>
      <c r="AC123" s="362"/>
      <c r="AD123" s="362"/>
      <c r="AE123" s="362"/>
      <c r="AF123" s="362"/>
      <c r="AG123" s="362"/>
      <c r="AH123" s="362"/>
      <c r="AI123" s="362"/>
      <c r="AJ123" s="362"/>
      <c r="AK123" s="362"/>
      <c r="AL123" s="362"/>
      <c r="AM123" s="362"/>
      <c r="AN123" s="362"/>
      <c r="AO123" s="362"/>
      <c r="AP123" s="362"/>
      <c r="AQ123" s="362"/>
      <c r="AR123" s="362"/>
      <c r="AS123" s="362"/>
      <c r="AT123" s="362"/>
      <c r="AU123" s="362"/>
      <c r="AV123" s="362"/>
      <c r="AW123" s="362"/>
      <c r="AX123" s="362"/>
      <c r="AY123" s="362"/>
      <c r="AZ123" s="362"/>
      <c r="BA123" s="362"/>
      <c r="BB123" s="362"/>
      <c r="BC123" s="362"/>
      <c r="BD123" s="362"/>
      <c r="BE123" s="362"/>
      <c r="BF123" s="362"/>
      <c r="BG123" s="362"/>
      <c r="BI123" s="341" t="s">
        <v>1237</v>
      </c>
    </row>
    <row r="124" spans="2:61" hidden="1" x14ac:dyDescent="0.2">
      <c r="B124" s="67" t="str">
        <f>IF(Capacity!B17="","",Capacity!B17)</f>
        <v>Core Clinic 1</v>
      </c>
      <c r="C124" s="220">
        <f>IF(B124="","",Capacity!E17)</f>
        <v>30</v>
      </c>
      <c r="D124" s="309">
        <f>IF(B124="","",Capacity!F17)</f>
        <v>9</v>
      </c>
      <c r="E124" s="220">
        <f ca="1">IF(B124="","",IF(COUNTBLANK(H124:BG124)=52,SUM('Capacity calculation (hide)'!H5:BG5),52-COUNTBLANK(H124:BG124)))</f>
        <v>42</v>
      </c>
      <c r="F124" s="310">
        <f ca="1">'Capacity calculation (hide)'!BI5</f>
        <v>6.4285714285714288</v>
      </c>
      <c r="H124" s="362"/>
      <c r="I124" s="362"/>
      <c r="J124" s="362"/>
      <c r="K124" s="362"/>
      <c r="L124" s="362"/>
      <c r="M124" s="362"/>
      <c r="N124" s="362"/>
      <c r="O124" s="362"/>
      <c r="P124" s="362"/>
      <c r="Q124" s="362"/>
      <c r="R124" s="362"/>
      <c r="S124" s="362"/>
      <c r="T124" s="362"/>
      <c r="U124" s="362"/>
      <c r="V124" s="362"/>
      <c r="W124" s="362"/>
      <c r="X124" s="362"/>
      <c r="Y124" s="362"/>
      <c r="Z124" s="362"/>
      <c r="AA124" s="362"/>
      <c r="AB124" s="362"/>
      <c r="AC124" s="362"/>
      <c r="AD124" s="362"/>
      <c r="AE124" s="362"/>
      <c r="AF124" s="362"/>
      <c r="AG124" s="362"/>
      <c r="AH124" s="362"/>
      <c r="AI124" s="362"/>
      <c r="AJ124" s="362"/>
      <c r="AK124" s="362"/>
      <c r="AL124" s="362"/>
      <c r="AM124" s="362"/>
      <c r="AN124" s="362"/>
      <c r="AO124" s="362"/>
      <c r="AP124" s="362"/>
      <c r="AQ124" s="362"/>
      <c r="AR124" s="362"/>
      <c r="AS124" s="362"/>
      <c r="AT124" s="362"/>
      <c r="AU124" s="362"/>
      <c r="AV124" s="362"/>
      <c r="AW124" s="362"/>
      <c r="AX124" s="362"/>
      <c r="AY124" s="362"/>
      <c r="AZ124" s="362"/>
      <c r="BA124" s="362"/>
      <c r="BB124" s="362"/>
      <c r="BC124" s="362"/>
      <c r="BD124" s="362"/>
      <c r="BE124" s="362"/>
      <c r="BF124" s="362"/>
      <c r="BG124" s="362"/>
      <c r="BI124" s="342" t="s">
        <v>1237</v>
      </c>
    </row>
    <row r="125" spans="2:61" hidden="1" x14ac:dyDescent="0.2">
      <c r="B125" s="67" t="str">
        <f>IF(Capacity!B18="","",Capacity!B18)</f>
        <v>Core Clinic 2</v>
      </c>
      <c r="C125" s="220">
        <f>IF(B125="","",Capacity!E18)</f>
        <v>30</v>
      </c>
      <c r="D125" s="309">
        <f>IF(B125="","",Capacity!F18)</f>
        <v>9</v>
      </c>
      <c r="E125" s="220">
        <f ca="1">IF(B125="","",IF(COUNTBLANK(H125:BG125)=52,SUM('Capacity calculation (hide)'!H6:BG6),52-COUNTBLANK(H125:BG125)))</f>
        <v>37</v>
      </c>
      <c r="F125" s="310">
        <f ca="1">'Capacity calculation (hide)'!BI6</f>
        <v>7.2972972972972974</v>
      </c>
      <c r="H125" s="362"/>
      <c r="I125" s="362"/>
      <c r="J125" s="362"/>
      <c r="K125" s="362"/>
      <c r="L125" s="362"/>
      <c r="M125" s="362"/>
      <c r="N125" s="362"/>
      <c r="O125" s="362"/>
      <c r="P125" s="362"/>
      <c r="Q125" s="362"/>
      <c r="R125" s="362"/>
      <c r="S125" s="362"/>
      <c r="T125" s="362"/>
      <c r="U125" s="362"/>
      <c r="V125" s="362"/>
      <c r="W125" s="362"/>
      <c r="X125" s="362"/>
      <c r="Y125" s="362"/>
      <c r="Z125" s="362"/>
      <c r="AA125" s="362"/>
      <c r="AB125" s="362"/>
      <c r="AC125" s="362"/>
      <c r="AD125" s="362"/>
      <c r="AE125" s="362"/>
      <c r="AF125" s="362"/>
      <c r="AG125" s="362"/>
      <c r="AH125" s="362"/>
      <c r="AI125" s="362"/>
      <c r="AJ125" s="362"/>
      <c r="AK125" s="362"/>
      <c r="AL125" s="362"/>
      <c r="AM125" s="362"/>
      <c r="AN125" s="362"/>
      <c r="AO125" s="362"/>
      <c r="AP125" s="362"/>
      <c r="AQ125" s="362"/>
      <c r="AR125" s="362"/>
      <c r="AS125" s="362"/>
      <c r="AT125" s="362"/>
      <c r="AU125" s="362"/>
      <c r="AV125" s="362"/>
      <c r="AW125" s="362"/>
      <c r="AX125" s="362"/>
      <c r="AY125" s="362"/>
      <c r="AZ125" s="362"/>
      <c r="BA125" s="362"/>
      <c r="BB125" s="362"/>
      <c r="BC125" s="362"/>
      <c r="BD125" s="362"/>
      <c r="BE125" s="362"/>
      <c r="BF125" s="362"/>
      <c r="BG125" s="362"/>
      <c r="BI125" s="342" t="s">
        <v>1237</v>
      </c>
    </row>
    <row r="126" spans="2:61" hidden="1" x14ac:dyDescent="0.2">
      <c r="B126" s="67" t="str">
        <f>IF(Capacity!B19="","",Capacity!B19)</f>
        <v>Core Clinic 3</v>
      </c>
      <c r="C126" s="220">
        <f>IF(B126="","",Capacity!E19)</f>
        <v>21</v>
      </c>
      <c r="D126" s="309">
        <f>IF(B126="","",Capacity!F19)</f>
        <v>6</v>
      </c>
      <c r="E126" s="220">
        <f ca="1">IF(B126="","",IF(COUNTBLANK(H126:BG126)=52,SUM('Capacity calculation (hide)'!H7:BG7),52-COUNTBLANK(H126:BG126)))</f>
        <v>41</v>
      </c>
      <c r="F126" s="310">
        <f ca="1">'Capacity calculation (hide)'!BI7</f>
        <v>3.0731707317073171</v>
      </c>
      <c r="H126" s="362"/>
      <c r="I126" s="362"/>
      <c r="J126" s="362"/>
      <c r="K126" s="362"/>
      <c r="L126" s="362"/>
      <c r="M126" s="362"/>
      <c r="N126" s="362"/>
      <c r="O126" s="362"/>
      <c r="P126" s="362"/>
      <c r="Q126" s="362"/>
      <c r="R126" s="362"/>
      <c r="S126" s="362"/>
      <c r="T126" s="362"/>
      <c r="U126" s="362"/>
      <c r="V126" s="362"/>
      <c r="W126" s="362"/>
      <c r="X126" s="362"/>
      <c r="Y126" s="362"/>
      <c r="Z126" s="362"/>
      <c r="AA126" s="362"/>
      <c r="AB126" s="362"/>
      <c r="AC126" s="362"/>
      <c r="AD126" s="362"/>
      <c r="AE126" s="362"/>
      <c r="AF126" s="362"/>
      <c r="AG126" s="362"/>
      <c r="AH126" s="362"/>
      <c r="AI126" s="362"/>
      <c r="AJ126" s="362"/>
      <c r="AK126" s="362"/>
      <c r="AL126" s="362"/>
      <c r="AM126" s="362"/>
      <c r="AN126" s="362"/>
      <c r="AO126" s="362"/>
      <c r="AP126" s="362"/>
      <c r="AQ126" s="362"/>
      <c r="AR126" s="362"/>
      <c r="AS126" s="362"/>
      <c r="AT126" s="362"/>
      <c r="AU126" s="362"/>
      <c r="AV126" s="362"/>
      <c r="AW126" s="362"/>
      <c r="AX126" s="362"/>
      <c r="AY126" s="362"/>
      <c r="AZ126" s="362"/>
      <c r="BA126" s="362"/>
      <c r="BB126" s="362"/>
      <c r="BC126" s="362"/>
      <c r="BD126" s="362"/>
      <c r="BE126" s="362"/>
      <c r="BF126" s="362"/>
      <c r="BG126" s="362"/>
      <c r="BI126" s="342" t="s">
        <v>1237</v>
      </c>
    </row>
    <row r="127" spans="2:61" hidden="1" x14ac:dyDescent="0.2">
      <c r="B127" s="67" t="str">
        <f>IF(Capacity!B20="","",Capacity!B20)</f>
        <v>Core Clinic 4</v>
      </c>
      <c r="C127" s="220">
        <f>IF(B127="","",Capacity!E20)</f>
        <v>12</v>
      </c>
      <c r="D127" s="309">
        <f>IF(B127="","",Capacity!F20)</f>
        <v>6</v>
      </c>
      <c r="E127" s="220">
        <f ca="1">IF(B127="","",IF(COUNTBLANK(H127:BG127)=52,SUM('Capacity calculation (hide)'!H8:BG8),52-COUNTBLANK(H127:BG127)))</f>
        <v>46</v>
      </c>
      <c r="F127" s="310">
        <f ca="1">'Capacity calculation (hide)'!BI8</f>
        <v>1.5652173913043479</v>
      </c>
      <c r="H127" s="362"/>
      <c r="I127" s="362"/>
      <c r="J127" s="362"/>
      <c r="K127" s="362"/>
      <c r="L127" s="362"/>
      <c r="M127" s="362"/>
      <c r="N127" s="362"/>
      <c r="O127" s="362"/>
      <c r="P127" s="362"/>
      <c r="Q127" s="362"/>
      <c r="R127" s="362"/>
      <c r="S127" s="362"/>
      <c r="T127" s="362"/>
      <c r="U127" s="362"/>
      <c r="V127" s="362"/>
      <c r="W127" s="362"/>
      <c r="X127" s="362"/>
      <c r="Y127" s="362"/>
      <c r="Z127" s="362"/>
      <c r="AA127" s="362"/>
      <c r="AB127" s="362"/>
      <c r="AC127" s="362"/>
      <c r="AD127" s="362"/>
      <c r="AE127" s="362"/>
      <c r="AF127" s="362"/>
      <c r="AG127" s="362"/>
      <c r="AH127" s="362"/>
      <c r="AI127" s="362"/>
      <c r="AJ127" s="362"/>
      <c r="AK127" s="362"/>
      <c r="AL127" s="362"/>
      <c r="AM127" s="362"/>
      <c r="AN127" s="362"/>
      <c r="AO127" s="362"/>
      <c r="AP127" s="362"/>
      <c r="AQ127" s="362"/>
      <c r="AR127" s="362"/>
      <c r="AS127" s="362"/>
      <c r="AT127" s="362"/>
      <c r="AU127" s="362"/>
      <c r="AV127" s="362"/>
      <c r="AW127" s="362"/>
      <c r="AX127" s="362"/>
      <c r="AY127" s="362"/>
      <c r="AZ127" s="362"/>
      <c r="BA127" s="362"/>
      <c r="BB127" s="362"/>
      <c r="BC127" s="362"/>
      <c r="BD127" s="362"/>
      <c r="BE127" s="362"/>
      <c r="BF127" s="362"/>
      <c r="BG127" s="362"/>
      <c r="BI127" s="342" t="s">
        <v>1237</v>
      </c>
    </row>
    <row r="128" spans="2:61" hidden="1" x14ac:dyDescent="0.2">
      <c r="B128" s="67" t="str">
        <f>IF(Capacity!B21="","",Capacity!B21)</f>
        <v/>
      </c>
      <c r="C128" s="220" t="str">
        <f>IF(B128="","",Capacity!E21)</f>
        <v/>
      </c>
      <c r="D128" s="309" t="str">
        <f>IF(B128="","",Capacity!F21)</f>
        <v/>
      </c>
      <c r="E128" s="220" t="str">
        <f>IF(B128="","",IF(COUNTBLANK(H128:BG128)=52,SUM('Capacity calculation (hide)'!H9:BG9),52-COUNTBLANK(H128:BG128)))</f>
        <v/>
      </c>
      <c r="F128" s="310" t="str">
        <f>'Capacity calculation (hide)'!BI9</f>
        <v/>
      </c>
      <c r="H128" s="362"/>
      <c r="I128" s="362"/>
      <c r="J128" s="362"/>
      <c r="K128" s="362"/>
      <c r="L128" s="362"/>
      <c r="M128" s="362"/>
      <c r="N128" s="362"/>
      <c r="O128" s="362"/>
      <c r="P128" s="362"/>
      <c r="Q128" s="362"/>
      <c r="R128" s="362"/>
      <c r="S128" s="362"/>
      <c r="T128" s="362"/>
      <c r="U128" s="362"/>
      <c r="V128" s="362"/>
      <c r="W128" s="362"/>
      <c r="X128" s="362"/>
      <c r="Y128" s="362"/>
      <c r="Z128" s="362"/>
      <c r="AA128" s="362"/>
      <c r="AB128" s="362"/>
      <c r="AC128" s="362"/>
      <c r="AD128" s="362"/>
      <c r="AE128" s="362"/>
      <c r="AF128" s="362"/>
      <c r="AG128" s="362"/>
      <c r="AH128" s="362"/>
      <c r="AI128" s="362"/>
      <c r="AJ128" s="362"/>
      <c r="AK128" s="362"/>
      <c r="AL128" s="362"/>
      <c r="AM128" s="362"/>
      <c r="AN128" s="362"/>
      <c r="AO128" s="362"/>
      <c r="AP128" s="362"/>
      <c r="AQ128" s="362"/>
      <c r="AR128" s="362"/>
      <c r="AS128" s="362"/>
      <c r="AT128" s="362"/>
      <c r="AU128" s="362"/>
      <c r="AV128" s="362"/>
      <c r="AW128" s="362"/>
      <c r="AX128" s="362"/>
      <c r="AY128" s="362"/>
      <c r="AZ128" s="362"/>
      <c r="BA128" s="362"/>
      <c r="BB128" s="362"/>
      <c r="BC128" s="362"/>
      <c r="BD128" s="362"/>
      <c r="BE128" s="362"/>
      <c r="BF128" s="362"/>
      <c r="BG128" s="362"/>
      <c r="BI128" s="342" t="s">
        <v>1237</v>
      </c>
    </row>
    <row r="129" spans="2:61" hidden="1" x14ac:dyDescent="0.2">
      <c r="B129" s="67" t="str">
        <f>IF(Capacity!B22="","",Capacity!B22)</f>
        <v/>
      </c>
      <c r="C129" s="220" t="str">
        <f>IF(B129="","",Capacity!E22)</f>
        <v/>
      </c>
      <c r="D129" s="309" t="str">
        <f>IF(B129="","",Capacity!F22)</f>
        <v/>
      </c>
      <c r="E129" s="220" t="str">
        <f>IF(B129="","",IF(COUNTBLANK(H129:BG129)=52,SUM('Capacity calculation (hide)'!H10:BG10),52-COUNTBLANK(H129:BG129)))</f>
        <v/>
      </c>
      <c r="F129" s="310" t="str">
        <f>'Capacity calculation (hide)'!BI10</f>
        <v/>
      </c>
      <c r="H129" s="362"/>
      <c r="I129" s="362"/>
      <c r="J129" s="362"/>
      <c r="K129" s="362"/>
      <c r="L129" s="362"/>
      <c r="M129" s="362"/>
      <c r="N129" s="362"/>
      <c r="O129" s="362"/>
      <c r="P129" s="362"/>
      <c r="Q129" s="362"/>
      <c r="R129" s="362"/>
      <c r="S129" s="362"/>
      <c r="T129" s="362"/>
      <c r="U129" s="362"/>
      <c r="V129" s="362"/>
      <c r="W129" s="362"/>
      <c r="X129" s="362"/>
      <c r="Y129" s="362"/>
      <c r="Z129" s="362"/>
      <c r="AA129" s="362"/>
      <c r="AB129" s="362"/>
      <c r="AC129" s="362"/>
      <c r="AD129" s="362"/>
      <c r="AE129" s="362"/>
      <c r="AF129" s="362"/>
      <c r="AG129" s="362"/>
      <c r="AH129" s="362"/>
      <c r="AI129" s="362"/>
      <c r="AJ129" s="362"/>
      <c r="AK129" s="362"/>
      <c r="AL129" s="362"/>
      <c r="AM129" s="362"/>
      <c r="AN129" s="362"/>
      <c r="AO129" s="362"/>
      <c r="AP129" s="362"/>
      <c r="AQ129" s="362"/>
      <c r="AR129" s="362"/>
      <c r="AS129" s="362"/>
      <c r="AT129" s="362"/>
      <c r="AU129" s="362"/>
      <c r="AV129" s="362"/>
      <c r="AW129" s="362"/>
      <c r="AX129" s="362"/>
      <c r="AY129" s="362"/>
      <c r="AZ129" s="362"/>
      <c r="BA129" s="362"/>
      <c r="BB129" s="362"/>
      <c r="BC129" s="362"/>
      <c r="BD129" s="362"/>
      <c r="BE129" s="362"/>
      <c r="BF129" s="362"/>
      <c r="BG129" s="362"/>
      <c r="BI129" s="342" t="s">
        <v>1237</v>
      </c>
    </row>
    <row r="130" spans="2:61" hidden="1" x14ac:dyDescent="0.2">
      <c r="B130" s="67" t="str">
        <f>IF(Capacity!B23="","",Capacity!B23)</f>
        <v/>
      </c>
      <c r="C130" s="220" t="str">
        <f>IF(B130="","",Capacity!E23)</f>
        <v/>
      </c>
      <c r="D130" s="309" t="str">
        <f>IF(B130="","",Capacity!F23)</f>
        <v/>
      </c>
      <c r="E130" s="220" t="str">
        <f>IF(B130="","",IF(COUNTBLANK(H130:BG130)=52,SUM('Capacity calculation (hide)'!H11:BG11),52-COUNTBLANK(H130:BG130)))</f>
        <v/>
      </c>
      <c r="F130" s="310" t="str">
        <f>'Capacity calculation (hide)'!BI11</f>
        <v/>
      </c>
      <c r="H130" s="362"/>
      <c r="I130" s="362"/>
      <c r="J130" s="362"/>
      <c r="K130" s="362"/>
      <c r="L130" s="362"/>
      <c r="M130" s="362"/>
      <c r="N130" s="362"/>
      <c r="O130" s="362"/>
      <c r="P130" s="362"/>
      <c r="Q130" s="362"/>
      <c r="R130" s="362"/>
      <c r="S130" s="362"/>
      <c r="T130" s="362"/>
      <c r="U130" s="362"/>
      <c r="V130" s="362"/>
      <c r="W130" s="362"/>
      <c r="X130" s="362"/>
      <c r="Y130" s="362"/>
      <c r="Z130" s="362"/>
      <c r="AA130" s="362"/>
      <c r="AB130" s="362"/>
      <c r="AC130" s="362"/>
      <c r="AD130" s="362"/>
      <c r="AE130" s="362"/>
      <c r="AF130" s="362"/>
      <c r="AG130" s="362"/>
      <c r="AH130" s="362"/>
      <c r="AI130" s="362"/>
      <c r="AJ130" s="362"/>
      <c r="AK130" s="362"/>
      <c r="AL130" s="362"/>
      <c r="AM130" s="362"/>
      <c r="AN130" s="362"/>
      <c r="AO130" s="362"/>
      <c r="AP130" s="362"/>
      <c r="AQ130" s="362"/>
      <c r="AR130" s="362"/>
      <c r="AS130" s="362"/>
      <c r="AT130" s="362"/>
      <c r="AU130" s="362"/>
      <c r="AV130" s="362"/>
      <c r="AW130" s="362"/>
      <c r="AX130" s="362"/>
      <c r="AY130" s="362"/>
      <c r="AZ130" s="362"/>
      <c r="BA130" s="362"/>
      <c r="BB130" s="362"/>
      <c r="BC130" s="362"/>
      <c r="BD130" s="362"/>
      <c r="BE130" s="362"/>
      <c r="BF130" s="362"/>
      <c r="BG130" s="362"/>
      <c r="BI130" s="342" t="s">
        <v>1237</v>
      </c>
    </row>
    <row r="131" spans="2:61" hidden="1" x14ac:dyDescent="0.2">
      <c r="B131" s="67" t="str">
        <f>IF(Capacity!B24="","",Capacity!B24)</f>
        <v/>
      </c>
      <c r="C131" s="220" t="str">
        <f>IF(B131="","",Capacity!E24)</f>
        <v/>
      </c>
      <c r="D131" s="309" t="str">
        <f>IF(B131="","",Capacity!F24)</f>
        <v/>
      </c>
      <c r="E131" s="220" t="str">
        <f>IF(B131="","",IF(COUNTBLANK(H131:BG131)=52,SUM('Capacity calculation (hide)'!H12:BG12),52-COUNTBLANK(H131:BG131)))</f>
        <v/>
      </c>
      <c r="F131" s="310" t="str">
        <f>'Capacity calculation (hide)'!BI12</f>
        <v/>
      </c>
      <c r="H131" s="362"/>
      <c r="I131" s="362"/>
      <c r="J131" s="362"/>
      <c r="K131" s="362"/>
      <c r="L131" s="362"/>
      <c r="M131" s="362"/>
      <c r="N131" s="362"/>
      <c r="O131" s="362"/>
      <c r="P131" s="362"/>
      <c r="Q131" s="362"/>
      <c r="R131" s="362"/>
      <c r="S131" s="362"/>
      <c r="T131" s="362"/>
      <c r="U131" s="362"/>
      <c r="V131" s="362"/>
      <c r="W131" s="362"/>
      <c r="X131" s="362"/>
      <c r="Y131" s="362"/>
      <c r="Z131" s="362"/>
      <c r="AA131" s="362"/>
      <c r="AB131" s="362"/>
      <c r="AC131" s="362"/>
      <c r="AD131" s="362"/>
      <c r="AE131" s="362"/>
      <c r="AF131" s="362"/>
      <c r="AG131" s="362"/>
      <c r="AH131" s="362"/>
      <c r="AI131" s="362"/>
      <c r="AJ131" s="362"/>
      <c r="AK131" s="362"/>
      <c r="AL131" s="362"/>
      <c r="AM131" s="362"/>
      <c r="AN131" s="362"/>
      <c r="AO131" s="362"/>
      <c r="AP131" s="362"/>
      <c r="AQ131" s="362"/>
      <c r="AR131" s="362"/>
      <c r="AS131" s="362"/>
      <c r="AT131" s="362"/>
      <c r="AU131" s="362"/>
      <c r="AV131" s="362"/>
      <c r="AW131" s="362"/>
      <c r="AX131" s="362"/>
      <c r="AY131" s="362"/>
      <c r="AZ131" s="362"/>
      <c r="BA131" s="362"/>
      <c r="BB131" s="362"/>
      <c r="BC131" s="362"/>
      <c r="BD131" s="362"/>
      <c r="BE131" s="362"/>
      <c r="BF131" s="362"/>
      <c r="BG131" s="362"/>
      <c r="BI131" s="342" t="s">
        <v>1237</v>
      </c>
    </row>
    <row r="132" spans="2:61" hidden="1" x14ac:dyDescent="0.2">
      <c r="B132" s="67" t="str">
        <f>IF(Capacity!B25="","",Capacity!B25)</f>
        <v/>
      </c>
      <c r="C132" s="220" t="str">
        <f>IF(B132="","",Capacity!E25)</f>
        <v/>
      </c>
      <c r="D132" s="309" t="str">
        <f>IF(B132="","",Capacity!F25)</f>
        <v/>
      </c>
      <c r="E132" s="220" t="str">
        <f>IF(B132="","",IF(COUNTBLANK(H132:BG132)=52,SUM('Capacity calculation (hide)'!H13:BG13),52-COUNTBLANK(H132:BG132)))</f>
        <v/>
      </c>
      <c r="F132" s="310" t="str">
        <f>'Capacity calculation (hide)'!BI13</f>
        <v/>
      </c>
      <c r="H132" s="362"/>
      <c r="I132" s="362"/>
      <c r="J132" s="362"/>
      <c r="K132" s="362"/>
      <c r="L132" s="362"/>
      <c r="M132" s="362"/>
      <c r="N132" s="362"/>
      <c r="O132" s="362"/>
      <c r="P132" s="362"/>
      <c r="Q132" s="362"/>
      <c r="R132" s="362"/>
      <c r="S132" s="362"/>
      <c r="T132" s="362"/>
      <c r="U132" s="362"/>
      <c r="V132" s="362"/>
      <c r="W132" s="362"/>
      <c r="X132" s="362"/>
      <c r="Y132" s="362"/>
      <c r="Z132" s="362"/>
      <c r="AA132" s="362"/>
      <c r="AB132" s="362"/>
      <c r="AC132" s="362"/>
      <c r="AD132" s="362"/>
      <c r="AE132" s="362"/>
      <c r="AF132" s="362"/>
      <c r="AG132" s="362"/>
      <c r="AH132" s="362"/>
      <c r="AI132" s="362"/>
      <c r="AJ132" s="362"/>
      <c r="AK132" s="362"/>
      <c r="AL132" s="362"/>
      <c r="AM132" s="362"/>
      <c r="AN132" s="362"/>
      <c r="AO132" s="362"/>
      <c r="AP132" s="362"/>
      <c r="AQ132" s="362"/>
      <c r="AR132" s="362"/>
      <c r="AS132" s="362"/>
      <c r="AT132" s="362"/>
      <c r="AU132" s="362"/>
      <c r="AV132" s="362"/>
      <c r="AW132" s="362"/>
      <c r="AX132" s="362"/>
      <c r="AY132" s="362"/>
      <c r="AZ132" s="362"/>
      <c r="BA132" s="362"/>
      <c r="BB132" s="362"/>
      <c r="BC132" s="362"/>
      <c r="BD132" s="362"/>
      <c r="BE132" s="362"/>
      <c r="BF132" s="362"/>
      <c r="BG132" s="362"/>
      <c r="BI132" s="342" t="s">
        <v>1237</v>
      </c>
    </row>
    <row r="133" spans="2:61" hidden="1" x14ac:dyDescent="0.2">
      <c r="B133" s="67" t="str">
        <f>IF(Capacity!B26="","",Capacity!B26)</f>
        <v/>
      </c>
      <c r="C133" s="220" t="str">
        <f>IF(B133="","",Capacity!E26)</f>
        <v/>
      </c>
      <c r="D133" s="309" t="str">
        <f>IF(B133="","",Capacity!F26)</f>
        <v/>
      </c>
      <c r="E133" s="220" t="str">
        <f>IF(B133="","",IF(COUNTBLANK(H133:BG133)=52,SUM('Capacity calculation (hide)'!H14:BG14),52-COUNTBLANK(H133:BG133)))</f>
        <v/>
      </c>
      <c r="F133" s="310" t="str">
        <f>'Capacity calculation (hide)'!BI14</f>
        <v/>
      </c>
      <c r="H133" s="362"/>
      <c r="I133" s="362"/>
      <c r="J133" s="362"/>
      <c r="K133" s="362"/>
      <c r="L133" s="362"/>
      <c r="M133" s="362"/>
      <c r="N133" s="362"/>
      <c r="O133" s="362"/>
      <c r="P133" s="362"/>
      <c r="Q133" s="362"/>
      <c r="R133" s="362"/>
      <c r="S133" s="362"/>
      <c r="T133" s="362"/>
      <c r="U133" s="362"/>
      <c r="V133" s="362"/>
      <c r="W133" s="362"/>
      <c r="X133" s="362"/>
      <c r="Y133" s="362"/>
      <c r="Z133" s="362"/>
      <c r="AA133" s="362"/>
      <c r="AB133" s="362"/>
      <c r="AC133" s="362"/>
      <c r="AD133" s="362"/>
      <c r="AE133" s="362"/>
      <c r="AF133" s="362"/>
      <c r="AG133" s="362"/>
      <c r="AH133" s="362"/>
      <c r="AI133" s="362"/>
      <c r="AJ133" s="362"/>
      <c r="AK133" s="362"/>
      <c r="AL133" s="362"/>
      <c r="AM133" s="362"/>
      <c r="AN133" s="362"/>
      <c r="AO133" s="362"/>
      <c r="AP133" s="362"/>
      <c r="AQ133" s="362"/>
      <c r="AR133" s="362"/>
      <c r="AS133" s="362"/>
      <c r="AT133" s="362"/>
      <c r="AU133" s="362"/>
      <c r="AV133" s="362"/>
      <c r="AW133" s="362"/>
      <c r="AX133" s="362"/>
      <c r="AY133" s="362"/>
      <c r="AZ133" s="362"/>
      <c r="BA133" s="362"/>
      <c r="BB133" s="362"/>
      <c r="BC133" s="362"/>
      <c r="BD133" s="362"/>
      <c r="BE133" s="362"/>
      <c r="BF133" s="362"/>
      <c r="BG133" s="362"/>
      <c r="BI133" s="342" t="s">
        <v>1237</v>
      </c>
    </row>
    <row r="134" spans="2:61" hidden="1" x14ac:dyDescent="0.2">
      <c r="B134" s="67" t="str">
        <f>IF(Capacity!B27="","",Capacity!B27)</f>
        <v/>
      </c>
      <c r="C134" s="220" t="str">
        <f>IF(B134="","",Capacity!E27)</f>
        <v/>
      </c>
      <c r="D134" s="309" t="str">
        <f>IF(B134="","",Capacity!F27)</f>
        <v/>
      </c>
      <c r="E134" s="220" t="str">
        <f>IF(B134="","",IF(COUNTBLANK(H134:BG134)=52,SUM('Capacity calculation (hide)'!H15:BG15),52-COUNTBLANK(H134:BG134)))</f>
        <v/>
      </c>
      <c r="F134" s="310" t="str">
        <f>'Capacity calculation (hide)'!BI15</f>
        <v/>
      </c>
      <c r="H134" s="362"/>
      <c r="I134" s="362"/>
      <c r="J134" s="362"/>
      <c r="K134" s="362"/>
      <c r="L134" s="362"/>
      <c r="M134" s="362"/>
      <c r="N134" s="362"/>
      <c r="O134" s="362"/>
      <c r="P134" s="362"/>
      <c r="Q134" s="362"/>
      <c r="R134" s="362"/>
      <c r="S134" s="362"/>
      <c r="T134" s="362"/>
      <c r="U134" s="362"/>
      <c r="V134" s="362"/>
      <c r="W134" s="362"/>
      <c r="X134" s="362"/>
      <c r="Y134" s="362"/>
      <c r="Z134" s="362"/>
      <c r="AA134" s="362"/>
      <c r="AB134" s="362"/>
      <c r="AC134" s="362"/>
      <c r="AD134" s="362"/>
      <c r="AE134" s="362"/>
      <c r="AF134" s="362"/>
      <c r="AG134" s="362"/>
      <c r="AH134" s="362"/>
      <c r="AI134" s="362"/>
      <c r="AJ134" s="362"/>
      <c r="AK134" s="362"/>
      <c r="AL134" s="362"/>
      <c r="AM134" s="362"/>
      <c r="AN134" s="362"/>
      <c r="AO134" s="362"/>
      <c r="AP134" s="362"/>
      <c r="AQ134" s="362"/>
      <c r="AR134" s="362"/>
      <c r="AS134" s="362"/>
      <c r="AT134" s="362"/>
      <c r="AU134" s="362"/>
      <c r="AV134" s="362"/>
      <c r="AW134" s="362"/>
      <c r="AX134" s="362"/>
      <c r="AY134" s="362"/>
      <c r="AZ134" s="362"/>
      <c r="BA134" s="362"/>
      <c r="BB134" s="362"/>
      <c r="BC134" s="362"/>
      <c r="BD134" s="362"/>
      <c r="BE134" s="362"/>
      <c r="BF134" s="362"/>
      <c r="BG134" s="362"/>
      <c r="BI134" s="342" t="s">
        <v>1237</v>
      </c>
    </row>
    <row r="135" spans="2:61" hidden="1" x14ac:dyDescent="0.2">
      <c r="B135" s="67" t="str">
        <f>IF(Capacity!B28="","",Capacity!B28)</f>
        <v/>
      </c>
      <c r="C135" s="220" t="str">
        <f>IF(B135="","",Capacity!E28)</f>
        <v/>
      </c>
      <c r="D135" s="309" t="str">
        <f>IF(B135="","",Capacity!F28)</f>
        <v/>
      </c>
      <c r="E135" s="220" t="str">
        <f>IF(B135="","",IF(COUNTBLANK(H135:BG135)=52,SUM('Capacity calculation (hide)'!H16:BG16),52-COUNTBLANK(H135:BG135)))</f>
        <v/>
      </c>
      <c r="F135" s="310" t="str">
        <f>'Capacity calculation (hide)'!BI16</f>
        <v/>
      </c>
      <c r="H135" s="362"/>
      <c r="I135" s="362"/>
      <c r="J135" s="362"/>
      <c r="K135" s="362"/>
      <c r="L135" s="362"/>
      <c r="M135" s="362"/>
      <c r="N135" s="362"/>
      <c r="O135" s="362"/>
      <c r="P135" s="362"/>
      <c r="Q135" s="362"/>
      <c r="R135" s="362"/>
      <c r="S135" s="362"/>
      <c r="T135" s="362"/>
      <c r="U135" s="362"/>
      <c r="V135" s="362"/>
      <c r="W135" s="362"/>
      <c r="X135" s="362"/>
      <c r="Y135" s="362"/>
      <c r="Z135" s="362"/>
      <c r="AA135" s="362"/>
      <c r="AB135" s="362"/>
      <c r="AC135" s="362"/>
      <c r="AD135" s="362"/>
      <c r="AE135" s="362"/>
      <c r="AF135" s="362"/>
      <c r="AG135" s="362"/>
      <c r="AH135" s="362"/>
      <c r="AI135" s="362"/>
      <c r="AJ135" s="362"/>
      <c r="AK135" s="362"/>
      <c r="AL135" s="362"/>
      <c r="AM135" s="362"/>
      <c r="AN135" s="362"/>
      <c r="AO135" s="362"/>
      <c r="AP135" s="362"/>
      <c r="AQ135" s="362"/>
      <c r="AR135" s="362"/>
      <c r="AS135" s="362"/>
      <c r="AT135" s="362"/>
      <c r="AU135" s="362"/>
      <c r="AV135" s="362"/>
      <c r="AW135" s="362"/>
      <c r="AX135" s="362"/>
      <c r="AY135" s="362"/>
      <c r="AZ135" s="362"/>
      <c r="BA135" s="362"/>
      <c r="BB135" s="362"/>
      <c r="BC135" s="362"/>
      <c r="BD135" s="362"/>
      <c r="BE135" s="362"/>
      <c r="BF135" s="362"/>
      <c r="BG135" s="362"/>
      <c r="BI135" s="342" t="s">
        <v>1237</v>
      </c>
    </row>
    <row r="136" spans="2:61" hidden="1" x14ac:dyDescent="0.2">
      <c r="B136" s="67" t="str">
        <f>IF(Capacity!B29="","",Capacity!B29)</f>
        <v/>
      </c>
      <c r="C136" s="220" t="str">
        <f>IF(B136="","",Capacity!E29)</f>
        <v/>
      </c>
      <c r="D136" s="309" t="str">
        <f>IF(B136="","",Capacity!F29)</f>
        <v/>
      </c>
      <c r="E136" s="220" t="str">
        <f>IF(B136="","",IF(COUNTBLANK(H136:BG136)=52,SUM('Capacity calculation (hide)'!H17:BG17),52-COUNTBLANK(H136:BG136)))</f>
        <v/>
      </c>
      <c r="F136" s="310" t="str">
        <f>'Capacity calculation (hide)'!BI17</f>
        <v/>
      </c>
      <c r="H136" s="362"/>
      <c r="I136" s="362"/>
      <c r="J136" s="362"/>
      <c r="K136" s="362"/>
      <c r="L136" s="362"/>
      <c r="M136" s="362"/>
      <c r="N136" s="362"/>
      <c r="O136" s="362"/>
      <c r="P136" s="362"/>
      <c r="Q136" s="362"/>
      <c r="R136" s="362"/>
      <c r="S136" s="362"/>
      <c r="T136" s="362"/>
      <c r="U136" s="362"/>
      <c r="V136" s="362"/>
      <c r="W136" s="362"/>
      <c r="X136" s="362"/>
      <c r="Y136" s="362"/>
      <c r="Z136" s="362"/>
      <c r="AA136" s="362"/>
      <c r="AB136" s="362"/>
      <c r="AC136" s="362"/>
      <c r="AD136" s="362"/>
      <c r="AE136" s="362"/>
      <c r="AF136" s="362"/>
      <c r="AG136" s="362"/>
      <c r="AH136" s="362"/>
      <c r="AI136" s="362"/>
      <c r="AJ136" s="362"/>
      <c r="AK136" s="362"/>
      <c r="AL136" s="362"/>
      <c r="AM136" s="362"/>
      <c r="AN136" s="362"/>
      <c r="AO136" s="362"/>
      <c r="AP136" s="362"/>
      <c r="AQ136" s="362"/>
      <c r="AR136" s="362"/>
      <c r="AS136" s="362"/>
      <c r="AT136" s="362"/>
      <c r="AU136" s="362"/>
      <c r="AV136" s="362"/>
      <c r="AW136" s="362"/>
      <c r="AX136" s="362"/>
      <c r="AY136" s="362"/>
      <c r="AZ136" s="362"/>
      <c r="BA136" s="362"/>
      <c r="BB136" s="362"/>
      <c r="BC136" s="362"/>
      <c r="BD136" s="362"/>
      <c r="BE136" s="362"/>
      <c r="BF136" s="362"/>
      <c r="BG136" s="362"/>
      <c r="BI136" s="342" t="s">
        <v>1237</v>
      </c>
    </row>
    <row r="137" spans="2:61" hidden="1" x14ac:dyDescent="0.2">
      <c r="B137" s="67" t="str">
        <f>IF(Capacity!B30="","",Capacity!B30)</f>
        <v/>
      </c>
      <c r="C137" s="220" t="str">
        <f>IF(B137="","",Capacity!E30)</f>
        <v/>
      </c>
      <c r="D137" s="309" t="str">
        <f>IF(B137="","",Capacity!F30)</f>
        <v/>
      </c>
      <c r="E137" s="220" t="str">
        <f>IF(B137="","",IF(COUNTBLANK(H137:BG137)=52,SUM('Capacity calculation (hide)'!H18:BG18),52-COUNTBLANK(H137:BG137)))</f>
        <v/>
      </c>
      <c r="F137" s="310" t="str">
        <f>'Capacity calculation (hide)'!BI18</f>
        <v/>
      </c>
      <c r="H137" s="362"/>
      <c r="I137" s="362"/>
      <c r="J137" s="362"/>
      <c r="K137" s="362"/>
      <c r="L137" s="362"/>
      <c r="M137" s="362"/>
      <c r="N137" s="362"/>
      <c r="O137" s="362"/>
      <c r="P137" s="362"/>
      <c r="Q137" s="362"/>
      <c r="R137" s="362"/>
      <c r="S137" s="362"/>
      <c r="T137" s="362"/>
      <c r="U137" s="362"/>
      <c r="V137" s="362"/>
      <c r="W137" s="362"/>
      <c r="X137" s="362"/>
      <c r="Y137" s="362"/>
      <c r="Z137" s="362"/>
      <c r="AA137" s="362"/>
      <c r="AB137" s="362"/>
      <c r="AC137" s="362"/>
      <c r="AD137" s="362"/>
      <c r="AE137" s="362"/>
      <c r="AF137" s="362"/>
      <c r="AG137" s="362"/>
      <c r="AH137" s="362"/>
      <c r="AI137" s="362"/>
      <c r="AJ137" s="362"/>
      <c r="AK137" s="362"/>
      <c r="AL137" s="362"/>
      <c r="AM137" s="362"/>
      <c r="AN137" s="362"/>
      <c r="AO137" s="362"/>
      <c r="AP137" s="362"/>
      <c r="AQ137" s="362"/>
      <c r="AR137" s="362"/>
      <c r="AS137" s="362"/>
      <c r="AT137" s="362"/>
      <c r="AU137" s="362"/>
      <c r="AV137" s="362"/>
      <c r="AW137" s="362"/>
      <c r="AX137" s="362"/>
      <c r="AY137" s="362"/>
      <c r="AZ137" s="362"/>
      <c r="BA137" s="362"/>
      <c r="BB137" s="362"/>
      <c r="BC137" s="362"/>
      <c r="BD137" s="362"/>
      <c r="BE137" s="362"/>
      <c r="BF137" s="362"/>
      <c r="BG137" s="362"/>
      <c r="BI137" s="342" t="s">
        <v>1237</v>
      </c>
    </row>
    <row r="138" spans="2:61" hidden="1" x14ac:dyDescent="0.2">
      <c r="B138" s="67" t="str">
        <f>IF(Capacity!B31="","",Capacity!B31)</f>
        <v/>
      </c>
      <c r="C138" s="220" t="str">
        <f>IF(B138="","",Capacity!E31)</f>
        <v/>
      </c>
      <c r="D138" s="309" t="str">
        <f>IF(B138="","",Capacity!F31)</f>
        <v/>
      </c>
      <c r="E138" s="220" t="str">
        <f>IF(B138="","",IF(COUNTBLANK(H138:BG138)=52,SUM('Capacity calculation (hide)'!H19:BG19),52-COUNTBLANK(H138:BG138)))</f>
        <v/>
      </c>
      <c r="F138" s="310" t="str">
        <f>'Capacity calculation (hide)'!BI19</f>
        <v/>
      </c>
      <c r="H138" s="362"/>
      <c r="I138" s="362"/>
      <c r="J138" s="362"/>
      <c r="K138" s="362"/>
      <c r="L138" s="362"/>
      <c r="M138" s="362"/>
      <c r="N138" s="362"/>
      <c r="O138" s="362"/>
      <c r="P138" s="362"/>
      <c r="Q138" s="362"/>
      <c r="R138" s="362"/>
      <c r="S138" s="362"/>
      <c r="T138" s="362"/>
      <c r="U138" s="362"/>
      <c r="V138" s="362"/>
      <c r="W138" s="362"/>
      <c r="X138" s="362"/>
      <c r="Y138" s="362"/>
      <c r="Z138" s="362"/>
      <c r="AA138" s="362"/>
      <c r="AB138" s="362"/>
      <c r="AC138" s="362"/>
      <c r="AD138" s="362"/>
      <c r="AE138" s="362"/>
      <c r="AF138" s="362"/>
      <c r="AG138" s="362"/>
      <c r="AH138" s="362"/>
      <c r="AI138" s="362"/>
      <c r="AJ138" s="362"/>
      <c r="AK138" s="362"/>
      <c r="AL138" s="362"/>
      <c r="AM138" s="362"/>
      <c r="AN138" s="362"/>
      <c r="AO138" s="362"/>
      <c r="AP138" s="362"/>
      <c r="AQ138" s="362"/>
      <c r="AR138" s="362"/>
      <c r="AS138" s="362"/>
      <c r="AT138" s="362"/>
      <c r="AU138" s="362"/>
      <c r="AV138" s="362"/>
      <c r="AW138" s="362"/>
      <c r="AX138" s="362"/>
      <c r="AY138" s="362"/>
      <c r="AZ138" s="362"/>
      <c r="BA138" s="362"/>
      <c r="BB138" s="362"/>
      <c r="BC138" s="362"/>
      <c r="BD138" s="362"/>
      <c r="BE138" s="362"/>
      <c r="BF138" s="362"/>
      <c r="BG138" s="362"/>
      <c r="BI138" s="342" t="s">
        <v>1237</v>
      </c>
    </row>
    <row r="139" spans="2:61" hidden="1" x14ac:dyDescent="0.2">
      <c r="B139" s="67" t="str">
        <f>IF(Capacity!B32="","",Capacity!B32)</f>
        <v/>
      </c>
      <c r="C139" s="220" t="str">
        <f>IF(B139="","",Capacity!E32)</f>
        <v/>
      </c>
      <c r="D139" s="309" t="str">
        <f>IF(B139="","",Capacity!F32)</f>
        <v/>
      </c>
      <c r="E139" s="220" t="str">
        <f>IF(B139="","",IF(COUNTBLANK(H139:BG139)=52,SUM('Capacity calculation (hide)'!H20:BG20),52-COUNTBLANK(H139:BG139)))</f>
        <v/>
      </c>
      <c r="F139" s="310" t="str">
        <f>'Capacity calculation (hide)'!BI20</f>
        <v/>
      </c>
      <c r="H139" s="362"/>
      <c r="I139" s="362"/>
      <c r="J139" s="362"/>
      <c r="K139" s="362"/>
      <c r="L139" s="362"/>
      <c r="M139" s="362"/>
      <c r="N139" s="362"/>
      <c r="O139" s="362"/>
      <c r="P139" s="362"/>
      <c r="Q139" s="362"/>
      <c r="R139" s="362"/>
      <c r="S139" s="362"/>
      <c r="T139" s="362"/>
      <c r="U139" s="362"/>
      <c r="V139" s="362"/>
      <c r="W139" s="362"/>
      <c r="X139" s="362"/>
      <c r="Y139" s="362"/>
      <c r="Z139" s="362"/>
      <c r="AA139" s="362"/>
      <c r="AB139" s="362"/>
      <c r="AC139" s="362"/>
      <c r="AD139" s="362"/>
      <c r="AE139" s="362"/>
      <c r="AF139" s="362"/>
      <c r="AG139" s="362"/>
      <c r="AH139" s="362"/>
      <c r="AI139" s="362"/>
      <c r="AJ139" s="362"/>
      <c r="AK139" s="362"/>
      <c r="AL139" s="362"/>
      <c r="AM139" s="362"/>
      <c r="AN139" s="362"/>
      <c r="AO139" s="362"/>
      <c r="AP139" s="362"/>
      <c r="AQ139" s="362"/>
      <c r="AR139" s="362"/>
      <c r="AS139" s="362"/>
      <c r="AT139" s="362"/>
      <c r="AU139" s="362"/>
      <c r="AV139" s="362"/>
      <c r="AW139" s="362"/>
      <c r="AX139" s="362"/>
      <c r="AY139" s="362"/>
      <c r="AZ139" s="362"/>
      <c r="BA139" s="362"/>
      <c r="BB139" s="362"/>
      <c r="BC139" s="362"/>
      <c r="BD139" s="362"/>
      <c r="BE139" s="362"/>
      <c r="BF139" s="362"/>
      <c r="BG139" s="362"/>
      <c r="BI139" s="342" t="s">
        <v>1237</v>
      </c>
    </row>
    <row r="140" spans="2:61" hidden="1" x14ac:dyDescent="0.2">
      <c r="B140" s="67" t="str">
        <f>IF(Capacity!B33="","",Capacity!B33)</f>
        <v/>
      </c>
      <c r="C140" s="220" t="str">
        <f>IF(B140="","",Capacity!E33)</f>
        <v/>
      </c>
      <c r="D140" s="309" t="str">
        <f>IF(B140="","",Capacity!F33)</f>
        <v/>
      </c>
      <c r="E140" s="220" t="str">
        <f>IF(B140="","",IF(COUNTBLANK(H140:BG140)=52,SUM('Capacity calculation (hide)'!H21:BG21),52-COUNTBLANK(H140:BG140)))</f>
        <v/>
      </c>
      <c r="F140" s="310" t="str">
        <f>'Capacity calculation (hide)'!BI21</f>
        <v/>
      </c>
      <c r="H140" s="362"/>
      <c r="I140" s="362"/>
      <c r="J140" s="362"/>
      <c r="K140" s="362"/>
      <c r="L140" s="362"/>
      <c r="M140" s="362"/>
      <c r="N140" s="362"/>
      <c r="O140" s="362"/>
      <c r="P140" s="362"/>
      <c r="Q140" s="362"/>
      <c r="R140" s="362"/>
      <c r="S140" s="362"/>
      <c r="T140" s="362"/>
      <c r="U140" s="362"/>
      <c r="V140" s="362"/>
      <c r="W140" s="362"/>
      <c r="X140" s="362"/>
      <c r="Y140" s="362"/>
      <c r="Z140" s="362"/>
      <c r="AA140" s="362"/>
      <c r="AB140" s="362"/>
      <c r="AC140" s="362"/>
      <c r="AD140" s="362"/>
      <c r="AE140" s="362"/>
      <c r="AF140" s="362"/>
      <c r="AG140" s="362"/>
      <c r="AH140" s="362"/>
      <c r="AI140" s="362"/>
      <c r="AJ140" s="362"/>
      <c r="AK140" s="362"/>
      <c r="AL140" s="362"/>
      <c r="AM140" s="362"/>
      <c r="AN140" s="362"/>
      <c r="AO140" s="362"/>
      <c r="AP140" s="362"/>
      <c r="AQ140" s="362"/>
      <c r="AR140" s="362"/>
      <c r="AS140" s="362"/>
      <c r="AT140" s="362"/>
      <c r="AU140" s="362"/>
      <c r="AV140" s="362"/>
      <c r="AW140" s="362"/>
      <c r="AX140" s="362"/>
      <c r="AY140" s="362"/>
      <c r="AZ140" s="362"/>
      <c r="BA140" s="362"/>
      <c r="BB140" s="362"/>
      <c r="BC140" s="362"/>
      <c r="BD140" s="362"/>
      <c r="BE140" s="362"/>
      <c r="BF140" s="362"/>
      <c r="BG140" s="362"/>
      <c r="BI140" s="342" t="s">
        <v>1237</v>
      </c>
    </row>
    <row r="141" spans="2:61" hidden="1" x14ac:dyDescent="0.2">
      <c r="B141" s="67" t="str">
        <f>IF(Capacity!B34="","",Capacity!B34)</f>
        <v/>
      </c>
      <c r="C141" s="220" t="str">
        <f>IF(B141="","",Capacity!E34)</f>
        <v/>
      </c>
      <c r="D141" s="309" t="str">
        <f>IF(B141="","",Capacity!F34)</f>
        <v/>
      </c>
      <c r="E141" s="220" t="str">
        <f>IF(B141="","",IF(COUNTBLANK(H141:BG141)=52,SUM('Capacity calculation (hide)'!H22:BG22),52-COUNTBLANK(H141:BG141)))</f>
        <v/>
      </c>
      <c r="F141" s="310" t="str">
        <f>'Capacity calculation (hide)'!BI22</f>
        <v/>
      </c>
      <c r="H141" s="362"/>
      <c r="I141" s="362"/>
      <c r="J141" s="362"/>
      <c r="K141" s="362"/>
      <c r="L141" s="362"/>
      <c r="M141" s="362"/>
      <c r="N141" s="362"/>
      <c r="O141" s="362"/>
      <c r="P141" s="362"/>
      <c r="Q141" s="362"/>
      <c r="R141" s="362"/>
      <c r="S141" s="362"/>
      <c r="T141" s="362"/>
      <c r="U141" s="362"/>
      <c r="V141" s="362"/>
      <c r="W141" s="362"/>
      <c r="X141" s="362"/>
      <c r="Y141" s="362"/>
      <c r="Z141" s="362"/>
      <c r="AA141" s="362"/>
      <c r="AB141" s="362"/>
      <c r="AC141" s="362"/>
      <c r="AD141" s="362"/>
      <c r="AE141" s="362"/>
      <c r="AF141" s="362"/>
      <c r="AG141" s="362"/>
      <c r="AH141" s="362"/>
      <c r="AI141" s="362"/>
      <c r="AJ141" s="362"/>
      <c r="AK141" s="362"/>
      <c r="AL141" s="362"/>
      <c r="AM141" s="362"/>
      <c r="AN141" s="362"/>
      <c r="AO141" s="362"/>
      <c r="AP141" s="362"/>
      <c r="AQ141" s="362"/>
      <c r="AR141" s="362"/>
      <c r="AS141" s="362"/>
      <c r="AT141" s="362"/>
      <c r="AU141" s="362"/>
      <c r="AV141" s="362"/>
      <c r="AW141" s="362"/>
      <c r="AX141" s="362"/>
      <c r="AY141" s="362"/>
      <c r="AZ141" s="362"/>
      <c r="BA141" s="362"/>
      <c r="BB141" s="362"/>
      <c r="BC141" s="362"/>
      <c r="BD141" s="362"/>
      <c r="BE141" s="362"/>
      <c r="BF141" s="362"/>
      <c r="BG141" s="362"/>
      <c r="BI141" s="342" t="s">
        <v>1237</v>
      </c>
    </row>
    <row r="142" spans="2:61" hidden="1" x14ac:dyDescent="0.2">
      <c r="B142" s="67" t="str">
        <f>IF(Capacity!B35="","",Capacity!B35)</f>
        <v/>
      </c>
      <c r="C142" s="220" t="str">
        <f>IF(B142="","",Capacity!E35)</f>
        <v/>
      </c>
      <c r="D142" s="309" t="str">
        <f>IF(B142="","",Capacity!F35)</f>
        <v/>
      </c>
      <c r="E142" s="220" t="str">
        <f>IF(B142="","",IF(COUNTBLANK(H142:BG142)=52,SUM('Capacity calculation (hide)'!H23:BG23),52-COUNTBLANK(H142:BG142)))</f>
        <v/>
      </c>
      <c r="F142" s="310" t="str">
        <f>'Capacity calculation (hide)'!BI23</f>
        <v/>
      </c>
      <c r="H142" s="362"/>
      <c r="I142" s="362"/>
      <c r="J142" s="362"/>
      <c r="K142" s="362"/>
      <c r="L142" s="362"/>
      <c r="M142" s="362"/>
      <c r="N142" s="362"/>
      <c r="O142" s="362"/>
      <c r="P142" s="362"/>
      <c r="Q142" s="362"/>
      <c r="R142" s="362"/>
      <c r="S142" s="362"/>
      <c r="T142" s="362"/>
      <c r="U142" s="362"/>
      <c r="V142" s="362"/>
      <c r="W142" s="362"/>
      <c r="X142" s="362"/>
      <c r="Y142" s="362"/>
      <c r="Z142" s="362"/>
      <c r="AA142" s="362"/>
      <c r="AB142" s="362"/>
      <c r="AC142" s="362"/>
      <c r="AD142" s="362"/>
      <c r="AE142" s="362"/>
      <c r="AF142" s="362"/>
      <c r="AG142" s="362"/>
      <c r="AH142" s="362"/>
      <c r="AI142" s="362"/>
      <c r="AJ142" s="362"/>
      <c r="AK142" s="362"/>
      <c r="AL142" s="362"/>
      <c r="AM142" s="362"/>
      <c r="AN142" s="362"/>
      <c r="AO142" s="362"/>
      <c r="AP142" s="362"/>
      <c r="AQ142" s="362"/>
      <c r="AR142" s="362"/>
      <c r="AS142" s="362"/>
      <c r="AT142" s="362"/>
      <c r="AU142" s="362"/>
      <c r="AV142" s="362"/>
      <c r="AW142" s="362"/>
      <c r="AX142" s="362"/>
      <c r="AY142" s="362"/>
      <c r="AZ142" s="362"/>
      <c r="BA142" s="362"/>
      <c r="BB142" s="362"/>
      <c r="BC142" s="362"/>
      <c r="BD142" s="362"/>
      <c r="BE142" s="362"/>
      <c r="BF142" s="362"/>
      <c r="BG142" s="362"/>
      <c r="BI142" s="342" t="s">
        <v>1237</v>
      </c>
    </row>
    <row r="143" spans="2:61" hidden="1" x14ac:dyDescent="0.2">
      <c r="B143" s="67" t="str">
        <f>IF(Capacity!B36="","",Capacity!B36)</f>
        <v/>
      </c>
      <c r="C143" s="220" t="str">
        <f>IF(B143="","",Capacity!E36)</f>
        <v/>
      </c>
      <c r="D143" s="309" t="str">
        <f>IF(B143="","",Capacity!F36)</f>
        <v/>
      </c>
      <c r="E143" s="220" t="str">
        <f>IF(B143="","",IF(COUNTBLANK(H143:BG143)=52,SUM('Capacity calculation (hide)'!H24:BG24),52-COUNTBLANK(H143:BG143)))</f>
        <v/>
      </c>
      <c r="F143" s="310" t="str">
        <f>'Capacity calculation (hide)'!BI24</f>
        <v/>
      </c>
      <c r="H143" s="362"/>
      <c r="I143" s="362"/>
      <c r="J143" s="362"/>
      <c r="K143" s="362"/>
      <c r="L143" s="362"/>
      <c r="M143" s="362"/>
      <c r="N143" s="362"/>
      <c r="O143" s="362"/>
      <c r="P143" s="362"/>
      <c r="Q143" s="362"/>
      <c r="R143" s="362"/>
      <c r="S143" s="362"/>
      <c r="T143" s="362"/>
      <c r="U143" s="362"/>
      <c r="V143" s="362"/>
      <c r="W143" s="362"/>
      <c r="X143" s="362"/>
      <c r="Y143" s="362"/>
      <c r="Z143" s="362"/>
      <c r="AA143" s="362"/>
      <c r="AB143" s="362"/>
      <c r="AC143" s="362"/>
      <c r="AD143" s="362"/>
      <c r="AE143" s="362"/>
      <c r="AF143" s="362"/>
      <c r="AG143" s="362"/>
      <c r="AH143" s="362"/>
      <c r="AI143" s="362"/>
      <c r="AJ143" s="362"/>
      <c r="AK143" s="362"/>
      <c r="AL143" s="362"/>
      <c r="AM143" s="362"/>
      <c r="AN143" s="362"/>
      <c r="AO143" s="362"/>
      <c r="AP143" s="362"/>
      <c r="AQ143" s="362"/>
      <c r="AR143" s="362"/>
      <c r="AS143" s="362"/>
      <c r="AT143" s="362"/>
      <c r="AU143" s="362"/>
      <c r="AV143" s="362"/>
      <c r="AW143" s="362"/>
      <c r="AX143" s="362"/>
      <c r="AY143" s="362"/>
      <c r="AZ143" s="362"/>
      <c r="BA143" s="362"/>
      <c r="BB143" s="362"/>
      <c r="BC143" s="362"/>
      <c r="BD143" s="362"/>
      <c r="BE143" s="362"/>
      <c r="BF143" s="362"/>
      <c r="BG143" s="362"/>
      <c r="BI143" s="342" t="s">
        <v>1237</v>
      </c>
    </row>
    <row r="144" spans="2:61" hidden="1" x14ac:dyDescent="0.2">
      <c r="B144" s="67" t="str">
        <f>IF(Capacity!B37="","",Capacity!B37)</f>
        <v/>
      </c>
      <c r="C144" s="220" t="str">
        <f>IF(B144="","",Capacity!E37)</f>
        <v/>
      </c>
      <c r="D144" s="309" t="str">
        <f>IF(B144="","",Capacity!F37)</f>
        <v/>
      </c>
      <c r="E144" s="220" t="str">
        <f>IF(B144="","",IF(COUNTBLANK(H144:BG144)=52,SUM('Capacity calculation (hide)'!H25:BG25),52-COUNTBLANK(H144:BG144)))</f>
        <v/>
      </c>
      <c r="F144" s="310" t="str">
        <f>'Capacity calculation (hide)'!BI25</f>
        <v/>
      </c>
      <c r="H144" s="362"/>
      <c r="I144" s="362"/>
      <c r="J144" s="362"/>
      <c r="K144" s="362"/>
      <c r="L144" s="362"/>
      <c r="M144" s="362"/>
      <c r="N144" s="362"/>
      <c r="O144" s="362"/>
      <c r="P144" s="362"/>
      <c r="Q144" s="362"/>
      <c r="R144" s="362"/>
      <c r="S144" s="362"/>
      <c r="T144" s="362"/>
      <c r="U144" s="362"/>
      <c r="V144" s="362"/>
      <c r="W144" s="362"/>
      <c r="X144" s="362"/>
      <c r="Y144" s="362"/>
      <c r="Z144" s="362"/>
      <c r="AA144" s="362"/>
      <c r="AB144" s="362"/>
      <c r="AC144" s="362"/>
      <c r="AD144" s="362"/>
      <c r="AE144" s="362"/>
      <c r="AF144" s="362"/>
      <c r="AG144" s="362"/>
      <c r="AH144" s="362"/>
      <c r="AI144" s="362"/>
      <c r="AJ144" s="362"/>
      <c r="AK144" s="362"/>
      <c r="AL144" s="362"/>
      <c r="AM144" s="362"/>
      <c r="AN144" s="362"/>
      <c r="AO144" s="362"/>
      <c r="AP144" s="362"/>
      <c r="AQ144" s="362"/>
      <c r="AR144" s="362"/>
      <c r="AS144" s="362"/>
      <c r="AT144" s="362"/>
      <c r="AU144" s="362"/>
      <c r="AV144" s="362"/>
      <c r="AW144" s="362"/>
      <c r="AX144" s="362"/>
      <c r="AY144" s="362"/>
      <c r="AZ144" s="362"/>
      <c r="BA144" s="362"/>
      <c r="BB144" s="362"/>
      <c r="BC144" s="362"/>
      <c r="BD144" s="362"/>
      <c r="BE144" s="362"/>
      <c r="BF144" s="362"/>
      <c r="BG144" s="362"/>
      <c r="BI144" s="342" t="s">
        <v>1237</v>
      </c>
    </row>
    <row r="145" spans="2:61" hidden="1" x14ac:dyDescent="0.2">
      <c r="B145" s="67" t="str">
        <f>IF(Capacity!B38="","",Capacity!B38)</f>
        <v/>
      </c>
      <c r="C145" s="220" t="str">
        <f>IF(B145="","",Capacity!E38)</f>
        <v/>
      </c>
      <c r="D145" s="309" t="str">
        <f>IF(B145="","",Capacity!F38)</f>
        <v/>
      </c>
      <c r="E145" s="220" t="str">
        <f>IF(B145="","",IF(COUNTBLANK(H145:BG145)=52,SUM('Capacity calculation (hide)'!H26:BG26),52-COUNTBLANK(H145:BG145)))</f>
        <v/>
      </c>
      <c r="F145" s="310" t="str">
        <f>'Capacity calculation (hide)'!BI26</f>
        <v/>
      </c>
      <c r="H145" s="362"/>
      <c r="I145" s="362"/>
      <c r="J145" s="362"/>
      <c r="K145" s="362"/>
      <c r="L145" s="362"/>
      <c r="M145" s="362"/>
      <c r="N145" s="362"/>
      <c r="O145" s="362"/>
      <c r="P145" s="362"/>
      <c r="Q145" s="362"/>
      <c r="R145" s="362"/>
      <c r="S145" s="362"/>
      <c r="T145" s="362"/>
      <c r="U145" s="362"/>
      <c r="V145" s="362"/>
      <c r="W145" s="362"/>
      <c r="X145" s="362"/>
      <c r="Y145" s="362"/>
      <c r="Z145" s="362"/>
      <c r="AA145" s="362"/>
      <c r="AB145" s="362"/>
      <c r="AC145" s="362"/>
      <c r="AD145" s="362"/>
      <c r="AE145" s="362"/>
      <c r="AF145" s="362"/>
      <c r="AG145" s="362"/>
      <c r="AH145" s="362"/>
      <c r="AI145" s="362"/>
      <c r="AJ145" s="362"/>
      <c r="AK145" s="362"/>
      <c r="AL145" s="362"/>
      <c r="AM145" s="362"/>
      <c r="AN145" s="362"/>
      <c r="AO145" s="362"/>
      <c r="AP145" s="362"/>
      <c r="AQ145" s="362"/>
      <c r="AR145" s="362"/>
      <c r="AS145" s="362"/>
      <c r="AT145" s="362"/>
      <c r="AU145" s="362"/>
      <c r="AV145" s="362"/>
      <c r="AW145" s="362"/>
      <c r="AX145" s="362"/>
      <c r="AY145" s="362"/>
      <c r="AZ145" s="362"/>
      <c r="BA145" s="362"/>
      <c r="BB145" s="362"/>
      <c r="BC145" s="362"/>
      <c r="BD145" s="362"/>
      <c r="BE145" s="362"/>
      <c r="BF145" s="362"/>
      <c r="BG145" s="362"/>
      <c r="BI145" s="342" t="s">
        <v>1237</v>
      </c>
    </row>
    <row r="146" spans="2:61" hidden="1" x14ac:dyDescent="0.2">
      <c r="B146" s="67" t="str">
        <f>IF(Capacity!B39="","",Capacity!B39)</f>
        <v/>
      </c>
      <c r="C146" s="220" t="str">
        <f>IF(B146="","",Capacity!E39)</f>
        <v/>
      </c>
      <c r="D146" s="309" t="str">
        <f>IF(B146="","",Capacity!F39)</f>
        <v/>
      </c>
      <c r="E146" s="220" t="str">
        <f>IF(B146="","",IF(COUNTBLANK(H146:BG146)=52,SUM('Capacity calculation (hide)'!H27:BG27),52-COUNTBLANK(H146:BG146)))</f>
        <v/>
      </c>
      <c r="F146" s="310" t="str">
        <f>'Capacity calculation (hide)'!BI27</f>
        <v/>
      </c>
      <c r="H146" s="362"/>
      <c r="I146" s="362"/>
      <c r="J146" s="362"/>
      <c r="K146" s="362"/>
      <c r="L146" s="362"/>
      <c r="M146" s="362"/>
      <c r="N146" s="362"/>
      <c r="O146" s="362"/>
      <c r="P146" s="362"/>
      <c r="Q146" s="362"/>
      <c r="R146" s="362"/>
      <c r="S146" s="362"/>
      <c r="T146" s="362"/>
      <c r="U146" s="362"/>
      <c r="V146" s="362"/>
      <c r="W146" s="362"/>
      <c r="X146" s="362"/>
      <c r="Y146" s="362"/>
      <c r="Z146" s="362"/>
      <c r="AA146" s="362"/>
      <c r="AB146" s="362"/>
      <c r="AC146" s="362"/>
      <c r="AD146" s="362"/>
      <c r="AE146" s="362"/>
      <c r="AF146" s="362"/>
      <c r="AG146" s="362"/>
      <c r="AH146" s="362"/>
      <c r="AI146" s="362"/>
      <c r="AJ146" s="362"/>
      <c r="AK146" s="362"/>
      <c r="AL146" s="362"/>
      <c r="AM146" s="362"/>
      <c r="AN146" s="362"/>
      <c r="AO146" s="362"/>
      <c r="AP146" s="362"/>
      <c r="AQ146" s="362"/>
      <c r="AR146" s="362"/>
      <c r="AS146" s="362"/>
      <c r="AT146" s="362"/>
      <c r="AU146" s="362"/>
      <c r="AV146" s="362"/>
      <c r="AW146" s="362"/>
      <c r="AX146" s="362"/>
      <c r="AY146" s="362"/>
      <c r="AZ146" s="362"/>
      <c r="BA146" s="362"/>
      <c r="BB146" s="362"/>
      <c r="BC146" s="362"/>
      <c r="BD146" s="362"/>
      <c r="BE146" s="362"/>
      <c r="BF146" s="362"/>
      <c r="BG146" s="362"/>
      <c r="BI146" s="342" t="s">
        <v>1237</v>
      </c>
    </row>
    <row r="147" spans="2:61" hidden="1" x14ac:dyDescent="0.2">
      <c r="B147" s="67" t="str">
        <f>IF(Capacity!B40="","",Capacity!B40)</f>
        <v/>
      </c>
      <c r="C147" s="220" t="str">
        <f>IF(B147="","",Capacity!E40)</f>
        <v/>
      </c>
      <c r="D147" s="309" t="str">
        <f>IF(B147="","",Capacity!F40)</f>
        <v/>
      </c>
      <c r="E147" s="220" t="str">
        <f>IF(B147="","",IF(COUNTBLANK(H147:BG147)=52,SUM('Capacity calculation (hide)'!H28:BG28),52-COUNTBLANK(H147:BG147)))</f>
        <v/>
      </c>
      <c r="F147" s="310" t="str">
        <f>'Capacity calculation (hide)'!BI28</f>
        <v/>
      </c>
      <c r="H147" s="362"/>
      <c r="I147" s="362"/>
      <c r="J147" s="362"/>
      <c r="K147" s="362"/>
      <c r="L147" s="362"/>
      <c r="M147" s="362"/>
      <c r="N147" s="362"/>
      <c r="O147" s="362"/>
      <c r="P147" s="362"/>
      <c r="Q147" s="362"/>
      <c r="R147" s="362"/>
      <c r="S147" s="362"/>
      <c r="T147" s="362"/>
      <c r="U147" s="362"/>
      <c r="V147" s="362"/>
      <c r="W147" s="362"/>
      <c r="X147" s="362"/>
      <c r="Y147" s="362"/>
      <c r="Z147" s="362"/>
      <c r="AA147" s="362"/>
      <c r="AB147" s="362"/>
      <c r="AC147" s="362"/>
      <c r="AD147" s="362"/>
      <c r="AE147" s="362"/>
      <c r="AF147" s="362"/>
      <c r="AG147" s="362"/>
      <c r="AH147" s="362"/>
      <c r="AI147" s="362"/>
      <c r="AJ147" s="362"/>
      <c r="AK147" s="362"/>
      <c r="AL147" s="362"/>
      <c r="AM147" s="362"/>
      <c r="AN147" s="362"/>
      <c r="AO147" s="362"/>
      <c r="AP147" s="362"/>
      <c r="AQ147" s="362"/>
      <c r="AR147" s="362"/>
      <c r="AS147" s="362"/>
      <c r="AT147" s="362"/>
      <c r="AU147" s="362"/>
      <c r="AV147" s="362"/>
      <c r="AW147" s="362"/>
      <c r="AX147" s="362"/>
      <c r="AY147" s="362"/>
      <c r="AZ147" s="362"/>
      <c r="BA147" s="362"/>
      <c r="BB147" s="362"/>
      <c r="BC147" s="362"/>
      <c r="BD147" s="362"/>
      <c r="BE147" s="362"/>
      <c r="BF147" s="362"/>
      <c r="BG147" s="362"/>
      <c r="BI147" s="342" t="s">
        <v>1237</v>
      </c>
    </row>
    <row r="148" spans="2:61" hidden="1" x14ac:dyDescent="0.2">
      <c r="B148" s="67" t="str">
        <f>IF(Capacity!B41="","",Capacity!B41)</f>
        <v/>
      </c>
      <c r="C148" s="220" t="str">
        <f>IF(B148="","",Capacity!E41)</f>
        <v/>
      </c>
      <c r="D148" s="309" t="str">
        <f>IF(B148="","",Capacity!F41)</f>
        <v/>
      </c>
      <c r="E148" s="220" t="str">
        <f>IF(B148="","",IF(COUNTBLANK(H148:BG148)=52,SUM('Capacity calculation (hide)'!H29:BG29),52-COUNTBLANK(H148:BG148)))</f>
        <v/>
      </c>
      <c r="F148" s="310" t="str">
        <f>'Capacity calculation (hide)'!BI29</f>
        <v/>
      </c>
      <c r="H148" s="362"/>
      <c r="I148" s="362"/>
      <c r="J148" s="362"/>
      <c r="K148" s="362"/>
      <c r="L148" s="362"/>
      <c r="M148" s="362"/>
      <c r="N148" s="362"/>
      <c r="O148" s="362"/>
      <c r="P148" s="362"/>
      <c r="Q148" s="362"/>
      <c r="R148" s="362"/>
      <c r="S148" s="362"/>
      <c r="T148" s="362"/>
      <c r="U148" s="362"/>
      <c r="V148" s="362"/>
      <c r="W148" s="362"/>
      <c r="X148" s="362"/>
      <c r="Y148" s="362"/>
      <c r="Z148" s="362"/>
      <c r="AA148" s="362"/>
      <c r="AB148" s="362"/>
      <c r="AC148" s="362"/>
      <c r="AD148" s="362"/>
      <c r="AE148" s="362"/>
      <c r="AF148" s="362"/>
      <c r="AG148" s="362"/>
      <c r="AH148" s="362"/>
      <c r="AI148" s="362"/>
      <c r="AJ148" s="362"/>
      <c r="AK148" s="362"/>
      <c r="AL148" s="362"/>
      <c r="AM148" s="362"/>
      <c r="AN148" s="362"/>
      <c r="AO148" s="362"/>
      <c r="AP148" s="362"/>
      <c r="AQ148" s="362"/>
      <c r="AR148" s="362"/>
      <c r="AS148" s="362"/>
      <c r="AT148" s="362"/>
      <c r="AU148" s="362"/>
      <c r="AV148" s="362"/>
      <c r="AW148" s="362"/>
      <c r="AX148" s="362"/>
      <c r="AY148" s="362"/>
      <c r="AZ148" s="362"/>
      <c r="BA148" s="362"/>
      <c r="BB148" s="362"/>
      <c r="BC148" s="362"/>
      <c r="BD148" s="362"/>
      <c r="BE148" s="362"/>
      <c r="BF148" s="362"/>
      <c r="BG148" s="362"/>
      <c r="BI148" s="342" t="s">
        <v>1237</v>
      </c>
    </row>
    <row r="149" spans="2:61" hidden="1" x14ac:dyDescent="0.2">
      <c r="B149" s="67" t="str">
        <f>IF(Capacity!B42="","",Capacity!B42)</f>
        <v/>
      </c>
      <c r="C149" s="220" t="str">
        <f>IF(B149="","",Capacity!E42)</f>
        <v/>
      </c>
      <c r="D149" s="309" t="str">
        <f>IF(B149="","",Capacity!F42)</f>
        <v/>
      </c>
      <c r="E149" s="220" t="str">
        <f>IF(B149="","",IF(COUNTBLANK(H149:BG149)=52,SUM('Capacity calculation (hide)'!H30:BG30),52-COUNTBLANK(H149:BG149)))</f>
        <v/>
      </c>
      <c r="F149" s="310" t="str">
        <f>'Capacity calculation (hide)'!BI30</f>
        <v/>
      </c>
      <c r="H149" s="362"/>
      <c r="I149" s="362"/>
      <c r="J149" s="362"/>
      <c r="K149" s="362"/>
      <c r="L149" s="362"/>
      <c r="M149" s="362"/>
      <c r="N149" s="362"/>
      <c r="O149" s="362"/>
      <c r="P149" s="362"/>
      <c r="Q149" s="362"/>
      <c r="R149" s="362"/>
      <c r="S149" s="362"/>
      <c r="T149" s="362"/>
      <c r="U149" s="362"/>
      <c r="V149" s="362"/>
      <c r="W149" s="362"/>
      <c r="X149" s="362"/>
      <c r="Y149" s="362"/>
      <c r="Z149" s="362"/>
      <c r="AA149" s="362"/>
      <c r="AB149" s="362"/>
      <c r="AC149" s="362"/>
      <c r="AD149" s="362"/>
      <c r="AE149" s="362"/>
      <c r="AF149" s="362"/>
      <c r="AG149" s="362"/>
      <c r="AH149" s="362"/>
      <c r="AI149" s="362"/>
      <c r="AJ149" s="362"/>
      <c r="AK149" s="362"/>
      <c r="AL149" s="362"/>
      <c r="AM149" s="362"/>
      <c r="AN149" s="362"/>
      <c r="AO149" s="362"/>
      <c r="AP149" s="362"/>
      <c r="AQ149" s="362"/>
      <c r="AR149" s="362"/>
      <c r="AS149" s="362"/>
      <c r="AT149" s="362"/>
      <c r="AU149" s="362"/>
      <c r="AV149" s="362"/>
      <c r="AW149" s="362"/>
      <c r="AX149" s="362"/>
      <c r="AY149" s="362"/>
      <c r="AZ149" s="362"/>
      <c r="BA149" s="362"/>
      <c r="BB149" s="362"/>
      <c r="BC149" s="362"/>
      <c r="BD149" s="362"/>
      <c r="BE149" s="362"/>
      <c r="BF149" s="362"/>
      <c r="BG149" s="362"/>
      <c r="BI149" s="342" t="s">
        <v>1237</v>
      </c>
    </row>
    <row r="150" spans="2:61" hidden="1" x14ac:dyDescent="0.2">
      <c r="B150" s="67" t="str">
        <f>IF(Capacity!B43="","",Capacity!B43)</f>
        <v/>
      </c>
      <c r="C150" s="220" t="str">
        <f>IF(B150="","",Capacity!E43)</f>
        <v/>
      </c>
      <c r="D150" s="309" t="str">
        <f>IF(B150="","",Capacity!F43)</f>
        <v/>
      </c>
      <c r="E150" s="220" t="str">
        <f>IF(B150="","",IF(COUNTBLANK(H150:BG150)=52,SUM('Capacity calculation (hide)'!H31:BG31),52-COUNTBLANK(H150:BG150)))</f>
        <v/>
      </c>
      <c r="F150" s="310" t="str">
        <f>'Capacity calculation (hide)'!BI31</f>
        <v/>
      </c>
      <c r="H150" s="362"/>
      <c r="I150" s="362"/>
      <c r="J150" s="362"/>
      <c r="K150" s="362"/>
      <c r="L150" s="362"/>
      <c r="M150" s="362"/>
      <c r="N150" s="362"/>
      <c r="O150" s="362"/>
      <c r="P150" s="362"/>
      <c r="Q150" s="362"/>
      <c r="R150" s="362"/>
      <c r="S150" s="362"/>
      <c r="T150" s="362"/>
      <c r="U150" s="362"/>
      <c r="V150" s="362"/>
      <c r="W150" s="362"/>
      <c r="X150" s="362"/>
      <c r="Y150" s="362"/>
      <c r="Z150" s="362"/>
      <c r="AA150" s="362"/>
      <c r="AB150" s="362"/>
      <c r="AC150" s="362"/>
      <c r="AD150" s="362"/>
      <c r="AE150" s="362"/>
      <c r="AF150" s="362"/>
      <c r="AG150" s="362"/>
      <c r="AH150" s="362"/>
      <c r="AI150" s="362"/>
      <c r="AJ150" s="362"/>
      <c r="AK150" s="362"/>
      <c r="AL150" s="362"/>
      <c r="AM150" s="362"/>
      <c r="AN150" s="362"/>
      <c r="AO150" s="362"/>
      <c r="AP150" s="362"/>
      <c r="AQ150" s="362"/>
      <c r="AR150" s="362"/>
      <c r="AS150" s="362"/>
      <c r="AT150" s="362"/>
      <c r="AU150" s="362"/>
      <c r="AV150" s="362"/>
      <c r="AW150" s="362"/>
      <c r="AX150" s="362"/>
      <c r="AY150" s="362"/>
      <c r="AZ150" s="362"/>
      <c r="BA150" s="362"/>
      <c r="BB150" s="362"/>
      <c r="BC150" s="362"/>
      <c r="BD150" s="362"/>
      <c r="BE150" s="362"/>
      <c r="BF150" s="362"/>
      <c r="BG150" s="362"/>
      <c r="BI150" s="342" t="s">
        <v>1237</v>
      </c>
    </row>
    <row r="151" spans="2:61" hidden="1" x14ac:dyDescent="0.2">
      <c r="B151" s="67" t="str">
        <f>IF(Capacity!B44="","",Capacity!B44)</f>
        <v/>
      </c>
      <c r="C151" s="220" t="str">
        <f>IF(B151="","",Capacity!E44)</f>
        <v/>
      </c>
      <c r="D151" s="309" t="str">
        <f>IF(B151="","",Capacity!F44)</f>
        <v/>
      </c>
      <c r="E151" s="220" t="str">
        <f>IF(B151="","",IF(COUNTBLANK(H151:BG151)=52,SUM('Capacity calculation (hide)'!H32:BG32),52-COUNTBLANK(H151:BG151)))</f>
        <v/>
      </c>
      <c r="F151" s="310" t="str">
        <f>'Capacity calculation (hide)'!BI32</f>
        <v/>
      </c>
      <c r="H151" s="362"/>
      <c r="I151" s="362"/>
      <c r="J151" s="362"/>
      <c r="K151" s="362"/>
      <c r="L151" s="362"/>
      <c r="M151" s="362"/>
      <c r="N151" s="362"/>
      <c r="O151" s="362"/>
      <c r="P151" s="362"/>
      <c r="Q151" s="362"/>
      <c r="R151" s="362"/>
      <c r="S151" s="362"/>
      <c r="T151" s="362"/>
      <c r="U151" s="362"/>
      <c r="V151" s="362"/>
      <c r="W151" s="362"/>
      <c r="X151" s="362"/>
      <c r="Y151" s="362"/>
      <c r="Z151" s="362"/>
      <c r="AA151" s="362"/>
      <c r="AB151" s="362"/>
      <c r="AC151" s="362"/>
      <c r="AD151" s="362"/>
      <c r="AE151" s="362"/>
      <c r="AF151" s="362"/>
      <c r="AG151" s="362"/>
      <c r="AH151" s="362"/>
      <c r="AI151" s="362"/>
      <c r="AJ151" s="362"/>
      <c r="AK151" s="362"/>
      <c r="AL151" s="362"/>
      <c r="AM151" s="362"/>
      <c r="AN151" s="362"/>
      <c r="AO151" s="362"/>
      <c r="AP151" s="362"/>
      <c r="AQ151" s="362"/>
      <c r="AR151" s="362"/>
      <c r="AS151" s="362"/>
      <c r="AT151" s="362"/>
      <c r="AU151" s="362"/>
      <c r="AV151" s="362"/>
      <c r="AW151" s="362"/>
      <c r="AX151" s="362"/>
      <c r="AY151" s="362"/>
      <c r="AZ151" s="362"/>
      <c r="BA151" s="362"/>
      <c r="BB151" s="362"/>
      <c r="BC151" s="362"/>
      <c r="BD151" s="362"/>
      <c r="BE151" s="362"/>
      <c r="BF151" s="362"/>
      <c r="BG151" s="362"/>
      <c r="BI151" s="342" t="s">
        <v>1237</v>
      </c>
    </row>
    <row r="152" spans="2:61" hidden="1" x14ac:dyDescent="0.2">
      <c r="B152" s="67" t="str">
        <f>IF(Capacity!B45="","",Capacity!B45)</f>
        <v/>
      </c>
      <c r="C152" s="220" t="str">
        <f>IF(B152="","",Capacity!E45)</f>
        <v/>
      </c>
      <c r="D152" s="309" t="str">
        <f>IF(B152="","",Capacity!F45)</f>
        <v/>
      </c>
      <c r="E152" s="220" t="str">
        <f>IF(B152="","",IF(COUNTBLANK(H152:BG152)=52,SUM('Capacity calculation (hide)'!H33:BG33),52-COUNTBLANK(H152:BG152)))</f>
        <v/>
      </c>
      <c r="F152" s="310" t="str">
        <f>'Capacity calculation (hide)'!BI33</f>
        <v/>
      </c>
      <c r="H152" s="362"/>
      <c r="I152" s="362"/>
      <c r="J152" s="362"/>
      <c r="K152" s="362"/>
      <c r="L152" s="362"/>
      <c r="M152" s="362"/>
      <c r="N152" s="362"/>
      <c r="O152" s="362"/>
      <c r="P152" s="362"/>
      <c r="Q152" s="362"/>
      <c r="R152" s="362"/>
      <c r="S152" s="362"/>
      <c r="T152" s="362"/>
      <c r="U152" s="362"/>
      <c r="V152" s="362"/>
      <c r="W152" s="362"/>
      <c r="X152" s="362"/>
      <c r="Y152" s="362"/>
      <c r="Z152" s="362"/>
      <c r="AA152" s="362"/>
      <c r="AB152" s="362"/>
      <c r="AC152" s="362"/>
      <c r="AD152" s="362"/>
      <c r="AE152" s="362"/>
      <c r="AF152" s="362"/>
      <c r="AG152" s="362"/>
      <c r="AH152" s="362"/>
      <c r="AI152" s="362"/>
      <c r="AJ152" s="362"/>
      <c r="AK152" s="362"/>
      <c r="AL152" s="362"/>
      <c r="AM152" s="362"/>
      <c r="AN152" s="362"/>
      <c r="AO152" s="362"/>
      <c r="AP152" s="362"/>
      <c r="AQ152" s="362"/>
      <c r="AR152" s="362"/>
      <c r="AS152" s="362"/>
      <c r="AT152" s="362"/>
      <c r="AU152" s="362"/>
      <c r="AV152" s="362"/>
      <c r="AW152" s="362"/>
      <c r="AX152" s="362"/>
      <c r="AY152" s="362"/>
      <c r="AZ152" s="362"/>
      <c r="BA152" s="362"/>
      <c r="BB152" s="362"/>
      <c r="BC152" s="362"/>
      <c r="BD152" s="362"/>
      <c r="BE152" s="362"/>
      <c r="BF152" s="362"/>
      <c r="BG152" s="362"/>
      <c r="BI152" s="342" t="s">
        <v>1237</v>
      </c>
    </row>
    <row r="153" spans="2:61" hidden="1" x14ac:dyDescent="0.2">
      <c r="B153" s="67" t="str">
        <f>IF(Capacity!B46="","",Capacity!B46)</f>
        <v/>
      </c>
      <c r="C153" s="220" t="str">
        <f>IF(B153="","",Capacity!E46)</f>
        <v/>
      </c>
      <c r="D153" s="309" t="str">
        <f>IF(B153="","",Capacity!F46)</f>
        <v/>
      </c>
      <c r="E153" s="220" t="str">
        <f>IF(B153="","",IF(COUNTBLANK(H153:BG153)=52,SUM('Capacity calculation (hide)'!H34:BG34),52-COUNTBLANK(H153:BG153)))</f>
        <v/>
      </c>
      <c r="F153" s="310" t="str">
        <f>'Capacity calculation (hide)'!BI34</f>
        <v/>
      </c>
      <c r="H153" s="362"/>
      <c r="I153" s="362"/>
      <c r="J153" s="362"/>
      <c r="K153" s="362"/>
      <c r="L153" s="362"/>
      <c r="M153" s="362"/>
      <c r="N153" s="362"/>
      <c r="O153" s="362"/>
      <c r="P153" s="362"/>
      <c r="Q153" s="362"/>
      <c r="R153" s="362"/>
      <c r="S153" s="362"/>
      <c r="T153" s="362"/>
      <c r="U153" s="362"/>
      <c r="V153" s="362"/>
      <c r="W153" s="362"/>
      <c r="X153" s="362"/>
      <c r="Y153" s="362"/>
      <c r="Z153" s="362"/>
      <c r="AA153" s="362"/>
      <c r="AB153" s="362"/>
      <c r="AC153" s="362"/>
      <c r="AD153" s="362"/>
      <c r="AE153" s="362"/>
      <c r="AF153" s="362"/>
      <c r="AG153" s="362"/>
      <c r="AH153" s="362"/>
      <c r="AI153" s="362"/>
      <c r="AJ153" s="362"/>
      <c r="AK153" s="362"/>
      <c r="AL153" s="362"/>
      <c r="AM153" s="362"/>
      <c r="AN153" s="362"/>
      <c r="AO153" s="362"/>
      <c r="AP153" s="362"/>
      <c r="AQ153" s="362"/>
      <c r="AR153" s="362"/>
      <c r="AS153" s="362"/>
      <c r="AT153" s="362"/>
      <c r="AU153" s="362"/>
      <c r="AV153" s="362"/>
      <c r="AW153" s="362"/>
      <c r="AX153" s="362"/>
      <c r="AY153" s="362"/>
      <c r="AZ153" s="362"/>
      <c r="BA153" s="362"/>
      <c r="BB153" s="362"/>
      <c r="BC153" s="362"/>
      <c r="BD153" s="362"/>
      <c r="BE153" s="362"/>
      <c r="BF153" s="362"/>
      <c r="BG153" s="362"/>
      <c r="BI153" s="342" t="s">
        <v>1237</v>
      </c>
    </row>
    <row r="154" spans="2:61" hidden="1" x14ac:dyDescent="0.2">
      <c r="B154" s="67" t="str">
        <f>IF(Capacity!B47="","",Capacity!B47)</f>
        <v/>
      </c>
      <c r="C154" s="220" t="str">
        <f>IF(B154="","",Capacity!E47)</f>
        <v/>
      </c>
      <c r="D154" s="309" t="str">
        <f>IF(B154="","",Capacity!F47)</f>
        <v/>
      </c>
      <c r="E154" s="220" t="str">
        <f>IF(B154="","",IF(COUNTBLANK(H154:BG154)=52,SUM('Capacity calculation (hide)'!H35:BG35),52-COUNTBLANK(H154:BG154)))</f>
        <v/>
      </c>
      <c r="F154" s="310" t="str">
        <f>'Capacity calculation (hide)'!BI35</f>
        <v/>
      </c>
      <c r="H154" s="362"/>
      <c r="I154" s="362"/>
      <c r="J154" s="362"/>
      <c r="K154" s="362"/>
      <c r="L154" s="362"/>
      <c r="M154" s="362"/>
      <c r="N154" s="362"/>
      <c r="O154" s="362"/>
      <c r="P154" s="362"/>
      <c r="Q154" s="362"/>
      <c r="R154" s="362"/>
      <c r="S154" s="362"/>
      <c r="T154" s="362"/>
      <c r="U154" s="362"/>
      <c r="V154" s="362"/>
      <c r="W154" s="362"/>
      <c r="X154" s="362"/>
      <c r="Y154" s="362"/>
      <c r="Z154" s="362"/>
      <c r="AA154" s="362"/>
      <c r="AB154" s="362"/>
      <c r="AC154" s="362"/>
      <c r="AD154" s="362"/>
      <c r="AE154" s="362"/>
      <c r="AF154" s="362"/>
      <c r="AG154" s="362"/>
      <c r="AH154" s="362"/>
      <c r="AI154" s="362"/>
      <c r="AJ154" s="362"/>
      <c r="AK154" s="362"/>
      <c r="AL154" s="362"/>
      <c r="AM154" s="362"/>
      <c r="AN154" s="362"/>
      <c r="AO154" s="362"/>
      <c r="AP154" s="362"/>
      <c r="AQ154" s="362"/>
      <c r="AR154" s="362"/>
      <c r="AS154" s="362"/>
      <c r="AT154" s="362"/>
      <c r="AU154" s="362"/>
      <c r="AV154" s="362"/>
      <c r="AW154" s="362"/>
      <c r="AX154" s="362"/>
      <c r="AY154" s="362"/>
      <c r="AZ154" s="362"/>
      <c r="BA154" s="362"/>
      <c r="BB154" s="362"/>
      <c r="BC154" s="362"/>
      <c r="BD154" s="362"/>
      <c r="BE154" s="362"/>
      <c r="BF154" s="362"/>
      <c r="BG154" s="362"/>
      <c r="BI154" s="342" t="s">
        <v>1237</v>
      </c>
    </row>
    <row r="155" spans="2:61" hidden="1" x14ac:dyDescent="0.2">
      <c r="B155" s="67" t="str">
        <f>IF(Capacity!B48="","",Capacity!B48)</f>
        <v/>
      </c>
      <c r="C155" s="220" t="str">
        <f>IF(B155="","",Capacity!E48)</f>
        <v/>
      </c>
      <c r="D155" s="309" t="str">
        <f>IF(B155="","",Capacity!F48)</f>
        <v/>
      </c>
      <c r="E155" s="220" t="str">
        <f>IF(B155="","",IF(COUNTBLANK(H155:BG155)=52,SUM('Capacity calculation (hide)'!H36:BG36),52-COUNTBLANK(H155:BG155)))</f>
        <v/>
      </c>
      <c r="F155" s="310" t="str">
        <f>'Capacity calculation (hide)'!BI36</f>
        <v/>
      </c>
      <c r="H155" s="362"/>
      <c r="I155" s="362"/>
      <c r="J155" s="362"/>
      <c r="K155" s="362"/>
      <c r="L155" s="362"/>
      <c r="M155" s="362"/>
      <c r="N155" s="362"/>
      <c r="O155" s="362"/>
      <c r="P155" s="362"/>
      <c r="Q155" s="362"/>
      <c r="R155" s="362"/>
      <c r="S155" s="362"/>
      <c r="T155" s="362"/>
      <c r="U155" s="362"/>
      <c r="V155" s="362"/>
      <c r="W155" s="362"/>
      <c r="X155" s="362"/>
      <c r="Y155" s="362"/>
      <c r="Z155" s="362"/>
      <c r="AA155" s="362"/>
      <c r="AB155" s="362"/>
      <c r="AC155" s="362"/>
      <c r="AD155" s="362"/>
      <c r="AE155" s="362"/>
      <c r="AF155" s="362"/>
      <c r="AG155" s="362"/>
      <c r="AH155" s="362"/>
      <c r="AI155" s="362"/>
      <c r="AJ155" s="362"/>
      <c r="AK155" s="362"/>
      <c r="AL155" s="362"/>
      <c r="AM155" s="362"/>
      <c r="AN155" s="362"/>
      <c r="AO155" s="362"/>
      <c r="AP155" s="362"/>
      <c r="AQ155" s="362"/>
      <c r="AR155" s="362"/>
      <c r="AS155" s="362"/>
      <c r="AT155" s="362"/>
      <c r="AU155" s="362"/>
      <c r="AV155" s="362"/>
      <c r="AW155" s="362"/>
      <c r="AX155" s="362"/>
      <c r="AY155" s="362"/>
      <c r="AZ155" s="362"/>
      <c r="BA155" s="362"/>
      <c r="BB155" s="362"/>
      <c r="BC155" s="362"/>
      <c r="BD155" s="362"/>
      <c r="BE155" s="362"/>
      <c r="BF155" s="362"/>
      <c r="BG155" s="362"/>
      <c r="BI155" s="342" t="s">
        <v>1237</v>
      </c>
    </row>
    <row r="156" spans="2:61" hidden="1" x14ac:dyDescent="0.2">
      <c r="B156" s="67" t="str">
        <f>IF(Capacity!B49="","",Capacity!B49)</f>
        <v/>
      </c>
      <c r="C156" s="220" t="str">
        <f>IF(B156="","",Capacity!E49)</f>
        <v/>
      </c>
      <c r="D156" s="309" t="str">
        <f>IF(B156="","",Capacity!F49)</f>
        <v/>
      </c>
      <c r="E156" s="220" t="str">
        <f>IF(B156="","",IF(COUNTBLANK(H156:BG156)=52,SUM('Capacity calculation (hide)'!H37:BG37),52-COUNTBLANK(H156:BG156)))</f>
        <v/>
      </c>
      <c r="F156" s="310" t="str">
        <f>'Capacity calculation (hide)'!BI37</f>
        <v/>
      </c>
      <c r="H156" s="362"/>
      <c r="I156" s="362"/>
      <c r="J156" s="362"/>
      <c r="K156" s="362"/>
      <c r="L156" s="362"/>
      <c r="M156" s="362"/>
      <c r="N156" s="362"/>
      <c r="O156" s="362"/>
      <c r="P156" s="362"/>
      <c r="Q156" s="362"/>
      <c r="R156" s="362"/>
      <c r="S156" s="362"/>
      <c r="T156" s="362"/>
      <c r="U156" s="362"/>
      <c r="V156" s="362"/>
      <c r="W156" s="362"/>
      <c r="X156" s="362"/>
      <c r="Y156" s="362"/>
      <c r="Z156" s="362"/>
      <c r="AA156" s="362"/>
      <c r="AB156" s="362"/>
      <c r="AC156" s="362"/>
      <c r="AD156" s="362"/>
      <c r="AE156" s="362"/>
      <c r="AF156" s="362"/>
      <c r="AG156" s="362"/>
      <c r="AH156" s="362"/>
      <c r="AI156" s="362"/>
      <c r="AJ156" s="362"/>
      <c r="AK156" s="362"/>
      <c r="AL156" s="362"/>
      <c r="AM156" s="362"/>
      <c r="AN156" s="362"/>
      <c r="AO156" s="362"/>
      <c r="AP156" s="362"/>
      <c r="AQ156" s="362"/>
      <c r="AR156" s="362"/>
      <c r="AS156" s="362"/>
      <c r="AT156" s="362"/>
      <c r="AU156" s="362"/>
      <c r="AV156" s="362"/>
      <c r="AW156" s="362"/>
      <c r="AX156" s="362"/>
      <c r="AY156" s="362"/>
      <c r="AZ156" s="362"/>
      <c r="BA156" s="362"/>
      <c r="BB156" s="362"/>
      <c r="BC156" s="362"/>
      <c r="BD156" s="362"/>
      <c r="BE156" s="362"/>
      <c r="BF156" s="362"/>
      <c r="BG156" s="362"/>
      <c r="BI156" s="342" t="s">
        <v>1237</v>
      </c>
    </row>
    <row r="157" spans="2:61" hidden="1" x14ac:dyDescent="0.2">
      <c r="B157" s="67" t="str">
        <f>IF(Capacity!B50="","",Capacity!B50)</f>
        <v/>
      </c>
      <c r="C157" s="220" t="str">
        <f>IF(B157="","",Capacity!E50)</f>
        <v/>
      </c>
      <c r="D157" s="309" t="str">
        <f>IF(B157="","",Capacity!F50)</f>
        <v/>
      </c>
      <c r="E157" s="220" t="str">
        <f>IF(B157="","",IF(COUNTBLANK(H157:BG157)=52,SUM('Capacity calculation (hide)'!H38:BG38),52-COUNTBLANK(H157:BG157)))</f>
        <v/>
      </c>
      <c r="F157" s="310" t="str">
        <f>'Capacity calculation (hide)'!BI38</f>
        <v/>
      </c>
      <c r="H157" s="362"/>
      <c r="I157" s="362"/>
      <c r="J157" s="362"/>
      <c r="K157" s="362"/>
      <c r="L157" s="362"/>
      <c r="M157" s="362"/>
      <c r="N157" s="362"/>
      <c r="O157" s="362"/>
      <c r="P157" s="362"/>
      <c r="Q157" s="362"/>
      <c r="R157" s="362"/>
      <c r="S157" s="362"/>
      <c r="T157" s="362"/>
      <c r="U157" s="362"/>
      <c r="V157" s="362"/>
      <c r="W157" s="362"/>
      <c r="X157" s="362"/>
      <c r="Y157" s="362"/>
      <c r="Z157" s="362"/>
      <c r="AA157" s="362"/>
      <c r="AB157" s="362"/>
      <c r="AC157" s="362"/>
      <c r="AD157" s="362"/>
      <c r="AE157" s="362"/>
      <c r="AF157" s="362"/>
      <c r="AG157" s="362"/>
      <c r="AH157" s="362"/>
      <c r="AI157" s="362"/>
      <c r="AJ157" s="362"/>
      <c r="AK157" s="362"/>
      <c r="AL157" s="362"/>
      <c r="AM157" s="362"/>
      <c r="AN157" s="362"/>
      <c r="AO157" s="362"/>
      <c r="AP157" s="362"/>
      <c r="AQ157" s="362"/>
      <c r="AR157" s="362"/>
      <c r="AS157" s="362"/>
      <c r="AT157" s="362"/>
      <c r="AU157" s="362"/>
      <c r="AV157" s="362"/>
      <c r="AW157" s="362"/>
      <c r="AX157" s="362"/>
      <c r="AY157" s="362"/>
      <c r="AZ157" s="362"/>
      <c r="BA157" s="362"/>
      <c r="BB157" s="362"/>
      <c r="BC157" s="362"/>
      <c r="BD157" s="362"/>
      <c r="BE157" s="362"/>
      <c r="BF157" s="362"/>
      <c r="BG157" s="362"/>
      <c r="BI157" s="342" t="s">
        <v>1237</v>
      </c>
    </row>
    <row r="158" spans="2:61" hidden="1" x14ac:dyDescent="0.2">
      <c r="B158" s="67" t="str">
        <f>IF(Capacity!B51="","",Capacity!B51)</f>
        <v/>
      </c>
      <c r="C158" s="220" t="str">
        <f>IF(B158="","",Capacity!E51)</f>
        <v/>
      </c>
      <c r="D158" s="309" t="str">
        <f>IF(B158="","",Capacity!F51)</f>
        <v/>
      </c>
      <c r="E158" s="220" t="str">
        <f>IF(B158="","",IF(COUNTBLANK(H158:BG158)=52,SUM('Capacity calculation (hide)'!H39:BG39),52-COUNTBLANK(H158:BG158)))</f>
        <v/>
      </c>
      <c r="F158" s="310" t="str">
        <f>'Capacity calculation (hide)'!BI39</f>
        <v/>
      </c>
      <c r="H158" s="362"/>
      <c r="I158" s="362"/>
      <c r="J158" s="362"/>
      <c r="K158" s="362"/>
      <c r="L158" s="362"/>
      <c r="M158" s="362"/>
      <c r="N158" s="362"/>
      <c r="O158" s="362"/>
      <c r="P158" s="362"/>
      <c r="Q158" s="362"/>
      <c r="R158" s="362"/>
      <c r="S158" s="362"/>
      <c r="T158" s="362"/>
      <c r="U158" s="362"/>
      <c r="V158" s="362"/>
      <c r="W158" s="362"/>
      <c r="X158" s="362"/>
      <c r="Y158" s="362"/>
      <c r="Z158" s="362"/>
      <c r="AA158" s="362"/>
      <c r="AB158" s="362"/>
      <c r="AC158" s="362"/>
      <c r="AD158" s="362"/>
      <c r="AE158" s="362"/>
      <c r="AF158" s="362"/>
      <c r="AG158" s="362"/>
      <c r="AH158" s="362"/>
      <c r="AI158" s="362"/>
      <c r="AJ158" s="362"/>
      <c r="AK158" s="362"/>
      <c r="AL158" s="362"/>
      <c r="AM158" s="362"/>
      <c r="AN158" s="362"/>
      <c r="AO158" s="362"/>
      <c r="AP158" s="362"/>
      <c r="AQ158" s="362"/>
      <c r="AR158" s="362"/>
      <c r="AS158" s="362"/>
      <c r="AT158" s="362"/>
      <c r="AU158" s="362"/>
      <c r="AV158" s="362"/>
      <c r="AW158" s="362"/>
      <c r="AX158" s="362"/>
      <c r="AY158" s="362"/>
      <c r="AZ158" s="362"/>
      <c r="BA158" s="362"/>
      <c r="BB158" s="362"/>
      <c r="BC158" s="362"/>
      <c r="BD158" s="362"/>
      <c r="BE158" s="362"/>
      <c r="BF158" s="362"/>
      <c r="BG158" s="362"/>
      <c r="BI158" s="342" t="s">
        <v>1237</v>
      </c>
    </row>
    <row r="159" spans="2:61" hidden="1" x14ac:dyDescent="0.2">
      <c r="B159" s="67" t="str">
        <f>IF(Capacity!B52="","",Capacity!B52)</f>
        <v/>
      </c>
      <c r="C159" s="220" t="str">
        <f>IF(B159="","",Capacity!E52)</f>
        <v/>
      </c>
      <c r="D159" s="309" t="str">
        <f>IF(B159="","",Capacity!F52)</f>
        <v/>
      </c>
      <c r="E159" s="220" t="str">
        <f>IF(B159="","",IF(COUNTBLANK(H159:BG159)=52,SUM('Capacity calculation (hide)'!H40:BG40),52-COUNTBLANK(H159:BG159)))</f>
        <v/>
      </c>
      <c r="F159" s="310" t="str">
        <f>'Capacity calculation (hide)'!BI40</f>
        <v/>
      </c>
      <c r="H159" s="362"/>
      <c r="I159" s="362"/>
      <c r="J159" s="362"/>
      <c r="K159" s="362"/>
      <c r="L159" s="362"/>
      <c r="M159" s="362"/>
      <c r="N159" s="362"/>
      <c r="O159" s="362"/>
      <c r="P159" s="362"/>
      <c r="Q159" s="362"/>
      <c r="R159" s="362"/>
      <c r="S159" s="362"/>
      <c r="T159" s="362"/>
      <c r="U159" s="362"/>
      <c r="V159" s="362"/>
      <c r="W159" s="362"/>
      <c r="X159" s="362"/>
      <c r="Y159" s="362"/>
      <c r="Z159" s="362"/>
      <c r="AA159" s="362"/>
      <c r="AB159" s="362"/>
      <c r="AC159" s="362"/>
      <c r="AD159" s="362"/>
      <c r="AE159" s="362"/>
      <c r="AF159" s="362"/>
      <c r="AG159" s="362"/>
      <c r="AH159" s="362"/>
      <c r="AI159" s="362"/>
      <c r="AJ159" s="362"/>
      <c r="AK159" s="362"/>
      <c r="AL159" s="362"/>
      <c r="AM159" s="362"/>
      <c r="AN159" s="362"/>
      <c r="AO159" s="362"/>
      <c r="AP159" s="362"/>
      <c r="AQ159" s="362"/>
      <c r="AR159" s="362"/>
      <c r="AS159" s="362"/>
      <c r="AT159" s="362"/>
      <c r="AU159" s="362"/>
      <c r="AV159" s="362"/>
      <c r="AW159" s="362"/>
      <c r="AX159" s="362"/>
      <c r="AY159" s="362"/>
      <c r="AZ159" s="362"/>
      <c r="BA159" s="362"/>
      <c r="BB159" s="362"/>
      <c r="BC159" s="362"/>
      <c r="BD159" s="362"/>
      <c r="BE159" s="362"/>
      <c r="BF159" s="362"/>
      <c r="BG159" s="362"/>
      <c r="BI159" s="342" t="s">
        <v>1237</v>
      </c>
    </row>
    <row r="160" spans="2:61" hidden="1" x14ac:dyDescent="0.2">
      <c r="B160" s="67" t="str">
        <f>IF(Capacity!B53="","",Capacity!B53)</f>
        <v/>
      </c>
      <c r="C160" s="220" t="str">
        <f>IF(B160="","",Capacity!E53)</f>
        <v/>
      </c>
      <c r="D160" s="309" t="str">
        <f>IF(B160="","",Capacity!F53)</f>
        <v/>
      </c>
      <c r="E160" s="220" t="str">
        <f>IF(B160="","",IF(COUNTBLANK(H160:BG160)=52,SUM('Capacity calculation (hide)'!H41:BG41),52-COUNTBLANK(H160:BG160)))</f>
        <v/>
      </c>
      <c r="F160" s="310" t="str">
        <f>'Capacity calculation (hide)'!BI41</f>
        <v/>
      </c>
      <c r="H160" s="362"/>
      <c r="I160" s="362"/>
      <c r="J160" s="362"/>
      <c r="K160" s="362"/>
      <c r="L160" s="362"/>
      <c r="M160" s="362"/>
      <c r="N160" s="362"/>
      <c r="O160" s="362"/>
      <c r="P160" s="362"/>
      <c r="Q160" s="362"/>
      <c r="R160" s="362"/>
      <c r="S160" s="362"/>
      <c r="T160" s="362"/>
      <c r="U160" s="362"/>
      <c r="V160" s="362"/>
      <c r="W160" s="362"/>
      <c r="X160" s="362"/>
      <c r="Y160" s="362"/>
      <c r="Z160" s="362"/>
      <c r="AA160" s="362"/>
      <c r="AB160" s="362"/>
      <c r="AC160" s="362"/>
      <c r="AD160" s="362"/>
      <c r="AE160" s="362"/>
      <c r="AF160" s="362"/>
      <c r="AG160" s="362"/>
      <c r="AH160" s="362"/>
      <c r="AI160" s="362"/>
      <c r="AJ160" s="362"/>
      <c r="AK160" s="362"/>
      <c r="AL160" s="362"/>
      <c r="AM160" s="362"/>
      <c r="AN160" s="362"/>
      <c r="AO160" s="362"/>
      <c r="AP160" s="362"/>
      <c r="AQ160" s="362"/>
      <c r="AR160" s="362"/>
      <c r="AS160" s="362"/>
      <c r="AT160" s="362"/>
      <c r="AU160" s="362"/>
      <c r="AV160" s="362"/>
      <c r="AW160" s="362"/>
      <c r="AX160" s="362"/>
      <c r="AY160" s="362"/>
      <c r="AZ160" s="362"/>
      <c r="BA160" s="362"/>
      <c r="BB160" s="362"/>
      <c r="BC160" s="362"/>
      <c r="BD160" s="362"/>
      <c r="BE160" s="362"/>
      <c r="BF160" s="362"/>
      <c r="BG160" s="362"/>
      <c r="BI160" s="342" t="s">
        <v>1237</v>
      </c>
    </row>
    <row r="161" spans="2:61" hidden="1" x14ac:dyDescent="0.2">
      <c r="B161" s="67" t="str">
        <f>IF(Capacity!B54="","",Capacity!B54)</f>
        <v/>
      </c>
      <c r="C161" s="220" t="str">
        <f>IF(B161="","",Capacity!E54)</f>
        <v/>
      </c>
      <c r="D161" s="309" t="str">
        <f>IF(B161="","",Capacity!F54)</f>
        <v/>
      </c>
      <c r="E161" s="220" t="str">
        <f>IF(B161="","",IF(COUNTBLANK(H161:BG161)=52,SUM('Capacity calculation (hide)'!H42:BG42),52-COUNTBLANK(H161:BG161)))</f>
        <v/>
      </c>
      <c r="F161" s="310" t="str">
        <f>'Capacity calculation (hide)'!BI42</f>
        <v/>
      </c>
      <c r="H161" s="362"/>
      <c r="I161" s="362"/>
      <c r="J161" s="362"/>
      <c r="K161" s="362"/>
      <c r="L161" s="362"/>
      <c r="M161" s="362"/>
      <c r="N161" s="362"/>
      <c r="O161" s="362"/>
      <c r="P161" s="362"/>
      <c r="Q161" s="362"/>
      <c r="R161" s="362"/>
      <c r="S161" s="362"/>
      <c r="T161" s="362"/>
      <c r="U161" s="362"/>
      <c r="V161" s="362"/>
      <c r="W161" s="362"/>
      <c r="X161" s="362"/>
      <c r="Y161" s="362"/>
      <c r="Z161" s="362"/>
      <c r="AA161" s="362"/>
      <c r="AB161" s="362"/>
      <c r="AC161" s="362"/>
      <c r="AD161" s="362"/>
      <c r="AE161" s="362"/>
      <c r="AF161" s="362"/>
      <c r="AG161" s="362"/>
      <c r="AH161" s="362"/>
      <c r="AI161" s="362"/>
      <c r="AJ161" s="362"/>
      <c r="AK161" s="362"/>
      <c r="AL161" s="362"/>
      <c r="AM161" s="362"/>
      <c r="AN161" s="362"/>
      <c r="AO161" s="362"/>
      <c r="AP161" s="362"/>
      <c r="AQ161" s="362"/>
      <c r="AR161" s="362"/>
      <c r="AS161" s="362"/>
      <c r="AT161" s="362"/>
      <c r="AU161" s="362"/>
      <c r="AV161" s="362"/>
      <c r="AW161" s="362"/>
      <c r="AX161" s="362"/>
      <c r="AY161" s="362"/>
      <c r="AZ161" s="362"/>
      <c r="BA161" s="362"/>
      <c r="BB161" s="362"/>
      <c r="BC161" s="362"/>
      <c r="BD161" s="362"/>
      <c r="BE161" s="362"/>
      <c r="BF161" s="362"/>
      <c r="BG161" s="362"/>
      <c r="BI161" s="342" t="s">
        <v>1237</v>
      </c>
    </row>
    <row r="162" spans="2:61" hidden="1" x14ac:dyDescent="0.2">
      <c r="B162" s="67" t="str">
        <f>IF(Capacity!B55="","",Capacity!B55)</f>
        <v/>
      </c>
      <c r="C162" s="220" t="str">
        <f>IF(B162="","",Capacity!E55)</f>
        <v/>
      </c>
      <c r="D162" s="309" t="str">
        <f>IF(B162="","",Capacity!F55)</f>
        <v/>
      </c>
      <c r="E162" s="220" t="str">
        <f>IF(B162="","",IF(COUNTBLANK(H162:BG162)=52,SUM('Capacity calculation (hide)'!H43:BG43),52-COUNTBLANK(H162:BG162)))</f>
        <v/>
      </c>
      <c r="F162" s="310" t="str">
        <f>'Capacity calculation (hide)'!BI43</f>
        <v/>
      </c>
      <c r="H162" s="362"/>
      <c r="I162" s="362"/>
      <c r="J162" s="362"/>
      <c r="K162" s="362"/>
      <c r="L162" s="362"/>
      <c r="M162" s="362"/>
      <c r="N162" s="362"/>
      <c r="O162" s="362"/>
      <c r="P162" s="362"/>
      <c r="Q162" s="362"/>
      <c r="R162" s="362"/>
      <c r="S162" s="362"/>
      <c r="T162" s="362"/>
      <c r="U162" s="362"/>
      <c r="V162" s="362"/>
      <c r="W162" s="362"/>
      <c r="X162" s="362"/>
      <c r="Y162" s="362"/>
      <c r="Z162" s="362"/>
      <c r="AA162" s="362"/>
      <c r="AB162" s="362"/>
      <c r="AC162" s="362"/>
      <c r="AD162" s="362"/>
      <c r="AE162" s="362"/>
      <c r="AF162" s="362"/>
      <c r="AG162" s="362"/>
      <c r="AH162" s="362"/>
      <c r="AI162" s="362"/>
      <c r="AJ162" s="362"/>
      <c r="AK162" s="362"/>
      <c r="AL162" s="362"/>
      <c r="AM162" s="362"/>
      <c r="AN162" s="362"/>
      <c r="AO162" s="362"/>
      <c r="AP162" s="362"/>
      <c r="AQ162" s="362"/>
      <c r="AR162" s="362"/>
      <c r="AS162" s="362"/>
      <c r="AT162" s="362"/>
      <c r="AU162" s="362"/>
      <c r="AV162" s="362"/>
      <c r="AW162" s="362"/>
      <c r="AX162" s="362"/>
      <c r="AY162" s="362"/>
      <c r="AZ162" s="362"/>
      <c r="BA162" s="362"/>
      <c r="BB162" s="362"/>
      <c r="BC162" s="362"/>
      <c r="BD162" s="362"/>
      <c r="BE162" s="362"/>
      <c r="BF162" s="362"/>
      <c r="BG162" s="362"/>
      <c r="BI162" s="342" t="s">
        <v>1237</v>
      </c>
    </row>
    <row r="163" spans="2:61" hidden="1" x14ac:dyDescent="0.2">
      <c r="B163" s="67" t="str">
        <f>IF(Capacity!B56="","",Capacity!B56)</f>
        <v/>
      </c>
      <c r="C163" s="220" t="str">
        <f>IF(B163="","",Capacity!E56)</f>
        <v/>
      </c>
      <c r="D163" s="309" t="str">
        <f>IF(B163="","",Capacity!F56)</f>
        <v/>
      </c>
      <c r="E163" s="220" t="str">
        <f>IF(B163="","",IF(COUNTBLANK(H163:BG163)=52,SUM('Capacity calculation (hide)'!H44:BG44),52-COUNTBLANK(H163:BG163)))</f>
        <v/>
      </c>
      <c r="F163" s="310" t="str">
        <f>'Capacity calculation (hide)'!BI44</f>
        <v/>
      </c>
      <c r="H163" s="362"/>
      <c r="I163" s="362"/>
      <c r="J163" s="362"/>
      <c r="K163" s="362"/>
      <c r="L163" s="362"/>
      <c r="M163" s="362"/>
      <c r="N163" s="362"/>
      <c r="O163" s="362"/>
      <c r="P163" s="362"/>
      <c r="Q163" s="362"/>
      <c r="R163" s="362"/>
      <c r="S163" s="362"/>
      <c r="T163" s="362"/>
      <c r="U163" s="362"/>
      <c r="V163" s="362"/>
      <c r="W163" s="362"/>
      <c r="X163" s="362"/>
      <c r="Y163" s="362"/>
      <c r="Z163" s="362"/>
      <c r="AA163" s="362"/>
      <c r="AB163" s="362"/>
      <c r="AC163" s="362"/>
      <c r="AD163" s="362"/>
      <c r="AE163" s="362"/>
      <c r="AF163" s="362"/>
      <c r="AG163" s="362"/>
      <c r="AH163" s="362"/>
      <c r="AI163" s="362"/>
      <c r="AJ163" s="362"/>
      <c r="AK163" s="362"/>
      <c r="AL163" s="362"/>
      <c r="AM163" s="362"/>
      <c r="AN163" s="362"/>
      <c r="AO163" s="362"/>
      <c r="AP163" s="362"/>
      <c r="AQ163" s="362"/>
      <c r="AR163" s="362"/>
      <c r="AS163" s="362"/>
      <c r="AT163" s="362"/>
      <c r="AU163" s="362"/>
      <c r="AV163" s="362"/>
      <c r="AW163" s="362"/>
      <c r="AX163" s="362"/>
      <c r="AY163" s="362"/>
      <c r="AZ163" s="362"/>
      <c r="BA163" s="362"/>
      <c r="BB163" s="362"/>
      <c r="BC163" s="362"/>
      <c r="BD163" s="362"/>
      <c r="BE163" s="362"/>
      <c r="BF163" s="362"/>
      <c r="BG163" s="362"/>
      <c r="BI163" s="342" t="s">
        <v>1237</v>
      </c>
    </row>
    <row r="164" spans="2:61" hidden="1" x14ac:dyDescent="0.2">
      <c r="B164" s="67" t="str">
        <f>IF(Capacity!B57="","",Capacity!B57)</f>
        <v/>
      </c>
      <c r="C164" s="220" t="str">
        <f>IF(B164="","",Capacity!E57)</f>
        <v/>
      </c>
      <c r="D164" s="309" t="str">
        <f>IF(B164="","",Capacity!F57)</f>
        <v/>
      </c>
      <c r="E164" s="220" t="str">
        <f>IF(B164="","",IF(COUNTBLANK(H164:BG164)=52,SUM('Capacity calculation (hide)'!H45:BG45),52-COUNTBLANK(H164:BG164)))</f>
        <v/>
      </c>
      <c r="F164" s="310" t="str">
        <f>'Capacity calculation (hide)'!BI45</f>
        <v/>
      </c>
      <c r="H164" s="362"/>
      <c r="I164" s="362"/>
      <c r="J164" s="362"/>
      <c r="K164" s="362"/>
      <c r="L164" s="362"/>
      <c r="M164" s="362"/>
      <c r="N164" s="362"/>
      <c r="O164" s="362"/>
      <c r="P164" s="362"/>
      <c r="Q164" s="362"/>
      <c r="R164" s="362"/>
      <c r="S164" s="362"/>
      <c r="T164" s="362"/>
      <c r="U164" s="362"/>
      <c r="V164" s="362"/>
      <c r="W164" s="362"/>
      <c r="X164" s="362"/>
      <c r="Y164" s="362"/>
      <c r="Z164" s="362"/>
      <c r="AA164" s="362"/>
      <c r="AB164" s="362"/>
      <c r="AC164" s="362"/>
      <c r="AD164" s="362"/>
      <c r="AE164" s="362"/>
      <c r="AF164" s="362"/>
      <c r="AG164" s="362"/>
      <c r="AH164" s="362"/>
      <c r="AI164" s="362"/>
      <c r="AJ164" s="362"/>
      <c r="AK164" s="362"/>
      <c r="AL164" s="362"/>
      <c r="AM164" s="362"/>
      <c r="AN164" s="362"/>
      <c r="AO164" s="362"/>
      <c r="AP164" s="362"/>
      <c r="AQ164" s="362"/>
      <c r="AR164" s="362"/>
      <c r="AS164" s="362"/>
      <c r="AT164" s="362"/>
      <c r="AU164" s="362"/>
      <c r="AV164" s="362"/>
      <c r="AW164" s="362"/>
      <c r="AX164" s="362"/>
      <c r="AY164" s="362"/>
      <c r="AZ164" s="362"/>
      <c r="BA164" s="362"/>
      <c r="BB164" s="362"/>
      <c r="BC164" s="362"/>
      <c r="BD164" s="362"/>
      <c r="BE164" s="362"/>
      <c r="BF164" s="362"/>
      <c r="BG164" s="362"/>
      <c r="BI164" s="342" t="s">
        <v>1237</v>
      </c>
    </row>
    <row r="165" spans="2:61" hidden="1" x14ac:dyDescent="0.2">
      <c r="B165" s="67" t="str">
        <f>IF(Capacity!B58="","",Capacity!B58)</f>
        <v/>
      </c>
      <c r="C165" s="220" t="str">
        <f>IF(B165="","",Capacity!E58)</f>
        <v/>
      </c>
      <c r="D165" s="309" t="str">
        <f>IF(B165="","",Capacity!F58)</f>
        <v/>
      </c>
      <c r="E165" s="220" t="str">
        <f>IF(B165="","",IF(COUNTBLANK(H165:BG165)=52,SUM('Capacity calculation (hide)'!H46:BG46),52-COUNTBLANK(H165:BG165)))</f>
        <v/>
      </c>
      <c r="F165" s="310" t="str">
        <f>'Capacity calculation (hide)'!BI46</f>
        <v/>
      </c>
      <c r="H165" s="362"/>
      <c r="I165" s="362"/>
      <c r="J165" s="362"/>
      <c r="K165" s="362"/>
      <c r="L165" s="362"/>
      <c r="M165" s="362"/>
      <c r="N165" s="362"/>
      <c r="O165" s="362"/>
      <c r="P165" s="362"/>
      <c r="Q165" s="362"/>
      <c r="R165" s="362"/>
      <c r="S165" s="362"/>
      <c r="T165" s="362"/>
      <c r="U165" s="362"/>
      <c r="V165" s="362"/>
      <c r="W165" s="362"/>
      <c r="X165" s="362"/>
      <c r="Y165" s="362"/>
      <c r="Z165" s="362"/>
      <c r="AA165" s="362"/>
      <c r="AB165" s="362"/>
      <c r="AC165" s="362"/>
      <c r="AD165" s="362"/>
      <c r="AE165" s="362"/>
      <c r="AF165" s="362"/>
      <c r="AG165" s="362"/>
      <c r="AH165" s="362"/>
      <c r="AI165" s="362"/>
      <c r="AJ165" s="362"/>
      <c r="AK165" s="362"/>
      <c r="AL165" s="362"/>
      <c r="AM165" s="362"/>
      <c r="AN165" s="362"/>
      <c r="AO165" s="362"/>
      <c r="AP165" s="362"/>
      <c r="AQ165" s="362"/>
      <c r="AR165" s="362"/>
      <c r="AS165" s="362"/>
      <c r="AT165" s="362"/>
      <c r="AU165" s="362"/>
      <c r="AV165" s="362"/>
      <c r="AW165" s="362"/>
      <c r="AX165" s="362"/>
      <c r="AY165" s="362"/>
      <c r="AZ165" s="362"/>
      <c r="BA165" s="362"/>
      <c r="BB165" s="362"/>
      <c r="BC165" s="362"/>
      <c r="BD165" s="362"/>
      <c r="BE165" s="362"/>
      <c r="BF165" s="362"/>
      <c r="BG165" s="362"/>
      <c r="BI165" s="342" t="s">
        <v>1237</v>
      </c>
    </row>
    <row r="166" spans="2:61" hidden="1" x14ac:dyDescent="0.2">
      <c r="B166" s="67" t="str">
        <f>IF(Capacity!B59="","",Capacity!B59)</f>
        <v/>
      </c>
      <c r="C166" s="220" t="str">
        <f>IF(B166="","",Capacity!E59)</f>
        <v/>
      </c>
      <c r="D166" s="309" t="str">
        <f>IF(B166="","",Capacity!F59)</f>
        <v/>
      </c>
      <c r="E166" s="220" t="str">
        <f>IF(B166="","",IF(COUNTBLANK(H166:BG166)=52,SUM('Capacity calculation (hide)'!H47:BG47),52-COUNTBLANK(H166:BG166)))</f>
        <v/>
      </c>
      <c r="F166" s="310" t="str">
        <f>'Capacity calculation (hide)'!BI47</f>
        <v/>
      </c>
      <c r="H166" s="362"/>
      <c r="I166" s="362"/>
      <c r="J166" s="362"/>
      <c r="K166" s="362"/>
      <c r="L166" s="362"/>
      <c r="M166" s="362"/>
      <c r="N166" s="362"/>
      <c r="O166" s="362"/>
      <c r="P166" s="362"/>
      <c r="Q166" s="362"/>
      <c r="R166" s="362"/>
      <c r="S166" s="362"/>
      <c r="T166" s="362"/>
      <c r="U166" s="362"/>
      <c r="V166" s="362"/>
      <c r="W166" s="362"/>
      <c r="X166" s="362"/>
      <c r="Y166" s="362"/>
      <c r="Z166" s="362"/>
      <c r="AA166" s="362"/>
      <c r="AB166" s="362"/>
      <c r="AC166" s="362"/>
      <c r="AD166" s="362"/>
      <c r="AE166" s="362"/>
      <c r="AF166" s="362"/>
      <c r="AG166" s="362"/>
      <c r="AH166" s="362"/>
      <c r="AI166" s="362"/>
      <c r="AJ166" s="362"/>
      <c r="AK166" s="362"/>
      <c r="AL166" s="362"/>
      <c r="AM166" s="362"/>
      <c r="AN166" s="362"/>
      <c r="AO166" s="362"/>
      <c r="AP166" s="362"/>
      <c r="AQ166" s="362"/>
      <c r="AR166" s="362"/>
      <c r="AS166" s="362"/>
      <c r="AT166" s="362"/>
      <c r="AU166" s="362"/>
      <c r="AV166" s="362"/>
      <c r="AW166" s="362"/>
      <c r="AX166" s="362"/>
      <c r="AY166" s="362"/>
      <c r="AZ166" s="362"/>
      <c r="BA166" s="362"/>
      <c r="BB166" s="362"/>
      <c r="BC166" s="362"/>
      <c r="BD166" s="362"/>
      <c r="BE166" s="362"/>
      <c r="BF166" s="362"/>
      <c r="BG166" s="362"/>
      <c r="BI166" s="342" t="s">
        <v>1237</v>
      </c>
    </row>
    <row r="167" spans="2:61" hidden="1" x14ac:dyDescent="0.2">
      <c r="B167" s="67" t="str">
        <f>IF(Capacity!B60="","",Capacity!B60)</f>
        <v/>
      </c>
      <c r="C167" s="220" t="str">
        <f>IF(B167="","",Capacity!E60)</f>
        <v/>
      </c>
      <c r="D167" s="309" t="str">
        <f>IF(B167="","",Capacity!F60)</f>
        <v/>
      </c>
      <c r="E167" s="220" t="str">
        <f>IF(B167="","",IF(COUNTBLANK(H167:BG167)=52,SUM('Capacity calculation (hide)'!H48:BG48),52-COUNTBLANK(H167:BG167)))</f>
        <v/>
      </c>
      <c r="F167" s="310" t="str">
        <f>'Capacity calculation (hide)'!BI48</f>
        <v/>
      </c>
      <c r="H167" s="362"/>
      <c r="I167" s="362"/>
      <c r="J167" s="362"/>
      <c r="K167" s="362"/>
      <c r="L167" s="362"/>
      <c r="M167" s="362"/>
      <c r="N167" s="362"/>
      <c r="O167" s="362"/>
      <c r="P167" s="362"/>
      <c r="Q167" s="362"/>
      <c r="R167" s="362"/>
      <c r="S167" s="362"/>
      <c r="T167" s="362"/>
      <c r="U167" s="362"/>
      <c r="V167" s="362"/>
      <c r="W167" s="362"/>
      <c r="X167" s="362"/>
      <c r="Y167" s="362"/>
      <c r="Z167" s="362"/>
      <c r="AA167" s="362"/>
      <c r="AB167" s="362"/>
      <c r="AC167" s="362"/>
      <c r="AD167" s="362"/>
      <c r="AE167" s="362"/>
      <c r="AF167" s="362"/>
      <c r="AG167" s="362"/>
      <c r="AH167" s="362"/>
      <c r="AI167" s="362"/>
      <c r="AJ167" s="362"/>
      <c r="AK167" s="362"/>
      <c r="AL167" s="362"/>
      <c r="AM167" s="362"/>
      <c r="AN167" s="362"/>
      <c r="AO167" s="362"/>
      <c r="AP167" s="362"/>
      <c r="AQ167" s="362"/>
      <c r="AR167" s="362"/>
      <c r="AS167" s="362"/>
      <c r="AT167" s="362"/>
      <c r="AU167" s="362"/>
      <c r="AV167" s="362"/>
      <c r="AW167" s="362"/>
      <c r="AX167" s="362"/>
      <c r="AY167" s="362"/>
      <c r="AZ167" s="362"/>
      <c r="BA167" s="362"/>
      <c r="BB167" s="362"/>
      <c r="BC167" s="362"/>
      <c r="BD167" s="362"/>
      <c r="BE167" s="362"/>
      <c r="BF167" s="362"/>
      <c r="BG167" s="362"/>
      <c r="BI167" s="342" t="s">
        <v>1237</v>
      </c>
    </row>
    <row r="168" spans="2:61" hidden="1" x14ac:dyDescent="0.2">
      <c r="B168" s="67" t="str">
        <f>IF(Capacity!B61="","",Capacity!B61)</f>
        <v/>
      </c>
      <c r="C168" s="220" t="str">
        <f>IF(B168="","",Capacity!E61)</f>
        <v/>
      </c>
      <c r="D168" s="309" t="str">
        <f>IF(B168="","",Capacity!F61)</f>
        <v/>
      </c>
      <c r="E168" s="220" t="str">
        <f>IF(B168="","",IF(COUNTBLANK(H168:BG168)=52,SUM('Capacity calculation (hide)'!H49:BG49),52-COUNTBLANK(H168:BG168)))</f>
        <v/>
      </c>
      <c r="F168" s="310" t="str">
        <f>'Capacity calculation (hide)'!BI49</f>
        <v/>
      </c>
      <c r="H168" s="362"/>
      <c r="I168" s="362"/>
      <c r="J168" s="362"/>
      <c r="K168" s="362"/>
      <c r="L168" s="362"/>
      <c r="M168" s="362"/>
      <c r="N168" s="362"/>
      <c r="O168" s="362"/>
      <c r="P168" s="362"/>
      <c r="Q168" s="362"/>
      <c r="R168" s="362"/>
      <c r="S168" s="362"/>
      <c r="T168" s="362"/>
      <c r="U168" s="362"/>
      <c r="V168" s="362"/>
      <c r="W168" s="362"/>
      <c r="X168" s="362"/>
      <c r="Y168" s="362"/>
      <c r="Z168" s="362"/>
      <c r="AA168" s="362"/>
      <c r="AB168" s="362"/>
      <c r="AC168" s="362"/>
      <c r="AD168" s="362"/>
      <c r="AE168" s="362"/>
      <c r="AF168" s="362"/>
      <c r="AG168" s="362"/>
      <c r="AH168" s="362"/>
      <c r="AI168" s="362"/>
      <c r="AJ168" s="362"/>
      <c r="AK168" s="362"/>
      <c r="AL168" s="362"/>
      <c r="AM168" s="362"/>
      <c r="AN168" s="362"/>
      <c r="AO168" s="362"/>
      <c r="AP168" s="362"/>
      <c r="AQ168" s="362"/>
      <c r="AR168" s="362"/>
      <c r="AS168" s="362"/>
      <c r="AT168" s="362"/>
      <c r="AU168" s="362"/>
      <c r="AV168" s="362"/>
      <c r="AW168" s="362"/>
      <c r="AX168" s="362"/>
      <c r="AY168" s="362"/>
      <c r="AZ168" s="362"/>
      <c r="BA168" s="362"/>
      <c r="BB168" s="362"/>
      <c r="BC168" s="362"/>
      <c r="BD168" s="362"/>
      <c r="BE168" s="362"/>
      <c r="BF168" s="362"/>
      <c r="BG168" s="362"/>
      <c r="BI168" s="342" t="s">
        <v>1237</v>
      </c>
    </row>
    <row r="169" spans="2:61" hidden="1" x14ac:dyDescent="0.2">
      <c r="B169" s="67" t="str">
        <f>IF(Capacity!B62="","",Capacity!B62)</f>
        <v/>
      </c>
      <c r="C169" s="220" t="str">
        <f>IF(B169="","",Capacity!E62)</f>
        <v/>
      </c>
      <c r="D169" s="309" t="str">
        <f>IF(B169="","",Capacity!F62)</f>
        <v/>
      </c>
      <c r="E169" s="220" t="str">
        <f>IF(B169="","",IF(COUNTBLANK(H169:BG169)=52,SUM('Capacity calculation (hide)'!H50:BG50),52-COUNTBLANK(H169:BG169)))</f>
        <v/>
      </c>
      <c r="F169" s="310" t="str">
        <f>'Capacity calculation (hide)'!BI50</f>
        <v/>
      </c>
      <c r="H169" s="362"/>
      <c r="I169" s="362"/>
      <c r="J169" s="362"/>
      <c r="K169" s="362"/>
      <c r="L169" s="362"/>
      <c r="M169" s="362"/>
      <c r="N169" s="362"/>
      <c r="O169" s="362"/>
      <c r="P169" s="362"/>
      <c r="Q169" s="362"/>
      <c r="R169" s="362"/>
      <c r="S169" s="362"/>
      <c r="T169" s="362"/>
      <c r="U169" s="362"/>
      <c r="V169" s="362"/>
      <c r="W169" s="362"/>
      <c r="X169" s="362"/>
      <c r="Y169" s="362"/>
      <c r="Z169" s="362"/>
      <c r="AA169" s="362"/>
      <c r="AB169" s="362"/>
      <c r="AC169" s="362"/>
      <c r="AD169" s="362"/>
      <c r="AE169" s="362"/>
      <c r="AF169" s="362"/>
      <c r="AG169" s="362"/>
      <c r="AH169" s="362"/>
      <c r="AI169" s="362"/>
      <c r="AJ169" s="362"/>
      <c r="AK169" s="362"/>
      <c r="AL169" s="362"/>
      <c r="AM169" s="362"/>
      <c r="AN169" s="362"/>
      <c r="AO169" s="362"/>
      <c r="AP169" s="362"/>
      <c r="AQ169" s="362"/>
      <c r="AR169" s="362"/>
      <c r="AS169" s="362"/>
      <c r="AT169" s="362"/>
      <c r="AU169" s="362"/>
      <c r="AV169" s="362"/>
      <c r="AW169" s="362"/>
      <c r="AX169" s="362"/>
      <c r="AY169" s="362"/>
      <c r="AZ169" s="362"/>
      <c r="BA169" s="362"/>
      <c r="BB169" s="362"/>
      <c r="BC169" s="362"/>
      <c r="BD169" s="362"/>
      <c r="BE169" s="362"/>
      <c r="BF169" s="362"/>
      <c r="BG169" s="362"/>
      <c r="BI169" s="342" t="s">
        <v>1237</v>
      </c>
    </row>
    <row r="170" spans="2:61" hidden="1" x14ac:dyDescent="0.2">
      <c r="B170" s="67" t="str">
        <f>IF(Capacity!B63="","",Capacity!B63)</f>
        <v/>
      </c>
      <c r="C170" s="220" t="str">
        <f>IF(B170="","",Capacity!E63)</f>
        <v/>
      </c>
      <c r="D170" s="309" t="str">
        <f>IF(B170="","",Capacity!F63)</f>
        <v/>
      </c>
      <c r="E170" s="220" t="str">
        <f>IF(B170="","",IF(COUNTBLANK(H170:BG170)=52,SUM('Capacity calculation (hide)'!H51:BG51),52-COUNTBLANK(H170:BG170)))</f>
        <v/>
      </c>
      <c r="F170" s="310" t="str">
        <f>'Capacity calculation (hide)'!BI51</f>
        <v/>
      </c>
      <c r="H170" s="362"/>
      <c r="I170" s="362"/>
      <c r="J170" s="362"/>
      <c r="K170" s="362"/>
      <c r="L170" s="362"/>
      <c r="M170" s="362"/>
      <c r="N170" s="362"/>
      <c r="O170" s="362"/>
      <c r="P170" s="362"/>
      <c r="Q170" s="362"/>
      <c r="R170" s="362"/>
      <c r="S170" s="362"/>
      <c r="T170" s="362"/>
      <c r="U170" s="362"/>
      <c r="V170" s="362"/>
      <c r="W170" s="362"/>
      <c r="X170" s="362"/>
      <c r="Y170" s="362"/>
      <c r="Z170" s="362"/>
      <c r="AA170" s="362"/>
      <c r="AB170" s="362"/>
      <c r="AC170" s="362"/>
      <c r="AD170" s="362"/>
      <c r="AE170" s="362"/>
      <c r="AF170" s="362"/>
      <c r="AG170" s="362"/>
      <c r="AH170" s="362"/>
      <c r="AI170" s="362"/>
      <c r="AJ170" s="362"/>
      <c r="AK170" s="362"/>
      <c r="AL170" s="362"/>
      <c r="AM170" s="362"/>
      <c r="AN170" s="362"/>
      <c r="AO170" s="362"/>
      <c r="AP170" s="362"/>
      <c r="AQ170" s="362"/>
      <c r="AR170" s="362"/>
      <c r="AS170" s="362"/>
      <c r="AT170" s="362"/>
      <c r="AU170" s="362"/>
      <c r="AV170" s="362"/>
      <c r="AW170" s="362"/>
      <c r="AX170" s="362"/>
      <c r="AY170" s="362"/>
      <c r="AZ170" s="362"/>
      <c r="BA170" s="362"/>
      <c r="BB170" s="362"/>
      <c r="BC170" s="362"/>
      <c r="BD170" s="362"/>
      <c r="BE170" s="362"/>
      <c r="BF170" s="362"/>
      <c r="BG170" s="362"/>
      <c r="BI170" s="342" t="s">
        <v>1237</v>
      </c>
    </row>
    <row r="171" spans="2:61" hidden="1" x14ac:dyDescent="0.2">
      <c r="B171" s="67" t="str">
        <f>IF(Capacity!B64="","",Capacity!B64)</f>
        <v/>
      </c>
      <c r="C171" s="220" t="str">
        <f>IF(B171="","",Capacity!E64)</f>
        <v/>
      </c>
      <c r="D171" s="309" t="str">
        <f>IF(B171="","",Capacity!F64)</f>
        <v/>
      </c>
      <c r="E171" s="220" t="str">
        <f>IF(B171="","",IF(COUNTBLANK(H171:BG171)=52,SUM('Capacity calculation (hide)'!H52:BG52),52-COUNTBLANK(H171:BG171)))</f>
        <v/>
      </c>
      <c r="F171" s="310" t="str">
        <f>'Capacity calculation (hide)'!BI52</f>
        <v/>
      </c>
      <c r="H171" s="362"/>
      <c r="I171" s="362"/>
      <c r="J171" s="362"/>
      <c r="K171" s="362"/>
      <c r="L171" s="362"/>
      <c r="M171" s="362"/>
      <c r="N171" s="362"/>
      <c r="O171" s="362"/>
      <c r="P171" s="362"/>
      <c r="Q171" s="362"/>
      <c r="R171" s="362"/>
      <c r="S171" s="362"/>
      <c r="T171" s="362"/>
      <c r="U171" s="362"/>
      <c r="V171" s="362"/>
      <c r="W171" s="362"/>
      <c r="X171" s="362"/>
      <c r="Y171" s="362"/>
      <c r="Z171" s="362"/>
      <c r="AA171" s="362"/>
      <c r="AB171" s="362"/>
      <c r="AC171" s="362"/>
      <c r="AD171" s="362"/>
      <c r="AE171" s="362"/>
      <c r="AF171" s="362"/>
      <c r="AG171" s="362"/>
      <c r="AH171" s="362"/>
      <c r="AI171" s="362"/>
      <c r="AJ171" s="362"/>
      <c r="AK171" s="362"/>
      <c r="AL171" s="362"/>
      <c r="AM171" s="362"/>
      <c r="AN171" s="362"/>
      <c r="AO171" s="362"/>
      <c r="AP171" s="362"/>
      <c r="AQ171" s="362"/>
      <c r="AR171" s="362"/>
      <c r="AS171" s="362"/>
      <c r="AT171" s="362"/>
      <c r="AU171" s="362"/>
      <c r="AV171" s="362"/>
      <c r="AW171" s="362"/>
      <c r="AX171" s="362"/>
      <c r="AY171" s="362"/>
      <c r="AZ171" s="362"/>
      <c r="BA171" s="362"/>
      <c r="BB171" s="362"/>
      <c r="BC171" s="362"/>
      <c r="BD171" s="362"/>
      <c r="BE171" s="362"/>
      <c r="BF171" s="362"/>
      <c r="BG171" s="362"/>
      <c r="BI171" s="342" t="s">
        <v>1237</v>
      </c>
    </row>
    <row r="172" spans="2:61" hidden="1" x14ac:dyDescent="0.2">
      <c r="B172" s="67" t="str">
        <f>IF(Capacity!B65="","",Capacity!B65)</f>
        <v/>
      </c>
      <c r="C172" s="220" t="str">
        <f>IF(B172="","",Capacity!E65)</f>
        <v/>
      </c>
      <c r="D172" s="309" t="str">
        <f>IF(B172="","",Capacity!F65)</f>
        <v/>
      </c>
      <c r="E172" s="220" t="str">
        <f>IF(B172="","",IF(COUNTBLANK(H172:BG172)=52,SUM('Capacity calculation (hide)'!H53:BG53),52-COUNTBLANK(H172:BG172)))</f>
        <v/>
      </c>
      <c r="F172" s="310" t="str">
        <f>'Capacity calculation (hide)'!BI53</f>
        <v/>
      </c>
      <c r="H172" s="362"/>
      <c r="I172" s="362"/>
      <c r="J172" s="362"/>
      <c r="K172" s="362"/>
      <c r="L172" s="362"/>
      <c r="M172" s="362"/>
      <c r="N172" s="362"/>
      <c r="O172" s="362"/>
      <c r="P172" s="362"/>
      <c r="Q172" s="362"/>
      <c r="R172" s="362"/>
      <c r="S172" s="362"/>
      <c r="T172" s="362"/>
      <c r="U172" s="362"/>
      <c r="V172" s="362"/>
      <c r="W172" s="362"/>
      <c r="X172" s="362"/>
      <c r="Y172" s="362"/>
      <c r="Z172" s="362"/>
      <c r="AA172" s="362"/>
      <c r="AB172" s="362"/>
      <c r="AC172" s="362"/>
      <c r="AD172" s="362"/>
      <c r="AE172" s="362"/>
      <c r="AF172" s="362"/>
      <c r="AG172" s="362"/>
      <c r="AH172" s="362"/>
      <c r="AI172" s="362"/>
      <c r="AJ172" s="362"/>
      <c r="AK172" s="362"/>
      <c r="AL172" s="362"/>
      <c r="AM172" s="362"/>
      <c r="AN172" s="362"/>
      <c r="AO172" s="362"/>
      <c r="AP172" s="362"/>
      <c r="AQ172" s="362"/>
      <c r="AR172" s="362"/>
      <c r="AS172" s="362"/>
      <c r="AT172" s="362"/>
      <c r="AU172" s="362"/>
      <c r="AV172" s="362"/>
      <c r="AW172" s="362"/>
      <c r="AX172" s="362"/>
      <c r="AY172" s="362"/>
      <c r="AZ172" s="362"/>
      <c r="BA172" s="362"/>
      <c r="BB172" s="362"/>
      <c r="BC172" s="362"/>
      <c r="BD172" s="362"/>
      <c r="BE172" s="362"/>
      <c r="BF172" s="362"/>
      <c r="BG172" s="362"/>
      <c r="BI172" s="342" t="s">
        <v>1237</v>
      </c>
    </row>
    <row r="173" spans="2:61" hidden="1" x14ac:dyDescent="0.2">
      <c r="B173" s="67" t="str">
        <f>IF(Capacity!B66="","",Capacity!B66)</f>
        <v/>
      </c>
      <c r="C173" s="220" t="str">
        <f>IF(B173="","",Capacity!E66)</f>
        <v/>
      </c>
      <c r="D173" s="309" t="str">
        <f>IF(B173="","",Capacity!F66)</f>
        <v/>
      </c>
      <c r="E173" s="220" t="str">
        <f>IF(B173="","",IF(COUNTBLANK(H173:BG173)=52,SUM('Capacity calculation (hide)'!H54:BG54),52-COUNTBLANK(H173:BG173)))</f>
        <v/>
      </c>
      <c r="F173" s="310" t="str">
        <f>'Capacity calculation (hide)'!BI54</f>
        <v/>
      </c>
      <c r="H173" s="362"/>
      <c r="I173" s="362"/>
      <c r="J173" s="362"/>
      <c r="K173" s="362"/>
      <c r="L173" s="362"/>
      <c r="M173" s="362"/>
      <c r="N173" s="362"/>
      <c r="O173" s="362"/>
      <c r="P173" s="362"/>
      <c r="Q173" s="362"/>
      <c r="R173" s="362"/>
      <c r="S173" s="362"/>
      <c r="T173" s="362"/>
      <c r="U173" s="362"/>
      <c r="V173" s="362"/>
      <c r="W173" s="362"/>
      <c r="X173" s="362"/>
      <c r="Y173" s="362"/>
      <c r="Z173" s="362"/>
      <c r="AA173" s="362"/>
      <c r="AB173" s="362"/>
      <c r="AC173" s="362"/>
      <c r="AD173" s="362"/>
      <c r="AE173" s="362"/>
      <c r="AF173" s="362"/>
      <c r="AG173" s="362"/>
      <c r="AH173" s="362"/>
      <c r="AI173" s="362"/>
      <c r="AJ173" s="362"/>
      <c r="AK173" s="362"/>
      <c r="AL173" s="362"/>
      <c r="AM173" s="362"/>
      <c r="AN173" s="362"/>
      <c r="AO173" s="362"/>
      <c r="AP173" s="362"/>
      <c r="AQ173" s="362"/>
      <c r="AR173" s="362"/>
      <c r="AS173" s="362"/>
      <c r="AT173" s="362"/>
      <c r="AU173" s="362"/>
      <c r="AV173" s="362"/>
      <c r="AW173" s="362"/>
      <c r="AX173" s="362"/>
      <c r="AY173" s="362"/>
      <c r="AZ173" s="362"/>
      <c r="BA173" s="362"/>
      <c r="BB173" s="362"/>
      <c r="BC173" s="362"/>
      <c r="BD173" s="362"/>
      <c r="BE173" s="362"/>
      <c r="BF173" s="362"/>
      <c r="BG173" s="362"/>
      <c r="BI173" s="342" t="s">
        <v>1237</v>
      </c>
    </row>
    <row r="174" spans="2:61" hidden="1" x14ac:dyDescent="0.2">
      <c r="B174" s="67" t="str">
        <f>IF(Capacity!B67="","",Capacity!B67)</f>
        <v/>
      </c>
      <c r="C174" s="220" t="str">
        <f>IF(B174="","",Capacity!E67)</f>
        <v/>
      </c>
      <c r="D174" s="309" t="str">
        <f>IF(B174="","",Capacity!F67)</f>
        <v/>
      </c>
      <c r="E174" s="220" t="str">
        <f>IF(B174="","",IF(COUNTBLANK(H174:BG174)=52,SUM('Capacity calculation (hide)'!H55:BG55),52-COUNTBLANK(H174:BG174)))</f>
        <v/>
      </c>
      <c r="F174" s="310" t="str">
        <f>'Capacity calculation (hide)'!BI55</f>
        <v/>
      </c>
      <c r="H174" s="362"/>
      <c r="I174" s="362"/>
      <c r="J174" s="362"/>
      <c r="K174" s="362"/>
      <c r="L174" s="362"/>
      <c r="M174" s="362"/>
      <c r="N174" s="362"/>
      <c r="O174" s="362"/>
      <c r="P174" s="362"/>
      <c r="Q174" s="362"/>
      <c r="R174" s="362"/>
      <c r="S174" s="362"/>
      <c r="T174" s="362"/>
      <c r="U174" s="362"/>
      <c r="V174" s="362"/>
      <c r="W174" s="362"/>
      <c r="X174" s="362"/>
      <c r="Y174" s="362"/>
      <c r="Z174" s="362"/>
      <c r="AA174" s="362"/>
      <c r="AB174" s="362"/>
      <c r="AC174" s="362"/>
      <c r="AD174" s="362"/>
      <c r="AE174" s="362"/>
      <c r="AF174" s="362"/>
      <c r="AG174" s="362"/>
      <c r="AH174" s="362"/>
      <c r="AI174" s="362"/>
      <c r="AJ174" s="362"/>
      <c r="AK174" s="362"/>
      <c r="AL174" s="362"/>
      <c r="AM174" s="362"/>
      <c r="AN174" s="362"/>
      <c r="AO174" s="362"/>
      <c r="AP174" s="362"/>
      <c r="AQ174" s="362"/>
      <c r="AR174" s="362"/>
      <c r="AS174" s="362"/>
      <c r="AT174" s="362"/>
      <c r="AU174" s="362"/>
      <c r="AV174" s="362"/>
      <c r="AW174" s="362"/>
      <c r="AX174" s="362"/>
      <c r="AY174" s="362"/>
      <c r="AZ174" s="362"/>
      <c r="BA174" s="362"/>
      <c r="BB174" s="362"/>
      <c r="BC174" s="362"/>
      <c r="BD174" s="362"/>
      <c r="BE174" s="362"/>
      <c r="BF174" s="362"/>
      <c r="BG174" s="362"/>
      <c r="BI174" s="342" t="s">
        <v>1237</v>
      </c>
    </row>
    <row r="175" spans="2:61" hidden="1" x14ac:dyDescent="0.2">
      <c r="B175" s="67" t="str">
        <f>IF(Capacity!B68="","",Capacity!B68)</f>
        <v/>
      </c>
      <c r="C175" s="220" t="str">
        <f>IF(B175="","",Capacity!E68)</f>
        <v/>
      </c>
      <c r="D175" s="309" t="str">
        <f>IF(B175="","",Capacity!F68)</f>
        <v/>
      </c>
      <c r="E175" s="220" t="str">
        <f>IF(B175="","",IF(COUNTBLANK(H175:BG175)=52,SUM('Capacity calculation (hide)'!H56:BG56),52-COUNTBLANK(H175:BG175)))</f>
        <v/>
      </c>
      <c r="F175" s="310" t="str">
        <f>'Capacity calculation (hide)'!BI56</f>
        <v/>
      </c>
      <c r="H175" s="362"/>
      <c r="I175" s="362"/>
      <c r="J175" s="362"/>
      <c r="K175" s="362"/>
      <c r="L175" s="362"/>
      <c r="M175" s="362"/>
      <c r="N175" s="362"/>
      <c r="O175" s="362"/>
      <c r="P175" s="362"/>
      <c r="Q175" s="362"/>
      <c r="R175" s="362"/>
      <c r="S175" s="362"/>
      <c r="T175" s="362"/>
      <c r="U175" s="362"/>
      <c r="V175" s="362"/>
      <c r="W175" s="362"/>
      <c r="X175" s="362"/>
      <c r="Y175" s="362"/>
      <c r="Z175" s="362"/>
      <c r="AA175" s="362"/>
      <c r="AB175" s="362"/>
      <c r="AC175" s="362"/>
      <c r="AD175" s="362"/>
      <c r="AE175" s="362"/>
      <c r="AF175" s="362"/>
      <c r="AG175" s="362"/>
      <c r="AH175" s="362"/>
      <c r="AI175" s="362"/>
      <c r="AJ175" s="362"/>
      <c r="AK175" s="362"/>
      <c r="AL175" s="362"/>
      <c r="AM175" s="362"/>
      <c r="AN175" s="362"/>
      <c r="AO175" s="362"/>
      <c r="AP175" s="362"/>
      <c r="AQ175" s="362"/>
      <c r="AR175" s="362"/>
      <c r="AS175" s="362"/>
      <c r="AT175" s="362"/>
      <c r="AU175" s="362"/>
      <c r="AV175" s="362"/>
      <c r="AW175" s="362"/>
      <c r="AX175" s="362"/>
      <c r="AY175" s="362"/>
      <c r="AZ175" s="362"/>
      <c r="BA175" s="362"/>
      <c r="BB175" s="362"/>
      <c r="BC175" s="362"/>
      <c r="BD175" s="362"/>
      <c r="BE175" s="362"/>
      <c r="BF175" s="362"/>
      <c r="BG175" s="362"/>
      <c r="BI175" s="342" t="s">
        <v>1237</v>
      </c>
    </row>
    <row r="176" spans="2:61" hidden="1" x14ac:dyDescent="0.2">
      <c r="B176" s="67" t="str">
        <f>IF(Capacity!B69="","",Capacity!B69)</f>
        <v/>
      </c>
      <c r="C176" s="220" t="str">
        <f>IF(B176="","",Capacity!E69)</f>
        <v/>
      </c>
      <c r="D176" s="309" t="str">
        <f>IF(B176="","",Capacity!F69)</f>
        <v/>
      </c>
      <c r="E176" s="220" t="str">
        <f>IF(B176="","",IF(COUNTBLANK(H176:BG176)=52,SUM('Capacity calculation (hide)'!H57:BG57),52-COUNTBLANK(H176:BG176)))</f>
        <v/>
      </c>
      <c r="F176" s="310" t="str">
        <f>'Capacity calculation (hide)'!BI57</f>
        <v/>
      </c>
      <c r="H176" s="362"/>
      <c r="I176" s="362"/>
      <c r="J176" s="362"/>
      <c r="K176" s="362"/>
      <c r="L176" s="362"/>
      <c r="M176" s="362"/>
      <c r="N176" s="362"/>
      <c r="O176" s="362"/>
      <c r="P176" s="362"/>
      <c r="Q176" s="362"/>
      <c r="R176" s="362"/>
      <c r="S176" s="362"/>
      <c r="T176" s="362"/>
      <c r="U176" s="362"/>
      <c r="V176" s="362"/>
      <c r="W176" s="362"/>
      <c r="X176" s="362"/>
      <c r="Y176" s="362"/>
      <c r="Z176" s="362"/>
      <c r="AA176" s="362"/>
      <c r="AB176" s="362"/>
      <c r="AC176" s="362"/>
      <c r="AD176" s="362"/>
      <c r="AE176" s="362"/>
      <c r="AF176" s="362"/>
      <c r="AG176" s="362"/>
      <c r="AH176" s="362"/>
      <c r="AI176" s="362"/>
      <c r="AJ176" s="362"/>
      <c r="AK176" s="362"/>
      <c r="AL176" s="362"/>
      <c r="AM176" s="362"/>
      <c r="AN176" s="362"/>
      <c r="AO176" s="362"/>
      <c r="AP176" s="362"/>
      <c r="AQ176" s="362"/>
      <c r="AR176" s="362"/>
      <c r="AS176" s="362"/>
      <c r="AT176" s="362"/>
      <c r="AU176" s="362"/>
      <c r="AV176" s="362"/>
      <c r="AW176" s="362"/>
      <c r="AX176" s="362"/>
      <c r="AY176" s="362"/>
      <c r="AZ176" s="362"/>
      <c r="BA176" s="362"/>
      <c r="BB176" s="362"/>
      <c r="BC176" s="362"/>
      <c r="BD176" s="362"/>
      <c r="BE176" s="362"/>
      <c r="BF176" s="362"/>
      <c r="BG176" s="362"/>
      <c r="BI176" s="342" t="s">
        <v>1237</v>
      </c>
    </row>
    <row r="177" spans="2:61" hidden="1" x14ac:dyDescent="0.2">
      <c r="B177" s="67" t="str">
        <f>IF(Capacity!B70="","",Capacity!B70)</f>
        <v/>
      </c>
      <c r="C177" s="220" t="str">
        <f>IF(B177="","",Capacity!E70)</f>
        <v/>
      </c>
      <c r="D177" s="309" t="str">
        <f>IF(B177="","",Capacity!F70)</f>
        <v/>
      </c>
      <c r="E177" s="220" t="str">
        <f>IF(B177="","",IF(COUNTBLANK(H177:BG177)=52,SUM('Capacity calculation (hide)'!H58:BG58),52-COUNTBLANK(H177:BG177)))</f>
        <v/>
      </c>
      <c r="F177" s="310" t="str">
        <f>'Capacity calculation (hide)'!BI58</f>
        <v/>
      </c>
      <c r="H177" s="362"/>
      <c r="I177" s="362"/>
      <c r="J177" s="362"/>
      <c r="K177" s="362"/>
      <c r="L177" s="362"/>
      <c r="M177" s="362"/>
      <c r="N177" s="362"/>
      <c r="O177" s="362"/>
      <c r="P177" s="362"/>
      <c r="Q177" s="362"/>
      <c r="R177" s="362"/>
      <c r="S177" s="362"/>
      <c r="T177" s="362"/>
      <c r="U177" s="362"/>
      <c r="V177" s="362"/>
      <c r="W177" s="362"/>
      <c r="X177" s="362"/>
      <c r="Y177" s="362"/>
      <c r="Z177" s="362"/>
      <c r="AA177" s="362"/>
      <c r="AB177" s="362"/>
      <c r="AC177" s="362"/>
      <c r="AD177" s="362"/>
      <c r="AE177" s="362"/>
      <c r="AF177" s="362"/>
      <c r="AG177" s="362"/>
      <c r="AH177" s="362"/>
      <c r="AI177" s="362"/>
      <c r="AJ177" s="362"/>
      <c r="AK177" s="362"/>
      <c r="AL177" s="362"/>
      <c r="AM177" s="362"/>
      <c r="AN177" s="362"/>
      <c r="AO177" s="362"/>
      <c r="AP177" s="362"/>
      <c r="AQ177" s="362"/>
      <c r="AR177" s="362"/>
      <c r="AS177" s="362"/>
      <c r="AT177" s="362"/>
      <c r="AU177" s="362"/>
      <c r="AV177" s="362"/>
      <c r="AW177" s="362"/>
      <c r="AX177" s="362"/>
      <c r="AY177" s="362"/>
      <c r="AZ177" s="362"/>
      <c r="BA177" s="362"/>
      <c r="BB177" s="362"/>
      <c r="BC177" s="362"/>
      <c r="BD177" s="362"/>
      <c r="BE177" s="362"/>
      <c r="BF177" s="362"/>
      <c r="BG177" s="362"/>
      <c r="BI177" s="342" t="s">
        <v>1237</v>
      </c>
    </row>
    <row r="178" spans="2:61" hidden="1" x14ac:dyDescent="0.2">
      <c r="B178" s="67" t="str">
        <f>IF(Capacity!B71="","",Capacity!B71)</f>
        <v/>
      </c>
      <c r="C178" s="220" t="str">
        <f>IF(B178="","",Capacity!E71)</f>
        <v/>
      </c>
      <c r="D178" s="309" t="str">
        <f>IF(B178="","",Capacity!F71)</f>
        <v/>
      </c>
      <c r="E178" s="220" t="str">
        <f>IF(B178="","",IF(COUNTBLANK(H178:BG178)=52,SUM('Capacity calculation (hide)'!H59:BG59),52-COUNTBLANK(H178:BG178)))</f>
        <v/>
      </c>
      <c r="F178" s="310" t="str">
        <f>'Capacity calculation (hide)'!BI59</f>
        <v/>
      </c>
      <c r="H178" s="362"/>
      <c r="I178" s="362"/>
      <c r="J178" s="362"/>
      <c r="K178" s="362"/>
      <c r="L178" s="362"/>
      <c r="M178" s="362"/>
      <c r="N178" s="362"/>
      <c r="O178" s="362"/>
      <c r="P178" s="362"/>
      <c r="Q178" s="362"/>
      <c r="R178" s="362"/>
      <c r="S178" s="362"/>
      <c r="T178" s="362"/>
      <c r="U178" s="362"/>
      <c r="V178" s="362"/>
      <c r="W178" s="362"/>
      <c r="X178" s="362"/>
      <c r="Y178" s="362"/>
      <c r="Z178" s="362"/>
      <c r="AA178" s="362"/>
      <c r="AB178" s="362"/>
      <c r="AC178" s="362"/>
      <c r="AD178" s="362"/>
      <c r="AE178" s="362"/>
      <c r="AF178" s="362"/>
      <c r="AG178" s="362"/>
      <c r="AH178" s="362"/>
      <c r="AI178" s="362"/>
      <c r="AJ178" s="362"/>
      <c r="AK178" s="362"/>
      <c r="AL178" s="362"/>
      <c r="AM178" s="362"/>
      <c r="AN178" s="362"/>
      <c r="AO178" s="362"/>
      <c r="AP178" s="362"/>
      <c r="AQ178" s="362"/>
      <c r="AR178" s="362"/>
      <c r="AS178" s="362"/>
      <c r="AT178" s="362"/>
      <c r="AU178" s="362"/>
      <c r="AV178" s="362"/>
      <c r="AW178" s="362"/>
      <c r="AX178" s="362"/>
      <c r="AY178" s="362"/>
      <c r="AZ178" s="362"/>
      <c r="BA178" s="362"/>
      <c r="BB178" s="362"/>
      <c r="BC178" s="362"/>
      <c r="BD178" s="362"/>
      <c r="BE178" s="362"/>
      <c r="BF178" s="362"/>
      <c r="BG178" s="362"/>
      <c r="BI178" s="342" t="s">
        <v>1237</v>
      </c>
    </row>
    <row r="179" spans="2:61" hidden="1" x14ac:dyDescent="0.2">
      <c r="B179" s="67" t="str">
        <f>IF(Capacity!B72="","",Capacity!B72)</f>
        <v/>
      </c>
      <c r="C179" s="220" t="str">
        <f>IF(B179="","",Capacity!E72)</f>
        <v/>
      </c>
      <c r="D179" s="309" t="str">
        <f>IF(B179="","",Capacity!F72)</f>
        <v/>
      </c>
      <c r="E179" s="220" t="str">
        <f>IF(B179="","",IF(COUNTBLANK(H179:BG179)=52,SUM('Capacity calculation (hide)'!H60:BG60),52-COUNTBLANK(H179:BG179)))</f>
        <v/>
      </c>
      <c r="F179" s="310" t="str">
        <f>'Capacity calculation (hide)'!BI60</f>
        <v/>
      </c>
      <c r="H179" s="362"/>
      <c r="I179" s="362"/>
      <c r="J179" s="362"/>
      <c r="K179" s="362"/>
      <c r="L179" s="362"/>
      <c r="M179" s="362"/>
      <c r="N179" s="362"/>
      <c r="O179" s="362"/>
      <c r="P179" s="362"/>
      <c r="Q179" s="362"/>
      <c r="R179" s="362"/>
      <c r="S179" s="362"/>
      <c r="T179" s="362"/>
      <c r="U179" s="362"/>
      <c r="V179" s="362"/>
      <c r="W179" s="362"/>
      <c r="X179" s="362"/>
      <c r="Y179" s="362"/>
      <c r="Z179" s="362"/>
      <c r="AA179" s="362"/>
      <c r="AB179" s="362"/>
      <c r="AC179" s="362"/>
      <c r="AD179" s="362"/>
      <c r="AE179" s="362"/>
      <c r="AF179" s="362"/>
      <c r="AG179" s="362"/>
      <c r="AH179" s="362"/>
      <c r="AI179" s="362"/>
      <c r="AJ179" s="362"/>
      <c r="AK179" s="362"/>
      <c r="AL179" s="362"/>
      <c r="AM179" s="362"/>
      <c r="AN179" s="362"/>
      <c r="AO179" s="362"/>
      <c r="AP179" s="362"/>
      <c r="AQ179" s="362"/>
      <c r="AR179" s="362"/>
      <c r="AS179" s="362"/>
      <c r="AT179" s="362"/>
      <c r="AU179" s="362"/>
      <c r="AV179" s="362"/>
      <c r="AW179" s="362"/>
      <c r="AX179" s="362"/>
      <c r="AY179" s="362"/>
      <c r="AZ179" s="362"/>
      <c r="BA179" s="362"/>
      <c r="BB179" s="362"/>
      <c r="BC179" s="362"/>
      <c r="BD179" s="362"/>
      <c r="BE179" s="362"/>
      <c r="BF179" s="362"/>
      <c r="BG179" s="362"/>
      <c r="BI179" s="342" t="s">
        <v>1237</v>
      </c>
    </row>
    <row r="180" spans="2:61" hidden="1" x14ac:dyDescent="0.2">
      <c r="B180" s="67" t="str">
        <f>IF(Capacity!B73="","",Capacity!B73)</f>
        <v/>
      </c>
      <c r="C180" s="220" t="str">
        <f>IF(B180="","",Capacity!E73)</f>
        <v/>
      </c>
      <c r="D180" s="309" t="str">
        <f>IF(B180="","",Capacity!F73)</f>
        <v/>
      </c>
      <c r="E180" s="220" t="str">
        <f>IF(B180="","",IF(COUNTBLANK(H180:BG180)=52,SUM('Capacity calculation (hide)'!H61:BG61),52-COUNTBLANK(H180:BG180)))</f>
        <v/>
      </c>
      <c r="F180" s="310" t="str">
        <f>'Capacity calculation (hide)'!BI61</f>
        <v/>
      </c>
      <c r="H180" s="362"/>
      <c r="I180" s="362"/>
      <c r="J180" s="362"/>
      <c r="K180" s="362"/>
      <c r="L180" s="362"/>
      <c r="M180" s="362"/>
      <c r="N180" s="362"/>
      <c r="O180" s="362"/>
      <c r="P180" s="362"/>
      <c r="Q180" s="362"/>
      <c r="R180" s="362"/>
      <c r="S180" s="362"/>
      <c r="T180" s="362"/>
      <c r="U180" s="362"/>
      <c r="V180" s="362"/>
      <c r="W180" s="362"/>
      <c r="X180" s="362"/>
      <c r="Y180" s="362"/>
      <c r="Z180" s="362"/>
      <c r="AA180" s="362"/>
      <c r="AB180" s="362"/>
      <c r="AC180" s="362"/>
      <c r="AD180" s="362"/>
      <c r="AE180" s="362"/>
      <c r="AF180" s="362"/>
      <c r="AG180" s="362"/>
      <c r="AH180" s="362"/>
      <c r="AI180" s="362"/>
      <c r="AJ180" s="362"/>
      <c r="AK180" s="362"/>
      <c r="AL180" s="362"/>
      <c r="AM180" s="362"/>
      <c r="AN180" s="362"/>
      <c r="AO180" s="362"/>
      <c r="AP180" s="362"/>
      <c r="AQ180" s="362"/>
      <c r="AR180" s="362"/>
      <c r="AS180" s="362"/>
      <c r="AT180" s="362"/>
      <c r="AU180" s="362"/>
      <c r="AV180" s="362"/>
      <c r="AW180" s="362"/>
      <c r="AX180" s="362"/>
      <c r="AY180" s="362"/>
      <c r="AZ180" s="362"/>
      <c r="BA180" s="362"/>
      <c r="BB180" s="362"/>
      <c r="BC180" s="362"/>
      <c r="BD180" s="362"/>
      <c r="BE180" s="362"/>
      <c r="BF180" s="362"/>
      <c r="BG180" s="362"/>
      <c r="BI180" s="342" t="s">
        <v>1237</v>
      </c>
    </row>
    <row r="181" spans="2:61" hidden="1" x14ac:dyDescent="0.2">
      <c r="B181" s="67" t="str">
        <f>IF(Capacity!B74="","",Capacity!B74)</f>
        <v/>
      </c>
      <c r="C181" s="220" t="str">
        <f>IF(B181="","",Capacity!E74)</f>
        <v/>
      </c>
      <c r="D181" s="309" t="str">
        <f>IF(B181="","",Capacity!F74)</f>
        <v/>
      </c>
      <c r="E181" s="220" t="str">
        <f>IF(B181="","",IF(COUNTBLANK(H181:BG181)=52,SUM('Capacity calculation (hide)'!H62:BG62),52-COUNTBLANK(H181:BG181)))</f>
        <v/>
      </c>
      <c r="F181" s="310" t="str">
        <f>'Capacity calculation (hide)'!BI62</f>
        <v/>
      </c>
      <c r="H181" s="362"/>
      <c r="I181" s="362"/>
      <c r="J181" s="362"/>
      <c r="K181" s="362"/>
      <c r="L181" s="362"/>
      <c r="M181" s="362"/>
      <c r="N181" s="362"/>
      <c r="O181" s="362"/>
      <c r="P181" s="362"/>
      <c r="Q181" s="362"/>
      <c r="R181" s="362"/>
      <c r="S181" s="362"/>
      <c r="T181" s="362"/>
      <c r="U181" s="362"/>
      <c r="V181" s="362"/>
      <c r="W181" s="362"/>
      <c r="X181" s="362"/>
      <c r="Y181" s="362"/>
      <c r="Z181" s="362"/>
      <c r="AA181" s="362"/>
      <c r="AB181" s="362"/>
      <c r="AC181" s="362"/>
      <c r="AD181" s="362"/>
      <c r="AE181" s="362"/>
      <c r="AF181" s="362"/>
      <c r="AG181" s="362"/>
      <c r="AH181" s="362"/>
      <c r="AI181" s="362"/>
      <c r="AJ181" s="362"/>
      <c r="AK181" s="362"/>
      <c r="AL181" s="362"/>
      <c r="AM181" s="362"/>
      <c r="AN181" s="362"/>
      <c r="AO181" s="362"/>
      <c r="AP181" s="362"/>
      <c r="AQ181" s="362"/>
      <c r="AR181" s="362"/>
      <c r="AS181" s="362"/>
      <c r="AT181" s="362"/>
      <c r="AU181" s="362"/>
      <c r="AV181" s="362"/>
      <c r="AW181" s="362"/>
      <c r="AX181" s="362"/>
      <c r="AY181" s="362"/>
      <c r="AZ181" s="362"/>
      <c r="BA181" s="362"/>
      <c r="BB181" s="362"/>
      <c r="BC181" s="362"/>
      <c r="BD181" s="362"/>
      <c r="BE181" s="362"/>
      <c r="BF181" s="362"/>
      <c r="BG181" s="362"/>
      <c r="BI181" s="342" t="s">
        <v>1237</v>
      </c>
    </row>
    <row r="182" spans="2:61" hidden="1" x14ac:dyDescent="0.2">
      <c r="B182" s="67" t="str">
        <f>IF(Capacity!B75="","",Capacity!B75)</f>
        <v/>
      </c>
      <c r="C182" s="220" t="str">
        <f>IF(B182="","",Capacity!E75)</f>
        <v/>
      </c>
      <c r="D182" s="309" t="str">
        <f>IF(B182="","",Capacity!F75)</f>
        <v/>
      </c>
      <c r="E182" s="220" t="str">
        <f>IF(B182="","",IF(COUNTBLANK(H182:BG182)=52,SUM('Capacity calculation (hide)'!H63:BG63),52-COUNTBLANK(H182:BG182)))</f>
        <v/>
      </c>
      <c r="F182" s="310" t="str">
        <f>'Capacity calculation (hide)'!BI63</f>
        <v/>
      </c>
      <c r="H182" s="362"/>
      <c r="I182" s="362"/>
      <c r="J182" s="362"/>
      <c r="K182" s="362"/>
      <c r="L182" s="362"/>
      <c r="M182" s="362"/>
      <c r="N182" s="362"/>
      <c r="O182" s="362"/>
      <c r="P182" s="362"/>
      <c r="Q182" s="362"/>
      <c r="R182" s="362"/>
      <c r="S182" s="362"/>
      <c r="T182" s="362"/>
      <c r="U182" s="362"/>
      <c r="V182" s="362"/>
      <c r="W182" s="362"/>
      <c r="X182" s="362"/>
      <c r="Y182" s="362"/>
      <c r="Z182" s="362"/>
      <c r="AA182" s="362"/>
      <c r="AB182" s="362"/>
      <c r="AC182" s="362"/>
      <c r="AD182" s="362"/>
      <c r="AE182" s="362"/>
      <c r="AF182" s="362"/>
      <c r="AG182" s="362"/>
      <c r="AH182" s="362"/>
      <c r="AI182" s="362"/>
      <c r="AJ182" s="362"/>
      <c r="AK182" s="362"/>
      <c r="AL182" s="362"/>
      <c r="AM182" s="362"/>
      <c r="AN182" s="362"/>
      <c r="AO182" s="362"/>
      <c r="AP182" s="362"/>
      <c r="AQ182" s="362"/>
      <c r="AR182" s="362"/>
      <c r="AS182" s="362"/>
      <c r="AT182" s="362"/>
      <c r="AU182" s="362"/>
      <c r="AV182" s="362"/>
      <c r="AW182" s="362"/>
      <c r="AX182" s="362"/>
      <c r="AY182" s="362"/>
      <c r="AZ182" s="362"/>
      <c r="BA182" s="362"/>
      <c r="BB182" s="362"/>
      <c r="BC182" s="362"/>
      <c r="BD182" s="362"/>
      <c r="BE182" s="362"/>
      <c r="BF182" s="362"/>
      <c r="BG182" s="362"/>
      <c r="BI182" s="342" t="s">
        <v>1237</v>
      </c>
    </row>
    <row r="183" spans="2:61" hidden="1" x14ac:dyDescent="0.2">
      <c r="B183" s="67" t="str">
        <f>IF(Capacity!B76="","",Capacity!B76)</f>
        <v/>
      </c>
      <c r="C183" s="220" t="str">
        <f>IF(B183="","",Capacity!E76)</f>
        <v/>
      </c>
      <c r="D183" s="309" t="str">
        <f>IF(B183="","",Capacity!F76)</f>
        <v/>
      </c>
      <c r="E183" s="220" t="str">
        <f>IF(B183="","",IF(COUNTBLANK(H183:BG183)=52,SUM('Capacity calculation (hide)'!H64:BG64),52-COUNTBLANK(H183:BG183)))</f>
        <v/>
      </c>
      <c r="F183" s="310" t="str">
        <f>'Capacity calculation (hide)'!BI64</f>
        <v/>
      </c>
      <c r="H183" s="362"/>
      <c r="I183" s="362"/>
      <c r="J183" s="362"/>
      <c r="K183" s="362"/>
      <c r="L183" s="362"/>
      <c r="M183" s="362"/>
      <c r="N183" s="362"/>
      <c r="O183" s="362"/>
      <c r="P183" s="362"/>
      <c r="Q183" s="362"/>
      <c r="R183" s="362"/>
      <c r="S183" s="362"/>
      <c r="T183" s="362"/>
      <c r="U183" s="362"/>
      <c r="V183" s="362"/>
      <c r="W183" s="362"/>
      <c r="X183" s="362"/>
      <c r="Y183" s="362"/>
      <c r="Z183" s="362"/>
      <c r="AA183" s="362"/>
      <c r="AB183" s="362"/>
      <c r="AC183" s="362"/>
      <c r="AD183" s="362"/>
      <c r="AE183" s="362"/>
      <c r="AF183" s="362"/>
      <c r="AG183" s="362"/>
      <c r="AH183" s="362"/>
      <c r="AI183" s="362"/>
      <c r="AJ183" s="362"/>
      <c r="AK183" s="362"/>
      <c r="AL183" s="362"/>
      <c r="AM183" s="362"/>
      <c r="AN183" s="362"/>
      <c r="AO183" s="362"/>
      <c r="AP183" s="362"/>
      <c r="AQ183" s="362"/>
      <c r="AR183" s="362"/>
      <c r="AS183" s="362"/>
      <c r="AT183" s="362"/>
      <c r="AU183" s="362"/>
      <c r="AV183" s="362"/>
      <c r="AW183" s="362"/>
      <c r="AX183" s="362"/>
      <c r="AY183" s="362"/>
      <c r="AZ183" s="362"/>
      <c r="BA183" s="362"/>
      <c r="BB183" s="362"/>
      <c r="BC183" s="362"/>
      <c r="BD183" s="362"/>
      <c r="BE183" s="362"/>
      <c r="BF183" s="362"/>
      <c r="BG183" s="362"/>
      <c r="BI183" s="342" t="s">
        <v>1237</v>
      </c>
    </row>
    <row r="184" spans="2:61" hidden="1" x14ac:dyDescent="0.2">
      <c r="B184" s="67" t="str">
        <f>IF(Capacity!B77="","",Capacity!B77)</f>
        <v/>
      </c>
      <c r="C184" s="220" t="str">
        <f>IF(B184="","",Capacity!E77)</f>
        <v/>
      </c>
      <c r="D184" s="309" t="str">
        <f>IF(B184="","",Capacity!F77)</f>
        <v/>
      </c>
      <c r="E184" s="220" t="str">
        <f>IF(B184="","",IF(COUNTBLANK(H184:BG184)=52,SUM('Capacity calculation (hide)'!H65:BG65),52-COUNTBLANK(H184:BG184)))</f>
        <v/>
      </c>
      <c r="F184" s="310" t="str">
        <f>'Capacity calculation (hide)'!BI65</f>
        <v/>
      </c>
      <c r="H184" s="362"/>
      <c r="I184" s="362"/>
      <c r="J184" s="362"/>
      <c r="K184" s="362"/>
      <c r="L184" s="362"/>
      <c r="M184" s="362"/>
      <c r="N184" s="362"/>
      <c r="O184" s="362"/>
      <c r="P184" s="362"/>
      <c r="Q184" s="362"/>
      <c r="R184" s="362"/>
      <c r="S184" s="362"/>
      <c r="T184" s="362"/>
      <c r="U184" s="362"/>
      <c r="V184" s="362"/>
      <c r="W184" s="362"/>
      <c r="X184" s="362"/>
      <c r="Y184" s="362"/>
      <c r="Z184" s="362"/>
      <c r="AA184" s="362"/>
      <c r="AB184" s="362"/>
      <c r="AC184" s="362"/>
      <c r="AD184" s="362"/>
      <c r="AE184" s="362"/>
      <c r="AF184" s="362"/>
      <c r="AG184" s="362"/>
      <c r="AH184" s="362"/>
      <c r="AI184" s="362"/>
      <c r="AJ184" s="362"/>
      <c r="AK184" s="362"/>
      <c r="AL184" s="362"/>
      <c r="AM184" s="362"/>
      <c r="AN184" s="362"/>
      <c r="AO184" s="362"/>
      <c r="AP184" s="362"/>
      <c r="AQ184" s="362"/>
      <c r="AR184" s="362"/>
      <c r="AS184" s="362"/>
      <c r="AT184" s="362"/>
      <c r="AU184" s="362"/>
      <c r="AV184" s="362"/>
      <c r="AW184" s="362"/>
      <c r="AX184" s="362"/>
      <c r="AY184" s="362"/>
      <c r="AZ184" s="362"/>
      <c r="BA184" s="362"/>
      <c r="BB184" s="362"/>
      <c r="BC184" s="362"/>
      <c r="BD184" s="362"/>
      <c r="BE184" s="362"/>
      <c r="BF184" s="362"/>
      <c r="BG184" s="362"/>
      <c r="BI184" s="342" t="s">
        <v>1237</v>
      </c>
    </row>
    <row r="185" spans="2:61" hidden="1" x14ac:dyDescent="0.2">
      <c r="B185" s="67" t="str">
        <f>IF(Capacity!B78="","",Capacity!B78)</f>
        <v/>
      </c>
      <c r="C185" s="220" t="str">
        <f>IF(B185="","",Capacity!E78)</f>
        <v/>
      </c>
      <c r="D185" s="309" t="str">
        <f>IF(B185="","",Capacity!F78)</f>
        <v/>
      </c>
      <c r="E185" s="220" t="str">
        <f>IF(B185="","",IF(COUNTBLANK(H185:BG185)=52,SUM('Capacity calculation (hide)'!H66:BG66),52-COUNTBLANK(H185:BG185)))</f>
        <v/>
      </c>
      <c r="F185" s="310" t="str">
        <f>'Capacity calculation (hide)'!BI66</f>
        <v/>
      </c>
      <c r="H185" s="362"/>
      <c r="I185" s="362"/>
      <c r="J185" s="362"/>
      <c r="K185" s="362"/>
      <c r="L185" s="362"/>
      <c r="M185" s="362"/>
      <c r="N185" s="362"/>
      <c r="O185" s="362"/>
      <c r="P185" s="362"/>
      <c r="Q185" s="362"/>
      <c r="R185" s="362"/>
      <c r="S185" s="362"/>
      <c r="T185" s="362"/>
      <c r="U185" s="362"/>
      <c r="V185" s="362"/>
      <c r="W185" s="362"/>
      <c r="X185" s="362"/>
      <c r="Y185" s="362"/>
      <c r="Z185" s="362"/>
      <c r="AA185" s="362"/>
      <c r="AB185" s="362"/>
      <c r="AC185" s="362"/>
      <c r="AD185" s="362"/>
      <c r="AE185" s="362"/>
      <c r="AF185" s="362"/>
      <c r="AG185" s="362"/>
      <c r="AH185" s="362"/>
      <c r="AI185" s="362"/>
      <c r="AJ185" s="362"/>
      <c r="AK185" s="362"/>
      <c r="AL185" s="362"/>
      <c r="AM185" s="362"/>
      <c r="AN185" s="362"/>
      <c r="AO185" s="362"/>
      <c r="AP185" s="362"/>
      <c r="AQ185" s="362"/>
      <c r="AR185" s="362"/>
      <c r="AS185" s="362"/>
      <c r="AT185" s="362"/>
      <c r="AU185" s="362"/>
      <c r="AV185" s="362"/>
      <c r="AW185" s="362"/>
      <c r="AX185" s="362"/>
      <c r="AY185" s="362"/>
      <c r="AZ185" s="362"/>
      <c r="BA185" s="362"/>
      <c r="BB185" s="362"/>
      <c r="BC185" s="362"/>
      <c r="BD185" s="362"/>
      <c r="BE185" s="362"/>
      <c r="BF185" s="362"/>
      <c r="BG185" s="362"/>
      <c r="BI185" s="342" t="s">
        <v>1237</v>
      </c>
    </row>
    <row r="186" spans="2:61" hidden="1" x14ac:dyDescent="0.2">
      <c r="B186" s="67" t="str">
        <f>IF(Capacity!B79="","",Capacity!B79)</f>
        <v/>
      </c>
      <c r="C186" s="220" t="str">
        <f>IF(B186="","",Capacity!E79)</f>
        <v/>
      </c>
      <c r="D186" s="309" t="str">
        <f>IF(B186="","",Capacity!F79)</f>
        <v/>
      </c>
      <c r="E186" s="220" t="str">
        <f>IF(B186="","",IF(COUNTBLANK(H186:BG186)=52,SUM('Capacity calculation (hide)'!H67:BG67),52-COUNTBLANK(H186:BG186)))</f>
        <v/>
      </c>
      <c r="F186" s="310" t="str">
        <f>'Capacity calculation (hide)'!BI67</f>
        <v/>
      </c>
      <c r="H186" s="362"/>
      <c r="I186" s="362"/>
      <c r="J186" s="362"/>
      <c r="K186" s="362"/>
      <c r="L186" s="362"/>
      <c r="M186" s="362"/>
      <c r="N186" s="362"/>
      <c r="O186" s="362"/>
      <c r="P186" s="362"/>
      <c r="Q186" s="362"/>
      <c r="R186" s="362"/>
      <c r="S186" s="362"/>
      <c r="T186" s="362"/>
      <c r="U186" s="362"/>
      <c r="V186" s="362"/>
      <c r="W186" s="362"/>
      <c r="X186" s="362"/>
      <c r="Y186" s="362"/>
      <c r="Z186" s="362"/>
      <c r="AA186" s="362"/>
      <c r="AB186" s="362"/>
      <c r="AC186" s="362"/>
      <c r="AD186" s="362"/>
      <c r="AE186" s="362"/>
      <c r="AF186" s="362"/>
      <c r="AG186" s="362"/>
      <c r="AH186" s="362"/>
      <c r="AI186" s="362"/>
      <c r="AJ186" s="362"/>
      <c r="AK186" s="362"/>
      <c r="AL186" s="362"/>
      <c r="AM186" s="362"/>
      <c r="AN186" s="362"/>
      <c r="AO186" s="362"/>
      <c r="AP186" s="362"/>
      <c r="AQ186" s="362"/>
      <c r="AR186" s="362"/>
      <c r="AS186" s="362"/>
      <c r="AT186" s="362"/>
      <c r="AU186" s="362"/>
      <c r="AV186" s="362"/>
      <c r="AW186" s="362"/>
      <c r="AX186" s="362"/>
      <c r="AY186" s="362"/>
      <c r="AZ186" s="362"/>
      <c r="BA186" s="362"/>
      <c r="BB186" s="362"/>
      <c r="BC186" s="362"/>
      <c r="BD186" s="362"/>
      <c r="BE186" s="362"/>
      <c r="BF186" s="362"/>
      <c r="BG186" s="362"/>
      <c r="BI186" s="342" t="s">
        <v>1237</v>
      </c>
    </row>
    <row r="187" spans="2:61" hidden="1" x14ac:dyDescent="0.2">
      <c r="B187" s="67" t="str">
        <f>IF(Capacity!B80="","",Capacity!B80)</f>
        <v/>
      </c>
      <c r="C187" s="220" t="str">
        <f>IF(B187="","",Capacity!E80)</f>
        <v/>
      </c>
      <c r="D187" s="309" t="str">
        <f>IF(B187="","",Capacity!F80)</f>
        <v/>
      </c>
      <c r="E187" s="220" t="str">
        <f>IF(B187="","",IF(COUNTBLANK(H187:BG187)=52,SUM('Capacity calculation (hide)'!H68:BG68),52-COUNTBLANK(H187:BG187)))</f>
        <v/>
      </c>
      <c r="F187" s="310" t="str">
        <f>'Capacity calculation (hide)'!BI68</f>
        <v/>
      </c>
      <c r="H187" s="362"/>
      <c r="I187" s="362"/>
      <c r="J187" s="362"/>
      <c r="K187" s="362"/>
      <c r="L187" s="362"/>
      <c r="M187" s="362"/>
      <c r="N187" s="362"/>
      <c r="O187" s="362"/>
      <c r="P187" s="362"/>
      <c r="Q187" s="362"/>
      <c r="R187" s="362"/>
      <c r="S187" s="362"/>
      <c r="T187" s="362"/>
      <c r="U187" s="362"/>
      <c r="V187" s="362"/>
      <c r="W187" s="362"/>
      <c r="X187" s="362"/>
      <c r="Y187" s="362"/>
      <c r="Z187" s="362"/>
      <c r="AA187" s="362"/>
      <c r="AB187" s="362"/>
      <c r="AC187" s="362"/>
      <c r="AD187" s="362"/>
      <c r="AE187" s="362"/>
      <c r="AF187" s="362"/>
      <c r="AG187" s="362"/>
      <c r="AH187" s="362"/>
      <c r="AI187" s="362"/>
      <c r="AJ187" s="362"/>
      <c r="AK187" s="362"/>
      <c r="AL187" s="362"/>
      <c r="AM187" s="362"/>
      <c r="AN187" s="362"/>
      <c r="AO187" s="362"/>
      <c r="AP187" s="362"/>
      <c r="AQ187" s="362"/>
      <c r="AR187" s="362"/>
      <c r="AS187" s="362"/>
      <c r="AT187" s="362"/>
      <c r="AU187" s="362"/>
      <c r="AV187" s="362"/>
      <c r="AW187" s="362"/>
      <c r="AX187" s="362"/>
      <c r="AY187" s="362"/>
      <c r="AZ187" s="362"/>
      <c r="BA187" s="362"/>
      <c r="BB187" s="362"/>
      <c r="BC187" s="362"/>
      <c r="BD187" s="362"/>
      <c r="BE187" s="362"/>
      <c r="BF187" s="362"/>
      <c r="BG187" s="362"/>
      <c r="BI187" s="342" t="s">
        <v>1237</v>
      </c>
    </row>
    <row r="188" spans="2:61" hidden="1" x14ac:dyDescent="0.2">
      <c r="B188" s="67" t="str">
        <f>IF(Capacity!B81="","",Capacity!B81)</f>
        <v/>
      </c>
      <c r="C188" s="220" t="str">
        <f>IF(B188="","",Capacity!E81)</f>
        <v/>
      </c>
      <c r="D188" s="309" t="str">
        <f>IF(B188="","",Capacity!F81)</f>
        <v/>
      </c>
      <c r="E188" s="220" t="str">
        <f>IF(B188="","",IF(COUNTBLANK(H188:BG188)=52,SUM('Capacity calculation (hide)'!H69:BG69),52-COUNTBLANK(H188:BG188)))</f>
        <v/>
      </c>
      <c r="F188" s="310" t="str">
        <f>'Capacity calculation (hide)'!BI69</f>
        <v/>
      </c>
      <c r="H188" s="362"/>
      <c r="I188" s="362"/>
      <c r="J188" s="362"/>
      <c r="K188" s="362"/>
      <c r="L188" s="362"/>
      <c r="M188" s="362"/>
      <c r="N188" s="362"/>
      <c r="O188" s="362"/>
      <c r="P188" s="362"/>
      <c r="Q188" s="362"/>
      <c r="R188" s="362"/>
      <c r="S188" s="362"/>
      <c r="T188" s="362"/>
      <c r="U188" s="362"/>
      <c r="V188" s="362"/>
      <c r="W188" s="362"/>
      <c r="X188" s="362"/>
      <c r="Y188" s="362"/>
      <c r="Z188" s="362"/>
      <c r="AA188" s="362"/>
      <c r="AB188" s="362"/>
      <c r="AC188" s="362"/>
      <c r="AD188" s="362"/>
      <c r="AE188" s="362"/>
      <c r="AF188" s="362"/>
      <c r="AG188" s="362"/>
      <c r="AH188" s="362"/>
      <c r="AI188" s="362"/>
      <c r="AJ188" s="362"/>
      <c r="AK188" s="362"/>
      <c r="AL188" s="362"/>
      <c r="AM188" s="362"/>
      <c r="AN188" s="362"/>
      <c r="AO188" s="362"/>
      <c r="AP188" s="362"/>
      <c r="AQ188" s="362"/>
      <c r="AR188" s="362"/>
      <c r="AS188" s="362"/>
      <c r="AT188" s="362"/>
      <c r="AU188" s="362"/>
      <c r="AV188" s="362"/>
      <c r="AW188" s="362"/>
      <c r="AX188" s="362"/>
      <c r="AY188" s="362"/>
      <c r="AZ188" s="362"/>
      <c r="BA188" s="362"/>
      <c r="BB188" s="362"/>
      <c r="BC188" s="362"/>
      <c r="BD188" s="362"/>
      <c r="BE188" s="362"/>
      <c r="BF188" s="362"/>
      <c r="BG188" s="362"/>
      <c r="BI188" s="342" t="s">
        <v>1237</v>
      </c>
    </row>
    <row r="189" spans="2:61" hidden="1" x14ac:dyDescent="0.2">
      <c r="B189" s="67" t="str">
        <f>IF(Capacity!B82="","",Capacity!B82)</f>
        <v/>
      </c>
      <c r="C189" s="220" t="str">
        <f>IF(B189="","",Capacity!E82)</f>
        <v/>
      </c>
      <c r="D189" s="309" t="str">
        <f>IF(B189="","",Capacity!F82)</f>
        <v/>
      </c>
      <c r="E189" s="220" t="str">
        <f>IF(B189="","",IF(COUNTBLANK(H189:BG189)=52,SUM('Capacity calculation (hide)'!H70:BG70),52-COUNTBLANK(H189:BG189)))</f>
        <v/>
      </c>
      <c r="F189" s="310" t="str">
        <f>'Capacity calculation (hide)'!BI70</f>
        <v/>
      </c>
      <c r="H189" s="362"/>
      <c r="I189" s="362"/>
      <c r="J189" s="362"/>
      <c r="K189" s="362"/>
      <c r="L189" s="362"/>
      <c r="M189" s="362"/>
      <c r="N189" s="362"/>
      <c r="O189" s="362"/>
      <c r="P189" s="362"/>
      <c r="Q189" s="362"/>
      <c r="R189" s="362"/>
      <c r="S189" s="362"/>
      <c r="T189" s="362"/>
      <c r="U189" s="362"/>
      <c r="V189" s="362"/>
      <c r="W189" s="362"/>
      <c r="X189" s="362"/>
      <c r="Y189" s="362"/>
      <c r="Z189" s="362"/>
      <c r="AA189" s="362"/>
      <c r="AB189" s="362"/>
      <c r="AC189" s="362"/>
      <c r="AD189" s="362"/>
      <c r="AE189" s="362"/>
      <c r="AF189" s="362"/>
      <c r="AG189" s="362"/>
      <c r="AH189" s="362"/>
      <c r="AI189" s="362"/>
      <c r="AJ189" s="362"/>
      <c r="AK189" s="362"/>
      <c r="AL189" s="362"/>
      <c r="AM189" s="362"/>
      <c r="AN189" s="362"/>
      <c r="AO189" s="362"/>
      <c r="AP189" s="362"/>
      <c r="AQ189" s="362"/>
      <c r="AR189" s="362"/>
      <c r="AS189" s="362"/>
      <c r="AT189" s="362"/>
      <c r="AU189" s="362"/>
      <c r="AV189" s="362"/>
      <c r="AW189" s="362"/>
      <c r="AX189" s="362"/>
      <c r="AY189" s="362"/>
      <c r="AZ189" s="362"/>
      <c r="BA189" s="362"/>
      <c r="BB189" s="362"/>
      <c r="BC189" s="362"/>
      <c r="BD189" s="362"/>
      <c r="BE189" s="362"/>
      <c r="BF189" s="362"/>
      <c r="BG189" s="362"/>
      <c r="BI189" s="342" t="s">
        <v>1237</v>
      </c>
    </row>
    <row r="190" spans="2:61" hidden="1" x14ac:dyDescent="0.2">
      <c r="B190" s="67" t="str">
        <f>IF(Capacity!B83="","",Capacity!B83)</f>
        <v/>
      </c>
      <c r="C190" s="220" t="str">
        <f>IF(B190="","",Capacity!E83)</f>
        <v/>
      </c>
      <c r="D190" s="309" t="str">
        <f>IF(B190="","",Capacity!F83)</f>
        <v/>
      </c>
      <c r="E190" s="220" t="str">
        <f>IF(B190="","",IF(COUNTBLANK(H190:BG190)=52,SUM('Capacity calculation (hide)'!H71:BG71),52-COUNTBLANK(H190:BG190)))</f>
        <v/>
      </c>
      <c r="F190" s="310" t="str">
        <f>'Capacity calculation (hide)'!BI71</f>
        <v/>
      </c>
      <c r="H190" s="362"/>
      <c r="I190" s="362"/>
      <c r="J190" s="362"/>
      <c r="K190" s="362"/>
      <c r="L190" s="362"/>
      <c r="M190" s="362"/>
      <c r="N190" s="362"/>
      <c r="O190" s="362"/>
      <c r="P190" s="362"/>
      <c r="Q190" s="362"/>
      <c r="R190" s="362"/>
      <c r="S190" s="362"/>
      <c r="T190" s="362"/>
      <c r="U190" s="362"/>
      <c r="V190" s="362"/>
      <c r="W190" s="362"/>
      <c r="X190" s="362"/>
      <c r="Y190" s="362"/>
      <c r="Z190" s="362"/>
      <c r="AA190" s="362"/>
      <c r="AB190" s="362"/>
      <c r="AC190" s="362"/>
      <c r="AD190" s="362"/>
      <c r="AE190" s="362"/>
      <c r="AF190" s="362"/>
      <c r="AG190" s="362"/>
      <c r="AH190" s="362"/>
      <c r="AI190" s="362"/>
      <c r="AJ190" s="362"/>
      <c r="AK190" s="362"/>
      <c r="AL190" s="362"/>
      <c r="AM190" s="362"/>
      <c r="AN190" s="362"/>
      <c r="AO190" s="362"/>
      <c r="AP190" s="362"/>
      <c r="AQ190" s="362"/>
      <c r="AR190" s="362"/>
      <c r="AS190" s="362"/>
      <c r="AT190" s="362"/>
      <c r="AU190" s="362"/>
      <c r="AV190" s="362"/>
      <c r="AW190" s="362"/>
      <c r="AX190" s="362"/>
      <c r="AY190" s="362"/>
      <c r="AZ190" s="362"/>
      <c r="BA190" s="362"/>
      <c r="BB190" s="362"/>
      <c r="BC190" s="362"/>
      <c r="BD190" s="362"/>
      <c r="BE190" s="362"/>
      <c r="BF190" s="362"/>
      <c r="BG190" s="362"/>
      <c r="BI190" s="342" t="s">
        <v>1237</v>
      </c>
    </row>
    <row r="191" spans="2:61" hidden="1" x14ac:dyDescent="0.2">
      <c r="B191" s="67" t="str">
        <f>IF(Capacity!B84="","",Capacity!B84)</f>
        <v/>
      </c>
      <c r="C191" s="220" t="str">
        <f>IF(B191="","",Capacity!E84)</f>
        <v/>
      </c>
      <c r="D191" s="309" t="str">
        <f>IF(B191="","",Capacity!F84)</f>
        <v/>
      </c>
      <c r="E191" s="220" t="str">
        <f>IF(B191="","",IF(COUNTBLANK(H191:BG191)=52,SUM('Capacity calculation (hide)'!H72:BG72),52-COUNTBLANK(H191:BG191)))</f>
        <v/>
      </c>
      <c r="F191" s="310" t="str">
        <f>'Capacity calculation (hide)'!BI72</f>
        <v/>
      </c>
      <c r="H191" s="362"/>
      <c r="I191" s="362"/>
      <c r="J191" s="362"/>
      <c r="K191" s="362"/>
      <c r="L191" s="362"/>
      <c r="M191" s="362"/>
      <c r="N191" s="362"/>
      <c r="O191" s="362"/>
      <c r="P191" s="362"/>
      <c r="Q191" s="362"/>
      <c r="R191" s="362"/>
      <c r="S191" s="362"/>
      <c r="T191" s="362"/>
      <c r="U191" s="362"/>
      <c r="V191" s="362"/>
      <c r="W191" s="362"/>
      <c r="X191" s="362"/>
      <c r="Y191" s="362"/>
      <c r="Z191" s="362"/>
      <c r="AA191" s="362"/>
      <c r="AB191" s="362"/>
      <c r="AC191" s="362"/>
      <c r="AD191" s="362"/>
      <c r="AE191" s="362"/>
      <c r="AF191" s="362"/>
      <c r="AG191" s="362"/>
      <c r="AH191" s="362"/>
      <c r="AI191" s="362"/>
      <c r="AJ191" s="362"/>
      <c r="AK191" s="362"/>
      <c r="AL191" s="362"/>
      <c r="AM191" s="362"/>
      <c r="AN191" s="362"/>
      <c r="AO191" s="362"/>
      <c r="AP191" s="362"/>
      <c r="AQ191" s="362"/>
      <c r="AR191" s="362"/>
      <c r="AS191" s="362"/>
      <c r="AT191" s="362"/>
      <c r="AU191" s="362"/>
      <c r="AV191" s="362"/>
      <c r="AW191" s="362"/>
      <c r="AX191" s="362"/>
      <c r="AY191" s="362"/>
      <c r="AZ191" s="362"/>
      <c r="BA191" s="362"/>
      <c r="BB191" s="362"/>
      <c r="BC191" s="362"/>
      <c r="BD191" s="362"/>
      <c r="BE191" s="362"/>
      <c r="BF191" s="362"/>
      <c r="BG191" s="362"/>
      <c r="BI191" s="342" t="s">
        <v>1237</v>
      </c>
    </row>
    <row r="192" spans="2:61" hidden="1" x14ac:dyDescent="0.2">
      <c r="B192" s="67" t="str">
        <f>IF(Capacity!B85="","",Capacity!B85)</f>
        <v/>
      </c>
      <c r="C192" s="220" t="str">
        <f>IF(B192="","",Capacity!E85)</f>
        <v/>
      </c>
      <c r="D192" s="309" t="str">
        <f>IF(B192="","",Capacity!F85)</f>
        <v/>
      </c>
      <c r="E192" s="220" t="str">
        <f>IF(B192="","",IF(COUNTBLANK(H192:BG192)=52,SUM('Capacity calculation (hide)'!H73:BG73),52-COUNTBLANK(H192:BG192)))</f>
        <v/>
      </c>
      <c r="F192" s="310" t="str">
        <f>'Capacity calculation (hide)'!BI73</f>
        <v/>
      </c>
      <c r="H192" s="362"/>
      <c r="I192" s="362"/>
      <c r="J192" s="362"/>
      <c r="K192" s="362"/>
      <c r="L192" s="362"/>
      <c r="M192" s="362"/>
      <c r="N192" s="362"/>
      <c r="O192" s="362"/>
      <c r="P192" s="362"/>
      <c r="Q192" s="362"/>
      <c r="R192" s="362"/>
      <c r="S192" s="362"/>
      <c r="T192" s="362"/>
      <c r="U192" s="362"/>
      <c r="V192" s="362"/>
      <c r="W192" s="362"/>
      <c r="X192" s="362"/>
      <c r="Y192" s="362"/>
      <c r="Z192" s="362"/>
      <c r="AA192" s="362"/>
      <c r="AB192" s="362"/>
      <c r="AC192" s="362"/>
      <c r="AD192" s="362"/>
      <c r="AE192" s="362"/>
      <c r="AF192" s="362"/>
      <c r="AG192" s="362"/>
      <c r="AH192" s="362"/>
      <c r="AI192" s="362"/>
      <c r="AJ192" s="362"/>
      <c r="AK192" s="362"/>
      <c r="AL192" s="362"/>
      <c r="AM192" s="362"/>
      <c r="AN192" s="362"/>
      <c r="AO192" s="362"/>
      <c r="AP192" s="362"/>
      <c r="AQ192" s="362"/>
      <c r="AR192" s="362"/>
      <c r="AS192" s="362"/>
      <c r="AT192" s="362"/>
      <c r="AU192" s="362"/>
      <c r="AV192" s="362"/>
      <c r="AW192" s="362"/>
      <c r="AX192" s="362"/>
      <c r="AY192" s="362"/>
      <c r="AZ192" s="362"/>
      <c r="BA192" s="362"/>
      <c r="BB192" s="362"/>
      <c r="BC192" s="362"/>
      <c r="BD192" s="362"/>
      <c r="BE192" s="362"/>
      <c r="BF192" s="362"/>
      <c r="BG192" s="362"/>
      <c r="BI192" s="342" t="s">
        <v>1237</v>
      </c>
    </row>
    <row r="193" spans="2:61" hidden="1" x14ac:dyDescent="0.2">
      <c r="B193" s="67" t="str">
        <f>IF(Capacity!B86="","",Capacity!B86)</f>
        <v/>
      </c>
      <c r="C193" s="220" t="str">
        <f>IF(B193="","",Capacity!E86)</f>
        <v/>
      </c>
      <c r="D193" s="309" t="str">
        <f>IF(B193="","",Capacity!F86)</f>
        <v/>
      </c>
      <c r="E193" s="220" t="str">
        <f>IF(B193="","",IF(COUNTBLANK(H193:BG193)=52,SUM('Capacity calculation (hide)'!H74:BG74),52-COUNTBLANK(H193:BG193)))</f>
        <v/>
      </c>
      <c r="F193" s="310" t="str">
        <f>'Capacity calculation (hide)'!BI74</f>
        <v/>
      </c>
      <c r="H193" s="362"/>
      <c r="I193" s="362"/>
      <c r="J193" s="362"/>
      <c r="K193" s="362"/>
      <c r="L193" s="362"/>
      <c r="M193" s="362"/>
      <c r="N193" s="362"/>
      <c r="O193" s="362"/>
      <c r="P193" s="362"/>
      <c r="Q193" s="362"/>
      <c r="R193" s="362"/>
      <c r="S193" s="362"/>
      <c r="T193" s="362"/>
      <c r="U193" s="362"/>
      <c r="V193" s="362"/>
      <c r="W193" s="362"/>
      <c r="X193" s="362"/>
      <c r="Y193" s="362"/>
      <c r="Z193" s="362"/>
      <c r="AA193" s="362"/>
      <c r="AB193" s="362"/>
      <c r="AC193" s="362"/>
      <c r="AD193" s="362"/>
      <c r="AE193" s="362"/>
      <c r="AF193" s="362"/>
      <c r="AG193" s="362"/>
      <c r="AH193" s="362"/>
      <c r="AI193" s="362"/>
      <c r="AJ193" s="362"/>
      <c r="AK193" s="362"/>
      <c r="AL193" s="362"/>
      <c r="AM193" s="362"/>
      <c r="AN193" s="362"/>
      <c r="AO193" s="362"/>
      <c r="AP193" s="362"/>
      <c r="AQ193" s="362"/>
      <c r="AR193" s="362"/>
      <c r="AS193" s="362"/>
      <c r="AT193" s="362"/>
      <c r="AU193" s="362"/>
      <c r="AV193" s="362"/>
      <c r="AW193" s="362"/>
      <c r="AX193" s="362"/>
      <c r="AY193" s="362"/>
      <c r="AZ193" s="362"/>
      <c r="BA193" s="362"/>
      <c r="BB193" s="362"/>
      <c r="BC193" s="362"/>
      <c r="BD193" s="362"/>
      <c r="BE193" s="362"/>
      <c r="BF193" s="362"/>
      <c r="BG193" s="362"/>
      <c r="BI193" s="342" t="s">
        <v>1237</v>
      </c>
    </row>
    <row r="194" spans="2:61" hidden="1" x14ac:dyDescent="0.2">
      <c r="B194" s="67" t="str">
        <f>IF(Capacity!B87="","",Capacity!B87)</f>
        <v/>
      </c>
      <c r="C194" s="220" t="str">
        <f>IF(B194="","",Capacity!E87)</f>
        <v/>
      </c>
      <c r="D194" s="309" t="str">
        <f>IF(B194="","",Capacity!F87)</f>
        <v/>
      </c>
      <c r="E194" s="220" t="str">
        <f>IF(B194="","",IF(COUNTBLANK(H194:BG194)=52,SUM('Capacity calculation (hide)'!H75:BG75),52-COUNTBLANK(H194:BG194)))</f>
        <v/>
      </c>
      <c r="F194" s="310" t="str">
        <f>'Capacity calculation (hide)'!BI75</f>
        <v/>
      </c>
      <c r="H194" s="362"/>
      <c r="I194" s="362"/>
      <c r="J194" s="362"/>
      <c r="K194" s="362"/>
      <c r="L194" s="362"/>
      <c r="M194" s="362"/>
      <c r="N194" s="362"/>
      <c r="O194" s="362"/>
      <c r="P194" s="362"/>
      <c r="Q194" s="362"/>
      <c r="R194" s="362"/>
      <c r="S194" s="362"/>
      <c r="T194" s="362"/>
      <c r="U194" s="362"/>
      <c r="V194" s="362"/>
      <c r="W194" s="362"/>
      <c r="X194" s="362"/>
      <c r="Y194" s="362"/>
      <c r="Z194" s="362"/>
      <c r="AA194" s="362"/>
      <c r="AB194" s="362"/>
      <c r="AC194" s="362"/>
      <c r="AD194" s="362"/>
      <c r="AE194" s="362"/>
      <c r="AF194" s="362"/>
      <c r="AG194" s="362"/>
      <c r="AH194" s="362"/>
      <c r="AI194" s="362"/>
      <c r="AJ194" s="362"/>
      <c r="AK194" s="362"/>
      <c r="AL194" s="362"/>
      <c r="AM194" s="362"/>
      <c r="AN194" s="362"/>
      <c r="AO194" s="362"/>
      <c r="AP194" s="362"/>
      <c r="AQ194" s="362"/>
      <c r="AR194" s="362"/>
      <c r="AS194" s="362"/>
      <c r="AT194" s="362"/>
      <c r="AU194" s="362"/>
      <c r="AV194" s="362"/>
      <c r="AW194" s="362"/>
      <c r="AX194" s="362"/>
      <c r="AY194" s="362"/>
      <c r="AZ194" s="362"/>
      <c r="BA194" s="362"/>
      <c r="BB194" s="362"/>
      <c r="BC194" s="362"/>
      <c r="BD194" s="362"/>
      <c r="BE194" s="362"/>
      <c r="BF194" s="362"/>
      <c r="BG194" s="362"/>
      <c r="BI194" s="342" t="s">
        <v>1237</v>
      </c>
    </row>
    <row r="195" spans="2:61" hidden="1" x14ac:dyDescent="0.2">
      <c r="B195" s="67" t="str">
        <f>IF(Capacity!B88="","",Capacity!B88)</f>
        <v/>
      </c>
      <c r="C195" s="220" t="str">
        <f>IF(B195="","",Capacity!E88)</f>
        <v/>
      </c>
      <c r="D195" s="309" t="str">
        <f>IF(B195="","",Capacity!F88)</f>
        <v/>
      </c>
      <c r="E195" s="220" t="str">
        <f>IF(B195="","",IF(COUNTBLANK(H195:BG195)=52,SUM('Capacity calculation (hide)'!H76:BG76),52-COUNTBLANK(H195:BG195)))</f>
        <v/>
      </c>
      <c r="F195" s="310" t="str">
        <f>'Capacity calculation (hide)'!BI76</f>
        <v/>
      </c>
      <c r="H195" s="362"/>
      <c r="I195" s="362"/>
      <c r="J195" s="362"/>
      <c r="K195" s="362"/>
      <c r="L195" s="362"/>
      <c r="M195" s="362"/>
      <c r="N195" s="362"/>
      <c r="O195" s="362"/>
      <c r="P195" s="362"/>
      <c r="Q195" s="362"/>
      <c r="R195" s="362"/>
      <c r="S195" s="362"/>
      <c r="T195" s="362"/>
      <c r="U195" s="362"/>
      <c r="V195" s="362"/>
      <c r="W195" s="362"/>
      <c r="X195" s="362"/>
      <c r="Y195" s="362"/>
      <c r="Z195" s="362"/>
      <c r="AA195" s="362"/>
      <c r="AB195" s="362"/>
      <c r="AC195" s="362"/>
      <c r="AD195" s="362"/>
      <c r="AE195" s="362"/>
      <c r="AF195" s="362"/>
      <c r="AG195" s="362"/>
      <c r="AH195" s="362"/>
      <c r="AI195" s="362"/>
      <c r="AJ195" s="362"/>
      <c r="AK195" s="362"/>
      <c r="AL195" s="362"/>
      <c r="AM195" s="362"/>
      <c r="AN195" s="362"/>
      <c r="AO195" s="362"/>
      <c r="AP195" s="362"/>
      <c r="AQ195" s="362"/>
      <c r="AR195" s="362"/>
      <c r="AS195" s="362"/>
      <c r="AT195" s="362"/>
      <c r="AU195" s="362"/>
      <c r="AV195" s="362"/>
      <c r="AW195" s="362"/>
      <c r="AX195" s="362"/>
      <c r="AY195" s="362"/>
      <c r="AZ195" s="362"/>
      <c r="BA195" s="362"/>
      <c r="BB195" s="362"/>
      <c r="BC195" s="362"/>
      <c r="BD195" s="362"/>
      <c r="BE195" s="362"/>
      <c r="BF195" s="362"/>
      <c r="BG195" s="362"/>
      <c r="BI195" s="342" t="s">
        <v>1237</v>
      </c>
    </row>
    <row r="196" spans="2:61" hidden="1" x14ac:dyDescent="0.2">
      <c r="B196" s="67" t="str">
        <f>IF(Capacity!B89="","",Capacity!B89)</f>
        <v/>
      </c>
      <c r="C196" s="220" t="str">
        <f>IF(B196="","",Capacity!E89)</f>
        <v/>
      </c>
      <c r="D196" s="309" t="str">
        <f>IF(B196="","",Capacity!F89)</f>
        <v/>
      </c>
      <c r="E196" s="220" t="str">
        <f>IF(B196="","",IF(COUNTBLANK(H196:BG196)=52,SUM('Capacity calculation (hide)'!H77:BG77),52-COUNTBLANK(H196:BG196)))</f>
        <v/>
      </c>
      <c r="F196" s="310" t="str">
        <f>'Capacity calculation (hide)'!BI77</f>
        <v/>
      </c>
      <c r="H196" s="362"/>
      <c r="I196" s="362"/>
      <c r="J196" s="362"/>
      <c r="K196" s="362"/>
      <c r="L196" s="362"/>
      <c r="M196" s="362"/>
      <c r="N196" s="362"/>
      <c r="O196" s="362"/>
      <c r="P196" s="362"/>
      <c r="Q196" s="362"/>
      <c r="R196" s="362"/>
      <c r="S196" s="362"/>
      <c r="T196" s="362"/>
      <c r="U196" s="362"/>
      <c r="V196" s="362"/>
      <c r="W196" s="362"/>
      <c r="X196" s="362"/>
      <c r="Y196" s="362"/>
      <c r="Z196" s="362"/>
      <c r="AA196" s="362"/>
      <c r="AB196" s="362"/>
      <c r="AC196" s="362"/>
      <c r="AD196" s="362"/>
      <c r="AE196" s="362"/>
      <c r="AF196" s="362"/>
      <c r="AG196" s="362"/>
      <c r="AH196" s="362"/>
      <c r="AI196" s="362"/>
      <c r="AJ196" s="362"/>
      <c r="AK196" s="362"/>
      <c r="AL196" s="362"/>
      <c r="AM196" s="362"/>
      <c r="AN196" s="362"/>
      <c r="AO196" s="362"/>
      <c r="AP196" s="362"/>
      <c r="AQ196" s="362"/>
      <c r="AR196" s="362"/>
      <c r="AS196" s="362"/>
      <c r="AT196" s="362"/>
      <c r="AU196" s="362"/>
      <c r="AV196" s="362"/>
      <c r="AW196" s="362"/>
      <c r="AX196" s="362"/>
      <c r="AY196" s="362"/>
      <c r="AZ196" s="362"/>
      <c r="BA196" s="362"/>
      <c r="BB196" s="362"/>
      <c r="BC196" s="362"/>
      <c r="BD196" s="362"/>
      <c r="BE196" s="362"/>
      <c r="BF196" s="362"/>
      <c r="BG196" s="362"/>
      <c r="BI196" s="342" t="s">
        <v>1237</v>
      </c>
    </row>
    <row r="197" spans="2:61" hidden="1" x14ac:dyDescent="0.2">
      <c r="B197" s="67" t="str">
        <f>IF(Capacity!B90="","",Capacity!B90)</f>
        <v/>
      </c>
      <c r="C197" s="220" t="str">
        <f>IF(B197="","",Capacity!E90)</f>
        <v/>
      </c>
      <c r="D197" s="309" t="str">
        <f>IF(B197="","",Capacity!F90)</f>
        <v/>
      </c>
      <c r="E197" s="220" t="str">
        <f>IF(B197="","",IF(COUNTBLANK(H197:BG197)=52,SUM('Capacity calculation (hide)'!H78:BG78),52-COUNTBLANK(H197:BG197)))</f>
        <v/>
      </c>
      <c r="F197" s="310" t="str">
        <f>'Capacity calculation (hide)'!BI78</f>
        <v/>
      </c>
      <c r="H197" s="362"/>
      <c r="I197" s="362"/>
      <c r="J197" s="362"/>
      <c r="K197" s="362"/>
      <c r="L197" s="362"/>
      <c r="M197" s="362"/>
      <c r="N197" s="362"/>
      <c r="O197" s="362"/>
      <c r="P197" s="362"/>
      <c r="Q197" s="362"/>
      <c r="R197" s="362"/>
      <c r="S197" s="362"/>
      <c r="T197" s="362"/>
      <c r="U197" s="362"/>
      <c r="V197" s="362"/>
      <c r="W197" s="362"/>
      <c r="X197" s="362"/>
      <c r="Y197" s="362"/>
      <c r="Z197" s="362"/>
      <c r="AA197" s="362"/>
      <c r="AB197" s="362"/>
      <c r="AC197" s="362"/>
      <c r="AD197" s="362"/>
      <c r="AE197" s="362"/>
      <c r="AF197" s="362"/>
      <c r="AG197" s="362"/>
      <c r="AH197" s="362"/>
      <c r="AI197" s="362"/>
      <c r="AJ197" s="362"/>
      <c r="AK197" s="362"/>
      <c r="AL197" s="362"/>
      <c r="AM197" s="362"/>
      <c r="AN197" s="362"/>
      <c r="AO197" s="362"/>
      <c r="AP197" s="362"/>
      <c r="AQ197" s="362"/>
      <c r="AR197" s="362"/>
      <c r="AS197" s="362"/>
      <c r="AT197" s="362"/>
      <c r="AU197" s="362"/>
      <c r="AV197" s="362"/>
      <c r="AW197" s="362"/>
      <c r="AX197" s="362"/>
      <c r="AY197" s="362"/>
      <c r="AZ197" s="362"/>
      <c r="BA197" s="362"/>
      <c r="BB197" s="362"/>
      <c r="BC197" s="362"/>
      <c r="BD197" s="362"/>
      <c r="BE197" s="362"/>
      <c r="BF197" s="362"/>
      <c r="BG197" s="362"/>
      <c r="BI197" s="342" t="s">
        <v>1237</v>
      </c>
    </row>
    <row r="198" spans="2:61" hidden="1" x14ac:dyDescent="0.2">
      <c r="B198" s="67" t="str">
        <f>IF(Capacity!B91="","",Capacity!B91)</f>
        <v/>
      </c>
      <c r="C198" s="220" t="str">
        <f>IF(B198="","",Capacity!E91)</f>
        <v/>
      </c>
      <c r="D198" s="309" t="str">
        <f>IF(B198="","",Capacity!F91)</f>
        <v/>
      </c>
      <c r="E198" s="220" t="str">
        <f>IF(B198="","",IF(COUNTBLANK(H198:BG198)=52,SUM('Capacity calculation (hide)'!H79:BG79),52-COUNTBLANK(H198:BG198)))</f>
        <v/>
      </c>
      <c r="F198" s="310" t="str">
        <f>'Capacity calculation (hide)'!BI79</f>
        <v/>
      </c>
      <c r="H198" s="362"/>
      <c r="I198" s="362"/>
      <c r="J198" s="362"/>
      <c r="K198" s="362"/>
      <c r="L198" s="362"/>
      <c r="M198" s="362"/>
      <c r="N198" s="362"/>
      <c r="O198" s="362"/>
      <c r="P198" s="362"/>
      <c r="Q198" s="362"/>
      <c r="R198" s="362"/>
      <c r="S198" s="362"/>
      <c r="T198" s="362"/>
      <c r="U198" s="362"/>
      <c r="V198" s="362"/>
      <c r="W198" s="362"/>
      <c r="X198" s="362"/>
      <c r="Y198" s="362"/>
      <c r="Z198" s="362"/>
      <c r="AA198" s="362"/>
      <c r="AB198" s="362"/>
      <c r="AC198" s="362"/>
      <c r="AD198" s="362"/>
      <c r="AE198" s="362"/>
      <c r="AF198" s="362"/>
      <c r="AG198" s="362"/>
      <c r="AH198" s="362"/>
      <c r="AI198" s="362"/>
      <c r="AJ198" s="362"/>
      <c r="AK198" s="362"/>
      <c r="AL198" s="362"/>
      <c r="AM198" s="362"/>
      <c r="AN198" s="362"/>
      <c r="AO198" s="362"/>
      <c r="AP198" s="362"/>
      <c r="AQ198" s="362"/>
      <c r="AR198" s="362"/>
      <c r="AS198" s="362"/>
      <c r="AT198" s="362"/>
      <c r="AU198" s="362"/>
      <c r="AV198" s="362"/>
      <c r="AW198" s="362"/>
      <c r="AX198" s="362"/>
      <c r="AY198" s="362"/>
      <c r="AZ198" s="362"/>
      <c r="BA198" s="362"/>
      <c r="BB198" s="362"/>
      <c r="BC198" s="362"/>
      <c r="BD198" s="362"/>
      <c r="BE198" s="362"/>
      <c r="BF198" s="362"/>
      <c r="BG198" s="362"/>
      <c r="BI198" s="342" t="s">
        <v>1237</v>
      </c>
    </row>
    <row r="199" spans="2:61" hidden="1" x14ac:dyDescent="0.2">
      <c r="B199" s="67" t="str">
        <f>IF(Capacity!B92="","",Capacity!B92)</f>
        <v/>
      </c>
      <c r="C199" s="220" t="str">
        <f>IF(B199="","",Capacity!E92)</f>
        <v/>
      </c>
      <c r="D199" s="309" t="str">
        <f>IF(B199="","",Capacity!F92)</f>
        <v/>
      </c>
      <c r="E199" s="220" t="str">
        <f>IF(B199="","",IF(COUNTBLANK(H199:BG199)=52,SUM('Capacity calculation (hide)'!H80:BG80),52-COUNTBLANK(H199:BG199)))</f>
        <v/>
      </c>
      <c r="F199" s="310" t="str">
        <f>'Capacity calculation (hide)'!BI80</f>
        <v/>
      </c>
      <c r="H199" s="362"/>
      <c r="I199" s="362"/>
      <c r="J199" s="362"/>
      <c r="K199" s="362"/>
      <c r="L199" s="362"/>
      <c r="M199" s="362"/>
      <c r="N199" s="362"/>
      <c r="O199" s="362"/>
      <c r="P199" s="362"/>
      <c r="Q199" s="362"/>
      <c r="R199" s="362"/>
      <c r="S199" s="362"/>
      <c r="T199" s="362"/>
      <c r="U199" s="362"/>
      <c r="V199" s="362"/>
      <c r="W199" s="362"/>
      <c r="X199" s="362"/>
      <c r="Y199" s="362"/>
      <c r="Z199" s="362"/>
      <c r="AA199" s="362"/>
      <c r="AB199" s="362"/>
      <c r="AC199" s="362"/>
      <c r="AD199" s="362"/>
      <c r="AE199" s="362"/>
      <c r="AF199" s="362"/>
      <c r="AG199" s="362"/>
      <c r="AH199" s="362"/>
      <c r="AI199" s="362"/>
      <c r="AJ199" s="362"/>
      <c r="AK199" s="362"/>
      <c r="AL199" s="362"/>
      <c r="AM199" s="362"/>
      <c r="AN199" s="362"/>
      <c r="AO199" s="362"/>
      <c r="AP199" s="362"/>
      <c r="AQ199" s="362"/>
      <c r="AR199" s="362"/>
      <c r="AS199" s="362"/>
      <c r="AT199" s="362"/>
      <c r="AU199" s="362"/>
      <c r="AV199" s="362"/>
      <c r="AW199" s="362"/>
      <c r="AX199" s="362"/>
      <c r="AY199" s="362"/>
      <c r="AZ199" s="362"/>
      <c r="BA199" s="362"/>
      <c r="BB199" s="362"/>
      <c r="BC199" s="362"/>
      <c r="BD199" s="362"/>
      <c r="BE199" s="362"/>
      <c r="BF199" s="362"/>
      <c r="BG199" s="362"/>
      <c r="BI199" s="342" t="s">
        <v>1237</v>
      </c>
    </row>
    <row r="200" spans="2:61" hidden="1" x14ac:dyDescent="0.2">
      <c r="B200" s="67" t="str">
        <f>IF(Capacity!B93="","",Capacity!B93)</f>
        <v/>
      </c>
      <c r="C200" s="220" t="str">
        <f>IF(B200="","",Capacity!E93)</f>
        <v/>
      </c>
      <c r="D200" s="309" t="str">
        <f>IF(B200="","",Capacity!F93)</f>
        <v/>
      </c>
      <c r="E200" s="220" t="str">
        <f>IF(B200="","",IF(COUNTBLANK(H200:BG200)=52,SUM('Capacity calculation (hide)'!H81:BG81),52-COUNTBLANK(H200:BG200)))</f>
        <v/>
      </c>
      <c r="F200" s="310" t="str">
        <f>'Capacity calculation (hide)'!BI81</f>
        <v/>
      </c>
      <c r="H200" s="362"/>
      <c r="I200" s="362"/>
      <c r="J200" s="362"/>
      <c r="K200" s="362"/>
      <c r="L200" s="362"/>
      <c r="M200" s="362"/>
      <c r="N200" s="362"/>
      <c r="O200" s="362"/>
      <c r="P200" s="362"/>
      <c r="Q200" s="362"/>
      <c r="R200" s="362"/>
      <c r="S200" s="362"/>
      <c r="T200" s="362"/>
      <c r="U200" s="362"/>
      <c r="V200" s="362"/>
      <c r="W200" s="362"/>
      <c r="X200" s="362"/>
      <c r="Y200" s="362"/>
      <c r="Z200" s="362"/>
      <c r="AA200" s="362"/>
      <c r="AB200" s="362"/>
      <c r="AC200" s="362"/>
      <c r="AD200" s="362"/>
      <c r="AE200" s="362"/>
      <c r="AF200" s="362"/>
      <c r="AG200" s="362"/>
      <c r="AH200" s="362"/>
      <c r="AI200" s="362"/>
      <c r="AJ200" s="362"/>
      <c r="AK200" s="362"/>
      <c r="AL200" s="362"/>
      <c r="AM200" s="362"/>
      <c r="AN200" s="362"/>
      <c r="AO200" s="362"/>
      <c r="AP200" s="362"/>
      <c r="AQ200" s="362"/>
      <c r="AR200" s="362"/>
      <c r="AS200" s="362"/>
      <c r="AT200" s="362"/>
      <c r="AU200" s="362"/>
      <c r="AV200" s="362"/>
      <c r="AW200" s="362"/>
      <c r="AX200" s="362"/>
      <c r="AY200" s="362"/>
      <c r="AZ200" s="362"/>
      <c r="BA200" s="362"/>
      <c r="BB200" s="362"/>
      <c r="BC200" s="362"/>
      <c r="BD200" s="362"/>
      <c r="BE200" s="362"/>
      <c r="BF200" s="362"/>
      <c r="BG200" s="362"/>
      <c r="BI200" s="342" t="s">
        <v>1237</v>
      </c>
    </row>
    <row r="201" spans="2:61" hidden="1" x14ac:dyDescent="0.2">
      <c r="B201" s="67" t="str">
        <f>IF(Capacity!B94="","",Capacity!B94)</f>
        <v/>
      </c>
      <c r="C201" s="220" t="str">
        <f>IF(B201="","",Capacity!E94)</f>
        <v/>
      </c>
      <c r="D201" s="309" t="str">
        <f>IF(B201="","",Capacity!F94)</f>
        <v/>
      </c>
      <c r="E201" s="220" t="str">
        <f>IF(B201="","",IF(COUNTBLANK(H201:BG201)=52,SUM('Capacity calculation (hide)'!H82:BG82),52-COUNTBLANK(H201:BG201)))</f>
        <v/>
      </c>
      <c r="F201" s="310" t="str">
        <f>'Capacity calculation (hide)'!BI82</f>
        <v/>
      </c>
      <c r="H201" s="362"/>
      <c r="I201" s="362"/>
      <c r="J201" s="362"/>
      <c r="K201" s="362"/>
      <c r="L201" s="362"/>
      <c r="M201" s="362"/>
      <c r="N201" s="362"/>
      <c r="O201" s="362"/>
      <c r="P201" s="362"/>
      <c r="Q201" s="362"/>
      <c r="R201" s="362"/>
      <c r="S201" s="362"/>
      <c r="T201" s="362"/>
      <c r="U201" s="362"/>
      <c r="V201" s="362"/>
      <c r="W201" s="362"/>
      <c r="X201" s="362"/>
      <c r="Y201" s="362"/>
      <c r="Z201" s="362"/>
      <c r="AA201" s="362"/>
      <c r="AB201" s="362"/>
      <c r="AC201" s="362"/>
      <c r="AD201" s="362"/>
      <c r="AE201" s="362"/>
      <c r="AF201" s="362"/>
      <c r="AG201" s="362"/>
      <c r="AH201" s="362"/>
      <c r="AI201" s="362"/>
      <c r="AJ201" s="362"/>
      <c r="AK201" s="362"/>
      <c r="AL201" s="362"/>
      <c r="AM201" s="362"/>
      <c r="AN201" s="362"/>
      <c r="AO201" s="362"/>
      <c r="AP201" s="362"/>
      <c r="AQ201" s="362"/>
      <c r="AR201" s="362"/>
      <c r="AS201" s="362"/>
      <c r="AT201" s="362"/>
      <c r="AU201" s="362"/>
      <c r="AV201" s="362"/>
      <c r="AW201" s="362"/>
      <c r="AX201" s="362"/>
      <c r="AY201" s="362"/>
      <c r="AZ201" s="362"/>
      <c r="BA201" s="362"/>
      <c r="BB201" s="362"/>
      <c r="BC201" s="362"/>
      <c r="BD201" s="362"/>
      <c r="BE201" s="362"/>
      <c r="BF201" s="362"/>
      <c r="BG201" s="362"/>
      <c r="BI201" s="342" t="s">
        <v>1237</v>
      </c>
    </row>
    <row r="202" spans="2:61" hidden="1" x14ac:dyDescent="0.2">
      <c r="B202" s="67" t="str">
        <f>IF(Capacity!B95="","",Capacity!B95)</f>
        <v/>
      </c>
      <c r="C202" s="220" t="str">
        <f>IF(B202="","",Capacity!E95)</f>
        <v/>
      </c>
      <c r="D202" s="309" t="str">
        <f>IF(B202="","",Capacity!F95)</f>
        <v/>
      </c>
      <c r="E202" s="220" t="str">
        <f>IF(B202="","",IF(COUNTBLANK(H202:BG202)=52,SUM('Capacity calculation (hide)'!H83:BG83),52-COUNTBLANK(H202:BG202)))</f>
        <v/>
      </c>
      <c r="F202" s="310" t="str">
        <f>'Capacity calculation (hide)'!BI83</f>
        <v/>
      </c>
      <c r="H202" s="362"/>
      <c r="I202" s="362"/>
      <c r="J202" s="362"/>
      <c r="K202" s="362"/>
      <c r="L202" s="362"/>
      <c r="M202" s="362"/>
      <c r="N202" s="362"/>
      <c r="O202" s="362"/>
      <c r="P202" s="362"/>
      <c r="Q202" s="362"/>
      <c r="R202" s="362"/>
      <c r="S202" s="362"/>
      <c r="T202" s="362"/>
      <c r="U202" s="362"/>
      <c r="V202" s="362"/>
      <c r="W202" s="362"/>
      <c r="X202" s="362"/>
      <c r="Y202" s="362"/>
      <c r="Z202" s="362"/>
      <c r="AA202" s="362"/>
      <c r="AB202" s="362"/>
      <c r="AC202" s="362"/>
      <c r="AD202" s="362"/>
      <c r="AE202" s="362"/>
      <c r="AF202" s="362"/>
      <c r="AG202" s="362"/>
      <c r="AH202" s="362"/>
      <c r="AI202" s="362"/>
      <c r="AJ202" s="362"/>
      <c r="AK202" s="362"/>
      <c r="AL202" s="362"/>
      <c r="AM202" s="362"/>
      <c r="AN202" s="362"/>
      <c r="AO202" s="362"/>
      <c r="AP202" s="362"/>
      <c r="AQ202" s="362"/>
      <c r="AR202" s="362"/>
      <c r="AS202" s="362"/>
      <c r="AT202" s="362"/>
      <c r="AU202" s="362"/>
      <c r="AV202" s="362"/>
      <c r="AW202" s="362"/>
      <c r="AX202" s="362"/>
      <c r="AY202" s="362"/>
      <c r="AZ202" s="362"/>
      <c r="BA202" s="362"/>
      <c r="BB202" s="362"/>
      <c r="BC202" s="362"/>
      <c r="BD202" s="362"/>
      <c r="BE202" s="362"/>
      <c r="BF202" s="362"/>
      <c r="BG202" s="362"/>
      <c r="BI202" s="342" t="s">
        <v>1237</v>
      </c>
    </row>
    <row r="203" spans="2:61" hidden="1" x14ac:dyDescent="0.2">
      <c r="B203" s="67" t="str">
        <f>IF(Capacity!B96="","",Capacity!B96)</f>
        <v/>
      </c>
      <c r="C203" s="220" t="str">
        <f>IF(B203="","",Capacity!E96)</f>
        <v/>
      </c>
      <c r="D203" s="309" t="str">
        <f>IF(B203="","",Capacity!F96)</f>
        <v/>
      </c>
      <c r="E203" s="220" t="str">
        <f>IF(B203="","",IF(COUNTBLANK(H203:BG203)=52,SUM('Capacity calculation (hide)'!H84:BG84),52-COUNTBLANK(H203:BG203)))</f>
        <v/>
      </c>
      <c r="F203" s="310" t="str">
        <f>'Capacity calculation (hide)'!BI84</f>
        <v/>
      </c>
      <c r="H203" s="362"/>
      <c r="I203" s="362"/>
      <c r="J203" s="362"/>
      <c r="K203" s="362"/>
      <c r="L203" s="362"/>
      <c r="M203" s="362"/>
      <c r="N203" s="362"/>
      <c r="O203" s="362"/>
      <c r="P203" s="362"/>
      <c r="Q203" s="362"/>
      <c r="R203" s="362"/>
      <c r="S203" s="362"/>
      <c r="T203" s="362"/>
      <c r="U203" s="362"/>
      <c r="V203" s="362"/>
      <c r="W203" s="362"/>
      <c r="X203" s="362"/>
      <c r="Y203" s="362"/>
      <c r="Z203" s="362"/>
      <c r="AA203" s="362"/>
      <c r="AB203" s="362"/>
      <c r="AC203" s="362"/>
      <c r="AD203" s="362"/>
      <c r="AE203" s="362"/>
      <c r="AF203" s="362"/>
      <c r="AG203" s="362"/>
      <c r="AH203" s="362"/>
      <c r="AI203" s="362"/>
      <c r="AJ203" s="362"/>
      <c r="AK203" s="362"/>
      <c r="AL203" s="362"/>
      <c r="AM203" s="362"/>
      <c r="AN203" s="362"/>
      <c r="AO203" s="362"/>
      <c r="AP203" s="362"/>
      <c r="AQ203" s="362"/>
      <c r="AR203" s="362"/>
      <c r="AS203" s="362"/>
      <c r="AT203" s="362"/>
      <c r="AU203" s="362"/>
      <c r="AV203" s="362"/>
      <c r="AW203" s="362"/>
      <c r="AX203" s="362"/>
      <c r="AY203" s="362"/>
      <c r="AZ203" s="362"/>
      <c r="BA203" s="362"/>
      <c r="BB203" s="362"/>
      <c r="BC203" s="362"/>
      <c r="BD203" s="362"/>
      <c r="BE203" s="362"/>
      <c r="BF203" s="362"/>
      <c r="BG203" s="362"/>
      <c r="BI203" s="342" t="s">
        <v>1237</v>
      </c>
    </row>
    <row r="204" spans="2:61" hidden="1" x14ac:dyDescent="0.2">
      <c r="B204" s="67" t="str">
        <f>IF(Capacity!B97="","",Capacity!B97)</f>
        <v/>
      </c>
      <c r="C204" s="220" t="str">
        <f>IF(B204="","",Capacity!E97)</f>
        <v/>
      </c>
      <c r="D204" s="309" t="str">
        <f>IF(B204="","",Capacity!F97)</f>
        <v/>
      </c>
      <c r="E204" s="220" t="str">
        <f>IF(B204="","",IF(COUNTBLANK(H204:BG204)=52,SUM('Capacity calculation (hide)'!H85:BG85),52-COUNTBLANK(H204:BG204)))</f>
        <v/>
      </c>
      <c r="F204" s="310" t="str">
        <f>'Capacity calculation (hide)'!BI85</f>
        <v/>
      </c>
      <c r="H204" s="362"/>
      <c r="I204" s="362"/>
      <c r="J204" s="362"/>
      <c r="K204" s="362"/>
      <c r="L204" s="362"/>
      <c r="M204" s="362"/>
      <c r="N204" s="362"/>
      <c r="O204" s="362"/>
      <c r="P204" s="362"/>
      <c r="Q204" s="362"/>
      <c r="R204" s="362"/>
      <c r="S204" s="362"/>
      <c r="T204" s="362"/>
      <c r="U204" s="362"/>
      <c r="V204" s="362"/>
      <c r="W204" s="362"/>
      <c r="X204" s="362"/>
      <c r="Y204" s="362"/>
      <c r="Z204" s="362"/>
      <c r="AA204" s="362"/>
      <c r="AB204" s="362"/>
      <c r="AC204" s="362"/>
      <c r="AD204" s="362"/>
      <c r="AE204" s="362"/>
      <c r="AF204" s="362"/>
      <c r="AG204" s="362"/>
      <c r="AH204" s="362"/>
      <c r="AI204" s="362"/>
      <c r="AJ204" s="362"/>
      <c r="AK204" s="362"/>
      <c r="AL204" s="362"/>
      <c r="AM204" s="362"/>
      <c r="AN204" s="362"/>
      <c r="AO204" s="362"/>
      <c r="AP204" s="362"/>
      <c r="AQ204" s="362"/>
      <c r="AR204" s="362"/>
      <c r="AS204" s="362"/>
      <c r="AT204" s="362"/>
      <c r="AU204" s="362"/>
      <c r="AV204" s="362"/>
      <c r="AW204" s="362"/>
      <c r="AX204" s="362"/>
      <c r="AY204" s="362"/>
      <c r="AZ204" s="362"/>
      <c r="BA204" s="362"/>
      <c r="BB204" s="362"/>
      <c r="BC204" s="362"/>
      <c r="BD204" s="362"/>
      <c r="BE204" s="362"/>
      <c r="BF204" s="362"/>
      <c r="BG204" s="362"/>
      <c r="BI204" s="342" t="s">
        <v>1237</v>
      </c>
    </row>
    <row r="205" spans="2:61" hidden="1" x14ac:dyDescent="0.2">
      <c r="B205" s="67" t="str">
        <f>IF(Capacity!B98="","",Capacity!B98)</f>
        <v/>
      </c>
      <c r="C205" s="220" t="str">
        <f>IF(B205="","",Capacity!E98)</f>
        <v/>
      </c>
      <c r="D205" s="309" t="str">
        <f>IF(B205="","",Capacity!F98)</f>
        <v/>
      </c>
      <c r="E205" s="220" t="str">
        <f>IF(B205="","",IF(COUNTBLANK(H205:BG205)=52,SUM('Capacity calculation (hide)'!H86:BG86),52-COUNTBLANK(H205:BG205)))</f>
        <v/>
      </c>
      <c r="F205" s="310" t="str">
        <f>'Capacity calculation (hide)'!BI86</f>
        <v/>
      </c>
      <c r="H205" s="362"/>
      <c r="I205" s="362"/>
      <c r="J205" s="362"/>
      <c r="K205" s="362"/>
      <c r="L205" s="362"/>
      <c r="M205" s="362"/>
      <c r="N205" s="362"/>
      <c r="O205" s="362"/>
      <c r="P205" s="362"/>
      <c r="Q205" s="362"/>
      <c r="R205" s="362"/>
      <c r="S205" s="362"/>
      <c r="T205" s="362"/>
      <c r="U205" s="362"/>
      <c r="V205" s="362"/>
      <c r="W205" s="362"/>
      <c r="X205" s="362"/>
      <c r="Y205" s="362"/>
      <c r="Z205" s="362"/>
      <c r="AA205" s="362"/>
      <c r="AB205" s="362"/>
      <c r="AC205" s="362"/>
      <c r="AD205" s="362"/>
      <c r="AE205" s="362"/>
      <c r="AF205" s="362"/>
      <c r="AG205" s="362"/>
      <c r="AH205" s="362"/>
      <c r="AI205" s="362"/>
      <c r="AJ205" s="362"/>
      <c r="AK205" s="362"/>
      <c r="AL205" s="362"/>
      <c r="AM205" s="362"/>
      <c r="AN205" s="362"/>
      <c r="AO205" s="362"/>
      <c r="AP205" s="362"/>
      <c r="AQ205" s="362"/>
      <c r="AR205" s="362"/>
      <c r="AS205" s="362"/>
      <c r="AT205" s="362"/>
      <c r="AU205" s="362"/>
      <c r="AV205" s="362"/>
      <c r="AW205" s="362"/>
      <c r="AX205" s="362"/>
      <c r="AY205" s="362"/>
      <c r="AZ205" s="362"/>
      <c r="BA205" s="362"/>
      <c r="BB205" s="362"/>
      <c r="BC205" s="362"/>
      <c r="BD205" s="362"/>
      <c r="BE205" s="362"/>
      <c r="BF205" s="362"/>
      <c r="BG205" s="362"/>
      <c r="BI205" s="342" t="s">
        <v>1237</v>
      </c>
    </row>
    <row r="206" spans="2:61" hidden="1" x14ac:dyDescent="0.2">
      <c r="B206" s="67" t="str">
        <f>IF(Capacity!B99="","",Capacity!B99)</f>
        <v/>
      </c>
      <c r="C206" s="220" t="str">
        <f>IF(B206="","",Capacity!E99)</f>
        <v/>
      </c>
      <c r="D206" s="309" t="str">
        <f>IF(B206="","",Capacity!F99)</f>
        <v/>
      </c>
      <c r="E206" s="220" t="str">
        <f>IF(B206="","",IF(COUNTBLANK(H206:BG206)=52,SUM('Capacity calculation (hide)'!H87:BG87),52-COUNTBLANK(H206:BG206)))</f>
        <v/>
      </c>
      <c r="F206" s="310" t="str">
        <f>'Capacity calculation (hide)'!BI87</f>
        <v/>
      </c>
      <c r="H206" s="362"/>
      <c r="I206" s="362"/>
      <c r="J206" s="362"/>
      <c r="K206" s="362"/>
      <c r="L206" s="362"/>
      <c r="M206" s="362"/>
      <c r="N206" s="362"/>
      <c r="O206" s="362"/>
      <c r="P206" s="362"/>
      <c r="Q206" s="362"/>
      <c r="R206" s="362"/>
      <c r="S206" s="362"/>
      <c r="T206" s="362"/>
      <c r="U206" s="362"/>
      <c r="V206" s="362"/>
      <c r="W206" s="362"/>
      <c r="X206" s="362"/>
      <c r="Y206" s="362"/>
      <c r="Z206" s="362"/>
      <c r="AA206" s="362"/>
      <c r="AB206" s="362"/>
      <c r="AC206" s="362"/>
      <c r="AD206" s="362"/>
      <c r="AE206" s="362"/>
      <c r="AF206" s="362"/>
      <c r="AG206" s="362"/>
      <c r="AH206" s="362"/>
      <c r="AI206" s="362"/>
      <c r="AJ206" s="362"/>
      <c r="AK206" s="362"/>
      <c r="AL206" s="362"/>
      <c r="AM206" s="362"/>
      <c r="AN206" s="362"/>
      <c r="AO206" s="362"/>
      <c r="AP206" s="362"/>
      <c r="AQ206" s="362"/>
      <c r="AR206" s="362"/>
      <c r="AS206" s="362"/>
      <c r="AT206" s="362"/>
      <c r="AU206" s="362"/>
      <c r="AV206" s="362"/>
      <c r="AW206" s="362"/>
      <c r="AX206" s="362"/>
      <c r="AY206" s="362"/>
      <c r="AZ206" s="362"/>
      <c r="BA206" s="362"/>
      <c r="BB206" s="362"/>
      <c r="BC206" s="362"/>
      <c r="BD206" s="362"/>
      <c r="BE206" s="362"/>
      <c r="BF206" s="362"/>
      <c r="BG206" s="362"/>
      <c r="BI206" s="342" t="s">
        <v>1237</v>
      </c>
    </row>
    <row r="207" spans="2:61" hidden="1" x14ac:dyDescent="0.2">
      <c r="B207" s="67" t="str">
        <f>IF(Capacity!B100="","",Capacity!B100)</f>
        <v/>
      </c>
      <c r="C207" s="220" t="str">
        <f>IF(B207="","",Capacity!E100)</f>
        <v/>
      </c>
      <c r="D207" s="309" t="str">
        <f>IF(B207="","",Capacity!F100)</f>
        <v/>
      </c>
      <c r="E207" s="220" t="str">
        <f>IF(B207="","",IF(COUNTBLANK(H207:BG207)=52,SUM('Capacity calculation (hide)'!H88:BG88),52-COUNTBLANK(H207:BG207)))</f>
        <v/>
      </c>
      <c r="F207" s="310" t="str">
        <f>'Capacity calculation (hide)'!BI88</f>
        <v/>
      </c>
      <c r="H207" s="362"/>
      <c r="I207" s="362"/>
      <c r="J207" s="362"/>
      <c r="K207" s="362"/>
      <c r="L207" s="362"/>
      <c r="M207" s="362"/>
      <c r="N207" s="362"/>
      <c r="O207" s="362"/>
      <c r="P207" s="362"/>
      <c r="Q207" s="362"/>
      <c r="R207" s="362"/>
      <c r="S207" s="362"/>
      <c r="T207" s="362"/>
      <c r="U207" s="362"/>
      <c r="V207" s="362"/>
      <c r="W207" s="362"/>
      <c r="X207" s="362"/>
      <c r="Y207" s="362"/>
      <c r="Z207" s="362"/>
      <c r="AA207" s="362"/>
      <c r="AB207" s="362"/>
      <c r="AC207" s="362"/>
      <c r="AD207" s="362"/>
      <c r="AE207" s="362"/>
      <c r="AF207" s="362"/>
      <c r="AG207" s="362"/>
      <c r="AH207" s="362"/>
      <c r="AI207" s="362"/>
      <c r="AJ207" s="362"/>
      <c r="AK207" s="362"/>
      <c r="AL207" s="362"/>
      <c r="AM207" s="362"/>
      <c r="AN207" s="362"/>
      <c r="AO207" s="362"/>
      <c r="AP207" s="362"/>
      <c r="AQ207" s="362"/>
      <c r="AR207" s="362"/>
      <c r="AS207" s="362"/>
      <c r="AT207" s="362"/>
      <c r="AU207" s="362"/>
      <c r="AV207" s="362"/>
      <c r="AW207" s="362"/>
      <c r="AX207" s="362"/>
      <c r="AY207" s="362"/>
      <c r="AZ207" s="362"/>
      <c r="BA207" s="362"/>
      <c r="BB207" s="362"/>
      <c r="BC207" s="362"/>
      <c r="BD207" s="362"/>
      <c r="BE207" s="362"/>
      <c r="BF207" s="362"/>
      <c r="BG207" s="362"/>
      <c r="BI207" s="342" t="s">
        <v>1237</v>
      </c>
    </row>
    <row r="208" spans="2:61" hidden="1" x14ac:dyDescent="0.2">
      <c r="B208" s="67" t="str">
        <f>IF(Capacity!B101="","",Capacity!B101)</f>
        <v/>
      </c>
      <c r="C208" s="220" t="str">
        <f>IF(B208="","",Capacity!E101)</f>
        <v/>
      </c>
      <c r="D208" s="309" t="str">
        <f>IF(B208="","",Capacity!F101)</f>
        <v/>
      </c>
      <c r="E208" s="220" t="str">
        <f>IF(B208="","",IF(COUNTBLANK(H208:BG208)=52,SUM('Capacity calculation (hide)'!H89:BG89),52-COUNTBLANK(H208:BG208)))</f>
        <v/>
      </c>
      <c r="F208" s="310" t="str">
        <f>'Capacity calculation (hide)'!BI89</f>
        <v/>
      </c>
      <c r="H208" s="362"/>
      <c r="I208" s="362"/>
      <c r="J208" s="362"/>
      <c r="K208" s="362"/>
      <c r="L208" s="362"/>
      <c r="M208" s="362"/>
      <c r="N208" s="362"/>
      <c r="O208" s="362"/>
      <c r="P208" s="362"/>
      <c r="Q208" s="362"/>
      <c r="R208" s="362"/>
      <c r="S208" s="362"/>
      <c r="T208" s="362"/>
      <c r="U208" s="362"/>
      <c r="V208" s="362"/>
      <c r="W208" s="362"/>
      <c r="X208" s="362"/>
      <c r="Y208" s="362"/>
      <c r="Z208" s="362"/>
      <c r="AA208" s="362"/>
      <c r="AB208" s="362"/>
      <c r="AC208" s="362"/>
      <c r="AD208" s="362"/>
      <c r="AE208" s="362"/>
      <c r="AF208" s="362"/>
      <c r="AG208" s="362"/>
      <c r="AH208" s="362"/>
      <c r="AI208" s="362"/>
      <c r="AJ208" s="362"/>
      <c r="AK208" s="362"/>
      <c r="AL208" s="362"/>
      <c r="AM208" s="362"/>
      <c r="AN208" s="362"/>
      <c r="AO208" s="362"/>
      <c r="AP208" s="362"/>
      <c r="AQ208" s="362"/>
      <c r="AR208" s="362"/>
      <c r="AS208" s="362"/>
      <c r="AT208" s="362"/>
      <c r="AU208" s="362"/>
      <c r="AV208" s="362"/>
      <c r="AW208" s="362"/>
      <c r="AX208" s="362"/>
      <c r="AY208" s="362"/>
      <c r="AZ208" s="362"/>
      <c r="BA208" s="362"/>
      <c r="BB208" s="362"/>
      <c r="BC208" s="362"/>
      <c r="BD208" s="362"/>
      <c r="BE208" s="362"/>
      <c r="BF208" s="362"/>
      <c r="BG208" s="362"/>
      <c r="BI208" s="342" t="s">
        <v>1237</v>
      </c>
    </row>
    <row r="209" spans="2:61" hidden="1" x14ac:dyDescent="0.2">
      <c r="B209" s="67" t="str">
        <f>IF(Capacity!B102="","",Capacity!B102)</f>
        <v/>
      </c>
      <c r="C209" s="220" t="str">
        <f>IF(B209="","",Capacity!E102)</f>
        <v/>
      </c>
      <c r="D209" s="309" t="str">
        <f>IF(B209="","",Capacity!F102)</f>
        <v/>
      </c>
      <c r="E209" s="220" t="str">
        <f>IF(B209="","",IF(COUNTBLANK(H209:BG209)=52,SUM('Capacity calculation (hide)'!H90:BG90),52-COUNTBLANK(H209:BG209)))</f>
        <v/>
      </c>
      <c r="F209" s="310" t="str">
        <f>'Capacity calculation (hide)'!BI90</f>
        <v/>
      </c>
      <c r="H209" s="362"/>
      <c r="I209" s="362"/>
      <c r="J209" s="362"/>
      <c r="K209" s="362"/>
      <c r="L209" s="362"/>
      <c r="M209" s="362"/>
      <c r="N209" s="362"/>
      <c r="O209" s="362"/>
      <c r="P209" s="362"/>
      <c r="Q209" s="362"/>
      <c r="R209" s="362"/>
      <c r="S209" s="362"/>
      <c r="T209" s="362"/>
      <c r="U209" s="362"/>
      <c r="V209" s="362"/>
      <c r="W209" s="362"/>
      <c r="X209" s="362"/>
      <c r="Y209" s="362"/>
      <c r="Z209" s="362"/>
      <c r="AA209" s="362"/>
      <c r="AB209" s="362"/>
      <c r="AC209" s="362"/>
      <c r="AD209" s="362"/>
      <c r="AE209" s="362"/>
      <c r="AF209" s="362"/>
      <c r="AG209" s="362"/>
      <c r="AH209" s="362"/>
      <c r="AI209" s="362"/>
      <c r="AJ209" s="362"/>
      <c r="AK209" s="362"/>
      <c r="AL209" s="362"/>
      <c r="AM209" s="362"/>
      <c r="AN209" s="362"/>
      <c r="AO209" s="362"/>
      <c r="AP209" s="362"/>
      <c r="AQ209" s="362"/>
      <c r="AR209" s="362"/>
      <c r="AS209" s="362"/>
      <c r="AT209" s="362"/>
      <c r="AU209" s="362"/>
      <c r="AV209" s="362"/>
      <c r="AW209" s="362"/>
      <c r="AX209" s="362"/>
      <c r="AY209" s="362"/>
      <c r="AZ209" s="362"/>
      <c r="BA209" s="362"/>
      <c r="BB209" s="362"/>
      <c r="BC209" s="362"/>
      <c r="BD209" s="362"/>
      <c r="BE209" s="362"/>
      <c r="BF209" s="362"/>
      <c r="BG209" s="362"/>
      <c r="BI209" s="342" t="s">
        <v>1237</v>
      </c>
    </row>
    <row r="210" spans="2:61" hidden="1" x14ac:dyDescent="0.2">
      <c r="B210" s="67" t="str">
        <f>IF(Capacity!B103="","",Capacity!B103)</f>
        <v/>
      </c>
      <c r="C210" s="220" t="str">
        <f>IF(B210="","",Capacity!E103)</f>
        <v/>
      </c>
      <c r="D210" s="309" t="str">
        <f>IF(B210="","",Capacity!F103)</f>
        <v/>
      </c>
      <c r="E210" s="220" t="str">
        <f>IF(B210="","",IF(COUNTBLANK(H210:BG210)=52,SUM('Capacity calculation (hide)'!H91:BG91),52-COUNTBLANK(H210:BG210)))</f>
        <v/>
      </c>
      <c r="F210" s="310" t="str">
        <f>'Capacity calculation (hide)'!BI91</f>
        <v/>
      </c>
      <c r="H210" s="362"/>
      <c r="I210" s="362"/>
      <c r="J210" s="362"/>
      <c r="K210" s="362"/>
      <c r="L210" s="362"/>
      <c r="M210" s="362"/>
      <c r="N210" s="362"/>
      <c r="O210" s="362"/>
      <c r="P210" s="362"/>
      <c r="Q210" s="362"/>
      <c r="R210" s="362"/>
      <c r="S210" s="362"/>
      <c r="T210" s="362"/>
      <c r="U210" s="362"/>
      <c r="V210" s="362"/>
      <c r="W210" s="362"/>
      <c r="X210" s="362"/>
      <c r="Y210" s="362"/>
      <c r="Z210" s="362"/>
      <c r="AA210" s="362"/>
      <c r="AB210" s="362"/>
      <c r="AC210" s="362"/>
      <c r="AD210" s="362"/>
      <c r="AE210" s="362"/>
      <c r="AF210" s="362"/>
      <c r="AG210" s="362"/>
      <c r="AH210" s="362"/>
      <c r="AI210" s="362"/>
      <c r="AJ210" s="362"/>
      <c r="AK210" s="362"/>
      <c r="AL210" s="362"/>
      <c r="AM210" s="362"/>
      <c r="AN210" s="362"/>
      <c r="AO210" s="362"/>
      <c r="AP210" s="362"/>
      <c r="AQ210" s="362"/>
      <c r="AR210" s="362"/>
      <c r="AS210" s="362"/>
      <c r="AT210" s="362"/>
      <c r="AU210" s="362"/>
      <c r="AV210" s="362"/>
      <c r="AW210" s="362"/>
      <c r="AX210" s="362"/>
      <c r="AY210" s="362"/>
      <c r="AZ210" s="362"/>
      <c r="BA210" s="362"/>
      <c r="BB210" s="362"/>
      <c r="BC210" s="362"/>
      <c r="BD210" s="362"/>
      <c r="BE210" s="362"/>
      <c r="BF210" s="362"/>
      <c r="BG210" s="362"/>
      <c r="BI210" s="342" t="s">
        <v>1237</v>
      </c>
    </row>
    <row r="211" spans="2:61" hidden="1" x14ac:dyDescent="0.2">
      <c r="B211" s="67" t="str">
        <f>IF(Capacity!B104="","",Capacity!B104)</f>
        <v/>
      </c>
      <c r="C211" s="220" t="str">
        <f>IF(B211="","",Capacity!E104)</f>
        <v/>
      </c>
      <c r="D211" s="309" t="str">
        <f>IF(B211="","",Capacity!F104)</f>
        <v/>
      </c>
      <c r="E211" s="220" t="str">
        <f>IF(B211="","",IF(COUNTBLANK(H211:BG211)=52,SUM('Capacity calculation (hide)'!H92:BG92),52-COUNTBLANK(H211:BG211)))</f>
        <v/>
      </c>
      <c r="F211" s="310" t="str">
        <f>'Capacity calculation (hide)'!BI92</f>
        <v/>
      </c>
      <c r="H211" s="362"/>
      <c r="I211" s="362"/>
      <c r="J211" s="362"/>
      <c r="K211" s="362"/>
      <c r="L211" s="362"/>
      <c r="M211" s="362"/>
      <c r="N211" s="362"/>
      <c r="O211" s="362"/>
      <c r="P211" s="362"/>
      <c r="Q211" s="362"/>
      <c r="R211" s="362"/>
      <c r="S211" s="362"/>
      <c r="T211" s="362"/>
      <c r="U211" s="362"/>
      <c r="V211" s="362"/>
      <c r="W211" s="362"/>
      <c r="X211" s="362"/>
      <c r="Y211" s="362"/>
      <c r="Z211" s="362"/>
      <c r="AA211" s="362"/>
      <c r="AB211" s="362"/>
      <c r="AC211" s="362"/>
      <c r="AD211" s="362"/>
      <c r="AE211" s="362"/>
      <c r="AF211" s="362"/>
      <c r="AG211" s="362"/>
      <c r="AH211" s="362"/>
      <c r="AI211" s="362"/>
      <c r="AJ211" s="362"/>
      <c r="AK211" s="362"/>
      <c r="AL211" s="362"/>
      <c r="AM211" s="362"/>
      <c r="AN211" s="362"/>
      <c r="AO211" s="362"/>
      <c r="AP211" s="362"/>
      <c r="AQ211" s="362"/>
      <c r="AR211" s="362"/>
      <c r="AS211" s="362"/>
      <c r="AT211" s="362"/>
      <c r="AU211" s="362"/>
      <c r="AV211" s="362"/>
      <c r="AW211" s="362"/>
      <c r="AX211" s="362"/>
      <c r="AY211" s="362"/>
      <c r="AZ211" s="362"/>
      <c r="BA211" s="362"/>
      <c r="BB211" s="362"/>
      <c r="BC211" s="362"/>
      <c r="BD211" s="362"/>
      <c r="BE211" s="362"/>
      <c r="BF211" s="362"/>
      <c r="BG211" s="362"/>
      <c r="BI211" s="342" t="s">
        <v>1237</v>
      </c>
    </row>
    <row r="212" spans="2:61" hidden="1" x14ac:dyDescent="0.2">
      <c r="B212" s="67" t="str">
        <f>IF(Capacity!B105="","",Capacity!B105)</f>
        <v/>
      </c>
      <c r="C212" s="220" t="str">
        <f>IF(B212="","",Capacity!E105)</f>
        <v/>
      </c>
      <c r="D212" s="309" t="str">
        <f>IF(B212="","",Capacity!F105)</f>
        <v/>
      </c>
      <c r="E212" s="220" t="str">
        <f>IF(B212="","",IF(COUNTBLANK(H212:BG212)=52,SUM('Capacity calculation (hide)'!H93:BG93),52-COUNTBLANK(H212:BG212)))</f>
        <v/>
      </c>
      <c r="F212" s="310" t="str">
        <f>'Capacity calculation (hide)'!BI93</f>
        <v/>
      </c>
      <c r="H212" s="362"/>
      <c r="I212" s="362"/>
      <c r="J212" s="362"/>
      <c r="K212" s="362"/>
      <c r="L212" s="362"/>
      <c r="M212" s="362"/>
      <c r="N212" s="362"/>
      <c r="O212" s="362"/>
      <c r="P212" s="362"/>
      <c r="Q212" s="362"/>
      <c r="R212" s="362"/>
      <c r="S212" s="362"/>
      <c r="T212" s="362"/>
      <c r="U212" s="362"/>
      <c r="V212" s="362"/>
      <c r="W212" s="362"/>
      <c r="X212" s="362"/>
      <c r="Y212" s="362"/>
      <c r="Z212" s="362"/>
      <c r="AA212" s="362"/>
      <c r="AB212" s="362"/>
      <c r="AC212" s="362"/>
      <c r="AD212" s="362"/>
      <c r="AE212" s="362"/>
      <c r="AF212" s="362"/>
      <c r="AG212" s="362"/>
      <c r="AH212" s="362"/>
      <c r="AI212" s="362"/>
      <c r="AJ212" s="362"/>
      <c r="AK212" s="362"/>
      <c r="AL212" s="362"/>
      <c r="AM212" s="362"/>
      <c r="AN212" s="362"/>
      <c r="AO212" s="362"/>
      <c r="AP212" s="362"/>
      <c r="AQ212" s="362"/>
      <c r="AR212" s="362"/>
      <c r="AS212" s="362"/>
      <c r="AT212" s="362"/>
      <c r="AU212" s="362"/>
      <c r="AV212" s="362"/>
      <c r="AW212" s="362"/>
      <c r="AX212" s="362"/>
      <c r="AY212" s="362"/>
      <c r="AZ212" s="362"/>
      <c r="BA212" s="362"/>
      <c r="BB212" s="362"/>
      <c r="BC212" s="362"/>
      <c r="BD212" s="362"/>
      <c r="BE212" s="362"/>
      <c r="BF212" s="362"/>
      <c r="BG212" s="362"/>
      <c r="BI212" s="342" t="s">
        <v>1237</v>
      </c>
    </row>
    <row r="213" spans="2:61" hidden="1" x14ac:dyDescent="0.2">
      <c r="B213" s="67" t="str">
        <f>IF(Capacity!B106="","",Capacity!B106)</f>
        <v/>
      </c>
      <c r="C213" s="220" t="str">
        <f>IF(B213="","",Capacity!E106)</f>
        <v/>
      </c>
      <c r="D213" s="309" t="str">
        <f>IF(B213="","",Capacity!F106)</f>
        <v/>
      </c>
      <c r="E213" s="220" t="str">
        <f>IF(B213="","",IF(COUNTBLANK(H213:BG213)=52,SUM('Capacity calculation (hide)'!H94:BG94),52-COUNTBLANK(H213:BG213)))</f>
        <v/>
      </c>
      <c r="F213" s="310" t="str">
        <f>'Capacity calculation (hide)'!BI94</f>
        <v/>
      </c>
      <c r="H213" s="362"/>
      <c r="I213" s="362"/>
      <c r="J213" s="362"/>
      <c r="K213" s="362"/>
      <c r="L213" s="362"/>
      <c r="M213" s="362"/>
      <c r="N213" s="362"/>
      <c r="O213" s="362"/>
      <c r="P213" s="362"/>
      <c r="Q213" s="362"/>
      <c r="R213" s="362"/>
      <c r="S213" s="362"/>
      <c r="T213" s="362"/>
      <c r="U213" s="362"/>
      <c r="V213" s="362"/>
      <c r="W213" s="362"/>
      <c r="X213" s="362"/>
      <c r="Y213" s="362"/>
      <c r="Z213" s="362"/>
      <c r="AA213" s="362"/>
      <c r="AB213" s="362"/>
      <c r="AC213" s="362"/>
      <c r="AD213" s="362"/>
      <c r="AE213" s="362"/>
      <c r="AF213" s="362"/>
      <c r="AG213" s="362"/>
      <c r="AH213" s="362"/>
      <c r="AI213" s="362"/>
      <c r="AJ213" s="362"/>
      <c r="AK213" s="362"/>
      <c r="AL213" s="362"/>
      <c r="AM213" s="362"/>
      <c r="AN213" s="362"/>
      <c r="AO213" s="362"/>
      <c r="AP213" s="362"/>
      <c r="AQ213" s="362"/>
      <c r="AR213" s="362"/>
      <c r="AS213" s="362"/>
      <c r="AT213" s="362"/>
      <c r="AU213" s="362"/>
      <c r="AV213" s="362"/>
      <c r="AW213" s="362"/>
      <c r="AX213" s="362"/>
      <c r="AY213" s="362"/>
      <c r="AZ213" s="362"/>
      <c r="BA213" s="362"/>
      <c r="BB213" s="362"/>
      <c r="BC213" s="362"/>
      <c r="BD213" s="362"/>
      <c r="BE213" s="362"/>
      <c r="BF213" s="362"/>
      <c r="BG213" s="362"/>
      <c r="BI213" s="342" t="s">
        <v>1237</v>
      </c>
    </row>
    <row r="214" spans="2:61" hidden="1" x14ac:dyDescent="0.2">
      <c r="B214" s="67" t="str">
        <f>IF(Capacity!B107="","",Capacity!B107)</f>
        <v/>
      </c>
      <c r="C214" s="220" t="str">
        <f>IF(B214="","",Capacity!E107)</f>
        <v/>
      </c>
      <c r="D214" s="309" t="str">
        <f>IF(B214="","",Capacity!F107)</f>
        <v/>
      </c>
      <c r="E214" s="220" t="str">
        <f>IF(B214="","",IF(COUNTBLANK(H214:BG214)=52,SUM('Capacity calculation (hide)'!H95:BG95),52-COUNTBLANK(H214:BG214)))</f>
        <v/>
      </c>
      <c r="F214" s="310" t="str">
        <f>'Capacity calculation (hide)'!BI95</f>
        <v/>
      </c>
      <c r="H214" s="362"/>
      <c r="I214" s="362"/>
      <c r="J214" s="362"/>
      <c r="K214" s="362"/>
      <c r="L214" s="362"/>
      <c r="M214" s="362"/>
      <c r="N214" s="362"/>
      <c r="O214" s="362"/>
      <c r="P214" s="362"/>
      <c r="Q214" s="362"/>
      <c r="R214" s="362"/>
      <c r="S214" s="362"/>
      <c r="T214" s="362"/>
      <c r="U214" s="362"/>
      <c r="V214" s="362"/>
      <c r="W214" s="362"/>
      <c r="X214" s="362"/>
      <c r="Y214" s="362"/>
      <c r="Z214" s="362"/>
      <c r="AA214" s="362"/>
      <c r="AB214" s="362"/>
      <c r="AC214" s="362"/>
      <c r="AD214" s="362"/>
      <c r="AE214" s="362"/>
      <c r="AF214" s="362"/>
      <c r="AG214" s="362"/>
      <c r="AH214" s="362"/>
      <c r="AI214" s="362"/>
      <c r="AJ214" s="362"/>
      <c r="AK214" s="362"/>
      <c r="AL214" s="362"/>
      <c r="AM214" s="362"/>
      <c r="AN214" s="362"/>
      <c r="AO214" s="362"/>
      <c r="AP214" s="362"/>
      <c r="AQ214" s="362"/>
      <c r="AR214" s="362"/>
      <c r="AS214" s="362"/>
      <c r="AT214" s="362"/>
      <c r="AU214" s="362"/>
      <c r="AV214" s="362"/>
      <c r="AW214" s="362"/>
      <c r="AX214" s="362"/>
      <c r="AY214" s="362"/>
      <c r="AZ214" s="362"/>
      <c r="BA214" s="362"/>
      <c r="BB214" s="362"/>
      <c r="BC214" s="362"/>
      <c r="BD214" s="362"/>
      <c r="BE214" s="362"/>
      <c r="BF214" s="362"/>
      <c r="BG214" s="362"/>
      <c r="BI214" s="342" t="s">
        <v>1237</v>
      </c>
    </row>
    <row r="215" spans="2:61" hidden="1" x14ac:dyDescent="0.2">
      <c r="B215" s="67" t="str">
        <f>IF(Capacity!B108="","",Capacity!B108)</f>
        <v/>
      </c>
      <c r="C215" s="220" t="str">
        <f>IF(B215="","",Capacity!E108)</f>
        <v/>
      </c>
      <c r="D215" s="309" t="str">
        <f>IF(B215="","",Capacity!F108)</f>
        <v/>
      </c>
      <c r="E215" s="220" t="str">
        <f>IF(B215="","",IF(COUNTBLANK(H215:BG215)=52,SUM('Capacity calculation (hide)'!H96:BG96),52-COUNTBLANK(H215:BG215)))</f>
        <v/>
      </c>
      <c r="F215" s="310" t="str">
        <f>'Capacity calculation (hide)'!BI96</f>
        <v/>
      </c>
      <c r="H215" s="362"/>
      <c r="I215" s="362"/>
      <c r="J215" s="362"/>
      <c r="K215" s="362"/>
      <c r="L215" s="362"/>
      <c r="M215" s="362"/>
      <c r="N215" s="362"/>
      <c r="O215" s="362"/>
      <c r="P215" s="362"/>
      <c r="Q215" s="362"/>
      <c r="R215" s="362"/>
      <c r="S215" s="362"/>
      <c r="T215" s="362"/>
      <c r="U215" s="362"/>
      <c r="V215" s="362"/>
      <c r="W215" s="362"/>
      <c r="X215" s="362"/>
      <c r="Y215" s="362"/>
      <c r="Z215" s="362"/>
      <c r="AA215" s="362"/>
      <c r="AB215" s="362"/>
      <c r="AC215" s="362"/>
      <c r="AD215" s="362"/>
      <c r="AE215" s="362"/>
      <c r="AF215" s="362"/>
      <c r="AG215" s="362"/>
      <c r="AH215" s="362"/>
      <c r="AI215" s="362"/>
      <c r="AJ215" s="362"/>
      <c r="AK215" s="362"/>
      <c r="AL215" s="362"/>
      <c r="AM215" s="362"/>
      <c r="AN215" s="362"/>
      <c r="AO215" s="362"/>
      <c r="AP215" s="362"/>
      <c r="AQ215" s="362"/>
      <c r="AR215" s="362"/>
      <c r="AS215" s="362"/>
      <c r="AT215" s="362"/>
      <c r="AU215" s="362"/>
      <c r="AV215" s="362"/>
      <c r="AW215" s="362"/>
      <c r="AX215" s="362"/>
      <c r="AY215" s="362"/>
      <c r="AZ215" s="362"/>
      <c r="BA215" s="362"/>
      <c r="BB215" s="362"/>
      <c r="BC215" s="362"/>
      <c r="BD215" s="362"/>
      <c r="BE215" s="362"/>
      <c r="BF215" s="362"/>
      <c r="BG215" s="362"/>
      <c r="BI215" s="342" t="s">
        <v>1237</v>
      </c>
    </row>
    <row r="216" spans="2:61" hidden="1" x14ac:dyDescent="0.2">
      <c r="B216" s="67" t="str">
        <f>IF(Capacity!B109="","",Capacity!B109)</f>
        <v/>
      </c>
      <c r="C216" s="220" t="str">
        <f>IF(B216="","",Capacity!E109)</f>
        <v/>
      </c>
      <c r="D216" s="309" t="str">
        <f>IF(B216="","",Capacity!F109)</f>
        <v/>
      </c>
      <c r="E216" s="220" t="str">
        <f>IF(B216="","",IF(COUNTBLANK(H216:BG216)=52,SUM('Capacity calculation (hide)'!H97:BG97),52-COUNTBLANK(H216:BG216)))</f>
        <v/>
      </c>
      <c r="F216" s="310" t="str">
        <f>'Capacity calculation (hide)'!BI97</f>
        <v/>
      </c>
      <c r="H216" s="362"/>
      <c r="I216" s="362"/>
      <c r="J216" s="362"/>
      <c r="K216" s="362"/>
      <c r="L216" s="362"/>
      <c r="M216" s="362"/>
      <c r="N216" s="362"/>
      <c r="O216" s="362"/>
      <c r="P216" s="362"/>
      <c r="Q216" s="362"/>
      <c r="R216" s="362"/>
      <c r="S216" s="362"/>
      <c r="T216" s="362"/>
      <c r="U216" s="362"/>
      <c r="V216" s="362"/>
      <c r="W216" s="362"/>
      <c r="X216" s="362"/>
      <c r="Y216" s="362"/>
      <c r="Z216" s="362"/>
      <c r="AA216" s="362"/>
      <c r="AB216" s="362"/>
      <c r="AC216" s="362"/>
      <c r="AD216" s="362"/>
      <c r="AE216" s="362"/>
      <c r="AF216" s="362"/>
      <c r="AG216" s="362"/>
      <c r="AH216" s="362"/>
      <c r="AI216" s="362"/>
      <c r="AJ216" s="362"/>
      <c r="AK216" s="362"/>
      <c r="AL216" s="362"/>
      <c r="AM216" s="362"/>
      <c r="AN216" s="362"/>
      <c r="AO216" s="362"/>
      <c r="AP216" s="362"/>
      <c r="AQ216" s="362"/>
      <c r="AR216" s="362"/>
      <c r="AS216" s="362"/>
      <c r="AT216" s="362"/>
      <c r="AU216" s="362"/>
      <c r="AV216" s="362"/>
      <c r="AW216" s="362"/>
      <c r="AX216" s="362"/>
      <c r="AY216" s="362"/>
      <c r="AZ216" s="362"/>
      <c r="BA216" s="362"/>
      <c r="BB216" s="362"/>
      <c r="BC216" s="362"/>
      <c r="BD216" s="362"/>
      <c r="BE216" s="362"/>
      <c r="BF216" s="362"/>
      <c r="BG216" s="362"/>
      <c r="BI216" s="342" t="s">
        <v>1237</v>
      </c>
    </row>
    <row r="217" spans="2:61" hidden="1" x14ac:dyDescent="0.2">
      <c r="B217" s="67" t="str">
        <f>IF(Capacity!B110="","",Capacity!B110)</f>
        <v/>
      </c>
      <c r="C217" s="220" t="str">
        <f>IF(B217="","",Capacity!E110)</f>
        <v/>
      </c>
      <c r="D217" s="309" t="str">
        <f>IF(B217="","",Capacity!F110)</f>
        <v/>
      </c>
      <c r="E217" s="220" t="str">
        <f>IF(B217="","",IF(COUNTBLANK(H217:BG217)=52,SUM('Capacity calculation (hide)'!H98:BG98),52-COUNTBLANK(H217:BG217)))</f>
        <v/>
      </c>
      <c r="F217" s="310" t="str">
        <f>'Capacity calculation (hide)'!BI98</f>
        <v/>
      </c>
      <c r="H217" s="362"/>
      <c r="I217" s="362"/>
      <c r="J217" s="362"/>
      <c r="K217" s="362"/>
      <c r="L217" s="362"/>
      <c r="M217" s="362"/>
      <c r="N217" s="362"/>
      <c r="O217" s="362"/>
      <c r="P217" s="362"/>
      <c r="Q217" s="362"/>
      <c r="R217" s="362"/>
      <c r="S217" s="362"/>
      <c r="T217" s="362"/>
      <c r="U217" s="362"/>
      <c r="V217" s="362"/>
      <c r="W217" s="362"/>
      <c r="X217" s="362"/>
      <c r="Y217" s="362"/>
      <c r="Z217" s="362"/>
      <c r="AA217" s="362"/>
      <c r="AB217" s="362"/>
      <c r="AC217" s="362"/>
      <c r="AD217" s="362"/>
      <c r="AE217" s="362"/>
      <c r="AF217" s="362"/>
      <c r="AG217" s="362"/>
      <c r="AH217" s="362"/>
      <c r="AI217" s="362"/>
      <c r="AJ217" s="362"/>
      <c r="AK217" s="362"/>
      <c r="AL217" s="362"/>
      <c r="AM217" s="362"/>
      <c r="AN217" s="362"/>
      <c r="AO217" s="362"/>
      <c r="AP217" s="362"/>
      <c r="AQ217" s="362"/>
      <c r="AR217" s="362"/>
      <c r="AS217" s="362"/>
      <c r="AT217" s="362"/>
      <c r="AU217" s="362"/>
      <c r="AV217" s="362"/>
      <c r="AW217" s="362"/>
      <c r="AX217" s="362"/>
      <c r="AY217" s="362"/>
      <c r="AZ217" s="362"/>
      <c r="BA217" s="362"/>
      <c r="BB217" s="362"/>
      <c r="BC217" s="362"/>
      <c r="BD217" s="362"/>
      <c r="BE217" s="362"/>
      <c r="BF217" s="362"/>
      <c r="BG217" s="362"/>
      <c r="BI217" s="342" t="s">
        <v>1237</v>
      </c>
    </row>
    <row r="218" spans="2:61" hidden="1" x14ac:dyDescent="0.2">
      <c r="B218" s="67" t="str">
        <f>IF(Capacity!B111="","",Capacity!B111)</f>
        <v/>
      </c>
      <c r="C218" s="220" t="str">
        <f>IF(B218="","",Capacity!E111)</f>
        <v/>
      </c>
      <c r="D218" s="309" t="str">
        <f>IF(B218="","",Capacity!F111)</f>
        <v/>
      </c>
      <c r="E218" s="220" t="str">
        <f>IF(B218="","",IF(COUNTBLANK(H218:BG218)=52,SUM('Capacity calculation (hide)'!H99:BG99),52-COUNTBLANK(H218:BG218)))</f>
        <v/>
      </c>
      <c r="F218" s="310" t="str">
        <f>'Capacity calculation (hide)'!BI99</f>
        <v/>
      </c>
      <c r="H218" s="362"/>
      <c r="I218" s="362"/>
      <c r="J218" s="362"/>
      <c r="K218" s="362"/>
      <c r="L218" s="362"/>
      <c r="M218" s="362"/>
      <c r="N218" s="362"/>
      <c r="O218" s="362"/>
      <c r="P218" s="362"/>
      <c r="Q218" s="362"/>
      <c r="R218" s="362"/>
      <c r="S218" s="362"/>
      <c r="T218" s="362"/>
      <c r="U218" s="362"/>
      <c r="V218" s="362"/>
      <c r="W218" s="362"/>
      <c r="X218" s="362"/>
      <c r="Y218" s="362"/>
      <c r="Z218" s="362"/>
      <c r="AA218" s="362"/>
      <c r="AB218" s="362"/>
      <c r="AC218" s="362"/>
      <c r="AD218" s="362"/>
      <c r="AE218" s="362"/>
      <c r="AF218" s="362"/>
      <c r="AG218" s="362"/>
      <c r="AH218" s="362"/>
      <c r="AI218" s="362"/>
      <c r="AJ218" s="362"/>
      <c r="AK218" s="362"/>
      <c r="AL218" s="362"/>
      <c r="AM218" s="362"/>
      <c r="AN218" s="362"/>
      <c r="AO218" s="362"/>
      <c r="AP218" s="362"/>
      <c r="AQ218" s="362"/>
      <c r="AR218" s="362"/>
      <c r="AS218" s="362"/>
      <c r="AT218" s="362"/>
      <c r="AU218" s="362"/>
      <c r="AV218" s="362"/>
      <c r="AW218" s="362"/>
      <c r="AX218" s="362"/>
      <c r="AY218" s="362"/>
      <c r="AZ218" s="362"/>
      <c r="BA218" s="362"/>
      <c r="BB218" s="362"/>
      <c r="BC218" s="362"/>
      <c r="BD218" s="362"/>
      <c r="BE218" s="362"/>
      <c r="BF218" s="362"/>
      <c r="BG218" s="362"/>
      <c r="BI218" s="342" t="s">
        <v>1237</v>
      </c>
    </row>
    <row r="219" spans="2:61" hidden="1" x14ac:dyDescent="0.2">
      <c r="B219" s="67" t="str">
        <f>IF(Capacity!B112="","",Capacity!B112)</f>
        <v/>
      </c>
      <c r="C219" s="220" t="str">
        <f>IF(B219="","",Capacity!E112)</f>
        <v/>
      </c>
      <c r="D219" s="309" t="str">
        <f>IF(B219="","",Capacity!F112)</f>
        <v/>
      </c>
      <c r="E219" s="220" t="str">
        <f>IF(B219="","",IF(COUNTBLANK(H219:BG219)=52,SUM('Capacity calculation (hide)'!H100:BG100),52-COUNTBLANK(H219:BG219)))</f>
        <v/>
      </c>
      <c r="F219" s="310" t="str">
        <f>'Capacity calculation (hide)'!BI100</f>
        <v/>
      </c>
      <c r="H219" s="362"/>
      <c r="I219" s="362"/>
      <c r="J219" s="362"/>
      <c r="K219" s="362"/>
      <c r="L219" s="362"/>
      <c r="M219" s="362"/>
      <c r="N219" s="362"/>
      <c r="O219" s="362"/>
      <c r="P219" s="362"/>
      <c r="Q219" s="362"/>
      <c r="R219" s="362"/>
      <c r="S219" s="362"/>
      <c r="T219" s="362"/>
      <c r="U219" s="362"/>
      <c r="V219" s="362"/>
      <c r="W219" s="362"/>
      <c r="X219" s="362"/>
      <c r="Y219" s="362"/>
      <c r="Z219" s="362"/>
      <c r="AA219" s="362"/>
      <c r="AB219" s="362"/>
      <c r="AC219" s="362"/>
      <c r="AD219" s="362"/>
      <c r="AE219" s="362"/>
      <c r="AF219" s="362"/>
      <c r="AG219" s="362"/>
      <c r="AH219" s="362"/>
      <c r="AI219" s="362"/>
      <c r="AJ219" s="362"/>
      <c r="AK219" s="362"/>
      <c r="AL219" s="362"/>
      <c r="AM219" s="362"/>
      <c r="AN219" s="362"/>
      <c r="AO219" s="362"/>
      <c r="AP219" s="362"/>
      <c r="AQ219" s="362"/>
      <c r="AR219" s="362"/>
      <c r="AS219" s="362"/>
      <c r="AT219" s="362"/>
      <c r="AU219" s="362"/>
      <c r="AV219" s="362"/>
      <c r="AW219" s="362"/>
      <c r="AX219" s="362"/>
      <c r="AY219" s="362"/>
      <c r="AZ219" s="362"/>
      <c r="BA219" s="362"/>
      <c r="BB219" s="362"/>
      <c r="BC219" s="362"/>
      <c r="BD219" s="362"/>
      <c r="BE219" s="362"/>
      <c r="BF219" s="362"/>
      <c r="BG219" s="362"/>
      <c r="BI219" s="342" t="s">
        <v>1237</v>
      </c>
    </row>
    <row r="220" spans="2:61" hidden="1" x14ac:dyDescent="0.2">
      <c r="B220" s="67" t="str">
        <f>IF(Capacity!B113="","",Capacity!B113)</f>
        <v/>
      </c>
      <c r="C220" s="220" t="str">
        <f>IF(B220="","",Capacity!E113)</f>
        <v/>
      </c>
      <c r="D220" s="309" t="str">
        <f>IF(B220="","",Capacity!F113)</f>
        <v/>
      </c>
      <c r="E220" s="220" t="str">
        <f>IF(B220="","",IF(COUNTBLANK(H220:BG220)=52,SUM('Capacity calculation (hide)'!H101:BG101),52-COUNTBLANK(H220:BG220)))</f>
        <v/>
      </c>
      <c r="F220" s="310" t="str">
        <f>'Capacity calculation (hide)'!BI101</f>
        <v/>
      </c>
      <c r="H220" s="362"/>
      <c r="I220" s="362"/>
      <c r="J220" s="362"/>
      <c r="K220" s="362"/>
      <c r="L220" s="362"/>
      <c r="M220" s="362"/>
      <c r="N220" s="362"/>
      <c r="O220" s="362"/>
      <c r="P220" s="362"/>
      <c r="Q220" s="362"/>
      <c r="R220" s="362"/>
      <c r="S220" s="362"/>
      <c r="T220" s="362"/>
      <c r="U220" s="362"/>
      <c r="V220" s="362"/>
      <c r="W220" s="362"/>
      <c r="X220" s="362"/>
      <c r="Y220" s="362"/>
      <c r="Z220" s="362"/>
      <c r="AA220" s="362"/>
      <c r="AB220" s="362"/>
      <c r="AC220" s="362"/>
      <c r="AD220" s="362"/>
      <c r="AE220" s="362"/>
      <c r="AF220" s="362"/>
      <c r="AG220" s="362"/>
      <c r="AH220" s="362"/>
      <c r="AI220" s="362"/>
      <c r="AJ220" s="362"/>
      <c r="AK220" s="362"/>
      <c r="AL220" s="362"/>
      <c r="AM220" s="362"/>
      <c r="AN220" s="362"/>
      <c r="AO220" s="362"/>
      <c r="AP220" s="362"/>
      <c r="AQ220" s="362"/>
      <c r="AR220" s="362"/>
      <c r="AS220" s="362"/>
      <c r="AT220" s="362"/>
      <c r="AU220" s="362"/>
      <c r="AV220" s="362"/>
      <c r="AW220" s="362"/>
      <c r="AX220" s="362"/>
      <c r="AY220" s="362"/>
      <c r="AZ220" s="362"/>
      <c r="BA220" s="362"/>
      <c r="BB220" s="362"/>
      <c r="BC220" s="362"/>
      <c r="BD220" s="362"/>
      <c r="BE220" s="362"/>
      <c r="BF220" s="362"/>
      <c r="BG220" s="362"/>
      <c r="BI220" s="342" t="s">
        <v>1237</v>
      </c>
    </row>
    <row r="221" spans="2:61" hidden="1" x14ac:dyDescent="0.2">
      <c r="B221" s="67" t="str">
        <f>IF(Capacity!B114="","",Capacity!B114)</f>
        <v/>
      </c>
      <c r="C221" s="220" t="str">
        <f>IF(B221="","",Capacity!E114)</f>
        <v/>
      </c>
      <c r="D221" s="309" t="str">
        <f>IF(B221="","",Capacity!F114)</f>
        <v/>
      </c>
      <c r="E221" s="220" t="str">
        <f>IF(B221="","",IF(COUNTBLANK(H221:BG221)=52,SUM('Capacity calculation (hide)'!H102:BG102),52-COUNTBLANK(H221:BG221)))</f>
        <v/>
      </c>
      <c r="F221" s="310" t="str">
        <f>'Capacity calculation (hide)'!BI102</f>
        <v/>
      </c>
      <c r="H221" s="362"/>
      <c r="I221" s="362"/>
      <c r="J221" s="362"/>
      <c r="K221" s="362"/>
      <c r="L221" s="362"/>
      <c r="M221" s="362"/>
      <c r="N221" s="362"/>
      <c r="O221" s="362"/>
      <c r="P221" s="362"/>
      <c r="Q221" s="362"/>
      <c r="R221" s="362"/>
      <c r="S221" s="362"/>
      <c r="T221" s="362"/>
      <c r="U221" s="362"/>
      <c r="V221" s="362"/>
      <c r="W221" s="362"/>
      <c r="X221" s="362"/>
      <c r="Y221" s="362"/>
      <c r="Z221" s="362"/>
      <c r="AA221" s="362"/>
      <c r="AB221" s="362"/>
      <c r="AC221" s="362"/>
      <c r="AD221" s="362"/>
      <c r="AE221" s="362"/>
      <c r="AF221" s="362"/>
      <c r="AG221" s="362"/>
      <c r="AH221" s="362"/>
      <c r="AI221" s="362"/>
      <c r="AJ221" s="362"/>
      <c r="AK221" s="362"/>
      <c r="AL221" s="362"/>
      <c r="AM221" s="362"/>
      <c r="AN221" s="362"/>
      <c r="AO221" s="362"/>
      <c r="AP221" s="362"/>
      <c r="AQ221" s="362"/>
      <c r="AR221" s="362"/>
      <c r="AS221" s="362"/>
      <c r="AT221" s="362"/>
      <c r="AU221" s="362"/>
      <c r="AV221" s="362"/>
      <c r="AW221" s="362"/>
      <c r="AX221" s="362"/>
      <c r="AY221" s="362"/>
      <c r="AZ221" s="362"/>
      <c r="BA221" s="362"/>
      <c r="BB221" s="362"/>
      <c r="BC221" s="362"/>
      <c r="BD221" s="362"/>
      <c r="BE221" s="362"/>
      <c r="BF221" s="362"/>
      <c r="BG221" s="362"/>
      <c r="BI221" s="342" t="s">
        <v>1237</v>
      </c>
    </row>
    <row r="222" spans="2:61" hidden="1" x14ac:dyDescent="0.2">
      <c r="B222" s="67" t="str">
        <f>IF(Capacity!B115="","",Capacity!B115)</f>
        <v/>
      </c>
      <c r="C222" s="220" t="str">
        <f>IF(B222="","",Capacity!E115)</f>
        <v/>
      </c>
      <c r="D222" s="309" t="str">
        <f>IF(B222="","",Capacity!F115)</f>
        <v/>
      </c>
      <c r="E222" s="220" t="str">
        <f>IF(B222="","",IF(COUNTBLANK(H222:BG222)=52,SUM('Capacity calculation (hide)'!H103:BG103),52-COUNTBLANK(H222:BG222)))</f>
        <v/>
      </c>
      <c r="F222" s="310" t="str">
        <f>'Capacity calculation (hide)'!BI103</f>
        <v/>
      </c>
      <c r="H222" s="362"/>
      <c r="I222" s="362"/>
      <c r="J222" s="362"/>
      <c r="K222" s="362"/>
      <c r="L222" s="362"/>
      <c r="M222" s="362"/>
      <c r="N222" s="362"/>
      <c r="O222" s="362"/>
      <c r="P222" s="362"/>
      <c r="Q222" s="362"/>
      <c r="R222" s="362"/>
      <c r="S222" s="362"/>
      <c r="T222" s="362"/>
      <c r="U222" s="362"/>
      <c r="V222" s="362"/>
      <c r="W222" s="362"/>
      <c r="X222" s="362"/>
      <c r="Y222" s="362"/>
      <c r="Z222" s="362"/>
      <c r="AA222" s="362"/>
      <c r="AB222" s="362"/>
      <c r="AC222" s="362"/>
      <c r="AD222" s="362"/>
      <c r="AE222" s="362"/>
      <c r="AF222" s="362"/>
      <c r="AG222" s="362"/>
      <c r="AH222" s="362"/>
      <c r="AI222" s="362"/>
      <c r="AJ222" s="362"/>
      <c r="AK222" s="362"/>
      <c r="AL222" s="362"/>
      <c r="AM222" s="362"/>
      <c r="AN222" s="362"/>
      <c r="AO222" s="362"/>
      <c r="AP222" s="362"/>
      <c r="AQ222" s="362"/>
      <c r="AR222" s="362"/>
      <c r="AS222" s="362"/>
      <c r="AT222" s="362"/>
      <c r="AU222" s="362"/>
      <c r="AV222" s="362"/>
      <c r="AW222" s="362"/>
      <c r="AX222" s="362"/>
      <c r="AY222" s="362"/>
      <c r="AZ222" s="362"/>
      <c r="BA222" s="362"/>
      <c r="BB222" s="362"/>
      <c r="BC222" s="362"/>
      <c r="BD222" s="362"/>
      <c r="BE222" s="362"/>
      <c r="BF222" s="362"/>
      <c r="BG222" s="362"/>
      <c r="BI222" s="342" t="s">
        <v>1237</v>
      </c>
    </row>
    <row r="223" spans="2:61" hidden="1" x14ac:dyDescent="0.2">
      <c r="B223" s="67" t="str">
        <f>IF(Capacity!B116="","",Capacity!B116)</f>
        <v/>
      </c>
      <c r="C223" s="220" t="str">
        <f>IF(B223="","",Capacity!E116)</f>
        <v/>
      </c>
      <c r="D223" s="309" t="str">
        <f>IF(B223="","",Capacity!F116)</f>
        <v/>
      </c>
      <c r="E223" s="220" t="str">
        <f>IF(B223="","",IF(COUNTBLANK(H223:BG223)=52,SUM('Capacity calculation (hide)'!H104:BG104),52-COUNTBLANK(H223:BG223)))</f>
        <v/>
      </c>
      <c r="F223" s="310" t="str">
        <f>'Capacity calculation (hide)'!BI104</f>
        <v/>
      </c>
      <c r="H223" s="362"/>
      <c r="I223" s="362"/>
      <c r="J223" s="362"/>
      <c r="K223" s="362"/>
      <c r="L223" s="362"/>
      <c r="M223" s="362"/>
      <c r="N223" s="362"/>
      <c r="O223" s="362"/>
      <c r="P223" s="362"/>
      <c r="Q223" s="362"/>
      <c r="R223" s="362"/>
      <c r="S223" s="362"/>
      <c r="T223" s="362"/>
      <c r="U223" s="362"/>
      <c r="V223" s="362"/>
      <c r="W223" s="362"/>
      <c r="X223" s="362"/>
      <c r="Y223" s="362"/>
      <c r="Z223" s="362"/>
      <c r="AA223" s="362"/>
      <c r="AB223" s="362"/>
      <c r="AC223" s="362"/>
      <c r="AD223" s="362"/>
      <c r="AE223" s="362"/>
      <c r="AF223" s="362"/>
      <c r="AG223" s="362"/>
      <c r="AH223" s="362"/>
      <c r="AI223" s="362"/>
      <c r="AJ223" s="362"/>
      <c r="AK223" s="362"/>
      <c r="AL223" s="362"/>
      <c r="AM223" s="362"/>
      <c r="AN223" s="362"/>
      <c r="AO223" s="362"/>
      <c r="AP223" s="362"/>
      <c r="AQ223" s="362"/>
      <c r="AR223" s="362"/>
      <c r="AS223" s="362"/>
      <c r="AT223" s="362"/>
      <c r="AU223" s="362"/>
      <c r="AV223" s="362"/>
      <c r="AW223" s="362"/>
      <c r="AX223" s="362"/>
      <c r="AY223" s="362"/>
      <c r="AZ223" s="362"/>
      <c r="BA223" s="362"/>
      <c r="BB223" s="362"/>
      <c r="BC223" s="362"/>
      <c r="BD223" s="362"/>
      <c r="BE223" s="362"/>
      <c r="BF223" s="362"/>
      <c r="BG223" s="362"/>
      <c r="BI223" s="342" t="s">
        <v>1237</v>
      </c>
    </row>
    <row r="224" spans="2:61" hidden="1" x14ac:dyDescent="0.2">
      <c r="H224" s="343"/>
      <c r="I224" s="343"/>
      <c r="J224" s="343"/>
      <c r="K224" s="343"/>
      <c r="L224" s="343"/>
      <c r="M224" s="343"/>
      <c r="N224" s="343"/>
      <c r="O224" s="343"/>
      <c r="P224" s="343"/>
      <c r="Q224" s="343"/>
      <c r="R224" s="343"/>
      <c r="S224" s="343"/>
      <c r="T224" s="343"/>
      <c r="U224" s="343"/>
      <c r="V224" s="343"/>
      <c r="W224" s="343"/>
      <c r="X224" s="343"/>
      <c r="Y224" s="343"/>
      <c r="Z224" s="343"/>
      <c r="AA224" s="343"/>
      <c r="AB224" s="343"/>
      <c r="AC224" s="343"/>
      <c r="AD224" s="343"/>
      <c r="AE224" s="343"/>
      <c r="AF224" s="343"/>
      <c r="AG224" s="343"/>
      <c r="AH224" s="343"/>
      <c r="AI224" s="343"/>
      <c r="AJ224" s="343"/>
      <c r="AK224" s="343"/>
      <c r="AL224" s="343"/>
      <c r="AM224" s="343"/>
      <c r="AN224" s="343"/>
      <c r="AO224" s="343"/>
      <c r="AP224" s="343"/>
      <c r="AQ224" s="343"/>
      <c r="AR224" s="343"/>
      <c r="AS224" s="343"/>
      <c r="AT224" s="343"/>
      <c r="AU224" s="343"/>
      <c r="AV224" s="343"/>
      <c r="AW224" s="343"/>
      <c r="AX224" s="343"/>
      <c r="AY224" s="343"/>
      <c r="AZ224" s="343"/>
      <c r="BA224" s="343"/>
      <c r="BB224" s="343"/>
      <c r="BC224" s="343"/>
      <c r="BD224" s="343"/>
      <c r="BE224" s="343"/>
      <c r="BF224" s="343"/>
      <c r="BG224" s="343"/>
    </row>
    <row r="225" spans="8:59" hidden="1" x14ac:dyDescent="0.2">
      <c r="H225" s="343"/>
      <c r="I225" s="343"/>
      <c r="J225" s="343"/>
      <c r="K225" s="343"/>
      <c r="L225" s="343"/>
      <c r="M225" s="343"/>
      <c r="N225" s="343"/>
      <c r="O225" s="343"/>
      <c r="P225" s="343"/>
      <c r="Q225" s="343"/>
      <c r="R225" s="343"/>
      <c r="S225" s="343"/>
      <c r="T225" s="343"/>
      <c r="U225" s="343"/>
      <c r="V225" s="343"/>
      <c r="W225" s="343"/>
      <c r="X225" s="343"/>
      <c r="Y225" s="343"/>
      <c r="Z225" s="343"/>
      <c r="AA225" s="343"/>
      <c r="AB225" s="343"/>
      <c r="AC225" s="343"/>
      <c r="AD225" s="343"/>
      <c r="AE225" s="343"/>
      <c r="AF225" s="343"/>
      <c r="AG225" s="343"/>
      <c r="AH225" s="343"/>
      <c r="AI225" s="343"/>
      <c r="AJ225" s="343"/>
      <c r="AK225" s="343"/>
      <c r="AL225" s="343"/>
      <c r="AM225" s="343"/>
      <c r="AN225" s="343"/>
      <c r="AO225" s="343"/>
      <c r="AP225" s="343"/>
      <c r="AQ225" s="343"/>
      <c r="AR225" s="343"/>
      <c r="AS225" s="343"/>
      <c r="AT225" s="343"/>
      <c r="AU225" s="343"/>
      <c r="AV225" s="343"/>
      <c r="AW225" s="343"/>
      <c r="AX225" s="343"/>
      <c r="AY225" s="343"/>
      <c r="AZ225" s="343"/>
      <c r="BA225" s="343"/>
      <c r="BB225" s="343"/>
      <c r="BC225" s="343"/>
      <c r="BD225" s="343"/>
      <c r="BE225" s="343"/>
      <c r="BF225" s="343"/>
      <c r="BG225" s="343"/>
    </row>
    <row r="226" spans="8:59" hidden="1" x14ac:dyDescent="0.2">
      <c r="H226" s="343"/>
      <c r="I226" s="343"/>
      <c r="J226" s="343"/>
      <c r="K226" s="343"/>
      <c r="L226" s="343"/>
      <c r="M226" s="343"/>
      <c r="N226" s="343"/>
      <c r="O226" s="343"/>
      <c r="P226" s="343"/>
      <c r="Q226" s="343"/>
      <c r="R226" s="343"/>
      <c r="S226" s="343"/>
      <c r="T226" s="343"/>
      <c r="U226" s="343"/>
      <c r="V226" s="343"/>
      <c r="W226" s="343"/>
      <c r="X226" s="343"/>
      <c r="Y226" s="343"/>
      <c r="Z226" s="343"/>
      <c r="AA226" s="343"/>
      <c r="AB226" s="343"/>
      <c r="AC226" s="343"/>
      <c r="AD226" s="343"/>
      <c r="AE226" s="343"/>
      <c r="AF226" s="343"/>
      <c r="AG226" s="343"/>
      <c r="AH226" s="343"/>
      <c r="AI226" s="343"/>
      <c r="AJ226" s="343"/>
      <c r="AK226" s="343"/>
      <c r="AL226" s="343"/>
      <c r="AM226" s="343"/>
      <c r="AN226" s="343"/>
      <c r="AO226" s="343"/>
      <c r="AP226" s="343"/>
      <c r="AQ226" s="343"/>
      <c r="AR226" s="343"/>
      <c r="AS226" s="343"/>
      <c r="AT226" s="343"/>
      <c r="AU226" s="343"/>
      <c r="AV226" s="343"/>
      <c r="AW226" s="343"/>
      <c r="AX226" s="343"/>
      <c r="AY226" s="343"/>
      <c r="AZ226" s="343"/>
      <c r="BA226" s="343"/>
      <c r="BB226" s="343"/>
      <c r="BC226" s="343"/>
      <c r="BD226" s="343"/>
      <c r="BE226" s="343"/>
      <c r="BF226" s="343"/>
      <c r="BG226" s="343"/>
    </row>
    <row r="227" spans="8:59" hidden="1" x14ac:dyDescent="0.2">
      <c r="H227" s="343"/>
      <c r="I227" s="343"/>
      <c r="J227" s="343"/>
      <c r="K227" s="343"/>
      <c r="L227" s="343"/>
      <c r="M227" s="343"/>
      <c r="N227" s="343"/>
      <c r="O227" s="343"/>
      <c r="P227" s="343"/>
      <c r="Q227" s="343"/>
      <c r="R227" s="343"/>
      <c r="S227" s="343"/>
      <c r="T227" s="343"/>
      <c r="U227" s="343"/>
      <c r="V227" s="343"/>
      <c r="W227" s="343"/>
      <c r="X227" s="343"/>
      <c r="Y227" s="343"/>
      <c r="Z227" s="343"/>
      <c r="AA227" s="343"/>
      <c r="AB227" s="343"/>
      <c r="AC227" s="343"/>
      <c r="AD227" s="343"/>
      <c r="AE227" s="343"/>
      <c r="AF227" s="343"/>
      <c r="AG227" s="343"/>
      <c r="AH227" s="343"/>
      <c r="AI227" s="343"/>
      <c r="AJ227" s="343"/>
      <c r="AK227" s="343"/>
      <c r="AL227" s="343"/>
      <c r="AM227" s="343"/>
      <c r="AN227" s="343"/>
      <c r="AO227" s="343"/>
      <c r="AP227" s="343"/>
      <c r="AQ227" s="343"/>
      <c r="AR227" s="343"/>
      <c r="AS227" s="343"/>
      <c r="AT227" s="343"/>
      <c r="AU227" s="343"/>
      <c r="AV227" s="343"/>
      <c r="AW227" s="343"/>
      <c r="AX227" s="343"/>
      <c r="AY227" s="343"/>
      <c r="AZ227" s="343"/>
      <c r="BA227" s="343"/>
      <c r="BB227" s="343"/>
      <c r="BC227" s="343"/>
      <c r="BD227" s="343"/>
      <c r="BE227" s="343"/>
      <c r="BF227" s="343"/>
      <c r="BG227" s="343"/>
    </row>
    <row r="228" spans="8:59" hidden="1" x14ac:dyDescent="0.2">
      <c r="H228" s="343"/>
      <c r="I228" s="343"/>
      <c r="J228" s="343"/>
      <c r="K228" s="343"/>
      <c r="L228" s="343"/>
      <c r="M228" s="343"/>
      <c r="N228" s="343"/>
      <c r="O228" s="343"/>
      <c r="P228" s="343"/>
      <c r="Q228" s="343"/>
      <c r="R228" s="343"/>
      <c r="S228" s="343"/>
      <c r="T228" s="343"/>
      <c r="U228" s="343"/>
      <c r="V228" s="343"/>
      <c r="W228" s="343"/>
      <c r="X228" s="343"/>
      <c r="Y228" s="343"/>
      <c r="Z228" s="343"/>
      <c r="AA228" s="343"/>
      <c r="AB228" s="343"/>
      <c r="AC228" s="343"/>
      <c r="AD228" s="343"/>
      <c r="AE228" s="343"/>
      <c r="AF228" s="343"/>
      <c r="AG228" s="343"/>
      <c r="AH228" s="343"/>
      <c r="AI228" s="343"/>
      <c r="AJ228" s="343"/>
      <c r="AK228" s="343"/>
      <c r="AL228" s="343"/>
      <c r="AM228" s="343"/>
      <c r="AN228" s="343"/>
      <c r="AO228" s="343"/>
      <c r="AP228" s="343"/>
      <c r="AQ228" s="343"/>
      <c r="AR228" s="343"/>
      <c r="AS228" s="343"/>
      <c r="AT228" s="343"/>
      <c r="AU228" s="343"/>
      <c r="AV228" s="343"/>
      <c r="AW228" s="343"/>
      <c r="AX228" s="343"/>
      <c r="AY228" s="343"/>
      <c r="AZ228" s="343"/>
      <c r="BA228" s="343"/>
      <c r="BB228" s="343"/>
      <c r="BC228" s="343"/>
      <c r="BD228" s="343"/>
      <c r="BE228" s="343"/>
      <c r="BF228" s="343"/>
      <c r="BG228" s="343"/>
    </row>
    <row r="229" spans="8:59" hidden="1" x14ac:dyDescent="0.2">
      <c r="H229" s="343"/>
      <c r="I229" s="343"/>
      <c r="J229" s="343"/>
      <c r="K229" s="343"/>
      <c r="L229" s="343"/>
      <c r="M229" s="343"/>
      <c r="N229" s="343"/>
      <c r="O229" s="343"/>
      <c r="P229" s="343"/>
      <c r="Q229" s="343"/>
      <c r="R229" s="343"/>
      <c r="S229" s="343"/>
      <c r="T229" s="343"/>
      <c r="U229" s="343"/>
      <c r="V229" s="343"/>
      <c r="W229" s="343"/>
      <c r="X229" s="343"/>
      <c r="Y229" s="343"/>
      <c r="Z229" s="343"/>
      <c r="AA229" s="343"/>
      <c r="AB229" s="343"/>
      <c r="AC229" s="343"/>
      <c r="AD229" s="343"/>
      <c r="AE229" s="343"/>
      <c r="AF229" s="343"/>
      <c r="AG229" s="343"/>
      <c r="AH229" s="343"/>
      <c r="AI229" s="343"/>
      <c r="AJ229" s="343"/>
      <c r="AK229" s="343"/>
      <c r="AL229" s="343"/>
      <c r="AM229" s="343"/>
      <c r="AN229" s="343"/>
      <c r="AO229" s="343"/>
      <c r="AP229" s="343"/>
      <c r="AQ229" s="343"/>
      <c r="AR229" s="343"/>
      <c r="AS229" s="343"/>
      <c r="AT229" s="343"/>
      <c r="AU229" s="343"/>
      <c r="AV229" s="343"/>
      <c r="AW229" s="343"/>
      <c r="AX229" s="343"/>
      <c r="AY229" s="343"/>
      <c r="AZ229" s="343"/>
      <c r="BA229" s="343"/>
      <c r="BB229" s="343"/>
      <c r="BC229" s="343"/>
      <c r="BD229" s="343"/>
      <c r="BE229" s="343"/>
      <c r="BF229" s="343"/>
      <c r="BG229" s="343"/>
    </row>
    <row r="230" spans="8:59" hidden="1" x14ac:dyDescent="0.2">
      <c r="H230" s="343"/>
      <c r="I230" s="343"/>
      <c r="J230" s="343"/>
      <c r="K230" s="343"/>
      <c r="L230" s="343"/>
      <c r="M230" s="343"/>
      <c r="N230" s="343"/>
      <c r="O230" s="343"/>
      <c r="P230" s="343"/>
      <c r="Q230" s="343"/>
      <c r="R230" s="343"/>
      <c r="S230" s="343"/>
      <c r="T230" s="343"/>
      <c r="U230" s="343"/>
      <c r="V230" s="343"/>
      <c r="W230" s="343"/>
      <c r="X230" s="343"/>
      <c r="Y230" s="343"/>
      <c r="Z230" s="343"/>
      <c r="AA230" s="343"/>
      <c r="AB230" s="343"/>
      <c r="AC230" s="343"/>
      <c r="AD230" s="343"/>
      <c r="AE230" s="343"/>
      <c r="AF230" s="343"/>
      <c r="AG230" s="343"/>
      <c r="AH230" s="343"/>
      <c r="AI230" s="343"/>
      <c r="AJ230" s="343"/>
      <c r="AK230" s="343"/>
      <c r="AL230" s="343"/>
      <c r="AM230" s="343"/>
      <c r="AN230" s="343"/>
      <c r="AO230" s="343"/>
      <c r="AP230" s="343"/>
      <c r="AQ230" s="343"/>
      <c r="AR230" s="343"/>
      <c r="AS230" s="343"/>
      <c r="AT230" s="343"/>
      <c r="AU230" s="343"/>
      <c r="AV230" s="343"/>
      <c r="AW230" s="343"/>
      <c r="AX230" s="343"/>
      <c r="AY230" s="343"/>
      <c r="AZ230" s="343"/>
      <c r="BA230" s="343"/>
      <c r="BB230" s="343"/>
      <c r="BC230" s="343"/>
      <c r="BD230" s="343"/>
      <c r="BE230" s="343"/>
      <c r="BF230" s="343"/>
      <c r="BG230" s="343"/>
    </row>
    <row r="231" spans="8:59" hidden="1" x14ac:dyDescent="0.2">
      <c r="H231" s="343"/>
      <c r="I231" s="343"/>
      <c r="J231" s="343"/>
      <c r="K231" s="343"/>
      <c r="L231" s="343"/>
      <c r="M231" s="343"/>
      <c r="N231" s="343"/>
      <c r="O231" s="343"/>
      <c r="P231" s="343"/>
      <c r="Q231" s="343"/>
      <c r="R231" s="343"/>
      <c r="S231" s="343"/>
      <c r="T231" s="343"/>
      <c r="U231" s="343"/>
      <c r="V231" s="343"/>
      <c r="W231" s="343"/>
      <c r="X231" s="343"/>
      <c r="Y231" s="343"/>
      <c r="Z231" s="343"/>
      <c r="AA231" s="343"/>
      <c r="AB231" s="343"/>
      <c r="AC231" s="343"/>
      <c r="AD231" s="343"/>
      <c r="AE231" s="343"/>
      <c r="AF231" s="343"/>
      <c r="AG231" s="343"/>
      <c r="AH231" s="343"/>
      <c r="AI231" s="343"/>
      <c r="AJ231" s="343"/>
      <c r="AK231" s="343"/>
      <c r="AL231" s="343"/>
      <c r="AM231" s="343"/>
      <c r="AN231" s="343"/>
      <c r="AO231" s="343"/>
      <c r="AP231" s="343"/>
      <c r="AQ231" s="343"/>
      <c r="AR231" s="343"/>
      <c r="AS231" s="343"/>
      <c r="AT231" s="343"/>
      <c r="AU231" s="343"/>
      <c r="AV231" s="343"/>
      <c r="AW231" s="343"/>
      <c r="AX231" s="343"/>
      <c r="AY231" s="343"/>
      <c r="AZ231" s="343"/>
      <c r="BA231" s="343"/>
      <c r="BB231" s="343"/>
      <c r="BC231" s="343"/>
      <c r="BD231" s="343"/>
      <c r="BE231" s="343"/>
      <c r="BF231" s="343"/>
      <c r="BG231" s="343"/>
    </row>
    <row r="232" spans="8:59" hidden="1" x14ac:dyDescent="0.2">
      <c r="H232" s="343"/>
      <c r="I232" s="343"/>
      <c r="J232" s="343"/>
      <c r="K232" s="343"/>
      <c r="L232" s="343"/>
      <c r="M232" s="343"/>
      <c r="N232" s="343"/>
      <c r="O232" s="343"/>
      <c r="P232" s="343"/>
      <c r="Q232" s="343"/>
      <c r="R232" s="343"/>
      <c r="S232" s="343"/>
      <c r="T232" s="343"/>
      <c r="U232" s="343"/>
      <c r="V232" s="343"/>
      <c r="W232" s="343"/>
      <c r="X232" s="343"/>
      <c r="Y232" s="343"/>
      <c r="Z232" s="343"/>
      <c r="AA232" s="343"/>
      <c r="AB232" s="343"/>
      <c r="AC232" s="343"/>
      <c r="AD232" s="343"/>
      <c r="AE232" s="343"/>
      <c r="AF232" s="343"/>
      <c r="AG232" s="343"/>
      <c r="AH232" s="343"/>
      <c r="AI232" s="343"/>
      <c r="AJ232" s="343"/>
      <c r="AK232" s="343"/>
      <c r="AL232" s="343"/>
      <c r="AM232" s="343"/>
      <c r="AN232" s="343"/>
      <c r="AO232" s="343"/>
      <c r="AP232" s="343"/>
      <c r="AQ232" s="343"/>
      <c r="AR232" s="343"/>
      <c r="AS232" s="343"/>
      <c r="AT232" s="343"/>
      <c r="AU232" s="343"/>
      <c r="AV232" s="343"/>
      <c r="AW232" s="343"/>
      <c r="AX232" s="343"/>
      <c r="AY232" s="343"/>
      <c r="AZ232" s="343"/>
      <c r="BA232" s="343"/>
      <c r="BB232" s="343"/>
      <c r="BC232" s="343"/>
      <c r="BD232" s="343"/>
      <c r="BE232" s="343"/>
      <c r="BF232" s="343"/>
      <c r="BG232" s="343"/>
    </row>
    <row r="233" spans="8:59" hidden="1" x14ac:dyDescent="0.2">
      <c r="H233" s="343"/>
      <c r="I233" s="343"/>
      <c r="J233" s="343"/>
      <c r="K233" s="343"/>
      <c r="L233" s="343"/>
      <c r="M233" s="343"/>
      <c r="N233" s="343"/>
      <c r="O233" s="343"/>
      <c r="P233" s="343"/>
      <c r="Q233" s="343"/>
      <c r="R233" s="343"/>
      <c r="S233" s="343"/>
      <c r="T233" s="343"/>
      <c r="U233" s="343"/>
      <c r="V233" s="343"/>
      <c r="W233" s="343"/>
      <c r="X233" s="343"/>
      <c r="Y233" s="343"/>
      <c r="Z233" s="343"/>
      <c r="AA233" s="343"/>
      <c r="AB233" s="343"/>
      <c r="AC233" s="343"/>
      <c r="AD233" s="343"/>
      <c r="AE233" s="343"/>
      <c r="AF233" s="343"/>
      <c r="AG233" s="343"/>
      <c r="AH233" s="343"/>
      <c r="AI233" s="343"/>
      <c r="AJ233" s="343"/>
      <c r="AK233" s="343"/>
      <c r="AL233" s="343"/>
      <c r="AM233" s="343"/>
      <c r="AN233" s="343"/>
      <c r="AO233" s="343"/>
      <c r="AP233" s="343"/>
      <c r="AQ233" s="343"/>
      <c r="AR233" s="343"/>
      <c r="AS233" s="343"/>
      <c r="AT233" s="343"/>
      <c r="AU233" s="343"/>
      <c r="AV233" s="343"/>
      <c r="AW233" s="343"/>
      <c r="AX233" s="343"/>
      <c r="AY233" s="343"/>
      <c r="AZ233" s="343"/>
      <c r="BA233" s="343"/>
      <c r="BB233" s="343"/>
      <c r="BC233" s="343"/>
      <c r="BD233" s="343"/>
      <c r="BE233" s="343"/>
      <c r="BF233" s="343"/>
      <c r="BG233" s="343"/>
    </row>
    <row r="234" spans="8:59" hidden="1" x14ac:dyDescent="0.2">
      <c r="H234" s="343"/>
      <c r="I234" s="343"/>
      <c r="J234" s="343"/>
      <c r="K234" s="343"/>
      <c r="L234" s="343"/>
      <c r="M234" s="343"/>
      <c r="N234" s="343"/>
      <c r="O234" s="343"/>
      <c r="P234" s="343"/>
      <c r="Q234" s="343"/>
      <c r="R234" s="343"/>
      <c r="S234" s="343"/>
      <c r="T234" s="343"/>
      <c r="U234" s="343"/>
      <c r="V234" s="343"/>
      <c r="W234" s="343"/>
      <c r="X234" s="343"/>
      <c r="Y234" s="343"/>
      <c r="Z234" s="343"/>
      <c r="AA234" s="343"/>
      <c r="AB234" s="343"/>
      <c r="AC234" s="343"/>
      <c r="AD234" s="343"/>
      <c r="AE234" s="343"/>
      <c r="AF234" s="343"/>
      <c r="AG234" s="343"/>
      <c r="AH234" s="343"/>
      <c r="AI234" s="343"/>
      <c r="AJ234" s="343"/>
      <c r="AK234" s="343"/>
      <c r="AL234" s="343"/>
      <c r="AM234" s="343"/>
      <c r="AN234" s="343"/>
      <c r="AO234" s="343"/>
      <c r="AP234" s="343"/>
      <c r="AQ234" s="343"/>
      <c r="AR234" s="343"/>
      <c r="AS234" s="343"/>
      <c r="AT234" s="343"/>
      <c r="AU234" s="343"/>
      <c r="AV234" s="343"/>
      <c r="AW234" s="343"/>
      <c r="AX234" s="343"/>
      <c r="AY234" s="343"/>
      <c r="AZ234" s="343"/>
      <c r="BA234" s="343"/>
      <c r="BB234" s="343"/>
      <c r="BC234" s="343"/>
      <c r="BD234" s="343"/>
      <c r="BE234" s="343"/>
      <c r="BF234" s="343"/>
      <c r="BG234" s="343"/>
    </row>
    <row r="235" spans="8:59" hidden="1" x14ac:dyDescent="0.2">
      <c r="H235" s="343"/>
      <c r="I235" s="343"/>
      <c r="J235" s="343"/>
      <c r="K235" s="343"/>
      <c r="L235" s="343"/>
      <c r="M235" s="343"/>
      <c r="N235" s="343"/>
      <c r="O235" s="343"/>
      <c r="P235" s="343"/>
      <c r="Q235" s="343"/>
      <c r="R235" s="343"/>
      <c r="S235" s="343"/>
      <c r="T235" s="343"/>
      <c r="U235" s="343"/>
      <c r="V235" s="343"/>
      <c r="W235" s="343"/>
      <c r="X235" s="343"/>
      <c r="Y235" s="343"/>
      <c r="Z235" s="343"/>
      <c r="AA235" s="343"/>
      <c r="AB235" s="343"/>
      <c r="AC235" s="343"/>
      <c r="AD235" s="343"/>
      <c r="AE235" s="343"/>
      <c r="AF235" s="343"/>
      <c r="AG235" s="343"/>
      <c r="AH235" s="343"/>
      <c r="AI235" s="343"/>
      <c r="AJ235" s="343"/>
      <c r="AK235" s="343"/>
      <c r="AL235" s="343"/>
      <c r="AM235" s="343"/>
      <c r="AN235" s="343"/>
      <c r="AO235" s="343"/>
      <c r="AP235" s="343"/>
      <c r="AQ235" s="343"/>
      <c r="AR235" s="343"/>
      <c r="AS235" s="343"/>
      <c r="AT235" s="343"/>
      <c r="AU235" s="343"/>
      <c r="AV235" s="343"/>
      <c r="AW235" s="343"/>
      <c r="AX235" s="343"/>
      <c r="AY235" s="343"/>
      <c r="AZ235" s="343"/>
      <c r="BA235" s="343"/>
      <c r="BB235" s="343"/>
      <c r="BC235" s="343"/>
      <c r="BD235" s="343"/>
      <c r="BE235" s="343"/>
      <c r="BF235" s="343"/>
      <c r="BG235" s="343"/>
    </row>
    <row r="236" spans="8:59" hidden="1" x14ac:dyDescent="0.2">
      <c r="H236" s="343"/>
      <c r="I236" s="343"/>
      <c r="J236" s="343"/>
      <c r="K236" s="343"/>
      <c r="L236" s="343"/>
      <c r="M236" s="343"/>
      <c r="N236" s="343"/>
      <c r="O236" s="343"/>
      <c r="P236" s="343"/>
      <c r="Q236" s="343"/>
      <c r="R236" s="343"/>
      <c r="S236" s="343"/>
      <c r="T236" s="343"/>
      <c r="U236" s="343"/>
      <c r="V236" s="343"/>
      <c r="W236" s="343"/>
      <c r="X236" s="343"/>
      <c r="Y236" s="343"/>
      <c r="Z236" s="343"/>
      <c r="AA236" s="343"/>
      <c r="AB236" s="343"/>
      <c r="AC236" s="343"/>
      <c r="AD236" s="343"/>
      <c r="AE236" s="343"/>
      <c r="AF236" s="343"/>
      <c r="AG236" s="343"/>
      <c r="AH236" s="343"/>
      <c r="AI236" s="343"/>
      <c r="AJ236" s="343"/>
      <c r="AK236" s="343"/>
      <c r="AL236" s="343"/>
      <c r="AM236" s="343"/>
      <c r="AN236" s="343"/>
      <c r="AO236" s="343"/>
      <c r="AP236" s="343"/>
      <c r="AQ236" s="343"/>
      <c r="AR236" s="343"/>
      <c r="AS236" s="343"/>
      <c r="AT236" s="343"/>
      <c r="AU236" s="343"/>
      <c r="AV236" s="343"/>
      <c r="AW236" s="343"/>
      <c r="AX236" s="343"/>
      <c r="AY236" s="343"/>
      <c r="AZ236" s="343"/>
      <c r="BA236" s="343"/>
      <c r="BB236" s="343"/>
      <c r="BC236" s="343"/>
      <c r="BD236" s="343"/>
      <c r="BE236" s="343"/>
      <c r="BF236" s="343"/>
      <c r="BG236" s="343"/>
    </row>
    <row r="237" spans="8:59" hidden="1" x14ac:dyDescent="0.2">
      <c r="H237" s="343"/>
      <c r="I237" s="343"/>
      <c r="J237" s="343"/>
      <c r="K237" s="343"/>
      <c r="L237" s="343"/>
      <c r="M237" s="343"/>
      <c r="N237" s="343"/>
      <c r="O237" s="343"/>
      <c r="P237" s="343"/>
      <c r="Q237" s="343"/>
      <c r="R237" s="343"/>
      <c r="S237" s="343"/>
      <c r="T237" s="343"/>
      <c r="U237" s="343"/>
      <c r="V237" s="343"/>
      <c r="W237" s="343"/>
      <c r="X237" s="343"/>
      <c r="Y237" s="343"/>
      <c r="Z237" s="343"/>
      <c r="AA237" s="343"/>
      <c r="AB237" s="343"/>
      <c r="AC237" s="343"/>
      <c r="AD237" s="343"/>
      <c r="AE237" s="343"/>
      <c r="AF237" s="343"/>
      <c r="AG237" s="343"/>
      <c r="AH237" s="343"/>
      <c r="AI237" s="343"/>
      <c r="AJ237" s="343"/>
      <c r="AK237" s="343"/>
      <c r="AL237" s="343"/>
      <c r="AM237" s="343"/>
      <c r="AN237" s="343"/>
      <c r="AO237" s="343"/>
      <c r="AP237" s="343"/>
      <c r="AQ237" s="343"/>
      <c r="AR237" s="343"/>
      <c r="AS237" s="343"/>
      <c r="AT237" s="343"/>
      <c r="AU237" s="343"/>
      <c r="AV237" s="343"/>
      <c r="AW237" s="343"/>
      <c r="AX237" s="343"/>
      <c r="AY237" s="343"/>
      <c r="AZ237" s="343"/>
      <c r="BA237" s="343"/>
      <c r="BB237" s="343"/>
      <c r="BC237" s="343"/>
      <c r="BD237" s="343"/>
      <c r="BE237" s="343"/>
      <c r="BF237" s="343"/>
      <c r="BG237" s="343"/>
    </row>
    <row r="238" spans="8:59" hidden="1" x14ac:dyDescent="0.2">
      <c r="H238" s="343"/>
      <c r="I238" s="343"/>
      <c r="J238" s="343"/>
      <c r="K238" s="343"/>
      <c r="L238" s="343"/>
      <c r="M238" s="343"/>
      <c r="N238" s="343"/>
      <c r="O238" s="343"/>
      <c r="P238" s="343"/>
      <c r="Q238" s="343"/>
      <c r="R238" s="343"/>
      <c r="S238" s="343"/>
      <c r="T238" s="343"/>
      <c r="U238" s="343"/>
      <c r="V238" s="343"/>
      <c r="W238" s="343"/>
      <c r="X238" s="343"/>
      <c r="Y238" s="343"/>
      <c r="Z238" s="343"/>
      <c r="AA238" s="343"/>
      <c r="AB238" s="343"/>
      <c r="AC238" s="343"/>
      <c r="AD238" s="343"/>
      <c r="AE238" s="343"/>
      <c r="AF238" s="343"/>
      <c r="AG238" s="343"/>
      <c r="AH238" s="343"/>
      <c r="AI238" s="343"/>
      <c r="AJ238" s="343"/>
      <c r="AK238" s="343"/>
      <c r="AL238" s="343"/>
      <c r="AM238" s="343"/>
      <c r="AN238" s="343"/>
      <c r="AO238" s="343"/>
      <c r="AP238" s="343"/>
      <c r="AQ238" s="343"/>
      <c r="AR238" s="343"/>
      <c r="AS238" s="343"/>
      <c r="AT238" s="343"/>
      <c r="AU238" s="343"/>
      <c r="AV238" s="343"/>
      <c r="AW238" s="343"/>
      <c r="AX238" s="343"/>
      <c r="AY238" s="343"/>
      <c r="AZ238" s="343"/>
      <c r="BA238" s="343"/>
      <c r="BB238" s="343"/>
      <c r="BC238" s="343"/>
      <c r="BD238" s="343"/>
      <c r="BE238" s="343"/>
      <c r="BF238" s="343"/>
      <c r="BG238" s="343"/>
    </row>
    <row r="239" spans="8:59" hidden="1" x14ac:dyDescent="0.2">
      <c r="H239" s="343"/>
      <c r="I239" s="343"/>
      <c r="J239" s="343"/>
      <c r="K239" s="343"/>
      <c r="L239" s="343"/>
      <c r="M239" s="343"/>
      <c r="N239" s="343"/>
      <c r="O239" s="343"/>
      <c r="P239" s="343"/>
      <c r="Q239" s="343"/>
      <c r="R239" s="343"/>
      <c r="S239" s="343"/>
      <c r="T239" s="343"/>
      <c r="U239" s="343"/>
      <c r="V239" s="343"/>
      <c r="W239" s="343"/>
      <c r="X239" s="343"/>
      <c r="Y239" s="343"/>
      <c r="Z239" s="343"/>
      <c r="AA239" s="343"/>
      <c r="AB239" s="343"/>
      <c r="AC239" s="343"/>
      <c r="AD239" s="343"/>
      <c r="AE239" s="343"/>
      <c r="AF239" s="343"/>
      <c r="AG239" s="343"/>
      <c r="AH239" s="343"/>
      <c r="AI239" s="343"/>
      <c r="AJ239" s="343"/>
      <c r="AK239" s="343"/>
      <c r="AL239" s="343"/>
      <c r="AM239" s="343"/>
      <c r="AN239" s="343"/>
      <c r="AO239" s="343"/>
      <c r="AP239" s="343"/>
      <c r="AQ239" s="343"/>
      <c r="AR239" s="343"/>
      <c r="AS239" s="343"/>
      <c r="AT239" s="343"/>
      <c r="AU239" s="343"/>
      <c r="AV239" s="343"/>
      <c r="AW239" s="343"/>
      <c r="AX239" s="343"/>
      <c r="AY239" s="343"/>
      <c r="AZ239" s="343"/>
      <c r="BA239" s="343"/>
      <c r="BB239" s="343"/>
      <c r="BC239" s="343"/>
      <c r="BD239" s="343"/>
      <c r="BE239" s="343"/>
      <c r="BF239" s="343"/>
      <c r="BG239" s="343"/>
    </row>
    <row r="240" spans="8:59" hidden="1" x14ac:dyDescent="0.2">
      <c r="H240" s="343"/>
      <c r="I240" s="343"/>
      <c r="J240" s="343"/>
      <c r="K240" s="343"/>
      <c r="L240" s="343"/>
      <c r="M240" s="343"/>
      <c r="N240" s="343"/>
      <c r="O240" s="343"/>
      <c r="P240" s="343"/>
      <c r="Q240" s="343"/>
      <c r="R240" s="343"/>
      <c r="S240" s="343"/>
      <c r="T240" s="343"/>
      <c r="U240" s="343"/>
      <c r="V240" s="343"/>
      <c r="W240" s="343"/>
      <c r="X240" s="343"/>
      <c r="Y240" s="343"/>
      <c r="Z240" s="343"/>
      <c r="AA240" s="343"/>
      <c r="AB240" s="343"/>
      <c r="AC240" s="343"/>
      <c r="AD240" s="343"/>
      <c r="AE240" s="343"/>
      <c r="AF240" s="343"/>
      <c r="AG240" s="343"/>
      <c r="AH240" s="343"/>
      <c r="AI240" s="343"/>
      <c r="AJ240" s="343"/>
      <c r="AK240" s="343"/>
      <c r="AL240" s="343"/>
      <c r="AM240" s="343"/>
      <c r="AN240" s="343"/>
      <c r="AO240" s="343"/>
      <c r="AP240" s="343"/>
      <c r="AQ240" s="343"/>
      <c r="AR240" s="343"/>
      <c r="AS240" s="343"/>
      <c r="AT240" s="343"/>
      <c r="AU240" s="343"/>
      <c r="AV240" s="343"/>
      <c r="AW240" s="343"/>
      <c r="AX240" s="343"/>
      <c r="AY240" s="343"/>
      <c r="AZ240" s="343"/>
      <c r="BA240" s="343"/>
      <c r="BB240" s="343"/>
      <c r="BC240" s="343"/>
      <c r="BD240" s="343"/>
      <c r="BE240" s="343"/>
      <c r="BF240" s="343"/>
      <c r="BG240" s="343"/>
    </row>
    <row r="241" spans="8:59" hidden="1" x14ac:dyDescent="0.2">
      <c r="H241" s="343"/>
      <c r="I241" s="343"/>
      <c r="J241" s="343"/>
      <c r="K241" s="343"/>
      <c r="L241" s="343"/>
      <c r="M241" s="343"/>
      <c r="N241" s="343"/>
      <c r="O241" s="343"/>
      <c r="P241" s="343"/>
      <c r="Q241" s="343"/>
      <c r="R241" s="343"/>
      <c r="S241" s="343"/>
      <c r="T241" s="343"/>
      <c r="U241" s="343"/>
      <c r="V241" s="343"/>
      <c r="W241" s="343"/>
      <c r="X241" s="343"/>
      <c r="Y241" s="343"/>
      <c r="Z241" s="343"/>
      <c r="AA241" s="343"/>
      <c r="AB241" s="343"/>
      <c r="AC241" s="343"/>
      <c r="AD241" s="343"/>
      <c r="AE241" s="343"/>
      <c r="AF241" s="343"/>
      <c r="AG241" s="343"/>
      <c r="AH241" s="343"/>
      <c r="AI241" s="343"/>
      <c r="AJ241" s="343"/>
      <c r="AK241" s="343"/>
      <c r="AL241" s="343"/>
      <c r="AM241" s="343"/>
      <c r="AN241" s="343"/>
      <c r="AO241" s="343"/>
      <c r="AP241" s="343"/>
      <c r="AQ241" s="343"/>
      <c r="AR241" s="343"/>
      <c r="AS241" s="343"/>
      <c r="AT241" s="343"/>
      <c r="AU241" s="343"/>
      <c r="AV241" s="343"/>
      <c r="AW241" s="343"/>
      <c r="AX241" s="343"/>
      <c r="AY241" s="343"/>
      <c r="AZ241" s="343"/>
      <c r="BA241" s="343"/>
      <c r="BB241" s="343"/>
      <c r="BC241" s="343"/>
      <c r="BD241" s="343"/>
      <c r="BE241" s="343"/>
      <c r="BF241" s="343"/>
      <c r="BG241" s="343"/>
    </row>
    <row r="242" spans="8:59" hidden="1" x14ac:dyDescent="0.2">
      <c r="H242" s="343"/>
      <c r="I242" s="343"/>
      <c r="J242" s="343"/>
      <c r="K242" s="343"/>
      <c r="L242" s="343"/>
      <c r="M242" s="343"/>
      <c r="N242" s="343"/>
      <c r="O242" s="343"/>
      <c r="P242" s="343"/>
      <c r="Q242" s="343"/>
      <c r="R242" s="343"/>
      <c r="S242" s="343"/>
      <c r="T242" s="343"/>
      <c r="U242" s="343"/>
      <c r="V242" s="343"/>
      <c r="W242" s="343"/>
      <c r="X242" s="343"/>
      <c r="Y242" s="343"/>
      <c r="Z242" s="343"/>
      <c r="AA242" s="343"/>
      <c r="AB242" s="343"/>
      <c r="AC242" s="343"/>
      <c r="AD242" s="343"/>
      <c r="AE242" s="343"/>
      <c r="AF242" s="343"/>
      <c r="AG242" s="343"/>
      <c r="AH242" s="343"/>
      <c r="AI242" s="343"/>
      <c r="AJ242" s="343"/>
      <c r="AK242" s="343"/>
      <c r="AL242" s="343"/>
      <c r="AM242" s="343"/>
      <c r="AN242" s="343"/>
      <c r="AO242" s="343"/>
      <c r="AP242" s="343"/>
      <c r="AQ242" s="343"/>
      <c r="AR242" s="343"/>
      <c r="AS242" s="343"/>
      <c r="AT242" s="343"/>
      <c r="AU242" s="343"/>
      <c r="AV242" s="343"/>
      <c r="AW242" s="343"/>
      <c r="AX242" s="343"/>
      <c r="AY242" s="343"/>
      <c r="AZ242" s="343"/>
      <c r="BA242" s="343"/>
      <c r="BB242" s="343"/>
      <c r="BC242" s="343"/>
      <c r="BD242" s="343"/>
      <c r="BE242" s="343"/>
      <c r="BF242" s="343"/>
      <c r="BG242" s="343"/>
    </row>
    <row r="243" spans="8:59" hidden="1" x14ac:dyDescent="0.2">
      <c r="H243" s="343"/>
      <c r="I243" s="343"/>
      <c r="J243" s="343"/>
      <c r="K243" s="343"/>
      <c r="L243" s="343"/>
      <c r="M243" s="343"/>
      <c r="N243" s="343"/>
      <c r="O243" s="343"/>
      <c r="P243" s="343"/>
      <c r="Q243" s="343"/>
      <c r="R243" s="343"/>
      <c r="S243" s="343"/>
      <c r="T243" s="343"/>
      <c r="U243" s="343"/>
      <c r="V243" s="343"/>
      <c r="W243" s="343"/>
      <c r="X243" s="343"/>
      <c r="Y243" s="343"/>
      <c r="Z243" s="343"/>
      <c r="AA243" s="343"/>
      <c r="AB243" s="343"/>
      <c r="AC243" s="343"/>
      <c r="AD243" s="343"/>
      <c r="AE243" s="343"/>
      <c r="AF243" s="343"/>
      <c r="AG243" s="343"/>
      <c r="AH243" s="343"/>
      <c r="AI243" s="343"/>
      <c r="AJ243" s="343"/>
      <c r="AK243" s="343"/>
      <c r="AL243" s="343"/>
      <c r="AM243" s="343"/>
      <c r="AN243" s="343"/>
      <c r="AO243" s="343"/>
      <c r="AP243" s="343"/>
      <c r="AQ243" s="343"/>
      <c r="AR243" s="343"/>
      <c r="AS243" s="343"/>
      <c r="AT243" s="343"/>
      <c r="AU243" s="343"/>
      <c r="AV243" s="343"/>
      <c r="AW243" s="343"/>
      <c r="AX243" s="343"/>
      <c r="AY243" s="343"/>
      <c r="AZ243" s="343"/>
      <c r="BA243" s="343"/>
      <c r="BB243" s="343"/>
      <c r="BC243" s="343"/>
      <c r="BD243" s="343"/>
      <c r="BE243" s="343"/>
      <c r="BF243" s="343"/>
      <c r="BG243" s="343"/>
    </row>
    <row r="244" spans="8:59" hidden="1" x14ac:dyDescent="0.2">
      <c r="H244" s="343"/>
      <c r="I244" s="343"/>
      <c r="J244" s="343"/>
      <c r="K244" s="343"/>
      <c r="L244" s="343"/>
      <c r="M244" s="343"/>
      <c r="N244" s="343"/>
      <c r="O244" s="343"/>
      <c r="P244" s="343"/>
      <c r="Q244" s="343"/>
      <c r="R244" s="343"/>
      <c r="S244" s="343"/>
      <c r="T244" s="343"/>
      <c r="U244" s="343"/>
      <c r="V244" s="343"/>
      <c r="W244" s="343"/>
      <c r="X244" s="343"/>
      <c r="Y244" s="343"/>
      <c r="Z244" s="343"/>
      <c r="AA244" s="343"/>
      <c r="AB244" s="343"/>
      <c r="AC244" s="343"/>
      <c r="AD244" s="343"/>
      <c r="AE244" s="343"/>
      <c r="AF244" s="343"/>
      <c r="AG244" s="343"/>
      <c r="AH244" s="343"/>
      <c r="AI244" s="343"/>
      <c r="AJ244" s="343"/>
      <c r="AK244" s="343"/>
      <c r="AL244" s="343"/>
      <c r="AM244" s="343"/>
      <c r="AN244" s="343"/>
      <c r="AO244" s="343"/>
      <c r="AP244" s="343"/>
      <c r="AQ244" s="343"/>
      <c r="AR244" s="343"/>
      <c r="AS244" s="343"/>
      <c r="AT244" s="343"/>
      <c r="AU244" s="343"/>
      <c r="AV244" s="343"/>
      <c r="AW244" s="343"/>
      <c r="AX244" s="343"/>
      <c r="AY244" s="343"/>
      <c r="AZ244" s="343"/>
      <c r="BA244" s="343"/>
      <c r="BB244" s="343"/>
      <c r="BC244" s="343"/>
      <c r="BD244" s="343"/>
      <c r="BE244" s="343"/>
      <c r="BF244" s="343"/>
      <c r="BG244" s="343"/>
    </row>
    <row r="245" spans="8:59" hidden="1" x14ac:dyDescent="0.2">
      <c r="H245" s="343"/>
      <c r="I245" s="343"/>
      <c r="J245" s="343"/>
      <c r="K245" s="343"/>
      <c r="L245" s="343"/>
      <c r="M245" s="343"/>
      <c r="N245" s="343"/>
      <c r="O245" s="343"/>
      <c r="P245" s="343"/>
      <c r="Q245" s="343"/>
      <c r="R245" s="343"/>
      <c r="S245" s="343"/>
      <c r="T245" s="343"/>
      <c r="U245" s="343"/>
      <c r="V245" s="343"/>
      <c r="W245" s="343"/>
      <c r="X245" s="343"/>
      <c r="Y245" s="343"/>
      <c r="Z245" s="343"/>
      <c r="AA245" s="343"/>
      <c r="AB245" s="343"/>
      <c r="AC245" s="343"/>
      <c r="AD245" s="343"/>
      <c r="AE245" s="343"/>
      <c r="AF245" s="343"/>
      <c r="AG245" s="343"/>
      <c r="AH245" s="343"/>
      <c r="AI245" s="343"/>
      <c r="AJ245" s="343"/>
      <c r="AK245" s="343"/>
      <c r="AL245" s="343"/>
      <c r="AM245" s="343"/>
      <c r="AN245" s="343"/>
      <c r="AO245" s="343"/>
      <c r="AP245" s="343"/>
      <c r="AQ245" s="343"/>
      <c r="AR245" s="343"/>
      <c r="AS245" s="343"/>
      <c r="AT245" s="343"/>
      <c r="AU245" s="343"/>
      <c r="AV245" s="343"/>
      <c r="AW245" s="343"/>
      <c r="AX245" s="343"/>
      <c r="AY245" s="343"/>
      <c r="AZ245" s="343"/>
      <c r="BA245" s="343"/>
      <c r="BB245" s="343"/>
      <c r="BC245" s="343"/>
      <c r="BD245" s="343"/>
      <c r="BE245" s="343"/>
      <c r="BF245" s="343"/>
      <c r="BG245" s="343"/>
    </row>
    <row r="246" spans="8:59" hidden="1" x14ac:dyDescent="0.2">
      <c r="H246" s="343"/>
      <c r="I246" s="343"/>
      <c r="J246" s="343"/>
      <c r="K246" s="343"/>
      <c r="L246" s="343"/>
      <c r="M246" s="343"/>
      <c r="N246" s="343"/>
      <c r="O246" s="343"/>
      <c r="P246" s="343"/>
      <c r="Q246" s="343"/>
      <c r="R246" s="343"/>
      <c r="S246" s="343"/>
      <c r="T246" s="343"/>
      <c r="U246" s="343"/>
      <c r="V246" s="343"/>
      <c r="W246" s="343"/>
      <c r="X246" s="343"/>
      <c r="Y246" s="343"/>
      <c r="Z246" s="343"/>
      <c r="AA246" s="343"/>
      <c r="AB246" s="343"/>
      <c r="AC246" s="343"/>
      <c r="AD246" s="343"/>
      <c r="AE246" s="343"/>
      <c r="AF246" s="343"/>
      <c r="AG246" s="343"/>
      <c r="AH246" s="343"/>
      <c r="AI246" s="343"/>
      <c r="AJ246" s="343"/>
      <c r="AK246" s="343"/>
      <c r="AL246" s="343"/>
      <c r="AM246" s="343"/>
      <c r="AN246" s="343"/>
      <c r="AO246" s="343"/>
      <c r="AP246" s="343"/>
      <c r="AQ246" s="343"/>
      <c r="AR246" s="343"/>
      <c r="AS246" s="343"/>
      <c r="AT246" s="343"/>
      <c r="AU246" s="343"/>
      <c r="AV246" s="343"/>
      <c r="AW246" s="343"/>
      <c r="AX246" s="343"/>
      <c r="AY246" s="343"/>
      <c r="AZ246" s="343"/>
      <c r="BA246" s="343"/>
      <c r="BB246" s="343"/>
      <c r="BC246" s="343"/>
      <c r="BD246" s="343"/>
      <c r="BE246" s="343"/>
      <c r="BF246" s="343"/>
      <c r="BG246" s="343"/>
    </row>
    <row r="247" spans="8:59" hidden="1" x14ac:dyDescent="0.2"/>
    <row r="248" spans="8:59" hidden="1" x14ac:dyDescent="0.2"/>
    <row r="249" spans="8:59" hidden="1" x14ac:dyDescent="0.2"/>
    <row r="250" spans="8:59" hidden="1" x14ac:dyDescent="0.2"/>
    <row r="251" spans="8:59" hidden="1" x14ac:dyDescent="0.2"/>
    <row r="252" spans="8:59" hidden="1" x14ac:dyDescent="0.2"/>
    <row r="253" spans="8:59" hidden="1" x14ac:dyDescent="0.2"/>
    <row r="254" spans="8:59" hidden="1" x14ac:dyDescent="0.2"/>
    <row r="255" spans="8:59" hidden="1" x14ac:dyDescent="0.2"/>
    <row r="256" spans="8:59" hidden="1" x14ac:dyDescent="0.2"/>
    <row r="257" hidden="1" x14ac:dyDescent="0.2"/>
    <row r="258" hidden="1" x14ac:dyDescent="0.2"/>
    <row r="259" hidden="1" x14ac:dyDescent="0.2"/>
    <row r="260" hidden="1" x14ac:dyDescent="0.2"/>
    <row r="261" hidden="1" x14ac:dyDescent="0.2"/>
    <row r="262" hidden="1" x14ac:dyDescent="0.2"/>
    <row r="263" hidden="1" x14ac:dyDescent="0.2"/>
    <row r="264" hidden="1" x14ac:dyDescent="0.2"/>
    <row r="265" hidden="1" x14ac:dyDescent="0.2"/>
    <row r="266" hidden="1" x14ac:dyDescent="0.2"/>
    <row r="267" hidden="1" x14ac:dyDescent="0.2"/>
    <row r="268" hidden="1" x14ac:dyDescent="0.2"/>
    <row r="269" hidden="1" x14ac:dyDescent="0.2"/>
    <row r="270" hidden="1" x14ac:dyDescent="0.2"/>
    <row r="271" hidden="1" x14ac:dyDescent="0.2"/>
    <row r="272" hidden="1" x14ac:dyDescent="0.2"/>
    <row r="273" hidden="1" x14ac:dyDescent="0.2"/>
    <row r="274" hidden="1" x14ac:dyDescent="0.2"/>
    <row r="275" hidden="1" x14ac:dyDescent="0.2"/>
    <row r="276" hidden="1" x14ac:dyDescent="0.2"/>
    <row r="277" hidden="1" x14ac:dyDescent="0.2"/>
    <row r="278" hidden="1" x14ac:dyDescent="0.2"/>
    <row r="279" hidden="1" x14ac:dyDescent="0.2"/>
    <row r="280" hidden="1" x14ac:dyDescent="0.2"/>
    <row r="281" hidden="1" x14ac:dyDescent="0.2"/>
    <row r="282" hidden="1" x14ac:dyDescent="0.2"/>
    <row r="283" hidden="1" x14ac:dyDescent="0.2"/>
    <row r="284" hidden="1" x14ac:dyDescent="0.2"/>
    <row r="285" hidden="1" x14ac:dyDescent="0.2"/>
    <row r="286" hidden="1" x14ac:dyDescent="0.2"/>
    <row r="287" hidden="1" x14ac:dyDescent="0.2"/>
    <row r="288" hidden="1" x14ac:dyDescent="0.2"/>
    <row r="289" hidden="1" x14ac:dyDescent="0.2"/>
    <row r="290" hidden="1" x14ac:dyDescent="0.2"/>
    <row r="291" hidden="1" x14ac:dyDescent="0.2"/>
    <row r="292" hidden="1" x14ac:dyDescent="0.2"/>
    <row r="293" hidden="1" x14ac:dyDescent="0.2"/>
    <row r="294" hidden="1" x14ac:dyDescent="0.2"/>
    <row r="295" hidden="1" x14ac:dyDescent="0.2"/>
    <row r="296" hidden="1" x14ac:dyDescent="0.2"/>
    <row r="297" hidden="1" x14ac:dyDescent="0.2"/>
    <row r="298" hidden="1" x14ac:dyDescent="0.2"/>
    <row r="299" hidden="1" x14ac:dyDescent="0.2"/>
    <row r="300" hidden="1" x14ac:dyDescent="0.2"/>
    <row r="301" hidden="1" x14ac:dyDescent="0.2"/>
    <row r="302" hidden="1" x14ac:dyDescent="0.2"/>
    <row r="303" hidden="1" x14ac:dyDescent="0.2"/>
    <row r="304" hidden="1" x14ac:dyDescent="0.2"/>
    <row r="305" hidden="1" x14ac:dyDescent="0.2"/>
    <row r="306" hidden="1" x14ac:dyDescent="0.2"/>
    <row r="307" hidden="1" x14ac:dyDescent="0.2"/>
    <row r="308" hidden="1" x14ac:dyDescent="0.2"/>
    <row r="309" hidden="1" x14ac:dyDescent="0.2"/>
    <row r="310" hidden="1" x14ac:dyDescent="0.2"/>
    <row r="311" hidden="1" x14ac:dyDescent="0.2"/>
    <row r="312" hidden="1" x14ac:dyDescent="0.2"/>
    <row r="313" hidden="1" x14ac:dyDescent="0.2"/>
    <row r="314" hidden="1" x14ac:dyDescent="0.2"/>
    <row r="315" hidden="1" x14ac:dyDescent="0.2"/>
    <row r="316" hidden="1" x14ac:dyDescent="0.2"/>
    <row r="317" hidden="1" x14ac:dyDescent="0.2"/>
    <row r="318" hidden="1" x14ac:dyDescent="0.2"/>
    <row r="319" hidden="1" x14ac:dyDescent="0.2"/>
    <row r="320" hidden="1" x14ac:dyDescent="0.2"/>
    <row r="321" hidden="1" x14ac:dyDescent="0.2"/>
    <row r="322" hidden="1" x14ac:dyDescent="0.2"/>
    <row r="323" hidden="1" x14ac:dyDescent="0.2"/>
    <row r="324" hidden="1" x14ac:dyDescent="0.2"/>
    <row r="325" hidden="1" x14ac:dyDescent="0.2"/>
    <row r="326" hidden="1" x14ac:dyDescent="0.2"/>
    <row r="327" hidden="1" x14ac:dyDescent="0.2"/>
    <row r="328" hidden="1" x14ac:dyDescent="0.2"/>
    <row r="329" hidden="1" x14ac:dyDescent="0.2"/>
    <row r="330" hidden="1" x14ac:dyDescent="0.2"/>
    <row r="331" hidden="1" x14ac:dyDescent="0.2"/>
    <row r="332" hidden="1" x14ac:dyDescent="0.2"/>
    <row r="333" hidden="1" x14ac:dyDescent="0.2"/>
    <row r="334" hidden="1" x14ac:dyDescent="0.2"/>
    <row r="335" hidden="1" x14ac:dyDescent="0.2"/>
    <row r="336" hidden="1" x14ac:dyDescent="0.2"/>
    <row r="337" hidden="1" x14ac:dyDescent="0.2"/>
    <row r="338" hidden="1" x14ac:dyDescent="0.2"/>
    <row r="339" hidden="1" x14ac:dyDescent="0.2"/>
    <row r="340" hidden="1" x14ac:dyDescent="0.2"/>
    <row r="341" hidden="1" x14ac:dyDescent="0.2"/>
    <row r="342" hidden="1" x14ac:dyDescent="0.2"/>
    <row r="343" hidden="1" x14ac:dyDescent="0.2"/>
    <row r="344" hidden="1" x14ac:dyDescent="0.2"/>
    <row r="345" hidden="1" x14ac:dyDescent="0.2"/>
    <row r="346" hidden="1" x14ac:dyDescent="0.2"/>
    <row r="347" hidden="1" x14ac:dyDescent="0.2"/>
    <row r="348" hidden="1" x14ac:dyDescent="0.2"/>
  </sheetData>
  <sheetProtection algorithmName="SHA-512" hashValue="Gjbi30lAkggal/+cZfOh5PyZ6Y+PpdkkrcZ9qI8l0KnFRLvWfZ3nUz7ZZY66yX1JFB2rRBZyZ2p7W6kJayJOjA==" saltValue="BLNjzE3p++XrXybkPJ2jeg==" spinCount="100000" sheet="1" objects="1" scenarios="1"/>
  <mergeCells count="5">
    <mergeCell ref="B21:B23"/>
    <mergeCell ref="C21:D22"/>
    <mergeCell ref="E21:F22"/>
    <mergeCell ref="C10:E10"/>
    <mergeCell ref="C11:E11"/>
  </mergeCells>
  <conditionalFormatting sqref="B24:F123 H26:BG123">
    <cfRule type="expression" dxfId="29" priority="17">
      <formula>IF($B24="",FALSE,TRUE)</formula>
    </cfRule>
  </conditionalFormatting>
  <conditionalFormatting sqref="B24:F123">
    <cfRule type="expression" dxfId="28" priority="3">
      <formula>IF(AND($BI24="",$B24&lt;&gt;""),TRUE,FALSE)</formula>
    </cfRule>
    <cfRule type="expression" dxfId="27" priority="16">
      <formula>IF($B24&lt;&gt;"",TRUE,FALSE)</formula>
    </cfRule>
  </conditionalFormatting>
  <conditionalFormatting sqref="C23:F23 C21 E21">
    <cfRule type="expression" dxfId="26" priority="15">
      <formula>IF($B$21="Core session",TRUE,FALSE)</formula>
    </cfRule>
  </conditionalFormatting>
  <conditionalFormatting sqref="B124:D223 F124:F223">
    <cfRule type="expression" dxfId="25" priority="13">
      <formula>IF($B124&lt;&gt;"",TRUE,FALSE)</formula>
    </cfRule>
    <cfRule type="expression" dxfId="24" priority="14">
      <formula>IF($B124="",FALSE,TRUE)</formula>
    </cfRule>
  </conditionalFormatting>
  <conditionalFormatting sqref="H124:BG223">
    <cfRule type="expression" dxfId="23" priority="12">
      <formula>IF($B124="", FALSE, TRUE)</formula>
    </cfRule>
  </conditionalFormatting>
  <conditionalFormatting sqref="E124:E223">
    <cfRule type="expression" dxfId="22" priority="10">
      <formula>IF($B124="",FALSE,TRUE)</formula>
    </cfRule>
  </conditionalFormatting>
  <conditionalFormatting sqref="E124:E223">
    <cfRule type="expression" dxfId="21" priority="9">
      <formula>IF($B124&lt;&gt;"",TRUE,FALSE)</formula>
    </cfRule>
  </conditionalFormatting>
  <conditionalFormatting sqref="BI23">
    <cfRule type="expression" dxfId="20" priority="8">
      <formula>IF($B$21="Core session",TRUE,FALSE)</formula>
    </cfRule>
  </conditionalFormatting>
  <conditionalFormatting sqref="BI24:BI124">
    <cfRule type="expression" dxfId="19" priority="6">
      <formula>IF($B24="",FALSE,TRUE)</formula>
    </cfRule>
  </conditionalFormatting>
  <conditionalFormatting sqref="BI125:BI223">
    <cfRule type="expression" dxfId="18" priority="4">
      <formula>IF($B125="",FALSE,TRUE)</formula>
    </cfRule>
  </conditionalFormatting>
  <conditionalFormatting sqref="B124:F124">
    <cfRule type="expression" dxfId="17" priority="2">
      <formula>IF(AND($BI124="",$B124&lt;&gt;""),TRUE,FALSE)</formula>
    </cfRule>
  </conditionalFormatting>
  <conditionalFormatting sqref="H24:BG25">
    <cfRule type="expression" dxfId="16" priority="1">
      <formula>IF($B24="",FALSE,TRUE)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247650</xdr:colOff>
                    <xdr:row>5</xdr:row>
                    <xdr:rowOff>171450</xdr:rowOff>
                  </from>
                  <to>
                    <xdr:col>2</xdr:col>
                    <xdr:colOff>552450</xdr:colOff>
                    <xdr:row>7</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8" id="{C604E358-9099-4C3C-8FED-C263D58C96AD}">
            <xm:f>IF('Capacity calculation (hide)'!H114=0,TRUE,FALSE)</xm:f>
            <x14:dxf>
              <fill>
                <patternFill>
                  <bgColor theme="0" tint="-0.34998626667073579"/>
                </patternFill>
              </fill>
            </x14:dxf>
          </x14:cfRule>
          <xm:sqref>H26:BG123</xm:sqref>
        </x14:conditionalFormatting>
        <x14:conditionalFormatting xmlns:xm="http://schemas.microsoft.com/office/excel/2006/main">
          <x14:cfRule type="expression" priority="11"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7"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F58" sqref="F58"/>
    </sheetView>
  </sheetViews>
  <sheetFormatPr defaultColWidth="9" defaultRowHeight="14.25" x14ac:dyDescent="0.2"/>
  <cols>
    <col min="1" max="1" width="9.75" style="67" bestFit="1" customWidth="1"/>
    <col min="2" max="2" width="17.75" style="67" bestFit="1" customWidth="1"/>
    <col min="3" max="6" width="10.25" style="67" customWidth="1"/>
    <col min="7" max="7" width="16.625" style="67" customWidth="1"/>
    <col min="8" max="9" width="10.25" style="67" customWidth="1"/>
    <col min="10" max="19" width="9" style="67" customWidth="1"/>
    <col min="20" max="20" width="14.75" style="67" customWidth="1"/>
    <col min="21" max="100" width="9" style="67" customWidth="1"/>
    <col min="101" max="101" width="9.75" style="67" bestFit="1" customWidth="1"/>
    <col min="102" max="103" width="9" style="67"/>
    <col min="104" max="104" width="10" style="67" bestFit="1" customWidth="1"/>
    <col min="105" max="208" width="9" style="67" customWidth="1"/>
    <col min="209" max="16384" width="9" style="67"/>
  </cols>
  <sheetData>
    <row r="1" spans="1:72" x14ac:dyDescent="0.2">
      <c r="B1" s="67" t="s">
        <v>292</v>
      </c>
      <c r="C1" s="67">
        <v>1</v>
      </c>
    </row>
    <row r="2" spans="1:72" x14ac:dyDescent="0.2">
      <c r="A2" s="67" t="s">
        <v>442</v>
      </c>
      <c r="H2" s="67" t="s">
        <v>1164</v>
      </c>
      <c r="I2" s="67">
        <f t="array" aca="1" ref="I2" ca="1">IF(OR(I6:I105-H6:H105&lt;0,K6:K105-J6:J105&lt;0,M6:M105-L6:L105&lt;0,O6:O105-N6:N105&lt;0,Q6:Q105-P6:P105&lt;0),1,0)</f>
        <v>0</v>
      </c>
    </row>
    <row r="3" spans="1:72" x14ac:dyDescent="0.2">
      <c r="T3" s="67" t="s">
        <v>449</v>
      </c>
    </row>
    <row r="4" spans="1:72" ht="15" x14ac:dyDescent="0.25">
      <c r="B4" s="2"/>
      <c r="C4" s="2"/>
      <c r="D4" s="2" t="s">
        <v>468</v>
      </c>
      <c r="E4" s="2"/>
      <c r="F4" s="2"/>
      <c r="G4" s="115"/>
      <c r="H4" s="2" t="s">
        <v>444</v>
      </c>
      <c r="I4" s="2"/>
      <c r="J4" s="2" t="s">
        <v>445</v>
      </c>
      <c r="K4" s="2"/>
      <c r="L4" s="2" t="s">
        <v>446</v>
      </c>
      <c r="M4" s="2"/>
      <c r="N4" s="2" t="s">
        <v>447</v>
      </c>
      <c r="O4" s="2"/>
      <c r="P4" s="2" t="s">
        <v>448</v>
      </c>
      <c r="Q4" s="2"/>
      <c r="U4" s="2" t="s">
        <v>248</v>
      </c>
    </row>
    <row r="5" spans="1:72" ht="15"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
      <c r="A6" s="317">
        <f ca="1">B6+6</f>
        <v>43590</v>
      </c>
      <c r="B6" s="87">
        <f ca="1">IF('Critical resources'!$D$3="",TODAY()-WEEKDAY(TODAY(),3)+7,'Critical resources'!D3-WEEKDAY('Critical resources'!D3,3))</f>
        <v>43584</v>
      </c>
      <c r="C6" s="67">
        <v>1</v>
      </c>
      <c r="D6" s="67">
        <f ca="1">YEAR(B6)</f>
        <v>2019</v>
      </c>
      <c r="E6" s="67" t="str">
        <f t="shared" ref="E6:E54" ca="1" si="0">IF(TEXT(B6,"MMM")=TEXT(B5,"MMM")," ",TEXT(B6,"MMM"))</f>
        <v>Apr</v>
      </c>
      <c r="F6" s="67">
        <f ca="1">WEEKNUM(B6,21)</f>
        <v>18</v>
      </c>
      <c r="G6" s="67" t="str">
        <f>ROW(A1)&amp;". "&amp;'Critical resources'!B12</f>
        <v>1. Consultant: Mr Smith</v>
      </c>
      <c r="H6" s="67">
        <f ca="1">IFERROR(VLOOKUP('Critical resources'!D12,$B$6:$C$57,2,0),0)</f>
        <v>1</v>
      </c>
      <c r="I6" s="67">
        <f ca="1">IFERROR(VLOOKUP('Critical resources'!E12,$A$6:$C$57,3,0),0)</f>
        <v>2</v>
      </c>
      <c r="J6" s="67">
        <f ca="1">IFERROR(VLOOKUP('Critical resources'!G12,$B$6:$C$57,2,0),0)</f>
        <v>3</v>
      </c>
      <c r="K6" s="67">
        <f ca="1">IFERROR(VLOOKUP('Critical resources'!H12,$A$6:$C$57,3,0),0)</f>
        <v>5</v>
      </c>
      <c r="L6" s="67">
        <f ca="1">IFERROR(VLOOKUP('Critical resources'!J12,$B$6:$C$57,2,0),0)</f>
        <v>21</v>
      </c>
      <c r="M6" s="67">
        <f ca="1">IFERROR(VLOOKUP('Critical resources'!K12,$A$6:$C$57,3,0),0)</f>
        <v>24</v>
      </c>
      <c r="N6" s="67">
        <f ca="1">IFERROR(VLOOKUP('Critical resources'!M12,$B$6:$C$57,2,0),0)</f>
        <v>41</v>
      </c>
      <c r="O6" s="67">
        <f ca="1">IFERROR(VLOOKUP('Critical resources'!N12,$A$6:$C$57,3,0),0)</f>
        <v>41</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1</v>
      </c>
      <c r="V6" s="67">
        <f t="shared" ref="V6:AK21" ca="1" si="2">SUM(IFERROR(IF(AND(V$5&gt;=$H6,V$5&lt;=$I6),1,0),0),IFERROR(IF(AND(V$5&gt;=$J6,V$5&lt;=$K6),1,0),0),IFERROR(IF(AND(V$5&gt;=$L6,V$5&lt;=$M6),1,0),0),IFERROR(IF(AND(V$5&gt;=$N6,V$5&lt;=$O6),1,0),0),IFERROR(IF(AND(V$5&gt;=$P6,V$5&lt;=$Q6),1,0),0))</f>
        <v>1</v>
      </c>
      <c r="W6" s="67">
        <f t="shared" ca="1" si="2"/>
        <v>1</v>
      </c>
      <c r="X6" s="67">
        <f t="shared" ca="1" si="2"/>
        <v>1</v>
      </c>
      <c r="Y6" s="67">
        <f t="shared" ca="1" si="2"/>
        <v>1</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1</v>
      </c>
      <c r="AP6" s="67">
        <f t="shared" ca="1" si="3"/>
        <v>1</v>
      </c>
      <c r="AQ6" s="67">
        <f t="shared" ca="1" si="3"/>
        <v>1</v>
      </c>
      <c r="AR6" s="67">
        <f t="shared" ca="1" si="3"/>
        <v>1</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1</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
      <c r="A7" s="317">
        <f t="shared" ref="A7:A58" ca="1" si="6">B7+6</f>
        <v>43597</v>
      </c>
      <c r="B7" s="87">
        <f ca="1">B6+7</f>
        <v>43591</v>
      </c>
      <c r="C7" s="67">
        <v>2</v>
      </c>
      <c r="D7" s="67" t="str">
        <f ca="1">IF(YEAR(B7)=YEAR(B6),"",YEAR(B7))</f>
        <v/>
      </c>
      <c r="E7" s="67" t="str">
        <f t="shared" ca="1" si="0"/>
        <v>May</v>
      </c>
      <c r="F7" s="67">
        <f t="shared" ref="F7:F58" ca="1" si="7">WEEKNUM(B7,21)</f>
        <v>19</v>
      </c>
      <c r="G7" s="67" t="str">
        <f>ROW(A2)&amp;". "&amp;'Critical resources'!B13</f>
        <v>2. Consultant: Ms Taylor</v>
      </c>
      <c r="H7" s="67">
        <f ca="1">IFERROR(VLOOKUP('Critical resources'!D13,$B$6:$C$57,2,0),0)</f>
        <v>34</v>
      </c>
      <c r="I7" s="67">
        <f ca="1">IFERROR(VLOOKUP('Critical resources'!E13,$A$6:$C$57,3,0),0)</f>
        <v>38</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1</v>
      </c>
      <c r="BC7" s="67">
        <f t="shared" ca="1" si="4"/>
        <v>1</v>
      </c>
      <c r="BD7" s="67">
        <f t="shared" ca="1" si="4"/>
        <v>1</v>
      </c>
      <c r="BE7" s="67">
        <f t="shared" ca="1" si="4"/>
        <v>1</v>
      </c>
      <c r="BF7" s="67">
        <f t="shared" ca="1" si="4"/>
        <v>1</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
      <c r="A8" s="317">
        <f t="shared" ca="1" si="6"/>
        <v>43604</v>
      </c>
      <c r="B8" s="87">
        <f t="shared" ref="B8:B58" ca="1" si="9">B7+7</f>
        <v>43598</v>
      </c>
      <c r="C8" s="67">
        <v>3</v>
      </c>
      <c r="D8" s="67" t="str">
        <f t="shared" ref="D8:D57" ca="1" si="10">IF(YEAR(B8)=YEAR(B7),"",YEAR(B8))</f>
        <v/>
      </c>
      <c r="E8" s="67" t="str">
        <f t="shared" ca="1" si="0"/>
        <v xml:space="preserve"> </v>
      </c>
      <c r="F8" s="67">
        <f t="shared" ca="1" si="7"/>
        <v>20</v>
      </c>
      <c r="G8" s="67" t="str">
        <f>ROW(A3)&amp;". "&amp;'Critical resources'!B14</f>
        <v>3. CT Scanner 1</v>
      </c>
      <c r="H8" s="67">
        <f ca="1">IFERROR(VLOOKUP('Critical resources'!D14,$B$6:$C$57,2,0),0)</f>
        <v>15</v>
      </c>
      <c r="I8" s="67">
        <f ca="1">IFERROR(VLOOKUP('Critical resources'!E14,$A$6:$C$57,3,0),0)</f>
        <v>20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1</v>
      </c>
      <c r="AJ8" s="67">
        <f t="shared" ca="1" si="2"/>
        <v>1</v>
      </c>
      <c r="AK8" s="67">
        <f t="shared" ca="1" si="2"/>
        <v>1</v>
      </c>
      <c r="AL8" s="67">
        <f t="shared" ca="1" si="3"/>
        <v>1</v>
      </c>
      <c r="AM8" s="67">
        <f t="shared" ca="1" si="3"/>
        <v>1</v>
      </c>
      <c r="AN8" s="67">
        <f t="shared" ca="1" si="3"/>
        <v>1</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
      <c r="A9" s="317">
        <f t="shared" ca="1" si="6"/>
        <v>43611</v>
      </c>
      <c r="B9" s="87">
        <f t="shared" ca="1" si="9"/>
        <v>43605</v>
      </c>
      <c r="C9" s="67">
        <v>4</v>
      </c>
      <c r="D9" s="67" t="str">
        <f t="shared" ca="1" si="10"/>
        <v/>
      </c>
      <c r="E9" s="67" t="str">
        <f t="shared" ca="1" si="0"/>
        <v xml:space="preserve"> </v>
      </c>
      <c r="F9" s="67">
        <f t="shared" ca="1" si="7"/>
        <v>21</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
      <c r="A10" s="317">
        <f t="shared" ca="1" si="6"/>
        <v>43618</v>
      </c>
      <c r="B10" s="87">
        <f t="shared" ca="1" si="9"/>
        <v>43612</v>
      </c>
      <c r="C10" s="67">
        <v>5</v>
      </c>
      <c r="D10" s="67" t="str">
        <f t="shared" ca="1" si="10"/>
        <v/>
      </c>
      <c r="E10" s="67" t="str">
        <f t="shared" ca="1" si="0"/>
        <v xml:space="preserve"> </v>
      </c>
      <c r="F10" s="67">
        <f t="shared" ca="1" si="7"/>
        <v>22</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
      <c r="A11" s="317">
        <f t="shared" ca="1" si="6"/>
        <v>43625</v>
      </c>
      <c r="B11" s="87">
        <f t="shared" ca="1" si="9"/>
        <v>43619</v>
      </c>
      <c r="C11" s="67">
        <v>6</v>
      </c>
      <c r="D11" s="67" t="str">
        <f t="shared" ca="1" si="10"/>
        <v/>
      </c>
      <c r="E11" s="67" t="str">
        <f t="shared" ca="1" si="0"/>
        <v>Jun</v>
      </c>
      <c r="F11" s="67">
        <f t="shared" ca="1" si="7"/>
        <v>23</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
      <c r="A12" s="317">
        <f t="shared" ca="1" si="6"/>
        <v>43632</v>
      </c>
      <c r="B12" s="87">
        <f t="shared" ca="1" si="9"/>
        <v>43626</v>
      </c>
      <c r="C12" s="67">
        <v>7</v>
      </c>
      <c r="D12" s="67" t="str">
        <f t="shared" ca="1" si="10"/>
        <v/>
      </c>
      <c r="E12" s="67" t="str">
        <f t="shared" ca="1" si="0"/>
        <v xml:space="preserve"> </v>
      </c>
      <c r="F12" s="67">
        <f t="shared" ca="1" si="7"/>
        <v>24</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
      <c r="A13" s="317">
        <f t="shared" ca="1" si="6"/>
        <v>43639</v>
      </c>
      <c r="B13" s="87">
        <f t="shared" ca="1" si="9"/>
        <v>43633</v>
      </c>
      <c r="C13" s="67">
        <v>8</v>
      </c>
      <c r="D13" s="67" t="str">
        <f t="shared" ca="1" si="10"/>
        <v/>
      </c>
      <c r="E13" s="67" t="str">
        <f t="shared" ca="1" si="0"/>
        <v xml:space="preserve"> </v>
      </c>
      <c r="F13" s="67">
        <f t="shared" ca="1" si="7"/>
        <v>25</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
      <c r="A14" s="317">
        <f t="shared" ca="1" si="6"/>
        <v>43646</v>
      </c>
      <c r="B14" s="87">
        <f t="shared" ca="1" si="9"/>
        <v>43640</v>
      </c>
      <c r="C14" s="67">
        <v>9</v>
      </c>
      <c r="D14" s="67" t="str">
        <f t="shared" ca="1" si="10"/>
        <v/>
      </c>
      <c r="E14" s="67" t="str">
        <f t="shared" ca="1" si="0"/>
        <v xml:space="preserve"> </v>
      </c>
      <c r="F14" s="67">
        <f t="shared" ca="1" si="7"/>
        <v>26</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
      <c r="A15" s="317">
        <f t="shared" ca="1" si="6"/>
        <v>43653</v>
      </c>
      <c r="B15" s="87">
        <f t="shared" ca="1" si="9"/>
        <v>43647</v>
      </c>
      <c r="C15" s="67">
        <v>10</v>
      </c>
      <c r="D15" s="67" t="str">
        <f t="shared" ca="1" si="10"/>
        <v/>
      </c>
      <c r="E15" s="67" t="str">
        <f t="shared" ca="1" si="0"/>
        <v>Jul</v>
      </c>
      <c r="F15" s="67">
        <f t="shared" ca="1" si="7"/>
        <v>27</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
      <c r="A16" s="317">
        <f t="shared" ca="1" si="6"/>
        <v>43660</v>
      </c>
      <c r="B16" s="87">
        <f t="shared" ca="1" si="9"/>
        <v>43654</v>
      </c>
      <c r="C16" s="67">
        <v>11</v>
      </c>
      <c r="D16" s="67" t="str">
        <f t="shared" ca="1" si="10"/>
        <v/>
      </c>
      <c r="E16" s="67" t="str">
        <f t="shared" ca="1" si="0"/>
        <v xml:space="preserve"> </v>
      </c>
      <c r="F16" s="67">
        <f t="shared" ca="1" si="7"/>
        <v>28</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
      <c r="A17" s="317">
        <f t="shared" ca="1" si="6"/>
        <v>43667</v>
      </c>
      <c r="B17" s="87">
        <f t="shared" ca="1" si="9"/>
        <v>43661</v>
      </c>
      <c r="C17" s="67">
        <v>12</v>
      </c>
      <c r="D17" s="67" t="str">
        <f t="shared" ca="1" si="10"/>
        <v/>
      </c>
      <c r="E17" s="67" t="str">
        <f t="shared" ca="1" si="0"/>
        <v xml:space="preserve"> </v>
      </c>
      <c r="F17" s="67">
        <f t="shared" ca="1" si="7"/>
        <v>29</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
      <c r="A18" s="317">
        <f t="shared" ca="1" si="6"/>
        <v>43674</v>
      </c>
      <c r="B18" s="87">
        <f t="shared" ca="1" si="9"/>
        <v>43668</v>
      </c>
      <c r="C18" s="67">
        <v>13</v>
      </c>
      <c r="D18" s="67" t="str">
        <f t="shared" ca="1" si="10"/>
        <v/>
      </c>
      <c r="E18" s="67" t="str">
        <f t="shared" ca="1" si="0"/>
        <v xml:space="preserve"> </v>
      </c>
      <c r="F18" s="67">
        <f t="shared" ca="1" si="7"/>
        <v>30</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
      <c r="A19" s="317">
        <f t="shared" ca="1" si="6"/>
        <v>43681</v>
      </c>
      <c r="B19" s="87">
        <f t="shared" ca="1" si="9"/>
        <v>43675</v>
      </c>
      <c r="C19" s="67">
        <v>14</v>
      </c>
      <c r="D19" s="67" t="str">
        <f t="shared" ca="1" si="10"/>
        <v/>
      </c>
      <c r="E19" s="67" t="str">
        <f t="shared" ca="1" si="0"/>
        <v xml:space="preserve"> </v>
      </c>
      <c r="F19" s="67">
        <f t="shared" ca="1" si="7"/>
        <v>31</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
      <c r="A20" s="317">
        <f t="shared" ca="1" si="6"/>
        <v>43688</v>
      </c>
      <c r="B20" s="87">
        <f t="shared" ca="1" si="9"/>
        <v>43682</v>
      </c>
      <c r="C20" s="67">
        <v>15</v>
      </c>
      <c r="D20" s="67" t="str">
        <f t="shared" ca="1" si="10"/>
        <v/>
      </c>
      <c r="E20" s="67" t="str">
        <f t="shared" ca="1" si="0"/>
        <v>Aug</v>
      </c>
      <c r="F20" s="67">
        <f t="shared" ca="1" si="7"/>
        <v>32</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
      <c r="A21" s="317">
        <f t="shared" ca="1" si="6"/>
        <v>43695</v>
      </c>
      <c r="B21" s="87">
        <f t="shared" ca="1" si="9"/>
        <v>43689</v>
      </c>
      <c r="C21" s="67">
        <v>16</v>
      </c>
      <c r="D21" s="67" t="str">
        <f t="shared" ca="1" si="10"/>
        <v/>
      </c>
      <c r="E21" s="67" t="str">
        <f t="shared" ca="1" si="0"/>
        <v xml:space="preserve"> </v>
      </c>
      <c r="F21" s="67">
        <f t="shared" ca="1" si="7"/>
        <v>33</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
      <c r="A22" s="317">
        <f t="shared" ca="1" si="6"/>
        <v>43702</v>
      </c>
      <c r="B22" s="87">
        <f t="shared" ca="1" si="9"/>
        <v>43696</v>
      </c>
      <c r="C22" s="67">
        <v>17</v>
      </c>
      <c r="D22" s="67" t="str">
        <f t="shared" ca="1" si="10"/>
        <v/>
      </c>
      <c r="E22" s="67" t="str">
        <f t="shared" ca="1" si="0"/>
        <v xml:space="preserve"> </v>
      </c>
      <c r="F22" s="67">
        <f t="shared" ca="1" si="7"/>
        <v>34</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
      <c r="A23" s="317">
        <f t="shared" ca="1" si="6"/>
        <v>43709</v>
      </c>
      <c r="B23" s="87">
        <f t="shared" ca="1" si="9"/>
        <v>43703</v>
      </c>
      <c r="C23" s="67">
        <v>18</v>
      </c>
      <c r="D23" s="67" t="str">
        <f t="shared" ca="1" si="10"/>
        <v/>
      </c>
      <c r="E23" s="67" t="str">
        <f t="shared" ca="1" si="0"/>
        <v xml:space="preserve"> </v>
      </c>
      <c r="F23" s="67">
        <f t="shared" ca="1" si="7"/>
        <v>35</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
      <c r="A24" s="317">
        <f t="shared" ca="1" si="6"/>
        <v>43716</v>
      </c>
      <c r="B24" s="87">
        <f t="shared" ca="1" si="9"/>
        <v>43710</v>
      </c>
      <c r="C24" s="67">
        <v>19</v>
      </c>
      <c r="D24" s="67" t="str">
        <f t="shared" ca="1" si="10"/>
        <v/>
      </c>
      <c r="E24" s="67" t="str">
        <f t="shared" ca="1" si="0"/>
        <v>Sep</v>
      </c>
      <c r="F24" s="67">
        <f t="shared" ca="1" si="7"/>
        <v>36</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
      <c r="A25" s="317">
        <f t="shared" ca="1" si="6"/>
        <v>43723</v>
      </c>
      <c r="B25" s="87">
        <f t="shared" ca="1" si="9"/>
        <v>43717</v>
      </c>
      <c r="C25" s="67">
        <v>20</v>
      </c>
      <c r="D25" s="67" t="str">
        <f t="shared" ca="1" si="10"/>
        <v/>
      </c>
      <c r="E25" s="67" t="str">
        <f t="shared" ca="1" si="0"/>
        <v xml:space="preserve"> </v>
      </c>
      <c r="F25" s="67">
        <f t="shared" ca="1" si="7"/>
        <v>37</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
      <c r="A26" s="317">
        <f t="shared" ca="1" si="6"/>
        <v>43730</v>
      </c>
      <c r="B26" s="87">
        <f t="shared" ca="1" si="9"/>
        <v>43724</v>
      </c>
      <c r="C26" s="67">
        <v>21</v>
      </c>
      <c r="D26" s="67" t="str">
        <f t="shared" ca="1" si="10"/>
        <v/>
      </c>
      <c r="E26" s="67" t="str">
        <f t="shared" ca="1" si="0"/>
        <v xml:space="preserve"> </v>
      </c>
      <c r="F26" s="67">
        <f t="shared" ca="1" si="7"/>
        <v>38</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
      <c r="A27" s="317">
        <f t="shared" ca="1" si="6"/>
        <v>43737</v>
      </c>
      <c r="B27" s="87">
        <f t="shared" ca="1" si="9"/>
        <v>43731</v>
      </c>
      <c r="C27" s="67">
        <v>22</v>
      </c>
      <c r="D27" s="67" t="str">
        <f t="shared" ca="1" si="10"/>
        <v/>
      </c>
      <c r="E27" s="67" t="str">
        <f t="shared" ca="1" si="0"/>
        <v xml:space="preserve"> </v>
      </c>
      <c r="F27" s="67">
        <f t="shared" ca="1" si="7"/>
        <v>39</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
      <c r="A28" s="317">
        <f t="shared" ca="1" si="6"/>
        <v>43744</v>
      </c>
      <c r="B28" s="87">
        <f t="shared" ca="1" si="9"/>
        <v>43738</v>
      </c>
      <c r="C28" s="67">
        <v>23</v>
      </c>
      <c r="D28" s="67" t="str">
        <f t="shared" ca="1" si="10"/>
        <v/>
      </c>
      <c r="E28" s="67" t="str">
        <f t="shared" ca="1" si="0"/>
        <v xml:space="preserve"> </v>
      </c>
      <c r="F28" s="67">
        <f t="shared" ca="1" si="7"/>
        <v>40</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
      <c r="A29" s="317">
        <f t="shared" ca="1" si="6"/>
        <v>43751</v>
      </c>
      <c r="B29" s="87">
        <f t="shared" ca="1" si="9"/>
        <v>43745</v>
      </c>
      <c r="C29" s="67">
        <v>24</v>
      </c>
      <c r="D29" s="67" t="str">
        <f t="shared" ca="1" si="10"/>
        <v/>
      </c>
      <c r="E29" s="67" t="str">
        <f t="shared" ca="1" si="0"/>
        <v>Oct</v>
      </c>
      <c r="F29" s="67">
        <f t="shared" ca="1" si="7"/>
        <v>41</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
      <c r="A30" s="317">
        <f t="shared" ca="1" si="6"/>
        <v>43758</v>
      </c>
      <c r="B30" s="87">
        <f t="shared" ca="1" si="9"/>
        <v>43752</v>
      </c>
      <c r="C30" s="67">
        <v>25</v>
      </c>
      <c r="D30" s="67" t="str">
        <f t="shared" ca="1" si="10"/>
        <v/>
      </c>
      <c r="E30" s="67" t="str">
        <f t="shared" ca="1" si="0"/>
        <v xml:space="preserve"> </v>
      </c>
      <c r="F30" s="67">
        <f t="shared" ca="1" si="7"/>
        <v>42</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
      <c r="A31" s="317">
        <f t="shared" ca="1" si="6"/>
        <v>43765</v>
      </c>
      <c r="B31" s="87">
        <f t="shared" ca="1" si="9"/>
        <v>43759</v>
      </c>
      <c r="C31" s="67">
        <v>26</v>
      </c>
      <c r="D31" s="67" t="str">
        <f t="shared" ca="1" si="10"/>
        <v/>
      </c>
      <c r="E31" s="67" t="str">
        <f t="shared" ca="1" si="0"/>
        <v xml:space="preserve"> </v>
      </c>
      <c r="F31" s="67">
        <f t="shared" ca="1" si="7"/>
        <v>43</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
      <c r="A32" s="317">
        <f t="shared" ca="1" si="6"/>
        <v>43772</v>
      </c>
      <c r="B32" s="87">
        <f t="shared" ca="1" si="9"/>
        <v>43766</v>
      </c>
      <c r="C32" s="67">
        <v>27</v>
      </c>
      <c r="D32" s="67" t="str">
        <f t="shared" ca="1" si="10"/>
        <v/>
      </c>
      <c r="E32" s="67" t="str">
        <f t="shared" ca="1" si="0"/>
        <v xml:space="preserve"> </v>
      </c>
      <c r="F32" s="67">
        <f t="shared" ca="1" si="7"/>
        <v>44</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
      <c r="A33" s="317">
        <f t="shared" ca="1" si="6"/>
        <v>43779</v>
      </c>
      <c r="B33" s="87">
        <f t="shared" ca="1" si="9"/>
        <v>43773</v>
      </c>
      <c r="C33" s="67">
        <v>28</v>
      </c>
      <c r="D33" s="67" t="str">
        <f t="shared" ca="1" si="10"/>
        <v/>
      </c>
      <c r="E33" s="67" t="str">
        <f t="shared" ca="1" si="0"/>
        <v>Nov</v>
      </c>
      <c r="F33" s="67">
        <f t="shared" ca="1" si="7"/>
        <v>45</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
      <c r="A34" s="317">
        <f t="shared" ca="1" si="6"/>
        <v>43786</v>
      </c>
      <c r="B34" s="87">
        <f t="shared" ca="1" si="9"/>
        <v>43780</v>
      </c>
      <c r="C34" s="67">
        <v>29</v>
      </c>
      <c r="D34" s="67" t="str">
        <f t="shared" ca="1" si="10"/>
        <v/>
      </c>
      <c r="E34" s="67" t="str">
        <f t="shared" ca="1" si="0"/>
        <v xml:space="preserve"> </v>
      </c>
      <c r="F34" s="67">
        <f t="shared" ca="1" si="7"/>
        <v>46</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
      <c r="A35" s="317">
        <f t="shared" ca="1" si="6"/>
        <v>43793</v>
      </c>
      <c r="B35" s="87">
        <f t="shared" ca="1" si="9"/>
        <v>43787</v>
      </c>
      <c r="C35" s="67">
        <v>30</v>
      </c>
      <c r="D35" s="67" t="str">
        <f t="shared" ca="1" si="10"/>
        <v/>
      </c>
      <c r="E35" s="67" t="str">
        <f t="shared" ca="1" si="0"/>
        <v xml:space="preserve"> </v>
      </c>
      <c r="F35" s="67">
        <f t="shared" ca="1" si="7"/>
        <v>47</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
      <c r="A36" s="317">
        <f t="shared" ca="1" si="6"/>
        <v>43800</v>
      </c>
      <c r="B36" s="87">
        <f t="shared" ca="1" si="9"/>
        <v>43794</v>
      </c>
      <c r="C36" s="67">
        <v>31</v>
      </c>
      <c r="D36" s="67" t="str">
        <f t="shared" ca="1" si="10"/>
        <v/>
      </c>
      <c r="E36" s="67" t="str">
        <f t="shared" ca="1" si="0"/>
        <v xml:space="preserve"> </v>
      </c>
      <c r="F36" s="67">
        <f t="shared" ca="1" si="7"/>
        <v>48</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
      <c r="A37" s="317">
        <f t="shared" ca="1" si="6"/>
        <v>43807</v>
      </c>
      <c r="B37" s="87">
        <f t="shared" ca="1" si="9"/>
        <v>43801</v>
      </c>
      <c r="C37" s="67">
        <v>32</v>
      </c>
      <c r="D37" s="67" t="str">
        <f t="shared" ca="1" si="10"/>
        <v/>
      </c>
      <c r="E37" s="67" t="str">
        <f t="shared" ca="1" si="0"/>
        <v>Dec</v>
      </c>
      <c r="F37" s="67">
        <f t="shared" ca="1" si="7"/>
        <v>49</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
      <c r="A38" s="317">
        <f t="shared" ca="1" si="6"/>
        <v>43814</v>
      </c>
      <c r="B38" s="87">
        <f t="shared" ca="1" si="9"/>
        <v>43808</v>
      </c>
      <c r="C38" s="67">
        <v>33</v>
      </c>
      <c r="D38" s="67" t="str">
        <f t="shared" ca="1" si="10"/>
        <v/>
      </c>
      <c r="E38" s="67" t="str">
        <f t="shared" ca="1" si="0"/>
        <v xml:space="preserve"> </v>
      </c>
      <c r="F38" s="67">
        <f t="shared" ca="1" si="7"/>
        <v>50</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
      <c r="A39" s="317">
        <f t="shared" ca="1" si="6"/>
        <v>43821</v>
      </c>
      <c r="B39" s="87">
        <f t="shared" ca="1" si="9"/>
        <v>43815</v>
      </c>
      <c r="C39" s="67">
        <v>34</v>
      </c>
      <c r="D39" s="67" t="str">
        <f t="shared" ca="1" si="10"/>
        <v/>
      </c>
      <c r="E39" s="67" t="str">
        <f t="shared" ca="1" si="0"/>
        <v xml:space="preserve"> </v>
      </c>
      <c r="F39" s="67">
        <f t="shared" ca="1" si="7"/>
        <v>51</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
      <c r="A40" s="317">
        <f t="shared" ca="1" si="6"/>
        <v>43828</v>
      </c>
      <c r="B40" s="87">
        <f t="shared" ca="1" si="9"/>
        <v>43822</v>
      </c>
      <c r="C40" s="67">
        <v>35</v>
      </c>
      <c r="D40" s="67" t="str">
        <f t="shared" ca="1" si="10"/>
        <v/>
      </c>
      <c r="E40" s="67" t="str">
        <f t="shared" ca="1" si="0"/>
        <v xml:space="preserve"> </v>
      </c>
      <c r="F40" s="67">
        <f t="shared" ca="1" si="7"/>
        <v>52</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
      <c r="A41" s="317">
        <f t="shared" ca="1" si="6"/>
        <v>43835</v>
      </c>
      <c r="B41" s="87">
        <f t="shared" ca="1" si="9"/>
        <v>43829</v>
      </c>
      <c r="C41" s="67">
        <v>36</v>
      </c>
      <c r="D41" s="67" t="str">
        <f t="shared" ca="1" si="10"/>
        <v/>
      </c>
      <c r="E41" s="67" t="str">
        <f t="shared" ca="1" si="0"/>
        <v xml:space="preserve"> </v>
      </c>
      <c r="F41" s="67">
        <f t="shared" ca="1" si="7"/>
        <v>1</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
      <c r="A42" s="317">
        <f t="shared" ca="1" si="6"/>
        <v>43842</v>
      </c>
      <c r="B42" s="87">
        <f t="shared" ca="1" si="9"/>
        <v>43836</v>
      </c>
      <c r="C42" s="67">
        <v>37</v>
      </c>
      <c r="D42" s="67">
        <f t="shared" ca="1" si="10"/>
        <v>2020</v>
      </c>
      <c r="E42" s="67" t="str">
        <f t="shared" ca="1" si="0"/>
        <v>Jan</v>
      </c>
      <c r="F42" s="67">
        <f t="shared" ca="1" si="7"/>
        <v>2</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
      <c r="A43" s="317">
        <f t="shared" ca="1" si="6"/>
        <v>43849</v>
      </c>
      <c r="B43" s="87">
        <f t="shared" ca="1" si="9"/>
        <v>43843</v>
      </c>
      <c r="C43" s="67">
        <v>38</v>
      </c>
      <c r="D43" s="67" t="str">
        <f t="shared" ca="1" si="10"/>
        <v/>
      </c>
      <c r="E43" s="67" t="str">
        <f t="shared" ca="1" si="0"/>
        <v xml:space="preserve"> </v>
      </c>
      <c r="F43" s="67">
        <f t="shared" ca="1" si="7"/>
        <v>3</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
      <c r="A44" s="317">
        <f t="shared" ca="1" si="6"/>
        <v>43856</v>
      </c>
      <c r="B44" s="87">
        <f t="shared" ca="1" si="9"/>
        <v>43850</v>
      </c>
      <c r="C44" s="67">
        <v>39</v>
      </c>
      <c r="D44" s="67" t="str">
        <f t="shared" ca="1" si="10"/>
        <v/>
      </c>
      <c r="E44" s="67" t="str">
        <f t="shared" ca="1" si="0"/>
        <v xml:space="preserve"> </v>
      </c>
      <c r="F44" s="67">
        <f t="shared" ca="1" si="7"/>
        <v>4</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
      <c r="A45" s="317">
        <f t="shared" ca="1" si="6"/>
        <v>43863</v>
      </c>
      <c r="B45" s="87">
        <f t="shared" ca="1" si="9"/>
        <v>43857</v>
      </c>
      <c r="C45" s="67">
        <v>40</v>
      </c>
      <c r="D45" s="67" t="str">
        <f t="shared" ca="1" si="10"/>
        <v/>
      </c>
      <c r="E45" s="67" t="str">
        <f t="shared" ca="1" si="0"/>
        <v xml:space="preserve"> </v>
      </c>
      <c r="F45" s="67">
        <f t="shared" ca="1" si="7"/>
        <v>5</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
      <c r="A46" s="317">
        <f t="shared" ca="1" si="6"/>
        <v>43870</v>
      </c>
      <c r="B46" s="87">
        <f t="shared" ca="1" si="9"/>
        <v>43864</v>
      </c>
      <c r="C46" s="67">
        <v>41</v>
      </c>
      <c r="D46" s="67" t="str">
        <f t="shared" ca="1" si="10"/>
        <v/>
      </c>
      <c r="E46" s="67" t="str">
        <f t="shared" ca="1" si="0"/>
        <v>Feb</v>
      </c>
      <c r="F46" s="67">
        <f t="shared" ca="1" si="7"/>
        <v>6</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
      <c r="A47" s="317">
        <f t="shared" ca="1" si="6"/>
        <v>43877</v>
      </c>
      <c r="B47" s="87">
        <f t="shared" ca="1" si="9"/>
        <v>43871</v>
      </c>
      <c r="C47" s="67">
        <v>42</v>
      </c>
      <c r="D47" s="67" t="str">
        <f t="shared" ca="1" si="10"/>
        <v/>
      </c>
      <c r="E47" s="67" t="str">
        <f t="shared" ca="1" si="0"/>
        <v xml:space="preserve"> </v>
      </c>
      <c r="F47" s="67">
        <f t="shared" ca="1" si="7"/>
        <v>7</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
      <c r="A48" s="317">
        <f t="shared" ca="1" si="6"/>
        <v>43884</v>
      </c>
      <c r="B48" s="87">
        <f t="shared" ca="1" si="9"/>
        <v>43878</v>
      </c>
      <c r="C48" s="67">
        <v>43</v>
      </c>
      <c r="D48" s="67" t="str">
        <f t="shared" ca="1" si="10"/>
        <v/>
      </c>
      <c r="E48" s="67" t="str">
        <f t="shared" ca="1" si="0"/>
        <v xml:space="preserve"> </v>
      </c>
      <c r="F48" s="67">
        <f t="shared" ca="1" si="7"/>
        <v>8</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
      <c r="A49" s="317">
        <f t="shared" ca="1" si="6"/>
        <v>43891</v>
      </c>
      <c r="B49" s="87">
        <f t="shared" ca="1" si="9"/>
        <v>43885</v>
      </c>
      <c r="C49" s="67">
        <v>44</v>
      </c>
      <c r="D49" s="67" t="str">
        <f t="shared" ca="1" si="10"/>
        <v/>
      </c>
      <c r="E49" s="67" t="str">
        <f t="shared" ca="1" si="0"/>
        <v xml:space="preserve"> </v>
      </c>
      <c r="F49" s="67">
        <f t="shared" ca="1" si="7"/>
        <v>9</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
      <c r="A50" s="317">
        <f t="shared" ca="1" si="6"/>
        <v>43898</v>
      </c>
      <c r="B50" s="87">
        <f t="shared" ca="1" si="9"/>
        <v>43892</v>
      </c>
      <c r="C50" s="67">
        <v>45</v>
      </c>
      <c r="D50" s="67" t="str">
        <f t="shared" ca="1" si="10"/>
        <v/>
      </c>
      <c r="E50" s="67" t="str">
        <f t="shared" ca="1" si="0"/>
        <v>Mar</v>
      </c>
      <c r="F50" s="67">
        <f t="shared" ca="1" si="7"/>
        <v>10</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
      <c r="A51" s="317">
        <f t="shared" ca="1" si="6"/>
        <v>43905</v>
      </c>
      <c r="B51" s="87">
        <f t="shared" ca="1" si="9"/>
        <v>43899</v>
      </c>
      <c r="C51" s="67">
        <v>46</v>
      </c>
      <c r="D51" s="67" t="str">
        <f t="shared" ca="1" si="10"/>
        <v/>
      </c>
      <c r="E51" s="67" t="str">
        <f t="shared" ca="1" si="0"/>
        <v xml:space="preserve"> </v>
      </c>
      <c r="F51" s="67">
        <f t="shared" ca="1" si="7"/>
        <v>11</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
      <c r="A52" s="317">
        <f t="shared" ca="1" si="6"/>
        <v>43912</v>
      </c>
      <c r="B52" s="87">
        <f t="shared" ca="1" si="9"/>
        <v>43906</v>
      </c>
      <c r="C52" s="67">
        <v>47</v>
      </c>
      <c r="D52" s="67" t="str">
        <f t="shared" ca="1" si="10"/>
        <v/>
      </c>
      <c r="E52" s="67" t="str">
        <f t="shared" ca="1" si="0"/>
        <v xml:space="preserve"> </v>
      </c>
      <c r="F52" s="67">
        <f t="shared" ca="1" si="7"/>
        <v>12</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
      <c r="A53" s="317">
        <f t="shared" ca="1" si="6"/>
        <v>43919</v>
      </c>
      <c r="B53" s="87">
        <f t="shared" ca="1" si="9"/>
        <v>43913</v>
      </c>
      <c r="C53" s="67">
        <v>48</v>
      </c>
      <c r="D53" s="67" t="str">
        <f t="shared" ca="1" si="10"/>
        <v/>
      </c>
      <c r="E53" s="67" t="str">
        <f t="shared" ca="1" si="0"/>
        <v xml:space="preserve"> </v>
      </c>
      <c r="F53" s="67">
        <f t="shared" ca="1" si="7"/>
        <v>13</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
      <c r="A54" s="317">
        <f t="shared" ca="1" si="6"/>
        <v>43926</v>
      </c>
      <c r="B54" s="87">
        <f t="shared" ca="1" si="9"/>
        <v>43920</v>
      </c>
      <c r="C54" s="67">
        <v>49</v>
      </c>
      <c r="D54" s="67" t="str">
        <f t="shared" ca="1" si="10"/>
        <v/>
      </c>
      <c r="E54" s="67" t="str">
        <f t="shared" ca="1" si="0"/>
        <v xml:space="preserve"> </v>
      </c>
      <c r="F54" s="67">
        <f t="shared" ca="1" si="7"/>
        <v>14</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
      <c r="A55" s="317">
        <f t="shared" ca="1" si="6"/>
        <v>43933</v>
      </c>
      <c r="B55" s="87">
        <f t="shared" ca="1" si="9"/>
        <v>43927</v>
      </c>
      <c r="C55" s="67">
        <v>50</v>
      </c>
      <c r="D55" s="67" t="str">
        <f t="shared" ca="1" si="10"/>
        <v/>
      </c>
      <c r="E55" s="67" t="str">
        <f ca="1">IF(TEXT(B55,"MMM")=TEXT(B54,"MMM")," ",TEXT(B55,"MMM"))</f>
        <v>Apr</v>
      </c>
      <c r="F55" s="67">
        <f t="shared" ca="1" si="7"/>
        <v>15</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
      <c r="A56" s="317">
        <f t="shared" ca="1" si="6"/>
        <v>43940</v>
      </c>
      <c r="B56" s="87">
        <f t="shared" ca="1" si="9"/>
        <v>43934</v>
      </c>
      <c r="C56" s="67">
        <v>51</v>
      </c>
      <c r="D56" s="67" t="str">
        <f t="shared" ca="1" si="10"/>
        <v/>
      </c>
      <c r="E56" s="67" t="str">
        <f t="shared" ref="E56:E58" ca="1" si="25">IF(TEXT(B56,"MMM")=TEXT(B55,"MMM")," ",TEXT(B56,"MMM"))</f>
        <v xml:space="preserve"> </v>
      </c>
      <c r="F56" s="67">
        <f t="shared" ca="1" si="7"/>
        <v>16</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
      <c r="A57" s="317">
        <f t="shared" ca="1" si="6"/>
        <v>43947</v>
      </c>
      <c r="B57" s="87">
        <f t="shared" ca="1" si="9"/>
        <v>43941</v>
      </c>
      <c r="C57" s="67">
        <v>52</v>
      </c>
      <c r="D57" s="67" t="str">
        <f t="shared" ca="1" si="10"/>
        <v/>
      </c>
      <c r="E57" s="67" t="str">
        <f t="shared" ca="1" si="25"/>
        <v xml:space="preserve"> </v>
      </c>
      <c r="F57" s="67">
        <f t="shared" ca="1" si="7"/>
        <v>17</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
      <c r="A58" s="317">
        <f t="shared" ca="1" si="6"/>
        <v>43954</v>
      </c>
      <c r="B58" s="317">
        <f t="shared" ca="1" si="9"/>
        <v>43948</v>
      </c>
      <c r="C58" s="67">
        <v>53</v>
      </c>
      <c r="E58" s="67" t="str">
        <f t="shared" ca="1" si="25"/>
        <v xml:space="preserve"> </v>
      </c>
      <c r="F58" s="67">
        <f t="shared" ca="1" si="7"/>
        <v>18</v>
      </c>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
      <c r="B106" s="87"/>
    </row>
    <row r="107" spans="2:72" x14ac:dyDescent="0.2">
      <c r="B107" s="87"/>
    </row>
    <row r="108" spans="2:72" x14ac:dyDescent="0.2">
      <c r="B108" s="87"/>
    </row>
    <row r="109" spans="2:72" x14ac:dyDescent="0.2">
      <c r="B109" s="87"/>
    </row>
    <row r="110" spans="2:72" x14ac:dyDescent="0.2">
      <c r="B110" s="87"/>
    </row>
    <row r="111" spans="2:72" x14ac:dyDescent="0.2">
      <c r="B111" s="87"/>
    </row>
    <row r="112" spans="2:72" x14ac:dyDescent="0.2">
      <c r="B112" s="87"/>
    </row>
    <row r="113" spans="2:207" x14ac:dyDescent="0.2">
      <c r="B113" s="87"/>
    </row>
    <row r="114" spans="2:207" x14ac:dyDescent="0.2">
      <c r="B114" s="87"/>
    </row>
    <row r="115" spans="2:207" x14ac:dyDescent="0.2">
      <c r="B115" s="87"/>
    </row>
    <row r="116" spans="2:207" x14ac:dyDescent="0.2">
      <c r="B116" s="87"/>
    </row>
    <row r="117" spans="2:207" x14ac:dyDescent="0.2">
      <c r="B117" s="87"/>
    </row>
    <row r="118" spans="2:207" x14ac:dyDescent="0.2">
      <c r="B118" s="87"/>
    </row>
    <row r="119" spans="2:207" x14ac:dyDescent="0.2">
      <c r="B119" s="87"/>
    </row>
    <row r="120" spans="2:207" x14ac:dyDescent="0.2">
      <c r="B120" s="87"/>
    </row>
    <row r="121" spans="2:207" x14ac:dyDescent="0.2">
      <c r="B121" s="87"/>
    </row>
    <row r="123" spans="2:207" x14ac:dyDescent="0.2">
      <c r="B123" s="87"/>
      <c r="CW123" s="70"/>
      <c r="CZ123" s="87"/>
      <c r="GY123" s="70"/>
    </row>
    <row r="124" spans="2:207" x14ac:dyDescent="0.2">
      <c r="B124" s="87"/>
      <c r="CW124" s="70"/>
      <c r="CZ124" s="87"/>
      <c r="GY124" s="70"/>
    </row>
    <row r="125" spans="2:207" x14ac:dyDescent="0.2">
      <c r="B125" s="87"/>
      <c r="CW125" s="70"/>
      <c r="CZ125" s="87"/>
      <c r="GY125" s="70"/>
    </row>
    <row r="126" spans="2:207" x14ac:dyDescent="0.2">
      <c r="B126" s="87"/>
      <c r="CW126" s="70"/>
      <c r="CZ126" s="87"/>
      <c r="GY126" s="70"/>
    </row>
    <row r="127" spans="2:207" x14ac:dyDescent="0.2">
      <c r="B127" s="87"/>
      <c r="CW127" s="70"/>
      <c r="CZ127" s="87"/>
      <c r="GY127" s="70"/>
    </row>
    <row r="128" spans="2:207" x14ac:dyDescent="0.2">
      <c r="B128" s="87"/>
      <c r="CW128" s="70"/>
      <c r="CZ128" s="87"/>
      <c r="GY128" s="70"/>
    </row>
    <row r="129" spans="2:207" x14ac:dyDescent="0.2">
      <c r="B129" s="87"/>
      <c r="CW129" s="70"/>
      <c r="CZ129" s="87"/>
      <c r="GY129" s="70"/>
    </row>
    <row r="130" spans="2:207" x14ac:dyDescent="0.2">
      <c r="B130" s="87"/>
      <c r="CW130" s="70"/>
      <c r="CZ130" s="87"/>
      <c r="GY130" s="70"/>
    </row>
    <row r="131" spans="2:207" x14ac:dyDescent="0.2">
      <c r="B131" s="87"/>
      <c r="CW131" s="70"/>
      <c r="CZ131" s="87"/>
      <c r="GY131" s="70"/>
    </row>
    <row r="132" spans="2:207" x14ac:dyDescent="0.2">
      <c r="B132" s="87"/>
      <c r="CW132" s="70"/>
      <c r="CZ132" s="87"/>
      <c r="GY132" s="70"/>
    </row>
    <row r="133" spans="2:207" x14ac:dyDescent="0.2">
      <c r="B133" s="87"/>
      <c r="CW133" s="70"/>
      <c r="CZ133" s="87"/>
      <c r="GY133" s="70"/>
    </row>
    <row r="134" spans="2:207" x14ac:dyDescent="0.2">
      <c r="B134" s="87"/>
      <c r="CW134" s="70"/>
      <c r="CZ134" s="87"/>
      <c r="GY134" s="70"/>
    </row>
    <row r="135" spans="2:207" x14ac:dyDescent="0.2">
      <c r="B135" s="87"/>
      <c r="CW135" s="70"/>
      <c r="CZ135" s="87"/>
      <c r="GY135" s="70"/>
    </row>
    <row r="136" spans="2:207" x14ac:dyDescent="0.2">
      <c r="B136" s="87"/>
      <c r="CW136" s="70"/>
      <c r="CZ136" s="87"/>
      <c r="GY136" s="70"/>
    </row>
    <row r="137" spans="2:207" x14ac:dyDescent="0.2">
      <c r="B137" s="87"/>
      <c r="CW137" s="70"/>
      <c r="CZ137" s="87"/>
      <c r="GY137" s="70"/>
    </row>
    <row r="138" spans="2:207" x14ac:dyDescent="0.2">
      <c r="B138" s="87"/>
      <c r="CW138" s="70"/>
      <c r="CZ138" s="87"/>
      <c r="GY138" s="70"/>
    </row>
    <row r="139" spans="2:207" x14ac:dyDescent="0.2">
      <c r="B139" s="87"/>
      <c r="CW139" s="70"/>
      <c r="CZ139" s="87"/>
      <c r="GY139" s="70"/>
    </row>
    <row r="140" spans="2:207" x14ac:dyDescent="0.2">
      <c r="B140" s="87"/>
      <c r="CW140" s="70"/>
      <c r="CZ140" s="87"/>
      <c r="GY140" s="70"/>
    </row>
    <row r="141" spans="2:207" x14ac:dyDescent="0.2">
      <c r="B141" s="87"/>
      <c r="CW141" s="70"/>
      <c r="CZ141" s="87"/>
      <c r="GY141" s="70"/>
    </row>
    <row r="142" spans="2:207" x14ac:dyDescent="0.2">
      <c r="B142" s="87"/>
      <c r="CW142" s="70"/>
      <c r="CZ142" s="87"/>
      <c r="GY142" s="70"/>
    </row>
    <row r="143" spans="2:207" x14ac:dyDescent="0.2">
      <c r="B143" s="87"/>
      <c r="CW143" s="70"/>
      <c r="CZ143" s="87"/>
      <c r="GY143" s="70"/>
    </row>
    <row r="144" spans="2:207" x14ac:dyDescent="0.2">
      <c r="B144" s="87"/>
      <c r="CW144" s="70"/>
      <c r="CZ144" s="87"/>
      <c r="GY144" s="70"/>
    </row>
    <row r="145" spans="2:207" x14ac:dyDescent="0.2">
      <c r="B145" s="87"/>
      <c r="CW145" s="70"/>
      <c r="CZ145" s="87"/>
      <c r="GY145" s="70"/>
    </row>
    <row r="146" spans="2:207" x14ac:dyDescent="0.2">
      <c r="B146" s="87"/>
      <c r="CW146" s="70"/>
      <c r="CZ146" s="87"/>
      <c r="GY146" s="70"/>
    </row>
    <row r="147" spans="2:207" x14ac:dyDescent="0.2">
      <c r="B147" s="87"/>
      <c r="CW147" s="70"/>
      <c r="CZ147" s="87"/>
      <c r="GY147" s="70"/>
    </row>
    <row r="148" spans="2:207" x14ac:dyDescent="0.2">
      <c r="B148" s="87"/>
      <c r="CW148" s="70"/>
      <c r="CZ148" s="87"/>
      <c r="GY148" s="70"/>
    </row>
    <row r="149" spans="2:207" x14ac:dyDescent="0.2">
      <c r="B149" s="87"/>
      <c r="CW149" s="70"/>
      <c r="CZ149" s="87"/>
      <c r="GY149" s="70"/>
    </row>
    <row r="150" spans="2:207" x14ac:dyDescent="0.2">
      <c r="B150" s="87"/>
      <c r="CW150" s="70"/>
      <c r="CZ150" s="87"/>
      <c r="GY150" s="70"/>
    </row>
    <row r="151" spans="2:207" x14ac:dyDescent="0.2">
      <c r="B151" s="87"/>
      <c r="CW151" s="70"/>
      <c r="CZ151" s="87"/>
      <c r="GY151" s="70"/>
    </row>
    <row r="152" spans="2:207" x14ac:dyDescent="0.2">
      <c r="B152" s="87"/>
      <c r="CW152" s="70"/>
      <c r="CZ152" s="87"/>
      <c r="GY152" s="70"/>
    </row>
    <row r="153" spans="2:207" x14ac:dyDescent="0.2">
      <c r="B153" s="87"/>
      <c r="CW153" s="70"/>
      <c r="CZ153" s="87"/>
      <c r="GY153" s="70"/>
    </row>
    <row r="154" spans="2:207" x14ac:dyDescent="0.2">
      <c r="B154" s="87"/>
      <c r="CW154" s="70"/>
      <c r="CZ154" s="87"/>
      <c r="GY154" s="70"/>
    </row>
    <row r="155" spans="2:207" x14ac:dyDescent="0.2">
      <c r="B155" s="87"/>
      <c r="CW155" s="70"/>
      <c r="CZ155" s="87"/>
      <c r="GY155" s="70"/>
    </row>
    <row r="156" spans="2:207" x14ac:dyDescent="0.2">
      <c r="B156" s="87"/>
      <c r="CW156" s="70"/>
      <c r="CZ156" s="87"/>
      <c r="GY156" s="70"/>
    </row>
    <row r="157" spans="2:207" x14ac:dyDescent="0.2">
      <c r="B157" s="87"/>
      <c r="CW157" s="70"/>
      <c r="CZ157" s="87"/>
      <c r="GY157" s="70"/>
    </row>
    <row r="158" spans="2:207" x14ac:dyDescent="0.2">
      <c r="B158" s="87"/>
      <c r="CW158" s="70"/>
      <c r="CZ158" s="87"/>
      <c r="GY158" s="70"/>
    </row>
    <row r="159" spans="2:207" x14ac:dyDescent="0.2">
      <c r="B159" s="87"/>
      <c r="CW159" s="70"/>
      <c r="CZ159" s="87"/>
      <c r="GY159" s="70"/>
    </row>
    <row r="160" spans="2:207" x14ac:dyDescent="0.2">
      <c r="B160" s="87"/>
      <c r="CW160" s="70"/>
      <c r="CZ160" s="87"/>
      <c r="GY160" s="70"/>
    </row>
    <row r="161" spans="2:207" x14ac:dyDescent="0.2">
      <c r="B161" s="87"/>
      <c r="CW161" s="70"/>
      <c r="CZ161" s="87"/>
      <c r="GY161" s="70"/>
    </row>
    <row r="162" spans="2:207" x14ac:dyDescent="0.2">
      <c r="B162" s="87"/>
      <c r="CW162" s="70"/>
      <c r="CZ162" s="87"/>
      <c r="GY162" s="70"/>
    </row>
    <row r="163" spans="2:207" x14ac:dyDescent="0.2">
      <c r="B163" s="87"/>
      <c r="CW163" s="70"/>
      <c r="CZ163" s="87"/>
      <c r="GY163" s="70"/>
    </row>
    <row r="164" spans="2:207" x14ac:dyDescent="0.2">
      <c r="B164" s="87"/>
      <c r="CW164" s="70"/>
      <c r="CZ164" s="87"/>
      <c r="GY164" s="70"/>
    </row>
    <row r="165" spans="2:207" x14ac:dyDescent="0.2">
      <c r="B165" s="87"/>
      <c r="CW165" s="70"/>
      <c r="CZ165" s="87"/>
      <c r="GY165" s="70"/>
    </row>
    <row r="166" spans="2:207" x14ac:dyDescent="0.2">
      <c r="B166" s="87"/>
      <c r="CW166" s="70"/>
      <c r="CZ166" s="87"/>
      <c r="GY166" s="70"/>
    </row>
    <row r="167" spans="2:207" x14ac:dyDescent="0.2">
      <c r="B167" s="87"/>
      <c r="CW167" s="70"/>
      <c r="CZ167" s="87"/>
      <c r="GY167" s="70"/>
    </row>
    <row r="168" spans="2:207" x14ac:dyDescent="0.2">
      <c r="B168" s="87"/>
      <c r="CW168" s="70"/>
      <c r="CZ168" s="87"/>
      <c r="GY168" s="70"/>
    </row>
    <row r="169" spans="2:207" x14ac:dyDescent="0.2">
      <c r="B169" s="87"/>
      <c r="CW169" s="70"/>
      <c r="CZ169" s="87"/>
      <c r="GY169" s="70"/>
    </row>
    <row r="170" spans="2:207" x14ac:dyDescent="0.2">
      <c r="B170" s="87"/>
      <c r="CW170" s="70"/>
      <c r="CZ170" s="87"/>
      <c r="GY170" s="70"/>
    </row>
    <row r="171" spans="2:207" x14ac:dyDescent="0.2">
      <c r="B171" s="87"/>
      <c r="CW171" s="70"/>
      <c r="CZ171" s="87"/>
      <c r="GY171" s="70"/>
    </row>
    <row r="172" spans="2:207" x14ac:dyDescent="0.2">
      <c r="B172" s="87"/>
      <c r="CW172" s="70"/>
      <c r="CZ172" s="87"/>
      <c r="GY172" s="70"/>
    </row>
    <row r="173" spans="2:207" x14ac:dyDescent="0.2">
      <c r="B173" s="87"/>
      <c r="CW173" s="70"/>
      <c r="CZ173" s="87"/>
      <c r="GY173" s="70"/>
    </row>
    <row r="174" spans="2:207" x14ac:dyDescent="0.2">
      <c r="B174" s="87"/>
      <c r="CW174" s="70"/>
      <c r="CZ174" s="87"/>
      <c r="GY174" s="70"/>
    </row>
    <row r="175" spans="2:207" x14ac:dyDescent="0.2">
      <c r="B175" s="87"/>
      <c r="CZ175" s="87"/>
    </row>
    <row r="176" spans="2:207" x14ac:dyDescent="0.2">
      <c r="B176" s="87"/>
      <c r="CW176" s="70"/>
      <c r="CZ176" s="87"/>
      <c r="GY176" s="70"/>
    </row>
    <row r="177" spans="2:102" x14ac:dyDescent="0.2">
      <c r="B177" s="87"/>
      <c r="CX177" s="70"/>
    </row>
    <row r="189" spans="2:102" x14ac:dyDescent="0.2">
      <c r="B189" s="87"/>
    </row>
    <row r="190" spans="2:102" x14ac:dyDescent="0.2">
      <c r="B190" s="87"/>
    </row>
    <row r="191" spans="2:102" x14ac:dyDescent="0.2">
      <c r="B191" s="87"/>
    </row>
    <row r="192" spans="2:102" x14ac:dyDescent="0.2">
      <c r="B192" s="87"/>
    </row>
    <row r="193" spans="2:2" x14ac:dyDescent="0.2">
      <c r="B193" s="87"/>
    </row>
    <row r="194" spans="2:2" x14ac:dyDescent="0.2">
      <c r="B194" s="87"/>
    </row>
    <row r="195" spans="2:2" x14ac:dyDescent="0.2">
      <c r="B195" s="87"/>
    </row>
    <row r="196" spans="2:2" x14ac:dyDescent="0.2">
      <c r="B196" s="87"/>
    </row>
    <row r="197" spans="2:2" x14ac:dyDescent="0.2">
      <c r="B197" s="87"/>
    </row>
    <row r="198" spans="2:2" x14ac:dyDescent="0.2">
      <c r="B198" s="87"/>
    </row>
    <row r="199" spans="2:2" x14ac:dyDescent="0.2">
      <c r="B199" s="87"/>
    </row>
    <row r="200" spans="2:2" x14ac:dyDescent="0.2">
      <c r="B200" s="87"/>
    </row>
    <row r="201" spans="2:2" x14ac:dyDescent="0.2">
      <c r="B201" s="87"/>
    </row>
    <row r="202" spans="2:2" x14ac:dyDescent="0.2">
      <c r="B202" s="87"/>
    </row>
    <row r="203" spans="2:2" x14ac:dyDescent="0.2">
      <c r="B203" s="87"/>
    </row>
    <row r="204" spans="2:2" x14ac:dyDescent="0.2">
      <c r="B204" s="87"/>
    </row>
    <row r="205" spans="2:2" x14ac:dyDescent="0.2">
      <c r="B205" s="87"/>
    </row>
    <row r="206" spans="2:2" x14ac:dyDescent="0.2">
      <c r="B206" s="87"/>
    </row>
    <row r="207" spans="2:2" x14ac:dyDescent="0.2">
      <c r="B207" s="87"/>
    </row>
    <row r="208" spans="2:2" x14ac:dyDescent="0.2">
      <c r="B208" s="87"/>
    </row>
    <row r="209" spans="2:2" x14ac:dyDescent="0.2">
      <c r="B209" s="87"/>
    </row>
    <row r="210" spans="2:2" x14ac:dyDescent="0.2">
      <c r="B210" s="87"/>
    </row>
    <row r="211" spans="2:2" x14ac:dyDescent="0.2">
      <c r="B211" s="87"/>
    </row>
    <row r="212" spans="2:2" x14ac:dyDescent="0.2">
      <c r="B212" s="87"/>
    </row>
    <row r="213" spans="2:2" x14ac:dyDescent="0.2">
      <c r="B213" s="87"/>
    </row>
    <row r="214" spans="2:2" x14ac:dyDescent="0.2">
      <c r="B214" s="87"/>
    </row>
    <row r="215" spans="2:2" x14ac:dyDescent="0.2">
      <c r="B215" s="87"/>
    </row>
    <row r="216" spans="2:2" x14ac:dyDescent="0.2">
      <c r="B216" s="87"/>
    </row>
    <row r="217" spans="2:2" x14ac:dyDescent="0.2">
      <c r="B217" s="87"/>
    </row>
    <row r="218" spans="2:2" x14ac:dyDescent="0.2">
      <c r="B218" s="87"/>
    </row>
    <row r="219" spans="2:2" x14ac:dyDescent="0.2">
      <c r="B219" s="87"/>
    </row>
    <row r="220" spans="2:2" x14ac:dyDescent="0.2">
      <c r="B220" s="87"/>
    </row>
    <row r="221" spans="2:2" x14ac:dyDescent="0.2">
      <c r="B221" s="87"/>
    </row>
    <row r="222" spans="2:2" x14ac:dyDescent="0.2">
      <c r="B222" s="87"/>
    </row>
    <row r="223" spans="2:2" x14ac:dyDescent="0.2">
      <c r="B223" s="87"/>
    </row>
    <row r="224" spans="2:2" x14ac:dyDescent="0.2">
      <c r="B224" s="87"/>
    </row>
    <row r="225" spans="2:2" x14ac:dyDescent="0.2">
      <c r="B225" s="87"/>
    </row>
    <row r="226" spans="2:2" x14ac:dyDescent="0.2">
      <c r="B226" s="87"/>
    </row>
    <row r="227" spans="2:2" x14ac:dyDescent="0.2">
      <c r="B227" s="87"/>
    </row>
    <row r="228" spans="2:2" x14ac:dyDescent="0.2">
      <c r="B228" s="87"/>
    </row>
    <row r="229" spans="2:2" x14ac:dyDescent="0.2">
      <c r="B229" s="87"/>
    </row>
    <row r="230" spans="2:2" x14ac:dyDescent="0.2">
      <c r="B230" s="87"/>
    </row>
    <row r="231" spans="2:2" x14ac:dyDescent="0.2">
      <c r="B231" s="87"/>
    </row>
    <row r="232" spans="2:2" x14ac:dyDescent="0.2">
      <c r="B232" s="87"/>
    </row>
    <row r="233" spans="2:2" x14ac:dyDescent="0.2">
      <c r="B233" s="87"/>
    </row>
    <row r="234" spans="2:2" x14ac:dyDescent="0.2">
      <c r="B234" s="87"/>
    </row>
    <row r="235" spans="2:2" x14ac:dyDescent="0.2">
      <c r="B235" s="87"/>
    </row>
    <row r="236" spans="2:2" x14ac:dyDescent="0.2">
      <c r="B236" s="87"/>
    </row>
    <row r="237" spans="2:2" x14ac:dyDescent="0.2">
      <c r="B237" s="87"/>
    </row>
    <row r="238" spans="2:2" x14ac:dyDescent="0.2">
      <c r="B238" s="87"/>
    </row>
    <row r="239" spans="2:2" x14ac:dyDescent="0.2">
      <c r="B239" s="87"/>
    </row>
    <row r="240" spans="2:2" x14ac:dyDescent="0.2">
      <c r="B240" s="87"/>
    </row>
    <row r="241" spans="2:2" x14ac:dyDescent="0.2">
      <c r="B241" s="87"/>
    </row>
    <row r="245" spans="2:2" x14ac:dyDescent="0.2">
      <c r="B245" s="87"/>
    </row>
    <row r="246" spans="2:2" x14ac:dyDescent="0.2">
      <c r="B246" s="87"/>
    </row>
    <row r="247" spans="2:2" x14ac:dyDescent="0.2">
      <c r="B247" s="87"/>
    </row>
    <row r="248" spans="2:2" x14ac:dyDescent="0.2">
      <c r="B248" s="87"/>
    </row>
    <row r="249" spans="2:2" x14ac:dyDescent="0.2">
      <c r="B249" s="87"/>
    </row>
    <row r="250" spans="2:2" x14ac:dyDescent="0.2">
      <c r="B250" s="87"/>
    </row>
    <row r="251" spans="2:2" x14ac:dyDescent="0.2">
      <c r="B251" s="87"/>
    </row>
    <row r="252" spans="2:2" x14ac:dyDescent="0.2">
      <c r="B252" s="87"/>
    </row>
    <row r="253" spans="2:2" x14ac:dyDescent="0.2">
      <c r="B253" s="87"/>
    </row>
    <row r="254" spans="2:2" x14ac:dyDescent="0.2">
      <c r="B254" s="87"/>
    </row>
    <row r="255" spans="2:2" x14ac:dyDescent="0.2">
      <c r="B255" s="87"/>
    </row>
    <row r="256" spans="2:2" x14ac:dyDescent="0.2">
      <c r="B256" s="87"/>
    </row>
    <row r="257" spans="2:2" x14ac:dyDescent="0.2">
      <c r="B257" s="87"/>
    </row>
    <row r="258" spans="2:2" x14ac:dyDescent="0.2">
      <c r="B258" s="87"/>
    </row>
    <row r="259" spans="2:2" x14ac:dyDescent="0.2">
      <c r="B259" s="87"/>
    </row>
    <row r="260" spans="2:2" x14ac:dyDescent="0.2">
      <c r="B260" s="87"/>
    </row>
    <row r="261" spans="2:2" x14ac:dyDescent="0.2">
      <c r="B261" s="87"/>
    </row>
    <row r="262" spans="2:2" x14ac:dyDescent="0.2">
      <c r="B262" s="87"/>
    </row>
    <row r="263" spans="2:2" x14ac:dyDescent="0.2">
      <c r="B263" s="87"/>
    </row>
    <row r="264" spans="2:2" x14ac:dyDescent="0.2">
      <c r="B264" s="87"/>
    </row>
    <row r="265" spans="2:2" x14ac:dyDescent="0.2">
      <c r="B265" s="87"/>
    </row>
    <row r="266" spans="2:2" x14ac:dyDescent="0.2">
      <c r="B266" s="87"/>
    </row>
    <row r="267" spans="2:2" x14ac:dyDescent="0.2">
      <c r="B267" s="87"/>
    </row>
    <row r="268" spans="2:2" x14ac:dyDescent="0.2">
      <c r="B268" s="87"/>
    </row>
    <row r="269" spans="2:2" x14ac:dyDescent="0.2">
      <c r="B269" s="87"/>
    </row>
    <row r="270" spans="2:2" x14ac:dyDescent="0.2">
      <c r="B270" s="87"/>
    </row>
    <row r="271" spans="2:2" x14ac:dyDescent="0.2">
      <c r="B271" s="87"/>
    </row>
    <row r="272" spans="2:2" x14ac:dyDescent="0.2">
      <c r="B272" s="87"/>
    </row>
    <row r="273" spans="2:2" x14ac:dyDescent="0.2">
      <c r="B273" s="87"/>
    </row>
    <row r="274" spans="2:2" x14ac:dyDescent="0.2">
      <c r="B274" s="87"/>
    </row>
    <row r="275" spans="2:2" x14ac:dyDescent="0.2">
      <c r="B275" s="87"/>
    </row>
    <row r="276" spans="2:2" x14ac:dyDescent="0.2">
      <c r="B276" s="87"/>
    </row>
    <row r="277" spans="2:2" x14ac:dyDescent="0.2">
      <c r="B277" s="87"/>
    </row>
    <row r="278" spans="2:2" x14ac:dyDescent="0.2">
      <c r="B278" s="87"/>
    </row>
    <row r="279" spans="2:2" x14ac:dyDescent="0.2">
      <c r="B279" s="87"/>
    </row>
    <row r="280" spans="2:2" x14ac:dyDescent="0.2">
      <c r="B280" s="87"/>
    </row>
    <row r="281" spans="2:2" x14ac:dyDescent="0.2">
      <c r="B281" s="87"/>
    </row>
    <row r="282" spans="2:2" x14ac:dyDescent="0.2">
      <c r="B282" s="87"/>
    </row>
    <row r="283" spans="2:2" x14ac:dyDescent="0.2">
      <c r="B283" s="87"/>
    </row>
    <row r="284" spans="2:2" x14ac:dyDescent="0.2">
      <c r="B284" s="87"/>
    </row>
    <row r="285" spans="2:2" x14ac:dyDescent="0.2">
      <c r="B285" s="87"/>
    </row>
    <row r="286" spans="2:2" x14ac:dyDescent="0.2">
      <c r="B286" s="87"/>
    </row>
    <row r="287" spans="2:2" x14ac:dyDescent="0.2">
      <c r="B287" s="87"/>
    </row>
    <row r="288" spans="2:2" x14ac:dyDescent="0.2">
      <c r="B288" s="87"/>
    </row>
    <row r="289" spans="2:2" x14ac:dyDescent="0.2">
      <c r="B289" s="87"/>
    </row>
    <row r="290" spans="2:2" x14ac:dyDescent="0.2">
      <c r="B290" s="87"/>
    </row>
    <row r="291" spans="2:2" x14ac:dyDescent="0.2">
      <c r="B291" s="87"/>
    </row>
    <row r="292" spans="2:2" x14ac:dyDescent="0.2">
      <c r="B292" s="87"/>
    </row>
    <row r="293" spans="2:2" x14ac:dyDescent="0.2">
      <c r="B293" s="87"/>
    </row>
    <row r="294" spans="2:2" x14ac:dyDescent="0.2">
      <c r="B294" s="87"/>
    </row>
    <row r="295" spans="2:2" x14ac:dyDescent="0.2">
      <c r="B295" s="87"/>
    </row>
    <row r="296" spans="2:2" x14ac:dyDescent="0.2">
      <c r="B296" s="87"/>
    </row>
    <row r="297" spans="2:2" x14ac:dyDescent="0.2">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I29" sqref="I29"/>
    </sheetView>
  </sheetViews>
  <sheetFormatPr defaultRowHeight="14.25" x14ac:dyDescent="0.2"/>
  <cols>
    <col min="1" max="1" width="16.125" customWidth="1"/>
    <col min="2" max="2" width="13.125" customWidth="1"/>
    <col min="3" max="4" width="11.125" customWidth="1"/>
    <col min="5" max="6" width="19.75" customWidth="1"/>
    <col min="7" max="10" width="9.125" customWidth="1"/>
  </cols>
  <sheetData>
    <row r="1" spans="1:15" x14ac:dyDescent="0.2">
      <c r="B1" s="67"/>
    </row>
    <row r="2" spans="1:15" x14ac:dyDescent="0.2">
      <c r="A2" t="s">
        <v>310</v>
      </c>
      <c r="C2" s="401" t="s">
        <v>87</v>
      </c>
      <c r="D2" s="403"/>
      <c r="F2" s="240" t="str">
        <f ca="1">"On aggregate, 1 patient = "&amp;TEXT('Demand background (hide)'!$BN$16,"#.#")&amp;" "&amp;Setup!$I$17</f>
        <v>On aggregate, 1 patient = 37. Minutes</v>
      </c>
    </row>
    <row r="3" spans="1:15" x14ac:dyDescent="0.2">
      <c r="A3" t="s">
        <v>328</v>
      </c>
      <c r="C3" s="461">
        <v>52</v>
      </c>
      <c r="D3" s="462"/>
      <c r="F3" s="346" t="s">
        <v>326</v>
      </c>
    </row>
    <row r="4" spans="1:15" x14ac:dyDescent="0.2">
      <c r="A4" t="s">
        <v>14</v>
      </c>
      <c r="C4" s="401" t="s">
        <v>19</v>
      </c>
      <c r="D4" s="403"/>
    </row>
    <row r="5" spans="1:15" x14ac:dyDescent="0.2">
      <c r="K5" s="72"/>
    </row>
    <row r="6" spans="1:15" ht="14.65" customHeight="1" thickBot="1" x14ac:dyDescent="0.3">
      <c r="A6" s="102" t="s">
        <v>309</v>
      </c>
      <c r="B6" s="103"/>
      <c r="C6" s="103"/>
      <c r="D6" s="9"/>
      <c r="E6" s="475" t="s">
        <v>346</v>
      </c>
      <c r="F6" s="475"/>
      <c r="G6" s="63" t="s">
        <v>87</v>
      </c>
      <c r="H6" s="9" t="s">
        <v>88</v>
      </c>
      <c r="I6" s="9"/>
      <c r="K6" s="72"/>
    </row>
    <row r="7" spans="1:15" ht="15" thickBot="1" x14ac:dyDescent="0.25">
      <c r="A7" s="10"/>
      <c r="B7" s="11"/>
      <c r="C7" s="11"/>
      <c r="D7" s="9"/>
      <c r="E7" s="476" t="s">
        <v>214</v>
      </c>
      <c r="F7" s="470"/>
      <c r="G7" s="458">
        <v>1.0999999999999999E-2</v>
      </c>
      <c r="H7" s="445">
        <f ca="1">'Parameters calculator (hide)'!B25</f>
        <v>7.6559999999999997</v>
      </c>
      <c r="I7" s="9"/>
    </row>
    <row r="8" spans="1:15" ht="15" thickBot="1" x14ac:dyDescent="0.25">
      <c r="A8" s="11"/>
      <c r="B8" s="11"/>
      <c r="C8" s="11"/>
      <c r="D8" s="12"/>
      <c r="E8" s="13"/>
      <c r="F8" s="14"/>
      <c r="G8" s="459"/>
      <c r="H8" s="446"/>
      <c r="I8" s="9"/>
    </row>
    <row r="9" spans="1:15" ht="15" thickBot="1" x14ac:dyDescent="0.25">
      <c r="A9" s="85" t="s">
        <v>338</v>
      </c>
      <c r="B9" s="465" t="str">
        <f ca="1">TEXT('Parameters calculator (hide)'!B19,"#,#")</f>
        <v>696</v>
      </c>
      <c r="C9" s="11"/>
      <c r="D9" s="12"/>
      <c r="E9" s="9"/>
      <c r="F9" s="9"/>
      <c r="G9" s="9"/>
      <c r="H9" s="9"/>
      <c r="I9" s="9"/>
    </row>
    <row r="10" spans="1:15" ht="15" thickBot="1" x14ac:dyDescent="0.25">
      <c r="A10" s="242" t="str">
        <f>"("&amp;$C$4&amp;")"</f>
        <v>(Patients)</v>
      </c>
      <c r="B10" s="466"/>
      <c r="C10" s="15"/>
      <c r="D10" s="16"/>
      <c r="E10" s="467" t="s">
        <v>348</v>
      </c>
      <c r="F10" s="468"/>
      <c r="G10" s="63" t="s">
        <v>87</v>
      </c>
      <c r="H10" s="9" t="s">
        <v>88</v>
      </c>
      <c r="I10" s="9"/>
      <c r="K10" s="5"/>
    </row>
    <row r="11" spans="1:15" ht="15.75" thickBot="1" x14ac:dyDescent="0.25">
      <c r="A11" s="91" t="str">
        <f>IF(LEFT(Demand!C8,1)="H","Based on selected baseline period in SPC sheet","Based on baseline forecast demand")</f>
        <v>Based on selected baseline period in SPC sheet</v>
      </c>
      <c r="B11" s="11"/>
      <c r="C11" s="17"/>
      <c r="D11" s="12"/>
      <c r="E11" s="469" t="s">
        <v>89</v>
      </c>
      <c r="F11" s="470"/>
      <c r="G11" s="471">
        <v>0.113</v>
      </c>
      <c r="H11" s="445">
        <f ca="1">'Parameters calculator (hide)'!C25</f>
        <v>77.782871999999998</v>
      </c>
      <c r="I11" s="9"/>
      <c r="O11" s="369"/>
    </row>
    <row r="12" spans="1:15" ht="15" thickBot="1" x14ac:dyDescent="0.25">
      <c r="A12" s="91" t="str">
        <f ca="1">"normalised to "&amp;TEXT('Parameters calculator (hide)'!$B$18,"#")&amp;" wks"</f>
        <v>normalised to 52 wks</v>
      </c>
      <c r="B12" s="11"/>
      <c r="C12" s="17"/>
      <c r="D12" s="9"/>
      <c r="E12" s="18"/>
      <c r="F12" s="14"/>
      <c r="G12" s="472"/>
      <c r="H12" s="446"/>
      <c r="I12" s="9"/>
    </row>
    <row r="13" spans="1:15" x14ac:dyDescent="0.2">
      <c r="A13" s="10" t="s">
        <v>90</v>
      </c>
      <c r="B13" s="11"/>
      <c r="C13" s="17"/>
      <c r="D13" s="19" t="s">
        <v>91</v>
      </c>
      <c r="E13" s="9"/>
      <c r="F13" s="9"/>
      <c r="G13" s="9"/>
      <c r="H13" s="9"/>
      <c r="I13" s="9"/>
    </row>
    <row r="14" spans="1:15" ht="15" thickBot="1" x14ac:dyDescent="0.25">
      <c r="B14" s="20"/>
      <c r="C14" s="21"/>
      <c r="D14" s="20"/>
      <c r="E14" s="20"/>
      <c r="F14" s="20"/>
      <c r="G14" s="20"/>
      <c r="H14" s="20"/>
      <c r="I14" s="20"/>
      <c r="J14" s="20"/>
      <c r="K14" s="20"/>
      <c r="L14" s="20"/>
    </row>
    <row r="15" spans="1:15" ht="15" thickBot="1" x14ac:dyDescent="0.25">
      <c r="B15" s="93"/>
      <c r="C15" s="473" t="s">
        <v>373</v>
      </c>
      <c r="D15" s="474"/>
      <c r="E15" s="20"/>
      <c r="F15" s="444" t="s">
        <v>399</v>
      </c>
      <c r="G15" s="444"/>
      <c r="H15" s="20"/>
      <c r="I15" s="64" t="s">
        <v>87</v>
      </c>
      <c r="J15" s="20" t="s">
        <v>88</v>
      </c>
      <c r="K15" s="20"/>
      <c r="L15" s="20"/>
    </row>
    <row r="16" spans="1:15" ht="15" thickBot="1" x14ac:dyDescent="0.25">
      <c r="B16" s="20"/>
      <c r="C16" s="447">
        <f ca="1">IF(B9-H7-H11+J16&lt;0, 0, B9-H7-H11+J16)</f>
        <v>665.62864800000011</v>
      </c>
      <c r="D16" s="448"/>
      <c r="E16" s="20"/>
      <c r="F16" s="20" t="s">
        <v>92</v>
      </c>
      <c r="G16" s="20"/>
      <c r="H16" s="20"/>
      <c r="I16" s="451">
        <f>'Parameters calculator (hide)'!$H$24</f>
        <v>0.8</v>
      </c>
      <c r="J16" s="453">
        <f ca="1">'Parameters calculator (hide)'!H25</f>
        <v>55.067520000000002</v>
      </c>
      <c r="K16" s="20"/>
      <c r="L16" s="20"/>
    </row>
    <row r="17" spans="1:13" ht="15" thickBot="1" x14ac:dyDescent="0.25">
      <c r="B17" s="20"/>
      <c r="C17" s="449"/>
      <c r="D17" s="450"/>
      <c r="E17" s="22"/>
      <c r="F17" s="23"/>
      <c r="G17" s="23"/>
      <c r="H17" s="23"/>
      <c r="I17" s="452"/>
      <c r="J17" s="454"/>
      <c r="K17" s="24"/>
      <c r="L17" s="20"/>
    </row>
    <row r="18" spans="1:13" x14ac:dyDescent="0.2">
      <c r="B18" s="90" t="s">
        <v>374</v>
      </c>
      <c r="C18" s="20"/>
      <c r="D18" s="22"/>
      <c r="E18" s="20"/>
      <c r="F18" s="20"/>
      <c r="G18" s="20"/>
      <c r="H18" s="25"/>
      <c r="I18" s="25"/>
      <c r="J18" s="25"/>
      <c r="K18" s="26"/>
      <c r="L18" s="20"/>
    </row>
    <row r="19" spans="1:13" x14ac:dyDescent="0.2">
      <c r="B19" s="90" t="s">
        <v>375</v>
      </c>
      <c r="C19" s="20"/>
      <c r="D19" s="27"/>
      <c r="E19" s="20"/>
      <c r="F19" s="20"/>
      <c r="G19" s="20"/>
      <c r="H19" s="25"/>
      <c r="I19" s="25"/>
      <c r="J19" s="25"/>
      <c r="K19" s="26"/>
      <c r="L19" s="20"/>
    </row>
    <row r="20" spans="1:13" ht="15" thickBot="1" x14ac:dyDescent="0.25">
      <c r="B20" s="90"/>
      <c r="C20" s="20"/>
      <c r="D20" s="27"/>
      <c r="E20" s="455" t="s">
        <v>347</v>
      </c>
      <c r="F20" s="455"/>
      <c r="G20" s="64" t="s">
        <v>87</v>
      </c>
      <c r="H20" s="25" t="s">
        <v>88</v>
      </c>
      <c r="I20" s="25"/>
      <c r="J20" s="25"/>
      <c r="K20" s="26"/>
      <c r="L20" s="20"/>
    </row>
    <row r="21" spans="1:13" ht="15" thickBot="1" x14ac:dyDescent="0.25">
      <c r="B21" s="20"/>
      <c r="C21" s="20"/>
      <c r="D21" s="28"/>
      <c r="E21" s="456" t="s">
        <v>93</v>
      </c>
      <c r="F21" s="457"/>
      <c r="G21" s="458">
        <v>0.1</v>
      </c>
      <c r="H21" s="445">
        <f ca="1">'Parameters calculator (hide)'!E25</f>
        <v>68.834400000000002</v>
      </c>
      <c r="I21" s="29"/>
      <c r="J21" s="29"/>
      <c r="K21" s="21"/>
      <c r="L21" s="20"/>
    </row>
    <row r="22" spans="1:13" ht="15" thickBot="1" x14ac:dyDescent="0.25">
      <c r="B22" s="90"/>
      <c r="C22" s="26"/>
      <c r="D22" s="23"/>
      <c r="E22" s="23"/>
      <c r="F22" s="24"/>
      <c r="G22" s="459"/>
      <c r="H22" s="446"/>
      <c r="I22" s="24"/>
      <c r="J22" s="20"/>
      <c r="K22" s="20"/>
      <c r="L22" s="20"/>
    </row>
    <row r="23" spans="1:13" x14ac:dyDescent="0.2">
      <c r="B23" s="30" t="s">
        <v>94</v>
      </c>
      <c r="C23" s="26"/>
      <c r="D23" s="20"/>
      <c r="E23" s="20"/>
      <c r="F23" s="20"/>
      <c r="G23" s="20"/>
      <c r="H23" s="25"/>
      <c r="I23" s="26"/>
      <c r="J23" s="20"/>
      <c r="K23" s="20"/>
      <c r="L23" s="20"/>
    </row>
    <row r="24" spans="1:13" x14ac:dyDescent="0.2">
      <c r="A24" s="31"/>
      <c r="B24" s="31"/>
      <c r="C24" s="32"/>
      <c r="D24" s="31"/>
      <c r="E24" s="31"/>
      <c r="F24" s="31"/>
      <c r="G24" s="31"/>
      <c r="H24" s="31"/>
      <c r="I24" s="32"/>
      <c r="J24" s="31"/>
      <c r="K24" s="31"/>
    </row>
    <row r="25" spans="1:13" ht="14.65" customHeight="1" thickBot="1" x14ac:dyDescent="0.25">
      <c r="A25" s="460" t="s">
        <v>372</v>
      </c>
      <c r="B25" s="31"/>
      <c r="C25" s="32"/>
      <c r="D25" s="31"/>
      <c r="E25" s="31"/>
      <c r="F25" s="31"/>
      <c r="G25" s="31"/>
      <c r="H25" s="31"/>
      <c r="I25" s="32"/>
      <c r="J25" s="31"/>
      <c r="K25" s="31"/>
    </row>
    <row r="26" spans="1:13" ht="15" thickBot="1" x14ac:dyDescent="0.25">
      <c r="A26" s="460"/>
      <c r="B26" s="463">
        <f ca="1">'Parameters calculator (hide)'!B27</f>
        <v>596.79424800000015</v>
      </c>
      <c r="C26" s="33"/>
      <c r="D26" s="31"/>
      <c r="E26" s="31"/>
      <c r="F26" s="31"/>
      <c r="G26" s="92"/>
      <c r="H26" s="31"/>
      <c r="I26" s="32" t="s">
        <v>87</v>
      </c>
      <c r="J26" s="31" t="s">
        <v>88</v>
      </c>
      <c r="K26" s="31"/>
    </row>
    <row r="27" spans="1:13" ht="15" thickBot="1" x14ac:dyDescent="0.25">
      <c r="A27" s="243" t="str">
        <f>"("&amp;$C$4&amp;")"</f>
        <v>(Patients)</v>
      </c>
      <c r="B27" s="464"/>
      <c r="C27" s="31"/>
      <c r="D27" s="31"/>
      <c r="E27" s="31"/>
      <c r="F27" s="83" t="s">
        <v>400</v>
      </c>
      <c r="G27" s="92"/>
      <c r="H27" s="31"/>
      <c r="I27" s="458">
        <v>0.2</v>
      </c>
      <c r="J27" s="445">
        <f ca="1">'Parameters calculator (hide)'!F25</f>
        <v>13.76688</v>
      </c>
      <c r="K27" s="31"/>
    </row>
    <row r="28" spans="1:13" ht="15" thickBot="1" x14ac:dyDescent="0.25">
      <c r="A28" s="83"/>
      <c r="B28" s="31"/>
      <c r="C28" s="31"/>
      <c r="D28" s="31"/>
      <c r="E28" s="31"/>
      <c r="F28" s="31" t="s">
        <v>95</v>
      </c>
      <c r="G28" s="31"/>
      <c r="H28" s="31"/>
      <c r="I28" s="459"/>
      <c r="J28" s="446"/>
      <c r="K28" s="31"/>
    </row>
    <row r="29" spans="1:13" x14ac:dyDescent="0.2">
      <c r="A29" s="34" t="s">
        <v>96</v>
      </c>
      <c r="B29" s="31"/>
      <c r="C29" s="31"/>
      <c r="D29" s="31"/>
      <c r="E29" s="31"/>
      <c r="F29" s="31"/>
      <c r="G29" s="31"/>
      <c r="H29" s="31"/>
      <c r="I29" s="31"/>
      <c r="J29" s="31"/>
      <c r="K29" s="31"/>
    </row>
    <row r="30" spans="1:13" ht="15" thickBot="1" x14ac:dyDescent="0.25"/>
    <row r="31" spans="1:13" ht="15" thickBot="1" x14ac:dyDescent="0.25">
      <c r="A31" t="s">
        <v>371</v>
      </c>
      <c r="F31" s="212"/>
    </row>
    <row r="32" spans="1:13" ht="14.25" customHeight="1" x14ac:dyDescent="0.2">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ht="15" x14ac:dyDescent="0.25">
      <c r="A33" s="2"/>
      <c r="H33" s="150" t="str">
        <f>IF(H32&lt;&gt;"","Please recheck your figures.","")</f>
        <v/>
      </c>
    </row>
    <row r="36" spans="1:8" ht="15" x14ac:dyDescent="0.25">
      <c r="A36" s="2"/>
      <c r="C36" s="5"/>
    </row>
    <row r="37" spans="1:8" x14ac:dyDescent="0.2">
      <c r="C37" s="5"/>
    </row>
    <row r="42" spans="1:8" x14ac:dyDescent="0.2">
      <c r="B42" s="67"/>
    </row>
    <row r="43" spans="1:8" x14ac:dyDescent="0.2">
      <c r="B43" s="67"/>
    </row>
    <row r="44" spans="1:8" x14ac:dyDescent="0.2">
      <c r="B44" s="67"/>
    </row>
    <row r="45" spans="1:8" x14ac:dyDescent="0.2">
      <c r="B45" s="67"/>
    </row>
    <row r="46" spans="1:8" x14ac:dyDescent="0.2">
      <c r="B46" s="67"/>
    </row>
    <row r="47" spans="1:8" x14ac:dyDescent="0.2">
      <c r="B47" s="67"/>
    </row>
    <row r="48" spans="1:8" x14ac:dyDescent="0.2">
      <c r="B48" s="67"/>
    </row>
    <row r="49" spans="2:2" x14ac:dyDescent="0.2">
      <c r="B49" s="67"/>
    </row>
    <row r="50" spans="2:2" x14ac:dyDescent="0.2">
      <c r="B50" s="67"/>
    </row>
    <row r="51" spans="2:2" x14ac:dyDescent="0.2">
      <c r="B51" s="67"/>
    </row>
    <row r="52" spans="2:2" x14ac:dyDescent="0.2">
      <c r="B52" s="67"/>
    </row>
    <row r="53" spans="2:2" x14ac:dyDescent="0.2">
      <c r="B53" s="67"/>
    </row>
    <row r="54" spans="2:2" x14ac:dyDescent="0.2">
      <c r="B54" s="67"/>
    </row>
    <row r="55" spans="2:2" x14ac:dyDescent="0.2">
      <c r="B55" s="67"/>
    </row>
    <row r="56" spans="2:2" x14ac:dyDescent="0.2">
      <c r="B56" s="67"/>
    </row>
    <row r="57" spans="2:2" x14ac:dyDescent="0.2">
      <c r="B57" s="67"/>
    </row>
    <row r="58" spans="2:2" x14ac:dyDescent="0.2">
      <c r="B58" s="67"/>
    </row>
    <row r="59" spans="2:2" x14ac:dyDescent="0.2">
      <c r="B59" s="67"/>
    </row>
    <row r="60" spans="2:2" x14ac:dyDescent="0.2">
      <c r="B60" s="67"/>
    </row>
    <row r="61" spans="2:2" x14ac:dyDescent="0.2">
      <c r="B61" s="67"/>
    </row>
    <row r="62" spans="2:2" x14ac:dyDescent="0.2">
      <c r="B62" s="67"/>
    </row>
    <row r="63" spans="2:2" x14ac:dyDescent="0.2">
      <c r="B63" s="67"/>
    </row>
    <row r="64" spans="2:2" x14ac:dyDescent="0.2">
      <c r="B64" s="67"/>
    </row>
    <row r="65" spans="2:2" x14ac:dyDescent="0.2">
      <c r="B65" s="67"/>
    </row>
    <row r="66" spans="2:2" x14ac:dyDescent="0.2">
      <c r="B66" s="67"/>
    </row>
    <row r="67" spans="2:2" x14ac:dyDescent="0.2">
      <c r="B67" s="67"/>
    </row>
    <row r="68" spans="2:2" x14ac:dyDescent="0.2">
      <c r="B68" s="67"/>
    </row>
    <row r="69" spans="2:2" x14ac:dyDescent="0.2">
      <c r="B69" s="67"/>
    </row>
    <row r="70" spans="2:2" x14ac:dyDescent="0.2">
      <c r="B70" s="67"/>
    </row>
    <row r="71" spans="2:2" x14ac:dyDescent="0.2">
      <c r="B71" s="67"/>
    </row>
    <row r="72" spans="2:2" x14ac:dyDescent="0.2">
      <c r="B72" s="67"/>
    </row>
    <row r="73" spans="2:2" x14ac:dyDescent="0.2">
      <c r="B73" s="67"/>
    </row>
    <row r="74" spans="2:2" x14ac:dyDescent="0.2">
      <c r="B74" s="67"/>
    </row>
    <row r="75" spans="2:2" x14ac:dyDescent="0.2">
      <c r="B75" s="67"/>
    </row>
    <row r="76" spans="2:2" x14ac:dyDescent="0.2">
      <c r="B76" s="67"/>
    </row>
    <row r="77" spans="2:2" x14ac:dyDescent="0.2">
      <c r="B77" s="67"/>
    </row>
    <row r="78" spans="2:2" x14ac:dyDescent="0.2">
      <c r="B78" s="67"/>
    </row>
    <row r="79" spans="2:2" x14ac:dyDescent="0.2">
      <c r="B79" s="67"/>
    </row>
    <row r="80" spans="2:2" x14ac:dyDescent="0.2">
      <c r="B80" s="67"/>
    </row>
    <row r="81" spans="1:2" x14ac:dyDescent="0.2">
      <c r="B81" s="67"/>
    </row>
    <row r="82" spans="1:2" x14ac:dyDescent="0.2">
      <c r="B82" s="67"/>
    </row>
    <row r="83" spans="1:2" x14ac:dyDescent="0.2">
      <c r="A83" s="67"/>
      <c r="B83" s="67"/>
    </row>
    <row r="84" spans="1:2" x14ac:dyDescent="0.2">
      <c r="A84" s="67"/>
      <c r="B84" s="67"/>
    </row>
    <row r="85" spans="1:2" x14ac:dyDescent="0.2">
      <c r="A85" s="67"/>
      <c r="B85" s="67"/>
    </row>
    <row r="86" spans="1:2" x14ac:dyDescent="0.2">
      <c r="A86" s="67"/>
      <c r="B86" s="67"/>
    </row>
    <row r="87" spans="1:2" x14ac:dyDescent="0.2">
      <c r="B87" s="67"/>
    </row>
    <row r="88" spans="1:2" x14ac:dyDescent="0.2">
      <c r="A88" s="67"/>
      <c r="B88" s="67"/>
    </row>
    <row r="89" spans="1:2" x14ac:dyDescent="0.2">
      <c r="A89" s="67"/>
      <c r="B89" s="67"/>
    </row>
    <row r="90" spans="1:2" x14ac:dyDescent="0.2">
      <c r="A90" s="67"/>
      <c r="B90" s="67"/>
    </row>
    <row r="91" spans="1:2" x14ac:dyDescent="0.2">
      <c r="A91" s="67"/>
      <c r="B91" s="67"/>
    </row>
    <row r="92" spans="1:2" x14ac:dyDescent="0.2">
      <c r="B92" s="67"/>
    </row>
    <row r="93" spans="1:2" x14ac:dyDescent="0.2">
      <c r="B93" s="67"/>
    </row>
    <row r="94" spans="1:2" x14ac:dyDescent="0.2">
      <c r="B94" s="67"/>
    </row>
    <row r="95" spans="1:2" x14ac:dyDescent="0.2">
      <c r="B95" s="67"/>
    </row>
    <row r="96" spans="1:2" x14ac:dyDescent="0.2">
      <c r="B96" s="67"/>
    </row>
  </sheetData>
  <sheetProtection algorithmName="SHA-512" hashValue="sbHTfc2tetJ6uCWTy8q+GwF4HTRyE1s9f/FzfpT2Iie01DM80YNkKikRitLmLPwO+GE/tdsgDF0QA1SroCIRgg==" saltValue="DPhOuHDoifbPyIrlHzdtmQ==" spinCount="100000" sheet="1" objects="1" scenarios="1"/>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28575</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981075</xdr:colOff>
                    <xdr:row>3</xdr:row>
                    <xdr:rowOff>0</xdr:rowOff>
                  </from>
                  <to>
                    <xdr:col>6</xdr:col>
                    <xdr:colOff>0</xdr:colOff>
                    <xdr:row>4</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E45" sqref="E45"/>
    </sheetView>
  </sheetViews>
  <sheetFormatPr defaultRowHeight="14.25" x14ac:dyDescent="0.2"/>
  <cols>
    <col min="1" max="1" width="32.125" customWidth="1"/>
    <col min="2" max="9" width="10.625" customWidth="1"/>
  </cols>
  <sheetData>
    <row r="1" spans="1:7" ht="15" x14ac:dyDescent="0.25">
      <c r="A1" s="102" t="s">
        <v>323</v>
      </c>
      <c r="B1" s="103"/>
      <c r="C1" s="103"/>
      <c r="D1" s="103"/>
      <c r="E1" s="103"/>
      <c r="F1" s="103"/>
      <c r="G1" s="103"/>
    </row>
    <row r="3" spans="1:7" x14ac:dyDescent="0.2">
      <c r="A3" t="s">
        <v>321</v>
      </c>
    </row>
    <row r="4" spans="1:7" s="67" customFormat="1" ht="15" x14ac:dyDescent="0.25">
      <c r="A4" s="213">
        <v>52</v>
      </c>
      <c r="B4"/>
    </row>
    <row r="5" spans="1:7" s="67" customFormat="1" x14ac:dyDescent="0.2"/>
    <row r="6" spans="1:7" s="67" customFormat="1" x14ac:dyDescent="0.2"/>
    <row r="7" spans="1:7" s="67" customFormat="1" x14ac:dyDescent="0.2"/>
    <row r="8" spans="1:7" ht="15" x14ac:dyDescent="0.25">
      <c r="A8" s="89" t="s">
        <v>102</v>
      </c>
      <c r="B8" s="97" t="s">
        <v>75</v>
      </c>
      <c r="C8" s="97" t="s">
        <v>311</v>
      </c>
      <c r="D8" s="96"/>
      <c r="E8" s="98" t="s">
        <v>99</v>
      </c>
      <c r="F8" s="96"/>
      <c r="G8" s="99" t="s">
        <v>312</v>
      </c>
    </row>
    <row r="9" spans="1:7" x14ac:dyDescent="0.2">
      <c r="A9" s="86" t="str">
        <f>IF(Setup!C27&lt;&gt;"",Setup!C27,"Modality "&amp;ROW(A1))</f>
        <v>Test name 1</v>
      </c>
      <c r="B9" s="214"/>
      <c r="C9" s="214"/>
      <c r="E9" s="214"/>
      <c r="G9" s="214"/>
    </row>
    <row r="10" spans="1:7" x14ac:dyDescent="0.2">
      <c r="A10" s="86" t="str">
        <f>IF(Setup!C28&lt;&gt;"",Setup!C28,"Modality "&amp;ROW(A2))</f>
        <v>Test name 2</v>
      </c>
      <c r="B10" s="214"/>
      <c r="C10" s="214"/>
      <c r="E10" s="214"/>
      <c r="G10" s="214"/>
    </row>
    <row r="11" spans="1:7" hidden="1" x14ac:dyDescent="0.2">
      <c r="A11" s="86" t="str">
        <f>IF(Setup!C29&lt;&gt;"",Setup!C29,"Modality "&amp;ROW(A3))</f>
        <v>Modality 3</v>
      </c>
      <c r="B11" s="214"/>
      <c r="C11" s="214"/>
      <c r="E11" s="214"/>
      <c r="G11" s="214"/>
    </row>
    <row r="12" spans="1:7" hidden="1" x14ac:dyDescent="0.2">
      <c r="A12" s="86" t="str">
        <f>IF(Setup!C30&lt;&gt;"",Setup!C30,"Modality "&amp;ROW(A8))</f>
        <v>Modality 4</v>
      </c>
      <c r="B12" s="214"/>
      <c r="C12" s="214"/>
      <c r="E12" s="214"/>
      <c r="G12" s="214"/>
    </row>
    <row r="13" spans="1:7" hidden="1" x14ac:dyDescent="0.2">
      <c r="A13" s="86" t="str">
        <f>IF(Setup!C31&lt;&gt;"",Setup!C31,"Modality "&amp;ROW(A9))</f>
        <v>Modality 5</v>
      </c>
      <c r="B13" s="214"/>
      <c r="C13" s="214"/>
      <c r="E13" s="214"/>
      <c r="G13" s="214"/>
    </row>
    <row r="14" spans="1:7" hidden="1" x14ac:dyDescent="0.2">
      <c r="A14" s="86" t="str">
        <f>IF(Setup!C32&lt;&gt;"",Setup!C32,"Modality "&amp;ROW(A10))</f>
        <v>Modality 6</v>
      </c>
      <c r="B14" s="214"/>
      <c r="C14" s="214"/>
      <c r="E14" s="214"/>
      <c r="G14" s="214"/>
    </row>
    <row r="15" spans="1:7" hidden="1" x14ac:dyDescent="0.2">
      <c r="A15" s="86" t="str">
        <f>IF(Setup!C33&lt;&gt;"",Setup!C33,"Modality "&amp;ROW(A11))</f>
        <v>Modality 7</v>
      </c>
      <c r="B15" s="214"/>
      <c r="C15" s="214"/>
      <c r="E15" s="214"/>
      <c r="G15" s="214"/>
    </row>
    <row r="16" spans="1:7" hidden="1" x14ac:dyDescent="0.2">
      <c r="A16" s="86" t="str">
        <f>IF(Setup!C34&lt;&gt;"",Setup!C34,"Modality "&amp;ROW(A12))</f>
        <v>Modality 8</v>
      </c>
      <c r="B16" s="214"/>
      <c r="C16" s="214"/>
      <c r="E16" s="214"/>
      <c r="G16" s="214"/>
    </row>
    <row r="17" spans="1:7" hidden="1" x14ac:dyDescent="0.2">
      <c r="A17" s="86" t="str">
        <f>IF(Setup!C35&lt;&gt;"",Setup!C35,"Modality "&amp;ROW(A13))</f>
        <v>Modality 9</v>
      </c>
      <c r="B17" s="214"/>
      <c r="C17" s="214"/>
      <c r="E17" s="214"/>
      <c r="G17" s="214"/>
    </row>
    <row r="18" spans="1:7" hidden="1" x14ac:dyDescent="0.2">
      <c r="A18" s="86" t="str">
        <f>IF(Setup!C36&lt;&gt;"",Setup!C36,"Modality "&amp;ROW(A14))</f>
        <v>Modality 10</v>
      </c>
      <c r="B18" s="214"/>
      <c r="C18" s="214"/>
      <c r="E18" s="214"/>
      <c r="G18" s="214"/>
    </row>
    <row r="19" spans="1:7" x14ac:dyDescent="0.2">
      <c r="A19" s="67"/>
    </row>
    <row r="20" spans="1:7" s="67" customFormat="1" ht="15" x14ac:dyDescent="0.25">
      <c r="B20" s="96" t="s">
        <v>19</v>
      </c>
      <c r="C20" s="96" t="str">
        <f>Setup!I17</f>
        <v>Minutes</v>
      </c>
    </row>
    <row r="21" spans="1:7" s="67" customFormat="1" x14ac:dyDescent="0.2">
      <c r="A21" s="67" t="s">
        <v>395</v>
      </c>
      <c r="B21" s="95">
        <f ca="1">'Parameters calculator (hide)'!B19</f>
        <v>696</v>
      </c>
      <c r="C21" s="95">
        <f ca="1">'Parameters calculator (hide)'!B19*'Parameters calculator (hide)'!E18</f>
        <v>25740.000000000004</v>
      </c>
    </row>
    <row r="22" spans="1:7" s="67" customFormat="1" x14ac:dyDescent="0.2">
      <c r="A22" s="67" t="s">
        <v>396</v>
      </c>
      <c r="B22" s="69"/>
      <c r="C22" s="69"/>
    </row>
    <row r="23" spans="1:7" s="67" customFormat="1" x14ac:dyDescent="0.2"/>
    <row r="24" spans="1:7" s="67" customFormat="1" x14ac:dyDescent="0.2"/>
    <row r="25" spans="1:7" ht="15"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ht="15" x14ac:dyDescent="0.25">
      <c r="A26" s="88" t="s">
        <v>322</v>
      </c>
      <c r="B26" s="94">
        <f ca="1">'Parameters calculator (hide)'!C16</f>
        <v>0</v>
      </c>
      <c r="C26" s="94">
        <f ca="1">'Parameters calculator (hide)'!E16</f>
        <v>0</v>
      </c>
      <c r="E26" s="94">
        <f ca="1">'Parameters calculator (hide)'!G16</f>
        <v>0</v>
      </c>
      <c r="G26" s="94">
        <f ca="1">'Parameters calculator (hide)'!I16</f>
        <v>0</v>
      </c>
    </row>
    <row r="27" spans="1:7" x14ac:dyDescent="0.2">
      <c r="A27" s="67"/>
      <c r="B27" s="67"/>
      <c r="C27" s="67"/>
      <c r="D27" s="67"/>
      <c r="E27" s="67"/>
      <c r="F27" s="67"/>
      <c r="G27" s="67"/>
    </row>
    <row r="28" spans="1:7" x14ac:dyDescent="0.2">
      <c r="A28" s="67"/>
      <c r="B28" s="67"/>
      <c r="C28" s="67"/>
      <c r="D28" s="67"/>
      <c r="E28" s="67"/>
      <c r="F28" s="67"/>
      <c r="G28" s="67"/>
    </row>
    <row r="29" spans="1:7" x14ac:dyDescent="0.2">
      <c r="A29" t="s">
        <v>397</v>
      </c>
    </row>
  </sheetData>
  <sheetProtection algorithmName="SHA-512" hashValue="37sUgAmodEgDzQsWD6F14VgoHFT+zfHgy+I8DlZBuSdb19O9eIPk7gPReThYyF3ddqfHaUYTWqZ7tT+rR8Ea3Q==" saltValue="48V4+pYxrAli/4HTtAgHwA=="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46" workbookViewId="0">
      <selection activeCell="I69" sqref="I69"/>
    </sheetView>
  </sheetViews>
  <sheetFormatPr defaultRowHeight="14.25" x14ac:dyDescent="0.2"/>
  <cols>
    <col min="1" max="1" width="15.75" customWidth="1"/>
    <col min="3" max="3" width="11" bestFit="1" customWidth="1"/>
    <col min="5" max="5" width="17.25" customWidth="1"/>
  </cols>
  <sheetData>
    <row r="1" spans="1:9" x14ac:dyDescent="0.2">
      <c r="A1" t="s">
        <v>404</v>
      </c>
    </row>
    <row r="3" spans="1:9" x14ac:dyDescent="0.2">
      <c r="B3" t="s">
        <v>75</v>
      </c>
      <c r="D3" t="s">
        <v>98</v>
      </c>
      <c r="F3" t="s">
        <v>99</v>
      </c>
      <c r="H3" t="s">
        <v>100</v>
      </c>
    </row>
    <row r="4" spans="1:9" x14ac:dyDescent="0.2">
      <c r="A4" t="s">
        <v>102</v>
      </c>
      <c r="B4" t="s">
        <v>19</v>
      </c>
      <c r="C4" t="s">
        <v>313</v>
      </c>
      <c r="D4" s="67" t="s">
        <v>19</v>
      </c>
      <c r="E4" s="67" t="s">
        <v>313</v>
      </c>
      <c r="F4" s="67" t="s">
        <v>19</v>
      </c>
      <c r="G4" s="67" t="s">
        <v>313</v>
      </c>
      <c r="H4" s="67" t="s">
        <v>19</v>
      </c>
      <c r="I4" s="67" t="s">
        <v>313</v>
      </c>
    </row>
    <row r="5" spans="1:9" x14ac:dyDescent="0.2">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
      <c r="A16" t="s">
        <v>345</v>
      </c>
      <c r="C16" s="84">
        <f ca="1">C15/'Parameters calculator'!$C$21</f>
        <v>0</v>
      </c>
      <c r="E16" s="84">
        <f ca="1">E15/('Parameters calculator'!$C$21-C15)</f>
        <v>0</v>
      </c>
      <c r="G16" s="84">
        <f ca="1">G15/('Parameters calculator'!$C$21-C15)</f>
        <v>0</v>
      </c>
      <c r="I16" s="84">
        <f ca="1">IF(G15=0,0,I15/G15)</f>
        <v>0</v>
      </c>
    </row>
    <row r="17" spans="1:13" s="67" customFormat="1" x14ac:dyDescent="0.2"/>
    <row r="18" spans="1:13" s="67" customFormat="1" x14ac:dyDescent="0.2">
      <c r="A18" s="67" t="s">
        <v>147</v>
      </c>
      <c r="B18" s="67">
        <f ca="1">IF(LEFT(INDIRECT(H18),4)="Base",MAX('SPC background (hide)'!$I$5:$I$11),INDIRECT(H18))</f>
        <v>52</v>
      </c>
      <c r="D18" s="67" t="s">
        <v>212</v>
      </c>
      <c r="E18" s="5">
        <f ca="1">'Demand background (hide)'!BN16</f>
        <v>36.982758620689658</v>
      </c>
      <c r="G18" s="67" t="s">
        <v>394</v>
      </c>
      <c r="H18" s="51" t="s">
        <v>501</v>
      </c>
    </row>
    <row r="19" spans="1:13" x14ac:dyDescent="0.2">
      <c r="A19" t="s">
        <v>329</v>
      </c>
      <c r="B19">
        <f ca="1">'Demand background (hide)'!$BM$18*'Parameters calculator (hide)'!$B$18*IF(OR(Parameters!C4="Patients",B34=1),1/E18,1)</f>
        <v>696</v>
      </c>
    </row>
    <row r="20" spans="1:13" x14ac:dyDescent="0.2">
      <c r="B20" t="s">
        <v>75</v>
      </c>
      <c r="C20" t="s">
        <v>336</v>
      </c>
      <c r="E20" t="s">
        <v>99</v>
      </c>
      <c r="F20" t="s">
        <v>337</v>
      </c>
      <c r="H20" t="s">
        <v>101</v>
      </c>
    </row>
    <row r="21" spans="1:13" s="67" customFormat="1" x14ac:dyDescent="0.2">
      <c r="A21" s="67" t="s">
        <v>334</v>
      </c>
      <c r="B21" s="84">
        <f>Parameters!$G$7</f>
        <v>1.0999999999999999E-2</v>
      </c>
      <c r="C21" s="84">
        <f>Parameters!$G$11</f>
        <v>0.113</v>
      </c>
      <c r="D21" s="47"/>
      <c r="E21" s="84">
        <f>Parameters!$G$21</f>
        <v>0.1</v>
      </c>
      <c r="F21" s="84">
        <f>Parameters!$I$27</f>
        <v>0.2</v>
      </c>
      <c r="G21" s="47"/>
      <c r="H21" s="84">
        <f>1-F21</f>
        <v>0.8</v>
      </c>
      <c r="M21" s="67" t="s">
        <v>393</v>
      </c>
    </row>
    <row r="22" spans="1:13" s="67" customFormat="1" x14ac:dyDescent="0.2">
      <c r="A22" s="67" t="s">
        <v>335</v>
      </c>
      <c r="B22" s="5">
        <f ca="1">Parameters!$H$7</f>
        <v>7.6559999999999997</v>
      </c>
      <c r="C22" s="5">
        <f ca="1">Parameters!$H$11</f>
        <v>77.782871999999998</v>
      </c>
      <c r="E22" s="5">
        <f ca="1">Parameters!$H$21</f>
        <v>68.834400000000002</v>
      </c>
      <c r="F22" s="5">
        <f ca="1">Parameters!$J$27</f>
        <v>13.76688</v>
      </c>
      <c r="H22" s="5">
        <f ca="1">E22-F22</f>
        <v>55.067520000000002</v>
      </c>
    </row>
    <row r="23" spans="1:13" s="67" customFormat="1" x14ac:dyDescent="0.2"/>
    <row r="24" spans="1:13" x14ac:dyDescent="0.2">
      <c r="A24" s="67" t="s">
        <v>332</v>
      </c>
      <c r="B24" s="84">
        <f ca="1">IF($B$34=2,IFERROR(B22/B19,NA()),C16)</f>
        <v>1.0999999999999999E-2</v>
      </c>
      <c r="C24" s="84">
        <f ca="1">IF($B$34=2,IFERROR(C22/(B19-B22),NA()),E16)</f>
        <v>0.11299999999999999</v>
      </c>
      <c r="D24" s="47"/>
      <c r="E24" s="84">
        <f ca="1">IF($B$34=2,IFERROR(E22/(B19-B22),NA()),G16)</f>
        <v>9.9999999999999992E-2</v>
      </c>
      <c r="F24" s="84">
        <f ca="1">IF($B$34=2,IF(E22=0,0,IFERROR(F22/E22,NA())),I16)</f>
        <v>0.2</v>
      </c>
      <c r="G24" s="47"/>
      <c r="H24" s="84">
        <f>IF(Parameters!$C$2="%",'Parameters calculator (hide)'!$H$21,1-F24)</f>
        <v>0.8</v>
      </c>
    </row>
    <row r="25" spans="1:13" x14ac:dyDescent="0.2">
      <c r="A25" t="s">
        <v>333</v>
      </c>
      <c r="B25" s="5">
        <f ca="1">IFERROR(B19*B21,NA())</f>
        <v>7.6559999999999997</v>
      </c>
      <c r="C25" s="5">
        <f ca="1">IFERROR((B19*(1-B21)*C21),NA())</f>
        <v>77.782871999999998</v>
      </c>
      <c r="D25" s="67"/>
      <c r="E25" s="5">
        <f ca="1">IFERROR(B19*(1-B21)*E21,NA())</f>
        <v>68.834400000000002</v>
      </c>
      <c r="F25" s="5">
        <f ca="1">IFERROR(E25*F21,NA())</f>
        <v>13.76688</v>
      </c>
      <c r="G25" s="67"/>
      <c r="H25" s="5">
        <f ca="1">E25-F25</f>
        <v>55.067520000000002</v>
      </c>
    </row>
    <row r="27" spans="1:13" x14ac:dyDescent="0.2">
      <c r="A27" t="s">
        <v>340</v>
      </c>
      <c r="B27">
        <f ca="1">IF(Parameters!$C$2="Volume",B19-B22-C22+H22-E22,B19-B25-C25+H25-E25)</f>
        <v>596.79424800000015</v>
      </c>
      <c r="M27" t="s">
        <v>315</v>
      </c>
    </row>
    <row r="28" spans="1:13" x14ac:dyDescent="0.2">
      <c r="M28" t="s">
        <v>316</v>
      </c>
    </row>
    <row r="29" spans="1:13" x14ac:dyDescent="0.2">
      <c r="A29" t="s">
        <v>342</v>
      </c>
      <c r="B29" t="s">
        <v>378</v>
      </c>
      <c r="C29" t="s">
        <v>379</v>
      </c>
      <c r="D29" t="s">
        <v>376</v>
      </c>
      <c r="E29" t="s">
        <v>377</v>
      </c>
      <c r="F29" t="s">
        <v>343</v>
      </c>
      <c r="G29" t="s">
        <v>344</v>
      </c>
      <c r="I29" t="s">
        <v>350</v>
      </c>
      <c r="J29" t="s">
        <v>349</v>
      </c>
      <c r="M29" t="s">
        <v>317</v>
      </c>
    </row>
    <row r="30" spans="1:13" x14ac:dyDescent="0.2">
      <c r="A30" t="s">
        <v>75</v>
      </c>
      <c r="B30" t="s">
        <v>380</v>
      </c>
      <c r="C30" t="s">
        <v>384</v>
      </c>
      <c r="D30" s="51" t="s">
        <v>359</v>
      </c>
      <c r="E30" s="51" t="s">
        <v>363</v>
      </c>
      <c r="F30" s="51" t="s">
        <v>359</v>
      </c>
      <c r="G30" s="51" t="s">
        <v>367</v>
      </c>
      <c r="I30" t="s">
        <v>351</v>
      </c>
      <c r="J30" t="s">
        <v>355</v>
      </c>
      <c r="M30" t="s">
        <v>318</v>
      </c>
    </row>
    <row r="31" spans="1:13" x14ac:dyDescent="0.2">
      <c r="A31" t="s">
        <v>336</v>
      </c>
      <c r="B31" t="s">
        <v>381</v>
      </c>
      <c r="C31" t="s">
        <v>385</v>
      </c>
      <c r="D31" s="51" t="s">
        <v>360</v>
      </c>
      <c r="E31" s="51" t="s">
        <v>364</v>
      </c>
      <c r="F31" s="51" t="s">
        <v>360</v>
      </c>
      <c r="G31" s="51" t="s">
        <v>368</v>
      </c>
      <c r="I31" t="s">
        <v>352</v>
      </c>
      <c r="J31" s="67" t="s">
        <v>356</v>
      </c>
      <c r="M31" t="s">
        <v>319</v>
      </c>
    </row>
    <row r="32" spans="1:13" x14ac:dyDescent="0.2">
      <c r="A32" t="s">
        <v>99</v>
      </c>
      <c r="B32" t="s">
        <v>382</v>
      </c>
      <c r="C32" t="s">
        <v>386</v>
      </c>
      <c r="D32" s="51" t="s">
        <v>361</v>
      </c>
      <c r="E32" s="51" t="s">
        <v>365</v>
      </c>
      <c r="F32" s="51" t="s">
        <v>361</v>
      </c>
      <c r="G32" s="51" t="s">
        <v>369</v>
      </c>
      <c r="I32" t="s">
        <v>353</v>
      </c>
      <c r="J32" s="67" t="s">
        <v>357</v>
      </c>
      <c r="M32" t="s">
        <v>320</v>
      </c>
    </row>
    <row r="33" spans="1:13" x14ac:dyDescent="0.2">
      <c r="A33" t="s">
        <v>337</v>
      </c>
      <c r="B33" t="s">
        <v>383</v>
      </c>
      <c r="C33" t="s">
        <v>387</v>
      </c>
      <c r="D33" s="51" t="s">
        <v>362</v>
      </c>
      <c r="E33" s="51" t="s">
        <v>366</v>
      </c>
      <c r="F33" s="51" t="s">
        <v>362</v>
      </c>
      <c r="G33" s="51" t="s">
        <v>370</v>
      </c>
      <c r="I33" t="s">
        <v>354</v>
      </c>
      <c r="J33" s="67" t="s">
        <v>358</v>
      </c>
      <c r="M33" t="s">
        <v>341</v>
      </c>
    </row>
    <row r="34" spans="1:13" x14ac:dyDescent="0.2">
      <c r="A34" t="s">
        <v>331</v>
      </c>
      <c r="B34">
        <v>2</v>
      </c>
      <c r="C34">
        <v>2</v>
      </c>
    </row>
    <row r="37" spans="1:13" x14ac:dyDescent="0.2">
      <c r="A37" s="51" t="s">
        <v>398</v>
      </c>
      <c r="B37" s="67"/>
    </row>
    <row r="38" spans="1:13" x14ac:dyDescent="0.2">
      <c r="A38" t="s">
        <v>410</v>
      </c>
    </row>
    <row r="40" spans="1:13" x14ac:dyDescent="0.2">
      <c r="E40" t="s">
        <v>507</v>
      </c>
    </row>
    <row r="41" spans="1:13" x14ac:dyDescent="0.2">
      <c r="A41" t="s">
        <v>405</v>
      </c>
      <c r="E41" t="s">
        <v>505</v>
      </c>
      <c r="G41" t="s">
        <v>502</v>
      </c>
      <c r="H41" t="s">
        <v>506</v>
      </c>
    </row>
    <row r="42" spans="1:13" x14ac:dyDescent="0.2">
      <c r="B42" t="s">
        <v>87</v>
      </c>
      <c r="E42" s="146">
        <f>Parameters!F31</f>
        <v>0</v>
      </c>
    </row>
    <row r="43" spans="1:13" x14ac:dyDescent="0.2">
      <c r="A43" t="s">
        <v>75</v>
      </c>
      <c r="B43" s="100">
        <f ca="1">IF(B34=1,C16,B24)</f>
        <v>1.0999999999999999E-2</v>
      </c>
      <c r="C43" s="146">
        <f ca="1">(1-B43)</f>
        <v>0.98899999999999999</v>
      </c>
      <c r="E43" s="148"/>
      <c r="G43" s="146"/>
    </row>
    <row r="44" spans="1:13" x14ac:dyDescent="0.2">
      <c r="A44" t="s">
        <v>336</v>
      </c>
      <c r="B44" s="100">
        <f ca="1">IF(B34=1,E16,C24)</f>
        <v>0.11299999999999999</v>
      </c>
      <c r="C44" s="146">
        <f ca="1">B44</f>
        <v>0.11299999999999999</v>
      </c>
      <c r="E44" s="146" t="s">
        <v>508</v>
      </c>
      <c r="G44" s="146"/>
      <c r="H44" s="67"/>
    </row>
    <row r="45" spans="1:13" x14ac:dyDescent="0.2">
      <c r="A45" t="s">
        <v>99</v>
      </c>
      <c r="B45" s="100">
        <f ca="1">IF(B34=1,G16,E24)</f>
        <v>9.9999999999999992E-2</v>
      </c>
      <c r="C45" s="146"/>
      <c r="E45" s="146" t="str">
        <f>IF(E42&gt;0,E42/(1-C44-(B45*B46))/C43,"")</f>
        <v/>
      </c>
      <c r="G45" s="146"/>
      <c r="H45" s="67"/>
    </row>
    <row r="46" spans="1:13" x14ac:dyDescent="0.2">
      <c r="A46" t="s">
        <v>337</v>
      </c>
      <c r="B46" s="100">
        <f ca="1">IF(B34=1,I16,F24)</f>
        <v>0.2</v>
      </c>
      <c r="C46" s="146">
        <f ca="1">B46*B45</f>
        <v>0.02</v>
      </c>
      <c r="E46" s="146"/>
      <c r="G46" s="146"/>
      <c r="H46" s="67"/>
    </row>
    <row r="47" spans="1:13" x14ac:dyDescent="0.2">
      <c r="A47" t="s">
        <v>406</v>
      </c>
      <c r="B47" s="100">
        <f ca="1">IF(B34=1,1-I16,1-F24)</f>
        <v>0.8</v>
      </c>
      <c r="C47" s="146">
        <f ca="1">B47*B45</f>
        <v>0.08</v>
      </c>
      <c r="D47" s="36"/>
      <c r="E47" s="146"/>
      <c r="F47" s="146"/>
      <c r="G47" s="146"/>
      <c r="H47" s="67"/>
    </row>
    <row r="51" spans="1:14" x14ac:dyDescent="0.2">
      <c r="A51" t="s">
        <v>407</v>
      </c>
      <c r="E51" t="s">
        <v>877</v>
      </c>
      <c r="F51" t="s">
        <v>413</v>
      </c>
      <c r="L51" t="s">
        <v>420</v>
      </c>
    </row>
    <row r="53" spans="1:14" x14ac:dyDescent="0.2">
      <c r="A53" t="s">
        <v>408</v>
      </c>
      <c r="B53" t="s">
        <v>148</v>
      </c>
      <c r="C53" t="s">
        <v>149</v>
      </c>
      <c r="D53" t="s">
        <v>883</v>
      </c>
      <c r="F53" t="s">
        <v>414</v>
      </c>
      <c r="G53" t="s">
        <v>423</v>
      </c>
      <c r="L53" t="s">
        <v>148</v>
      </c>
      <c r="M53" t="s">
        <v>149</v>
      </c>
    </row>
    <row r="54" spans="1:14" s="67" customFormat="1" x14ac:dyDescent="0.2">
      <c r="A54"/>
      <c r="B54"/>
      <c r="C54"/>
      <c r="E54" s="5"/>
      <c r="F54" s="5"/>
    </row>
    <row r="55" spans="1:14" s="67" customFormat="1" x14ac:dyDescent="0.2">
      <c r="A55" s="67" t="str">
        <f>Setup!B24</f>
        <v>Routine</v>
      </c>
      <c r="B55" s="67">
        <f>Pathway!B8/IF(Pathway!$E8="Weeks",1,7)</f>
        <v>2</v>
      </c>
      <c r="C55" s="67">
        <f>Pathway!C8/IF(Pathway!$E8="Weeks",1,7)</f>
        <v>6</v>
      </c>
      <c r="D55" s="67">
        <f>Pathway!D8/IF(Pathway!$E8="Weeks",1,7)</f>
        <v>0</v>
      </c>
      <c r="E55" s="67">
        <f ca="1">IF(AND(Pathway!$H$5="Override",Pathway!$I$6=""),Pathway!H8,Pathway!G8)</f>
        <v>0.78243978243978252</v>
      </c>
      <c r="F55" s="5">
        <f ca="1">('Demand background (hide)'!$BM$18*E55*(B55+((C55-B55)/2)))</f>
        <v>1549.2307692307693</v>
      </c>
      <c r="G55" s="67">
        <f ca="1">$C$47*E55*D55*'Demand background (hide)'!$BM$18</f>
        <v>0</v>
      </c>
      <c r="L55" s="67">
        <f t="shared" ref="L55:L57" si="0">B55</f>
        <v>2</v>
      </c>
      <c r="M55" s="67">
        <f t="shared" ref="M55:M57" si="1">C55-B55</f>
        <v>4</v>
      </c>
      <c r="N55" s="67">
        <f>D55</f>
        <v>0</v>
      </c>
    </row>
    <row r="56" spans="1:14" s="67" customFormat="1" x14ac:dyDescent="0.2">
      <c r="A56" s="67" t="str">
        <f>Setup!B23</f>
        <v>Urgent</v>
      </c>
      <c r="B56" s="67">
        <f>Pathway!B7/IF(Pathway!$E7="Weeks",1,7)</f>
        <v>0</v>
      </c>
      <c r="C56" s="67">
        <f>Pathway!C7/IF(Pathway!$E7="Weeks",1,7)</f>
        <v>2</v>
      </c>
      <c r="D56" s="67">
        <f>Pathway!D7/IF(Pathway!$E7="Weeks",1,7)</f>
        <v>0</v>
      </c>
      <c r="E56" s="67">
        <f ca="1">IF(AND(Pathway!$H$5="Override",Pathway!$I$6=""),Pathway!H7,Pathway!G7)</f>
        <v>0.21756021756021757</v>
      </c>
      <c r="F56" s="5">
        <f ca="1">('Demand background (hide)'!$BM$18*E56*(B56+((C56-B56)/2)))</f>
        <v>107.69230769230769</v>
      </c>
      <c r="G56" s="67">
        <f ca="1">$C$47*E56*D56* 'Demand background (hide)'!$BM$18</f>
        <v>0</v>
      </c>
      <c r="L56" s="67">
        <f t="shared" si="0"/>
        <v>0</v>
      </c>
      <c r="M56" s="67">
        <f t="shared" si="1"/>
        <v>2</v>
      </c>
      <c r="N56" s="67">
        <f t="shared" ref="N56:N57" si="2">D56</f>
        <v>0</v>
      </c>
    </row>
    <row r="57" spans="1:14" x14ac:dyDescent="0.2">
      <c r="A57" t="str">
        <f>Setup!B22</f>
        <v>2WW</v>
      </c>
      <c r="B57">
        <f>Pathway!B6/IF(Pathway!$E6="Weeks",1,7)</f>
        <v>0</v>
      </c>
      <c r="C57" s="67">
        <f>Pathway!C6/IF(Pathway!$E6="Weeks",1,7)</f>
        <v>0</v>
      </c>
      <c r="D57" s="67">
        <f>Pathway!D6/IF(Pathway!$E6="Weeks",1,7)</f>
        <v>0</v>
      </c>
      <c r="E57" s="67">
        <f ca="1">IF(AND(Pathway!$H$5="Override",Pathway!$I$6=""),Pathway!H6,Pathway!G6)</f>
        <v>0</v>
      </c>
      <c r="F57" s="5">
        <f ca="1">('Demand background (hide)'!$BM$18*E57*(B57+((C57-B57)/2)))</f>
        <v>0</v>
      </c>
      <c r="G57" s="67">
        <f ca="1">$C$47*E57*D57*'Demand background (hide)'!$BM$18</f>
        <v>0</v>
      </c>
      <c r="L57" s="67">
        <f t="shared" si="0"/>
        <v>0</v>
      </c>
      <c r="M57" s="67">
        <f t="shared" si="1"/>
        <v>0</v>
      </c>
      <c r="N57" s="67">
        <f t="shared" si="2"/>
        <v>0</v>
      </c>
    </row>
    <row r="61" spans="1:14" x14ac:dyDescent="0.2">
      <c r="F61" s="5"/>
      <c r="H61" t="s">
        <v>165</v>
      </c>
      <c r="I61" t="s">
        <v>166</v>
      </c>
    </row>
    <row r="62" spans="1:14" x14ac:dyDescent="0.2">
      <c r="A62" t="s">
        <v>415</v>
      </c>
      <c r="F62" s="5">
        <f ca="1">SUM(F55:G57)</f>
        <v>1656.9230769230769</v>
      </c>
      <c r="H62" s="5">
        <f ca="1">F62*0.95</f>
        <v>1574.0769230769231</v>
      </c>
      <c r="I62" s="5">
        <f ca="1">F62*1.05</f>
        <v>1739.7692307692307</v>
      </c>
    </row>
    <row r="63" spans="1:14" x14ac:dyDescent="0.2">
      <c r="A63" t="s">
        <v>416</v>
      </c>
      <c r="F63" s="5">
        <f ca="1">F62/E18</f>
        <v>44.802582033351257</v>
      </c>
      <c r="H63" s="5">
        <f ca="1">F63*0.95</f>
        <v>42.562452931683694</v>
      </c>
      <c r="I63" s="5">
        <f ca="1">F63*1.05</f>
        <v>47.04271113501882</v>
      </c>
    </row>
    <row r="65" spans="1:10" x14ac:dyDescent="0.2">
      <c r="G65" t="str">
        <f>"Waiting list position ("&amp;LOWER(Summary!$C$8)&amp;")"</f>
        <v>Waiting list position (patients)</v>
      </c>
    </row>
    <row r="66" spans="1:10" x14ac:dyDescent="0.2">
      <c r="A66" t="s">
        <v>417</v>
      </c>
      <c r="G66" t="s">
        <v>430</v>
      </c>
      <c r="H66" s="5">
        <f ca="1">IF(Summary!$C$8&lt;&gt;"Patients",H62,H63)</f>
        <v>42.562452931683694</v>
      </c>
      <c r="I66" s="5">
        <f ca="1">IF(Summary!$C$8&lt;&gt;"Patients",I62,I63)</f>
        <v>47.04271113501882</v>
      </c>
      <c r="J66" s="5">
        <f ca="1">I66-H66</f>
        <v>4.4802582033351257</v>
      </c>
    </row>
    <row r="67" spans="1:10" x14ac:dyDescent="0.2">
      <c r="B67" t="s">
        <v>429</v>
      </c>
      <c r="C67" t="s">
        <v>313</v>
      </c>
      <c r="G67" t="s">
        <v>431</v>
      </c>
      <c r="H67" s="5">
        <f ca="1">IF(Summary!$C$8&lt;&gt;"Patients",C79,B79)</f>
        <v>60</v>
      </c>
    </row>
    <row r="68" spans="1:10" x14ac:dyDescent="0.2">
      <c r="A68" t="str">
        <f>Setup!C27</f>
        <v>Test name 1</v>
      </c>
      <c r="B68" s="5">
        <f>IF(ROW(A1)&lt;=Num_Modalities,Setup!G27,0)</f>
        <v>30</v>
      </c>
      <c r="C68" s="5">
        <f ca="1">Setup!G27*'Demand background (hide)'!BN6</f>
        <v>900</v>
      </c>
      <c r="D68" s="67"/>
      <c r="I68" s="5"/>
    </row>
    <row r="69" spans="1:10" x14ac:dyDescent="0.2">
      <c r="A69" s="67" t="str">
        <f>Setup!C28</f>
        <v>Test name 2</v>
      </c>
      <c r="B69" s="5">
        <f>IF(ROW(A2)&lt;=Num_Modalities,Setup!G28,0)</f>
        <v>30</v>
      </c>
      <c r="C69" s="5">
        <f ca="1">Setup!G28*'Demand background (hide)'!BN7</f>
        <v>1200</v>
      </c>
      <c r="D69" s="67"/>
      <c r="G69" t="s">
        <v>307</v>
      </c>
      <c r="H69" t="str">
        <f ca="1">IF(H67&gt;I66,ROUND(H67-I66,0),0)&amp;" - "&amp;IF(H67&gt;H66,ROUND(H67-H66,0),0)</f>
        <v>13 - 17</v>
      </c>
    </row>
    <row r="70" spans="1:10" x14ac:dyDescent="0.2">
      <c r="A70" s="67" t="str">
        <f>Setup!C29</f>
        <v>Modality 3</v>
      </c>
      <c r="B70" s="5">
        <f>IF(ROW(A3)&lt;=Num_Modalities,Setup!G29,0)</f>
        <v>0</v>
      </c>
      <c r="C70" s="5">
        <f ca="1">Setup!G29*'Demand background (hide)'!BN8</f>
        <v>20</v>
      </c>
      <c r="D70" s="67"/>
    </row>
    <row r="71" spans="1:10" x14ac:dyDescent="0.2">
      <c r="A71" s="67" t="str">
        <f>Setup!C30</f>
        <v>Modality 4</v>
      </c>
      <c r="B71" s="5">
        <f>IF(ROW(A4)&lt;=Num_Modalities,Setup!G30,0)</f>
        <v>0</v>
      </c>
      <c r="C71" s="5">
        <f ca="1">B71*'Demand background (hide)'!BN9</f>
        <v>0</v>
      </c>
      <c r="D71" s="67"/>
      <c r="H71" s="5">
        <f ca="1">H67-H66</f>
        <v>17.437547068316306</v>
      </c>
      <c r="I71" s="5">
        <f ca="1">H67-I66</f>
        <v>12.95728886498118</v>
      </c>
    </row>
    <row r="72" spans="1:10" x14ac:dyDescent="0.2">
      <c r="A72" s="67" t="str">
        <f>Setup!C31</f>
        <v>Modality 5</v>
      </c>
      <c r="B72" s="5">
        <f>IF(ROW(A5)&lt;=Num_Modalities,Setup!G31,0)</f>
        <v>0</v>
      </c>
      <c r="C72" s="5">
        <f ca="1">B72*'Demand background (hide)'!BN10</f>
        <v>0</v>
      </c>
      <c r="D72" s="67"/>
    </row>
    <row r="73" spans="1:10" x14ac:dyDescent="0.2">
      <c r="A73" s="67" t="str">
        <f>Setup!C32</f>
        <v>Modality 6</v>
      </c>
      <c r="B73" s="5">
        <f>IF(ROW(A6)&lt;=Num_Modalities,Setup!G32,0)</f>
        <v>0</v>
      </c>
      <c r="C73" s="5">
        <f ca="1">B73*'Demand background (hide)'!BN11</f>
        <v>0</v>
      </c>
      <c r="D73" s="67"/>
    </row>
    <row r="74" spans="1:10" x14ac:dyDescent="0.2">
      <c r="A74" s="67" t="str">
        <f>Setup!C33</f>
        <v>Modality 7</v>
      </c>
      <c r="B74" s="5">
        <f>IF(ROW(A7)&lt;=Num_Modalities,Setup!G33,0)</f>
        <v>0</v>
      </c>
      <c r="C74" s="5">
        <f ca="1">B74*'Demand background (hide)'!BN12</f>
        <v>0</v>
      </c>
      <c r="D74" s="67"/>
    </row>
    <row r="75" spans="1:10" x14ac:dyDescent="0.2">
      <c r="A75" s="67" t="str">
        <f>Setup!C34</f>
        <v>Modality 8</v>
      </c>
      <c r="B75" s="5">
        <f>IF(ROW(A8)&lt;=Num_Modalities,Setup!G34,0)</f>
        <v>0</v>
      </c>
      <c r="C75" s="5">
        <f ca="1">B75*'Demand background (hide)'!BN13</f>
        <v>0</v>
      </c>
      <c r="D75" s="67"/>
    </row>
    <row r="76" spans="1:10" x14ac:dyDescent="0.2">
      <c r="A76" s="67" t="str">
        <f>Setup!C35</f>
        <v>Modality 9</v>
      </c>
      <c r="B76" s="5">
        <f>IF(ROW(A9)&lt;=Num_Modalities,Setup!G35,0)</f>
        <v>0</v>
      </c>
      <c r="C76" s="5">
        <f ca="1">B76*'Demand background (hide)'!BN14</f>
        <v>0</v>
      </c>
      <c r="D76" s="67"/>
    </row>
    <row r="77" spans="1:10" x14ac:dyDescent="0.2">
      <c r="A77" s="67" t="str">
        <f>Setup!C36</f>
        <v>Modality 10</v>
      </c>
      <c r="B77" s="5">
        <f>IF(ROW(A10)&lt;=Num_Modalities,Setup!G36,0)</f>
        <v>0</v>
      </c>
      <c r="C77" s="5">
        <f ca="1">B77*'Demand background (hide)'!BN15</f>
        <v>0</v>
      </c>
      <c r="D77" s="67"/>
    </row>
    <row r="78" spans="1:10" x14ac:dyDescent="0.2">
      <c r="A78" s="67"/>
    </row>
    <row r="79" spans="1:10" x14ac:dyDescent="0.2">
      <c r="A79" s="67" t="s">
        <v>57</v>
      </c>
      <c r="B79" s="5">
        <f ca="1">SUM(OFFSET($B$68,0,0,Num_Modalities,1))</f>
        <v>60</v>
      </c>
      <c r="C79" s="5">
        <f ca="1">SUM(OFFSET($C$68,0,0,Num_Modalities,1))</f>
        <v>2100</v>
      </c>
    </row>
    <row r="80" spans="1:10" x14ac:dyDescent="0.2">
      <c r="A80" s="67"/>
    </row>
  </sheetData>
  <pageMargins left="0.7" right="0.7" top="0.75" bottom="0.75" header="0.3" footer="0.3"/>
  <pageSetup paperSize="9" orientation="portrait" horizontalDpi="90" verticalDpi="90"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301"/>
  <sheetViews>
    <sheetView topLeftCell="DE1" workbookViewId="0">
      <selection activeCell="DK27" sqref="DK27"/>
    </sheetView>
  </sheetViews>
  <sheetFormatPr defaultRowHeight="14.25" x14ac:dyDescent="0.2"/>
  <cols>
    <col min="7" max="7" width="8.75" style="67"/>
    <col min="13" max="13" width="8.75" style="67"/>
    <col min="65" max="65" width="8.75" style="67"/>
  </cols>
  <sheetData>
    <row r="1" spans="1:131" x14ac:dyDescent="0.2">
      <c r="A1">
        <v>1</v>
      </c>
      <c r="B1" t="s">
        <v>1249</v>
      </c>
      <c r="G1" s="67" t="s">
        <v>1251</v>
      </c>
      <c r="H1" t="s">
        <v>1250</v>
      </c>
      <c r="M1" s="67" t="s">
        <v>1251</v>
      </c>
      <c r="N1" t="s">
        <v>1249</v>
      </c>
      <c r="BN1" t="s">
        <v>1250</v>
      </c>
      <c r="EA1" t="s">
        <v>1275</v>
      </c>
    </row>
    <row r="2" spans="1:131" x14ac:dyDescent="0.2">
      <c r="A2" t="s">
        <v>1290</v>
      </c>
      <c r="B2" t="s">
        <v>1276</v>
      </c>
      <c r="C2" t="s">
        <v>1277</v>
      </c>
      <c r="E2">
        <v>30</v>
      </c>
      <c r="F2">
        <v>7</v>
      </c>
      <c r="G2" t="s">
        <v>1237</v>
      </c>
      <c r="H2" t="s">
        <v>1278</v>
      </c>
      <c r="K2">
        <v>10</v>
      </c>
      <c r="L2">
        <v>5</v>
      </c>
      <c r="M2" t="s">
        <v>1237</v>
      </c>
      <c r="AC2" t="s">
        <v>1237</v>
      </c>
      <c r="AD2" t="s">
        <v>1237</v>
      </c>
      <c r="AE2" t="s">
        <v>1237</v>
      </c>
      <c r="AF2" t="s">
        <v>1237</v>
      </c>
      <c r="AG2" t="s">
        <v>1237</v>
      </c>
      <c r="AH2" t="s">
        <v>1237</v>
      </c>
      <c r="AI2" t="s">
        <v>1237</v>
      </c>
      <c r="AJ2" t="s">
        <v>1237</v>
      </c>
      <c r="AK2" t="s">
        <v>1237</v>
      </c>
      <c r="AL2" t="s">
        <v>1237</v>
      </c>
      <c r="AM2" t="s">
        <v>1237</v>
      </c>
      <c r="AN2" t="s">
        <v>1237</v>
      </c>
      <c r="AO2" t="s">
        <v>1237</v>
      </c>
      <c r="AP2" t="s">
        <v>1237</v>
      </c>
      <c r="AQ2" t="s">
        <v>1237</v>
      </c>
      <c r="AR2" t="s">
        <v>1237</v>
      </c>
      <c r="AS2" t="s">
        <v>1237</v>
      </c>
      <c r="AT2" t="s">
        <v>1237</v>
      </c>
      <c r="AU2" t="s">
        <v>1237</v>
      </c>
      <c r="AV2" t="s">
        <v>1237</v>
      </c>
      <c r="AW2" t="s">
        <v>1237</v>
      </c>
      <c r="AX2" t="s">
        <v>1237</v>
      </c>
      <c r="AY2" t="s">
        <v>1237</v>
      </c>
      <c r="AZ2" t="s">
        <v>1237</v>
      </c>
      <c r="BA2" t="s">
        <v>1237</v>
      </c>
      <c r="BB2" t="s">
        <v>1237</v>
      </c>
      <c r="BC2" t="s">
        <v>1237</v>
      </c>
      <c r="BM2"/>
      <c r="DM2" t="s">
        <v>1237</v>
      </c>
      <c r="DN2" t="s">
        <v>19</v>
      </c>
      <c r="EA2" t="s">
        <v>1290</v>
      </c>
    </row>
    <row r="3" spans="1:131" x14ac:dyDescent="0.2">
      <c r="B3" t="s">
        <v>1279</v>
      </c>
      <c r="C3" t="s">
        <v>1277</v>
      </c>
      <c r="E3">
        <v>30</v>
      </c>
      <c r="F3">
        <v>7</v>
      </c>
      <c r="G3" t="s">
        <v>1237</v>
      </c>
      <c r="H3" t="s">
        <v>1280</v>
      </c>
      <c r="K3">
        <v>12</v>
      </c>
      <c r="L3">
        <v>5</v>
      </c>
      <c r="M3" t="s">
        <v>1237</v>
      </c>
      <c r="Y3" t="s">
        <v>1237</v>
      </c>
      <c r="Z3" t="s">
        <v>1237</v>
      </c>
      <c r="AA3" t="s">
        <v>1237</v>
      </c>
      <c r="AB3" t="s">
        <v>1237</v>
      </c>
      <c r="AC3" t="s">
        <v>1237</v>
      </c>
      <c r="AD3" t="s">
        <v>1237</v>
      </c>
      <c r="AE3" t="s">
        <v>1237</v>
      </c>
      <c r="AF3" t="s">
        <v>1237</v>
      </c>
      <c r="AG3" t="s">
        <v>1237</v>
      </c>
      <c r="AH3" t="s">
        <v>1237</v>
      </c>
      <c r="AI3" t="s">
        <v>1237</v>
      </c>
      <c r="AJ3" t="s">
        <v>1237</v>
      </c>
      <c r="AK3" t="s">
        <v>1237</v>
      </c>
      <c r="AL3" t="s">
        <v>1237</v>
      </c>
      <c r="AM3" t="s">
        <v>1237</v>
      </c>
      <c r="AN3" t="s">
        <v>1237</v>
      </c>
      <c r="AO3" t="s">
        <v>1237</v>
      </c>
      <c r="AP3" t="s">
        <v>1237</v>
      </c>
      <c r="AQ3" t="s">
        <v>1237</v>
      </c>
      <c r="AR3" t="s">
        <v>1237</v>
      </c>
      <c r="AS3" t="s">
        <v>1237</v>
      </c>
      <c r="AT3" t="s">
        <v>1237</v>
      </c>
      <c r="AU3" t="s">
        <v>1237</v>
      </c>
      <c r="AV3" t="s">
        <v>1237</v>
      </c>
      <c r="AW3" t="s">
        <v>1237</v>
      </c>
      <c r="AX3" t="s">
        <v>1237</v>
      </c>
      <c r="AY3" t="s">
        <v>1237</v>
      </c>
      <c r="AZ3" t="s">
        <v>1237</v>
      </c>
      <c r="BA3" t="s">
        <v>1237</v>
      </c>
      <c r="BB3" t="s">
        <v>1237</v>
      </c>
      <c r="BC3" t="s">
        <v>1237</v>
      </c>
      <c r="BM3"/>
    </row>
    <row r="4" spans="1:131" x14ac:dyDescent="0.2">
      <c r="B4" t="s">
        <v>1281</v>
      </c>
      <c r="C4" t="s">
        <v>1282</v>
      </c>
      <c r="E4">
        <v>21</v>
      </c>
      <c r="F4">
        <v>4</v>
      </c>
      <c r="G4" t="s">
        <v>1237</v>
      </c>
      <c r="M4" t="s">
        <v>1237</v>
      </c>
      <c r="T4" t="s">
        <v>1237</v>
      </c>
      <c r="U4" t="s">
        <v>1237</v>
      </c>
      <c r="V4" t="s">
        <v>1237</v>
      </c>
      <c r="W4" t="s">
        <v>1237</v>
      </c>
      <c r="X4" t="s">
        <v>1237</v>
      </c>
      <c r="Y4" t="s">
        <v>1237</v>
      </c>
      <c r="Z4" t="s">
        <v>1237</v>
      </c>
      <c r="AA4" t="s">
        <v>1237</v>
      </c>
      <c r="AB4" t="s">
        <v>1237</v>
      </c>
      <c r="AC4" t="s">
        <v>1237</v>
      </c>
      <c r="AD4" t="s">
        <v>1237</v>
      </c>
      <c r="AE4" t="s">
        <v>1237</v>
      </c>
      <c r="AF4" t="s">
        <v>1237</v>
      </c>
      <c r="AG4" t="s">
        <v>1237</v>
      </c>
      <c r="AH4" t="s">
        <v>1237</v>
      </c>
      <c r="AI4" t="s">
        <v>1237</v>
      </c>
      <c r="AJ4" t="s">
        <v>1237</v>
      </c>
      <c r="AK4" t="s">
        <v>1237</v>
      </c>
      <c r="AL4" t="s">
        <v>1237</v>
      </c>
      <c r="AM4" t="s">
        <v>1237</v>
      </c>
      <c r="AN4" t="s">
        <v>1237</v>
      </c>
      <c r="AO4" t="s">
        <v>1237</v>
      </c>
      <c r="AP4" t="s">
        <v>1237</v>
      </c>
      <c r="AQ4" t="s">
        <v>1237</v>
      </c>
      <c r="AR4" t="s">
        <v>1237</v>
      </c>
      <c r="AS4" t="s">
        <v>1237</v>
      </c>
      <c r="AT4" t="s">
        <v>1237</v>
      </c>
      <c r="AU4" t="s">
        <v>1237</v>
      </c>
      <c r="AV4" t="s">
        <v>1237</v>
      </c>
      <c r="AW4" t="s">
        <v>1237</v>
      </c>
      <c r="AX4" t="s">
        <v>1237</v>
      </c>
      <c r="AY4" t="s">
        <v>1237</v>
      </c>
      <c r="AZ4" t="s">
        <v>1237</v>
      </c>
      <c r="BA4" t="s">
        <v>1237</v>
      </c>
      <c r="BB4" t="s">
        <v>1237</v>
      </c>
      <c r="BC4" t="s">
        <v>1237</v>
      </c>
      <c r="BM4"/>
    </row>
    <row r="5" spans="1:131" x14ac:dyDescent="0.2">
      <c r="B5" t="s">
        <v>1283</v>
      </c>
      <c r="C5" t="s">
        <v>1284</v>
      </c>
      <c r="E5">
        <v>12</v>
      </c>
      <c r="F5">
        <v>4</v>
      </c>
      <c r="G5" t="s">
        <v>1237</v>
      </c>
      <c r="M5" t="s">
        <v>1237</v>
      </c>
      <c r="X5" t="s">
        <v>1237</v>
      </c>
      <c r="AO5">
        <v>0.5407925407925408</v>
      </c>
      <c r="AP5">
        <v>0.5407925407925408</v>
      </c>
      <c r="AQ5">
        <v>0.5407925407925408</v>
      </c>
      <c r="AR5">
        <v>0.5407925407925408</v>
      </c>
      <c r="AS5">
        <v>0.5407925407925408</v>
      </c>
      <c r="AT5">
        <v>0.5407925407925408</v>
      </c>
      <c r="AU5">
        <v>0.5407925407925408</v>
      </c>
      <c r="AV5">
        <v>0.5407925407925408</v>
      </c>
      <c r="AW5">
        <v>0.5407925407925408</v>
      </c>
      <c r="AX5">
        <v>0.5407925407925408</v>
      </c>
      <c r="AY5">
        <v>0.5407925407925408</v>
      </c>
      <c r="AZ5">
        <v>0.5407925407925408</v>
      </c>
      <c r="BA5">
        <v>0.5407925407925408</v>
      </c>
      <c r="BB5">
        <v>0.5407925407925408</v>
      </c>
      <c r="BC5">
        <v>0.5407925407925408</v>
      </c>
      <c r="BM5"/>
    </row>
    <row r="6" spans="1:131" x14ac:dyDescent="0.2">
      <c r="B6" t="s">
        <v>1285</v>
      </c>
      <c r="C6" t="s">
        <v>1286</v>
      </c>
      <c r="E6">
        <v>42</v>
      </c>
      <c r="F6">
        <v>3</v>
      </c>
      <c r="G6" t="s">
        <v>1237</v>
      </c>
      <c r="M6" t="s">
        <v>1237</v>
      </c>
      <c r="N6" t="s">
        <v>1237</v>
      </c>
      <c r="O6" t="s">
        <v>1237</v>
      </c>
      <c r="P6" t="s">
        <v>1237</v>
      </c>
      <c r="Q6" t="s">
        <v>1237</v>
      </c>
      <c r="R6" t="s">
        <v>1237</v>
      </c>
      <c r="S6" t="s">
        <v>1237</v>
      </c>
      <c r="T6" t="s">
        <v>1237</v>
      </c>
      <c r="U6" t="s">
        <v>1237</v>
      </c>
      <c r="V6" t="s">
        <v>1237</v>
      </c>
      <c r="W6" t="s">
        <v>1237</v>
      </c>
      <c r="X6" t="s">
        <v>1237</v>
      </c>
      <c r="Y6" t="s">
        <v>1237</v>
      </c>
      <c r="Z6" t="s">
        <v>1237</v>
      </c>
      <c r="AA6" t="s">
        <v>1237</v>
      </c>
      <c r="AB6" t="s">
        <v>1237</v>
      </c>
      <c r="AC6" t="s">
        <v>1237</v>
      </c>
      <c r="AD6" t="s">
        <v>1237</v>
      </c>
      <c r="AE6" t="s">
        <v>1237</v>
      </c>
      <c r="AF6" t="s">
        <v>1237</v>
      </c>
      <c r="AG6" t="s">
        <v>1237</v>
      </c>
      <c r="AH6" t="s">
        <v>1237</v>
      </c>
      <c r="AI6" t="s">
        <v>1237</v>
      </c>
      <c r="AJ6" t="s">
        <v>1237</v>
      </c>
      <c r="AK6" t="s">
        <v>1237</v>
      </c>
      <c r="AL6" t="s">
        <v>1237</v>
      </c>
      <c r="AM6" t="s">
        <v>1237</v>
      </c>
      <c r="AN6" t="s">
        <v>1237</v>
      </c>
      <c r="AO6" t="s">
        <v>1237</v>
      </c>
      <c r="AP6" t="s">
        <v>1237</v>
      </c>
      <c r="AQ6" t="s">
        <v>1237</v>
      </c>
      <c r="AR6" t="s">
        <v>1237</v>
      </c>
      <c r="BM6"/>
    </row>
    <row r="7" spans="1:131" x14ac:dyDescent="0.2">
      <c r="G7" t="s">
        <v>1237</v>
      </c>
      <c r="M7" t="s">
        <v>1237</v>
      </c>
      <c r="N7">
        <v>0.2163170163170163</v>
      </c>
      <c r="BM7"/>
    </row>
    <row r="8" spans="1:131" x14ac:dyDescent="0.2">
      <c r="G8" t="s">
        <v>1237</v>
      </c>
      <c r="M8" t="s">
        <v>1237</v>
      </c>
      <c r="BM8"/>
    </row>
    <row r="9" spans="1:131" x14ac:dyDescent="0.2">
      <c r="G9" t="s">
        <v>1237</v>
      </c>
      <c r="M9" t="s">
        <v>1237</v>
      </c>
      <c r="BM9"/>
    </row>
    <row r="10" spans="1:131" x14ac:dyDescent="0.2">
      <c r="G10" t="s">
        <v>1237</v>
      </c>
      <c r="M10" t="s">
        <v>1237</v>
      </c>
      <c r="BM10"/>
    </row>
    <row r="11" spans="1:131" x14ac:dyDescent="0.2">
      <c r="G11" t="s">
        <v>1237</v>
      </c>
      <c r="M11" t="s">
        <v>1237</v>
      </c>
      <c r="BM11"/>
    </row>
    <row r="12" spans="1:131" x14ac:dyDescent="0.2">
      <c r="G12" t="s">
        <v>1237</v>
      </c>
      <c r="M12" t="s">
        <v>1237</v>
      </c>
      <c r="BM12"/>
    </row>
    <row r="13" spans="1:131" x14ac:dyDescent="0.2">
      <c r="G13" t="s">
        <v>1237</v>
      </c>
      <c r="M13" t="s">
        <v>1237</v>
      </c>
      <c r="BM13"/>
    </row>
    <row r="14" spans="1:131" x14ac:dyDescent="0.2">
      <c r="G14" t="s">
        <v>1237</v>
      </c>
      <c r="M14" t="s">
        <v>1237</v>
      </c>
      <c r="BM14"/>
    </row>
    <row r="15" spans="1:131" x14ac:dyDescent="0.2">
      <c r="G15" t="s">
        <v>1237</v>
      </c>
      <c r="M15" t="s">
        <v>1237</v>
      </c>
      <c r="BM15"/>
    </row>
    <row r="16" spans="1:131" x14ac:dyDescent="0.2">
      <c r="G16" t="s">
        <v>1237</v>
      </c>
      <c r="M16" t="s">
        <v>1237</v>
      </c>
      <c r="BM16"/>
    </row>
    <row r="17" spans="7:65" x14ac:dyDescent="0.2">
      <c r="G17" t="s">
        <v>1237</v>
      </c>
      <c r="M17" t="s">
        <v>1237</v>
      </c>
      <c r="BM17"/>
    </row>
    <row r="18" spans="7:65" x14ac:dyDescent="0.2">
      <c r="G18" t="s">
        <v>1237</v>
      </c>
      <c r="M18" t="s">
        <v>1237</v>
      </c>
      <c r="BM18"/>
    </row>
    <row r="19" spans="7:65" x14ac:dyDescent="0.2">
      <c r="G19" t="s">
        <v>1237</v>
      </c>
      <c r="M19" t="s">
        <v>1237</v>
      </c>
      <c r="BM19"/>
    </row>
    <row r="20" spans="7:65" x14ac:dyDescent="0.2">
      <c r="G20" t="s">
        <v>1237</v>
      </c>
      <c r="M20" t="s">
        <v>1237</v>
      </c>
      <c r="BM20"/>
    </row>
    <row r="21" spans="7:65" x14ac:dyDescent="0.2">
      <c r="G21" t="s">
        <v>1237</v>
      </c>
      <c r="M21" t="s">
        <v>1237</v>
      </c>
      <c r="BM21"/>
    </row>
    <row r="22" spans="7:65" x14ac:dyDescent="0.2">
      <c r="G22" t="s">
        <v>1237</v>
      </c>
      <c r="M22" t="s">
        <v>1237</v>
      </c>
      <c r="BM22"/>
    </row>
    <row r="23" spans="7:65" x14ac:dyDescent="0.2">
      <c r="G23" t="s">
        <v>1237</v>
      </c>
      <c r="M23" t="s">
        <v>1237</v>
      </c>
      <c r="BM23"/>
    </row>
    <row r="24" spans="7:65" x14ac:dyDescent="0.2">
      <c r="G24" t="s">
        <v>1237</v>
      </c>
      <c r="M24" t="s">
        <v>1237</v>
      </c>
      <c r="BM24"/>
    </row>
    <row r="25" spans="7:65" x14ac:dyDescent="0.2">
      <c r="G25" t="s">
        <v>1237</v>
      </c>
      <c r="M25" t="s">
        <v>1237</v>
      </c>
      <c r="BM25"/>
    </row>
    <row r="26" spans="7:65" x14ac:dyDescent="0.2">
      <c r="G26" t="s">
        <v>1237</v>
      </c>
      <c r="M26" t="s">
        <v>1237</v>
      </c>
      <c r="BM26"/>
    </row>
    <row r="27" spans="7:65" x14ac:dyDescent="0.2">
      <c r="G27" t="s">
        <v>1237</v>
      </c>
      <c r="M27" t="s">
        <v>1237</v>
      </c>
      <c r="BM27"/>
    </row>
    <row r="28" spans="7:65" x14ac:dyDescent="0.2">
      <c r="G28" t="s">
        <v>1237</v>
      </c>
      <c r="M28" t="s">
        <v>1237</v>
      </c>
      <c r="BM28"/>
    </row>
    <row r="29" spans="7:65" x14ac:dyDescent="0.2">
      <c r="G29" t="s">
        <v>1237</v>
      </c>
      <c r="M29" t="s">
        <v>1237</v>
      </c>
      <c r="BM29"/>
    </row>
    <row r="30" spans="7:65" x14ac:dyDescent="0.2">
      <c r="G30" t="s">
        <v>1237</v>
      </c>
      <c r="M30" t="s">
        <v>1237</v>
      </c>
      <c r="BM30"/>
    </row>
    <row r="31" spans="7:65" x14ac:dyDescent="0.2">
      <c r="G31" t="s">
        <v>1237</v>
      </c>
      <c r="M31" t="s">
        <v>1237</v>
      </c>
      <c r="BM31"/>
    </row>
    <row r="32" spans="7:65" x14ac:dyDescent="0.2">
      <c r="G32" t="s">
        <v>1237</v>
      </c>
      <c r="M32" t="s">
        <v>1237</v>
      </c>
      <c r="BM32"/>
    </row>
    <row r="33" spans="7:65" x14ac:dyDescent="0.2">
      <c r="G33" t="s">
        <v>1237</v>
      </c>
      <c r="M33" t="s">
        <v>1237</v>
      </c>
      <c r="BM33"/>
    </row>
    <row r="34" spans="7:65" x14ac:dyDescent="0.2">
      <c r="G34" t="s">
        <v>1237</v>
      </c>
      <c r="M34" t="s">
        <v>1237</v>
      </c>
      <c r="BM34"/>
    </row>
    <row r="35" spans="7:65" x14ac:dyDescent="0.2">
      <c r="G35" t="s">
        <v>1237</v>
      </c>
      <c r="M35" t="s">
        <v>1237</v>
      </c>
      <c r="BM35"/>
    </row>
    <row r="36" spans="7:65" x14ac:dyDescent="0.2">
      <c r="G36" t="s">
        <v>1237</v>
      </c>
      <c r="M36" t="s">
        <v>1237</v>
      </c>
      <c r="BM36"/>
    </row>
    <row r="37" spans="7:65" x14ac:dyDescent="0.2">
      <c r="G37" t="s">
        <v>1237</v>
      </c>
      <c r="M37" t="s">
        <v>1237</v>
      </c>
      <c r="BM37"/>
    </row>
    <row r="38" spans="7:65" x14ac:dyDescent="0.2">
      <c r="G38" t="s">
        <v>1237</v>
      </c>
      <c r="M38" t="s">
        <v>1237</v>
      </c>
      <c r="BM38"/>
    </row>
    <row r="39" spans="7:65" x14ac:dyDescent="0.2">
      <c r="G39" t="s">
        <v>1237</v>
      </c>
      <c r="M39" t="s">
        <v>1237</v>
      </c>
      <c r="BM39"/>
    </row>
    <row r="40" spans="7:65" x14ac:dyDescent="0.2">
      <c r="G40" t="s">
        <v>1237</v>
      </c>
      <c r="M40" t="s">
        <v>1237</v>
      </c>
      <c r="BM40"/>
    </row>
    <row r="41" spans="7:65" x14ac:dyDescent="0.2">
      <c r="G41" t="s">
        <v>1237</v>
      </c>
      <c r="M41" t="s">
        <v>1237</v>
      </c>
      <c r="BM41"/>
    </row>
    <row r="42" spans="7:65" x14ac:dyDescent="0.2">
      <c r="G42" t="s">
        <v>1237</v>
      </c>
      <c r="M42" t="s">
        <v>1237</v>
      </c>
      <c r="BM42"/>
    </row>
    <row r="43" spans="7:65" x14ac:dyDescent="0.2">
      <c r="G43" t="s">
        <v>1237</v>
      </c>
      <c r="M43" t="s">
        <v>1237</v>
      </c>
      <c r="BM43"/>
    </row>
    <row r="44" spans="7:65" x14ac:dyDescent="0.2">
      <c r="G44" t="s">
        <v>1237</v>
      </c>
      <c r="M44" t="s">
        <v>1237</v>
      </c>
      <c r="BM44"/>
    </row>
    <row r="45" spans="7:65" x14ac:dyDescent="0.2">
      <c r="G45" t="s">
        <v>1237</v>
      </c>
      <c r="M45" t="s">
        <v>1237</v>
      </c>
      <c r="BM45"/>
    </row>
    <row r="46" spans="7:65" x14ac:dyDescent="0.2">
      <c r="G46" t="s">
        <v>1237</v>
      </c>
      <c r="M46" t="s">
        <v>1237</v>
      </c>
      <c r="BM46"/>
    </row>
    <row r="47" spans="7:65" x14ac:dyDescent="0.2">
      <c r="G47" t="s">
        <v>1237</v>
      </c>
      <c r="M47" t="s">
        <v>1237</v>
      </c>
      <c r="BM47"/>
    </row>
    <row r="48" spans="7:65" x14ac:dyDescent="0.2">
      <c r="G48" t="s">
        <v>1237</v>
      </c>
      <c r="M48" t="s">
        <v>1237</v>
      </c>
      <c r="BM48"/>
    </row>
    <row r="49" spans="7:65" x14ac:dyDescent="0.2">
      <c r="G49" t="s">
        <v>1237</v>
      </c>
      <c r="M49" t="s">
        <v>1237</v>
      </c>
      <c r="BM49"/>
    </row>
    <row r="50" spans="7:65" x14ac:dyDescent="0.2">
      <c r="G50" t="s">
        <v>1237</v>
      </c>
      <c r="M50" t="s">
        <v>1237</v>
      </c>
      <c r="BM50"/>
    </row>
    <row r="51" spans="7:65" x14ac:dyDescent="0.2">
      <c r="G51" t="s">
        <v>1237</v>
      </c>
      <c r="M51" t="s">
        <v>1237</v>
      </c>
      <c r="BM51"/>
    </row>
    <row r="52" spans="7:65" x14ac:dyDescent="0.2">
      <c r="G52" t="s">
        <v>1237</v>
      </c>
      <c r="M52" t="s">
        <v>1237</v>
      </c>
      <c r="BM52"/>
    </row>
    <row r="53" spans="7:65" x14ac:dyDescent="0.2">
      <c r="G53" t="s">
        <v>1237</v>
      </c>
      <c r="M53" t="s">
        <v>1237</v>
      </c>
      <c r="BM53"/>
    </row>
    <row r="54" spans="7:65" x14ac:dyDescent="0.2">
      <c r="G54" t="s">
        <v>1237</v>
      </c>
      <c r="M54" t="s">
        <v>1237</v>
      </c>
      <c r="BM54"/>
    </row>
    <row r="55" spans="7:65" x14ac:dyDescent="0.2">
      <c r="G55" t="s">
        <v>1237</v>
      </c>
      <c r="M55" t="s">
        <v>1237</v>
      </c>
      <c r="BM55"/>
    </row>
    <row r="56" spans="7:65" x14ac:dyDescent="0.2">
      <c r="G56" t="s">
        <v>1237</v>
      </c>
      <c r="M56" t="s">
        <v>1237</v>
      </c>
      <c r="BM56"/>
    </row>
    <row r="57" spans="7:65" x14ac:dyDescent="0.2">
      <c r="G57" t="s">
        <v>1237</v>
      </c>
      <c r="M57" t="s">
        <v>1237</v>
      </c>
      <c r="BM57"/>
    </row>
    <row r="58" spans="7:65" x14ac:dyDescent="0.2">
      <c r="G58" t="s">
        <v>1237</v>
      </c>
      <c r="M58" t="s">
        <v>1237</v>
      </c>
      <c r="BM58"/>
    </row>
    <row r="59" spans="7:65" x14ac:dyDescent="0.2">
      <c r="G59" t="s">
        <v>1237</v>
      </c>
      <c r="M59" t="s">
        <v>1237</v>
      </c>
      <c r="BM59"/>
    </row>
    <row r="60" spans="7:65" x14ac:dyDescent="0.2">
      <c r="G60" t="s">
        <v>1237</v>
      </c>
      <c r="M60" t="s">
        <v>1237</v>
      </c>
      <c r="BM60"/>
    </row>
    <row r="61" spans="7:65" x14ac:dyDescent="0.2">
      <c r="G61" t="s">
        <v>1237</v>
      </c>
      <c r="M61" t="s">
        <v>1237</v>
      </c>
      <c r="BM61"/>
    </row>
    <row r="62" spans="7:65" x14ac:dyDescent="0.2">
      <c r="G62" t="s">
        <v>1237</v>
      </c>
      <c r="M62" t="s">
        <v>1237</v>
      </c>
      <c r="BM62"/>
    </row>
    <row r="63" spans="7:65" x14ac:dyDescent="0.2">
      <c r="G63" t="s">
        <v>1237</v>
      </c>
      <c r="M63" t="s">
        <v>1237</v>
      </c>
      <c r="BM63"/>
    </row>
    <row r="64" spans="7:65" x14ac:dyDescent="0.2">
      <c r="G64" t="s">
        <v>1237</v>
      </c>
      <c r="M64" t="s">
        <v>1237</v>
      </c>
      <c r="BM64"/>
    </row>
    <row r="65" spans="7:65" x14ac:dyDescent="0.2">
      <c r="G65" t="s">
        <v>1237</v>
      </c>
      <c r="M65" t="s">
        <v>1237</v>
      </c>
      <c r="BM65"/>
    </row>
    <row r="66" spans="7:65" x14ac:dyDescent="0.2">
      <c r="G66" t="s">
        <v>1237</v>
      </c>
      <c r="M66" t="s">
        <v>1237</v>
      </c>
      <c r="BM66"/>
    </row>
    <row r="67" spans="7:65" x14ac:dyDescent="0.2">
      <c r="G67" t="s">
        <v>1237</v>
      </c>
      <c r="M67" t="s">
        <v>1237</v>
      </c>
      <c r="BM67"/>
    </row>
    <row r="68" spans="7:65" x14ac:dyDescent="0.2">
      <c r="G68" t="s">
        <v>1237</v>
      </c>
      <c r="M68" t="s">
        <v>1237</v>
      </c>
      <c r="BM68"/>
    </row>
    <row r="69" spans="7:65" x14ac:dyDescent="0.2">
      <c r="G69" t="s">
        <v>1237</v>
      </c>
      <c r="M69" t="s">
        <v>1237</v>
      </c>
      <c r="BM69"/>
    </row>
    <row r="70" spans="7:65" x14ac:dyDescent="0.2">
      <c r="G70" t="s">
        <v>1237</v>
      </c>
      <c r="M70" t="s">
        <v>1237</v>
      </c>
      <c r="BM70"/>
    </row>
    <row r="71" spans="7:65" x14ac:dyDescent="0.2">
      <c r="G71" t="s">
        <v>1237</v>
      </c>
      <c r="M71" t="s">
        <v>1237</v>
      </c>
      <c r="BM71"/>
    </row>
    <row r="72" spans="7:65" x14ac:dyDescent="0.2">
      <c r="G72" t="s">
        <v>1237</v>
      </c>
      <c r="M72" t="s">
        <v>1237</v>
      </c>
      <c r="BM72"/>
    </row>
    <row r="73" spans="7:65" x14ac:dyDescent="0.2">
      <c r="G73" t="s">
        <v>1237</v>
      </c>
      <c r="M73" t="s">
        <v>1237</v>
      </c>
      <c r="BM73"/>
    </row>
    <row r="74" spans="7:65" x14ac:dyDescent="0.2">
      <c r="G74" t="s">
        <v>1237</v>
      </c>
      <c r="M74" t="s">
        <v>1237</v>
      </c>
      <c r="BM74"/>
    </row>
    <row r="75" spans="7:65" x14ac:dyDescent="0.2">
      <c r="G75" t="s">
        <v>1237</v>
      </c>
      <c r="M75" t="s">
        <v>1237</v>
      </c>
      <c r="BM75"/>
    </row>
    <row r="76" spans="7:65" x14ac:dyDescent="0.2">
      <c r="G76" t="s">
        <v>1237</v>
      </c>
      <c r="M76" t="s">
        <v>1237</v>
      </c>
      <c r="BM76"/>
    </row>
    <row r="77" spans="7:65" x14ac:dyDescent="0.2">
      <c r="G77" t="s">
        <v>1237</v>
      </c>
      <c r="M77" t="s">
        <v>1237</v>
      </c>
      <c r="BM77"/>
    </row>
    <row r="78" spans="7:65" x14ac:dyDescent="0.2">
      <c r="G78" t="s">
        <v>1237</v>
      </c>
      <c r="M78" t="s">
        <v>1237</v>
      </c>
      <c r="BM78"/>
    </row>
    <row r="79" spans="7:65" x14ac:dyDescent="0.2">
      <c r="G79" t="s">
        <v>1237</v>
      </c>
      <c r="M79" t="s">
        <v>1237</v>
      </c>
      <c r="BM79"/>
    </row>
    <row r="80" spans="7:65" x14ac:dyDescent="0.2">
      <c r="G80" t="s">
        <v>1237</v>
      </c>
      <c r="M80" t="s">
        <v>1237</v>
      </c>
      <c r="BM80"/>
    </row>
    <row r="81" spans="7:65" x14ac:dyDescent="0.2">
      <c r="G81" t="s">
        <v>1237</v>
      </c>
      <c r="M81" t="s">
        <v>1237</v>
      </c>
      <c r="BM81"/>
    </row>
    <row r="82" spans="7:65" x14ac:dyDescent="0.2">
      <c r="G82" t="s">
        <v>1237</v>
      </c>
      <c r="M82" t="s">
        <v>1237</v>
      </c>
      <c r="BM82"/>
    </row>
    <row r="83" spans="7:65" x14ac:dyDescent="0.2">
      <c r="G83" t="s">
        <v>1237</v>
      </c>
      <c r="M83" t="s">
        <v>1237</v>
      </c>
      <c r="BM83"/>
    </row>
    <row r="84" spans="7:65" x14ac:dyDescent="0.2">
      <c r="G84" t="s">
        <v>1237</v>
      </c>
      <c r="M84" t="s">
        <v>1237</v>
      </c>
      <c r="BM84"/>
    </row>
    <row r="85" spans="7:65" x14ac:dyDescent="0.2">
      <c r="G85" t="s">
        <v>1237</v>
      </c>
      <c r="M85" t="s">
        <v>1237</v>
      </c>
      <c r="BM85"/>
    </row>
    <row r="86" spans="7:65" x14ac:dyDescent="0.2">
      <c r="G86" t="s">
        <v>1237</v>
      </c>
      <c r="M86" t="s">
        <v>1237</v>
      </c>
      <c r="BM86"/>
    </row>
    <row r="87" spans="7:65" x14ac:dyDescent="0.2">
      <c r="G87" t="s">
        <v>1237</v>
      </c>
      <c r="M87" t="s">
        <v>1237</v>
      </c>
      <c r="BM87"/>
    </row>
    <row r="88" spans="7:65" x14ac:dyDescent="0.2">
      <c r="G88" t="s">
        <v>1237</v>
      </c>
      <c r="M88" t="s">
        <v>1237</v>
      </c>
      <c r="BM88"/>
    </row>
    <row r="89" spans="7:65" x14ac:dyDescent="0.2">
      <c r="G89" t="s">
        <v>1237</v>
      </c>
      <c r="M89" t="s">
        <v>1237</v>
      </c>
      <c r="BM89"/>
    </row>
    <row r="90" spans="7:65" x14ac:dyDescent="0.2">
      <c r="G90" t="s">
        <v>1237</v>
      </c>
      <c r="M90" t="s">
        <v>1237</v>
      </c>
      <c r="BM90"/>
    </row>
    <row r="91" spans="7:65" x14ac:dyDescent="0.2">
      <c r="G91" t="s">
        <v>1237</v>
      </c>
      <c r="M91" t="s">
        <v>1237</v>
      </c>
      <c r="BM91"/>
    </row>
    <row r="92" spans="7:65" x14ac:dyDescent="0.2">
      <c r="G92" t="s">
        <v>1237</v>
      </c>
      <c r="M92" t="s">
        <v>1237</v>
      </c>
      <c r="BM92"/>
    </row>
    <row r="93" spans="7:65" x14ac:dyDescent="0.2">
      <c r="G93" t="s">
        <v>1237</v>
      </c>
      <c r="M93" t="s">
        <v>1237</v>
      </c>
      <c r="BM93"/>
    </row>
    <row r="94" spans="7:65" x14ac:dyDescent="0.2">
      <c r="G94" t="s">
        <v>1237</v>
      </c>
      <c r="M94" t="s">
        <v>1237</v>
      </c>
      <c r="BM94"/>
    </row>
    <row r="95" spans="7:65" x14ac:dyDescent="0.2">
      <c r="G95" t="s">
        <v>1237</v>
      </c>
      <c r="M95" t="s">
        <v>1237</v>
      </c>
      <c r="BM95"/>
    </row>
    <row r="96" spans="7:65" x14ac:dyDescent="0.2">
      <c r="G96" t="s">
        <v>1237</v>
      </c>
      <c r="M96" t="s">
        <v>1237</v>
      </c>
      <c r="BM96"/>
    </row>
    <row r="97" spans="7:65" x14ac:dyDescent="0.2">
      <c r="G97" t="s">
        <v>1237</v>
      </c>
      <c r="M97" t="s">
        <v>1237</v>
      </c>
      <c r="BM97"/>
    </row>
    <row r="98" spans="7:65" x14ac:dyDescent="0.2">
      <c r="G98" t="s">
        <v>1237</v>
      </c>
      <c r="M98" t="s">
        <v>1237</v>
      </c>
      <c r="BM98"/>
    </row>
    <row r="99" spans="7:65" x14ac:dyDescent="0.2">
      <c r="G99" t="s">
        <v>1237</v>
      </c>
      <c r="M99" t="s">
        <v>1237</v>
      </c>
      <c r="BM99"/>
    </row>
    <row r="100" spans="7:65" x14ac:dyDescent="0.2">
      <c r="G100" t="s">
        <v>1237</v>
      </c>
      <c r="M100" t="s">
        <v>1237</v>
      </c>
      <c r="BM100"/>
    </row>
    <row r="101" spans="7:65" x14ac:dyDescent="0.2">
      <c r="G101" t="s">
        <v>1237</v>
      </c>
      <c r="M101" t="s">
        <v>1237</v>
      </c>
      <c r="BM101"/>
    </row>
    <row r="102" spans="7:65" x14ac:dyDescent="0.2">
      <c r="G102"/>
      <c r="M102"/>
      <c r="BM102"/>
    </row>
    <row r="103" spans="7:65" x14ac:dyDescent="0.2">
      <c r="G103"/>
      <c r="M103"/>
      <c r="BM103"/>
    </row>
    <row r="104" spans="7:65" x14ac:dyDescent="0.2">
      <c r="G104"/>
      <c r="M104"/>
      <c r="BM104"/>
    </row>
    <row r="105" spans="7:65" x14ac:dyDescent="0.2">
      <c r="G105"/>
      <c r="M105"/>
      <c r="BM105"/>
    </row>
    <row r="106" spans="7:65" x14ac:dyDescent="0.2">
      <c r="G106"/>
      <c r="M106"/>
      <c r="BM106"/>
    </row>
    <row r="107" spans="7:65" x14ac:dyDescent="0.2">
      <c r="G107"/>
      <c r="M107"/>
      <c r="BM107"/>
    </row>
    <row r="108" spans="7:65" x14ac:dyDescent="0.2">
      <c r="G108"/>
      <c r="M108"/>
      <c r="BM108"/>
    </row>
    <row r="109" spans="7:65" x14ac:dyDescent="0.2">
      <c r="G109"/>
      <c r="M109"/>
      <c r="BM109"/>
    </row>
    <row r="110" spans="7:65" x14ac:dyDescent="0.2">
      <c r="G110"/>
      <c r="M110"/>
      <c r="BM110"/>
    </row>
    <row r="111" spans="7:65" x14ac:dyDescent="0.2">
      <c r="G111"/>
      <c r="M111"/>
      <c r="BM111"/>
    </row>
    <row r="112" spans="7:65" x14ac:dyDescent="0.2">
      <c r="G112"/>
      <c r="M112"/>
      <c r="BM112"/>
    </row>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sheetData>
  <dataConsolidate/>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heetViews>
  <sheetFormatPr defaultRowHeight="14.25" x14ac:dyDescent="0.2"/>
  <cols>
    <col min="4" max="4" width="13.75" customWidth="1"/>
    <col min="8" max="8" width="11.625" bestFit="1" customWidth="1"/>
  </cols>
  <sheetData>
    <row r="3" spans="1:13" ht="15" x14ac:dyDescent="0.25">
      <c r="A3" s="239" t="s">
        <v>407</v>
      </c>
      <c r="B3" s="238"/>
      <c r="C3" s="101"/>
      <c r="D3" s="101"/>
      <c r="E3" s="101"/>
      <c r="F3" s="101"/>
      <c r="G3" s="101"/>
      <c r="H3" s="101"/>
      <c r="I3" s="101"/>
      <c r="J3" s="101"/>
      <c r="K3" s="101"/>
      <c r="L3" s="101"/>
      <c r="M3" s="101"/>
    </row>
    <row r="4" spans="1:13" x14ac:dyDescent="0.2">
      <c r="F4" s="82"/>
    </row>
    <row r="5" spans="1:13" ht="30" x14ac:dyDescent="0.2">
      <c r="A5" s="231" t="s">
        <v>408</v>
      </c>
      <c r="B5" s="235" t="s">
        <v>148</v>
      </c>
      <c r="C5" s="236" t="s">
        <v>403</v>
      </c>
      <c r="D5" s="278" t="s">
        <v>882</v>
      </c>
      <c r="E5" s="279" t="s">
        <v>14</v>
      </c>
      <c r="F5" s="147"/>
      <c r="G5" s="237" t="s">
        <v>504</v>
      </c>
      <c r="H5" s="265" t="s">
        <v>875</v>
      </c>
      <c r="J5" s="67"/>
    </row>
    <row r="6" spans="1:13" x14ac:dyDescent="0.2">
      <c r="A6" s="232" t="str">
        <f>Setup!B22</f>
        <v>2WW</v>
      </c>
      <c r="B6" s="154"/>
      <c r="C6" s="154"/>
      <c r="D6" s="277"/>
      <c r="E6" s="160" t="s">
        <v>401</v>
      </c>
      <c r="G6" s="227">
        <f ca="1">IFERROR('Demand background (hide)'!BJ20,"")</f>
        <v>0</v>
      </c>
      <c r="H6" s="229"/>
      <c r="I6" s="228" t="str">
        <f>IF(AND(H5="Override",SUM(H6:H8)&lt;&gt;1),"Total values must equal 100%, defaulting to calculated value","")</f>
        <v/>
      </c>
      <c r="J6" s="67"/>
    </row>
    <row r="7" spans="1:13" x14ac:dyDescent="0.2">
      <c r="A7" s="233" t="str">
        <f>Setup!B23</f>
        <v>Urgent</v>
      </c>
      <c r="B7" s="154">
        <v>0</v>
      </c>
      <c r="C7" s="154">
        <v>2</v>
      </c>
      <c r="D7" s="277"/>
      <c r="E7" s="160" t="s">
        <v>402</v>
      </c>
      <c r="G7" s="227">
        <f ca="1">IFERROR('Demand background (hide)'!BK20,"")</f>
        <v>0.21756021756021757</v>
      </c>
      <c r="H7" s="230"/>
      <c r="J7" s="67"/>
    </row>
    <row r="8" spans="1:13" x14ac:dyDescent="0.2">
      <c r="A8" s="234" t="str">
        <f>Setup!B24</f>
        <v>Routine</v>
      </c>
      <c r="B8" s="154">
        <v>2</v>
      </c>
      <c r="C8" s="154">
        <v>6</v>
      </c>
      <c r="D8" s="277"/>
      <c r="E8" s="160" t="s">
        <v>402</v>
      </c>
      <c r="G8" s="227">
        <f ca="1">IFERROR('Demand background (hide)'!BL20,"")</f>
        <v>0.78243978243978252</v>
      </c>
      <c r="H8" s="230"/>
      <c r="J8" s="67"/>
    </row>
    <row r="10" spans="1:13" x14ac:dyDescent="0.2">
      <c r="E10" s="67"/>
      <c r="F10" s="67"/>
    </row>
  </sheetData>
  <sheetProtection algorithmName="SHA-512" hashValue="Jvg3oU1rgjOA1JR5KPoqO0dSDjsys5aE2hS9uiukbtfwKnuNBqhJgoL3svKe941bCvptplrOpllMSeJgULbuYg==" saltValue="cpdpEj/LounbTH2v3Cwmew==" spinCount="100000" sheet="1" objects="1" scenarios="1"/>
  <conditionalFormatting sqref="H6:H8">
    <cfRule type="expression" dxfId="11"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E30" sqref="E30"/>
    </sheetView>
  </sheetViews>
  <sheetFormatPr defaultRowHeight="14.25" x14ac:dyDescent="0.2"/>
  <cols>
    <col min="1" max="1" width="1.25" style="67" customWidth="1"/>
    <col min="2" max="2" width="12.25" customWidth="1"/>
    <col min="3" max="3" width="16.25" customWidth="1"/>
    <col min="4" max="4" width="15.875" customWidth="1"/>
    <col min="5" max="5" width="12.75" customWidth="1"/>
    <col min="6" max="6" width="10.25" customWidth="1"/>
    <col min="7" max="7" width="12.125" customWidth="1"/>
    <col min="8" max="17" width="7.75" customWidth="1"/>
    <col min="18" max="18" width="9" customWidth="1"/>
    <col min="19" max="19" width="6.25" customWidth="1"/>
    <col min="20" max="20" width="10.25" customWidth="1"/>
    <col min="59" max="59" width="9" customWidth="1"/>
  </cols>
  <sheetData>
    <row r="1" spans="2:21" ht="15" x14ac:dyDescent="0.25">
      <c r="B1" s="145" t="s">
        <v>249</v>
      </c>
      <c r="C1" s="31"/>
      <c r="D1" s="31"/>
      <c r="E1" s="31"/>
      <c r="F1" s="31"/>
      <c r="G1" s="31"/>
      <c r="H1" s="31"/>
      <c r="I1" s="31"/>
      <c r="J1" s="31"/>
      <c r="K1" s="31"/>
      <c r="L1" s="31"/>
      <c r="M1" s="31"/>
      <c r="N1" s="31"/>
      <c r="O1" s="31"/>
      <c r="P1" s="31"/>
      <c r="Q1" s="31"/>
      <c r="R1" s="31"/>
      <c r="S1" s="31"/>
      <c r="T1" s="31"/>
      <c r="U1" s="31"/>
    </row>
    <row r="2" spans="2:21" ht="15" x14ac:dyDescent="0.25">
      <c r="E2" s="379" t="s">
        <v>1291</v>
      </c>
      <c r="G2" s="372" t="s">
        <v>1292</v>
      </c>
    </row>
    <row r="3" spans="2:21" ht="15" x14ac:dyDescent="0.25">
      <c r="E3" s="379" t="s">
        <v>1262</v>
      </c>
      <c r="G3" s="372" t="s">
        <v>1262</v>
      </c>
      <c r="H3" s="372" t="s">
        <v>1263</v>
      </c>
      <c r="I3" s="372"/>
      <c r="J3" s="372" t="s">
        <v>1264</v>
      </c>
      <c r="K3" s="372"/>
      <c r="L3" s="372" t="s">
        <v>1268</v>
      </c>
      <c r="M3" s="372"/>
      <c r="N3" s="372" t="s">
        <v>1267</v>
      </c>
      <c r="O3" s="372"/>
      <c r="P3" s="372" t="s">
        <v>1269</v>
      </c>
      <c r="R3" s="379"/>
    </row>
    <row r="4" spans="2:21" ht="15" x14ac:dyDescent="0.2">
      <c r="B4" s="483" t="s">
        <v>884</v>
      </c>
      <c r="C4" s="483"/>
      <c r="D4" s="483"/>
      <c r="E4" s="382" t="str">
        <f>Capacity!C12</f>
        <v>[Not Saved]</v>
      </c>
      <c r="F4" s="67"/>
      <c r="G4" s="373" t="str">
        <f>C15</f>
        <v>5% Increase</v>
      </c>
      <c r="H4" s="374">
        <f>Planning!C11</f>
        <v>0.05</v>
      </c>
      <c r="I4" s="373"/>
      <c r="J4" s="375">
        <f>Planning!C15</f>
        <v>0</v>
      </c>
      <c r="K4" s="373"/>
      <c r="L4" s="375">
        <f>Planning!C16</f>
        <v>0</v>
      </c>
      <c r="M4" s="373"/>
      <c r="N4" s="375">
        <f>Planning!C17</f>
        <v>0</v>
      </c>
      <c r="O4" s="373"/>
      <c r="P4" s="375">
        <f>Planning!C18</f>
        <v>0</v>
      </c>
      <c r="Q4" s="373"/>
    </row>
    <row r="6" spans="2:21" ht="15" x14ac:dyDescent="0.25">
      <c r="B6" s="2" t="s">
        <v>304</v>
      </c>
    </row>
    <row r="7" spans="2:21" x14ac:dyDescent="0.2">
      <c r="B7" t="s">
        <v>489</v>
      </c>
      <c r="C7" s="153" t="s">
        <v>421</v>
      </c>
    </row>
    <row r="8" spans="2:21" x14ac:dyDescent="0.2">
      <c r="B8" t="s">
        <v>490</v>
      </c>
      <c r="C8" s="153" t="s">
        <v>19</v>
      </c>
    </row>
    <row r="12" spans="2:21" ht="15" x14ac:dyDescent="0.25">
      <c r="B12" s="324" t="s">
        <v>426</v>
      </c>
      <c r="C12" s="67"/>
    </row>
    <row r="13" spans="2:21" x14ac:dyDescent="0.2">
      <c r="B13" s="390"/>
    </row>
    <row r="14" spans="2:21" ht="15" x14ac:dyDescent="0.25">
      <c r="B14" s="368" t="s">
        <v>1252</v>
      </c>
    </row>
    <row r="15" spans="2:21" s="67" customFormat="1" ht="40.9" customHeight="1" x14ac:dyDescent="0.2">
      <c r="B15" s="371">
        <v>0</v>
      </c>
      <c r="C15" s="371" t="s">
        <v>1288</v>
      </c>
    </row>
    <row r="16" spans="2:21" s="67" customFormat="1" ht="51" customHeight="1" x14ac:dyDescent="0.2">
      <c r="B16" s="370" t="s">
        <v>1261</v>
      </c>
      <c r="C16" s="367"/>
    </row>
    <row r="17" spans="2:16" ht="15" x14ac:dyDescent="0.25">
      <c r="B17" s="396" t="s">
        <v>945</v>
      </c>
    </row>
    <row r="18" spans="2:16" ht="17.649999999999999" customHeight="1" x14ac:dyDescent="0.2">
      <c r="B18" s="397" t="s">
        <v>22</v>
      </c>
    </row>
    <row r="19" spans="2:16" s="82" customFormat="1" ht="15" hidden="1" x14ac:dyDescent="0.25">
      <c r="B19" s="328"/>
    </row>
    <row r="20" spans="2:16" ht="15" hidden="1" x14ac:dyDescent="0.25">
      <c r="B20" s="328"/>
      <c r="C20" s="328"/>
      <c r="D20" s="328"/>
      <c r="E20" s="328"/>
      <c r="F20" s="328"/>
      <c r="G20" s="328"/>
    </row>
    <row r="21" spans="2:16" ht="13.9" hidden="1" customHeight="1" x14ac:dyDescent="0.25">
      <c r="B21" s="328"/>
      <c r="C21" s="328"/>
      <c r="D21" s="328"/>
      <c r="E21" s="328"/>
      <c r="F21" s="328"/>
      <c r="G21" s="328"/>
    </row>
    <row r="22" spans="2:16" hidden="1" x14ac:dyDescent="0.2"/>
    <row r="23" spans="2:16" ht="15" x14ac:dyDescent="0.25">
      <c r="B23" s="2" t="s">
        <v>493</v>
      </c>
    </row>
    <row r="24" spans="2:16" x14ac:dyDescent="0.2">
      <c r="B24" s="161" t="s">
        <v>20</v>
      </c>
      <c r="D24" s="484" t="str">
        <f ca="1">"On aggregate, 1 patient = "&amp;TEXT('Demand background (hide)'!$BN$16,"#.#")&amp;" "&amp;Setup!$I$17</f>
        <v>On aggregate, 1 patient = 37. Minutes</v>
      </c>
      <c r="E24" s="484"/>
      <c r="F24" s="484"/>
      <c r="G24" s="484"/>
      <c r="H24" s="484"/>
      <c r="I24" s="484"/>
      <c r="J24" s="484"/>
      <c r="K24" s="484"/>
      <c r="P24" s="170" t="s">
        <v>500</v>
      </c>
    </row>
    <row r="26" spans="2:16" s="67" customFormat="1" x14ac:dyDescent="0.2"/>
    <row r="27" spans="2:16" s="67" customFormat="1" ht="15" x14ac:dyDescent="0.25">
      <c r="B27" s="480" t="s">
        <v>302</v>
      </c>
      <c r="C27" s="480"/>
      <c r="D27" s="280" t="s">
        <v>497</v>
      </c>
      <c r="E27" s="280" t="s">
        <v>128</v>
      </c>
    </row>
    <row r="28" spans="2:16" s="67" customFormat="1" x14ac:dyDescent="0.2">
      <c r="B28" s="486" t="s">
        <v>1295</v>
      </c>
      <c r="C28" s="487"/>
      <c r="D28" s="381">
        <f ca="1">IFERROR('Summary Calculations (hide)'!N70,"")</f>
        <v>17.170840026107236</v>
      </c>
      <c r="E28" s="376"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You need an additional 6 slots to meet the 85th percentile of demand. It may be advisable to review your capacity if you have an urgent, or very variable service.</v>
      </c>
    </row>
    <row r="29" spans="2:16" s="67" customFormat="1" x14ac:dyDescent="0.2">
      <c r="B29" s="486" t="s">
        <v>1296</v>
      </c>
      <c r="C29" s="487"/>
      <c r="D29" s="275">
        <f ca="1">IFERROR('Summary Calculations (hide)'!M70,"")</f>
        <v>14.261623907226118</v>
      </c>
      <c r="E29" s="276" t="s">
        <v>499</v>
      </c>
      <c r="G29" s="274" t="str">
        <f ca="1">IF(D29&lt;&gt;"",IF(SUM(D32:D33)&lt;D29,"You need an additional "&amp;CEILING((D29-SUM(D32:D33)),1)&amp;IF($C$8="Patients"," slots",IF($C$8="Minutes"," minutes"," points"))&amp;" to meet the "&amp;Setup!$I$19&amp;"th percentile of demand. Your waiting list size is likely to increase over time.",""),"")</f>
        <v>You need an additional 3 slots to meet the 65th percentile of demand. Your waiting list size is likely to increase over time.</v>
      </c>
    </row>
    <row r="30" spans="2:16" s="67" customFormat="1" x14ac:dyDescent="0.2">
      <c r="B30" s="488" t="s">
        <v>503</v>
      </c>
      <c r="C30" s="489"/>
      <c r="D30" s="384">
        <f ca="1">IFERROR('Summary Calculations (hide)'!X70,"")</f>
        <v>12.800550923076914</v>
      </c>
      <c r="E30" s="385">
        <f ca="1">IFERROR('Summary Calculations (hide)'!X71,"")</f>
        <v>678.42919892307646</v>
      </c>
    </row>
    <row r="31" spans="2:16" s="67" customFormat="1" ht="15" x14ac:dyDescent="0.25">
      <c r="B31" s="144" t="s">
        <v>303</v>
      </c>
      <c r="C31" s="142"/>
    </row>
    <row r="32" spans="2:16" s="67" customFormat="1" x14ac:dyDescent="0.2">
      <c r="B32" s="486" t="s">
        <v>495</v>
      </c>
      <c r="C32" s="487"/>
      <c r="D32" s="275">
        <f ca="1">IFERROR('Summary Calculations (hide)'!R70,"")</f>
        <v>10.392307692307693</v>
      </c>
      <c r="E32" s="275">
        <f ca="1">IFERROR('Summary Calculations (hide)'!R71,"")</f>
        <v>550.79230769230776</v>
      </c>
      <c r="H32" s="5"/>
    </row>
    <row r="33" spans="2:21" s="67" customFormat="1" x14ac:dyDescent="0.2">
      <c r="B33" s="486" t="s">
        <v>496</v>
      </c>
      <c r="C33" s="487"/>
      <c r="D33" s="275">
        <f ca="1">IFERROR('Summary Calculations (hide)'!S70,"")</f>
        <v>1.5210449927431062</v>
      </c>
      <c r="E33" s="275">
        <f ca="1">IFERROR('Summary Calculations (hide)'!S71,"")</f>
        <v>80.615384615384627</v>
      </c>
    </row>
    <row r="34" spans="2:21" s="67" customFormat="1" ht="15" x14ac:dyDescent="0.25">
      <c r="B34" s="144" t="s">
        <v>928</v>
      </c>
    </row>
    <row r="35" spans="2:21" s="67" customFormat="1" x14ac:dyDescent="0.2">
      <c r="B35" s="486" t="s">
        <v>927</v>
      </c>
      <c r="C35" s="487"/>
      <c r="D35" s="275">
        <f ca="1">IFERROR('Summary Calculations (hide)'!V70,"")</f>
        <v>3.8000000000000029</v>
      </c>
      <c r="E35" s="275">
        <f ca="1">IFERROR('Summary Calculations (hide)'!V71,"")</f>
        <v>201.40000000000015</v>
      </c>
    </row>
    <row r="37" spans="2:21" x14ac:dyDescent="0.2">
      <c r="B37" s="31"/>
      <c r="C37" s="31"/>
      <c r="D37" s="31"/>
      <c r="E37" s="31"/>
      <c r="F37" s="31"/>
      <c r="G37" s="31"/>
      <c r="H37" s="31"/>
      <c r="I37" s="31"/>
      <c r="J37" s="31"/>
      <c r="K37" s="31"/>
      <c r="L37" s="31"/>
      <c r="M37" s="31"/>
      <c r="N37" s="31"/>
      <c r="O37" s="31"/>
      <c r="P37" s="31"/>
      <c r="Q37" s="31"/>
      <c r="R37" s="31"/>
      <c r="S37" s="31"/>
      <c r="T37" s="31"/>
      <c r="U37" s="31"/>
    </row>
    <row r="38" spans="2:21" ht="15" x14ac:dyDescent="0.2">
      <c r="B38" s="482" t="str">
        <f>"Current waiting list vs Estimated sustainable waiting list ("&amp;C8&amp;")"</f>
        <v>Current waiting list vs Estimated sustainable waiting list (Patients)</v>
      </c>
      <c r="C38" s="482"/>
      <c r="D38" s="482"/>
      <c r="E38" s="482"/>
      <c r="F38" s="482"/>
      <c r="G38" s="482"/>
      <c r="H38" s="482"/>
    </row>
    <row r="40" spans="2:21" ht="15" x14ac:dyDescent="0.25">
      <c r="B40" s="480" t="s">
        <v>489</v>
      </c>
      <c r="C40" s="481"/>
      <c r="D40" s="401" t="s">
        <v>249</v>
      </c>
      <c r="E40" s="403"/>
    </row>
    <row r="41" spans="2:21" x14ac:dyDescent="0.2">
      <c r="B41" s="344" t="str">
        <f>IF(AND(LEFT(Demand!C8,1)="H",'Demand adjustments for Covid'!F9="No"),"","WL predictions are disabled when forecast demand or Covid adjustments are enabled.")</f>
        <v/>
      </c>
    </row>
    <row r="42" spans="2:21" x14ac:dyDescent="0.2">
      <c r="B42" s="478" t="s">
        <v>1139</v>
      </c>
      <c r="C42" s="479"/>
      <c r="D42" s="329">
        <v>0</v>
      </c>
    </row>
    <row r="43" spans="2:21" x14ac:dyDescent="0.2">
      <c r="B43" s="478" t="s">
        <v>1140</v>
      </c>
      <c r="C43" s="479"/>
      <c r="D43" s="329">
        <v>0</v>
      </c>
    </row>
    <row r="49" spans="2:4" x14ac:dyDescent="0.2">
      <c r="B49" s="137" t="s">
        <v>305</v>
      </c>
      <c r="C49" s="485">
        <f ca="1">'Parameters calculator (hide)'!H67</f>
        <v>60</v>
      </c>
      <c r="D49" s="485"/>
    </row>
    <row r="50" spans="2:4" x14ac:dyDescent="0.2">
      <c r="B50" s="138" t="s">
        <v>306</v>
      </c>
      <c r="C50" s="477" t="str">
        <f ca="1">IFERROR(TEXT('Parameters calculator (hide)'!H66,"#,#")&amp;" - "&amp;TEXT('Parameters calculator (hide)'!I66,"#,#"),"")</f>
        <v>43 - 47</v>
      </c>
      <c r="D50" s="477"/>
    </row>
    <row r="53" spans="2:4" x14ac:dyDescent="0.2">
      <c r="B53" s="20" t="s">
        <v>307</v>
      </c>
      <c r="C53" s="477" t="str">
        <f ca="1">IFERROR('Parameters calculator (hide)'!H69,"")</f>
        <v>13 - 17</v>
      </c>
      <c r="D53" s="477"/>
    </row>
    <row r="55" spans="2:4" x14ac:dyDescent="0.2">
      <c r="B55" t="s">
        <v>929</v>
      </c>
    </row>
    <row r="57" spans="2:4" x14ac:dyDescent="0.2">
      <c r="B57" t="s">
        <v>930</v>
      </c>
    </row>
    <row r="58" spans="2:4" x14ac:dyDescent="0.2">
      <c r="B58" s="283">
        <v>10</v>
      </c>
      <c r="C58" t="s">
        <v>402</v>
      </c>
    </row>
    <row r="60" spans="2:4" x14ac:dyDescent="0.2">
      <c r="B60" t="s">
        <v>931</v>
      </c>
    </row>
    <row r="61" spans="2:4" x14ac:dyDescent="0.2">
      <c r="B61" s="281" t="str">
        <f ca="1">IF(OR(C53=0,B58=0,C53=""),"--",TEXT('Parameters calculator (hide)'!I71/B58,"#")&amp;" - "&amp;TEXT('Parameters calculator (hide)'!H71/B58,"#"))</f>
        <v>1 - 2</v>
      </c>
      <c r="C61" t="str">
        <f>LOWER(C8)&amp;" per week to clear in the time specified"</f>
        <v>patients per week to clear in the time specified</v>
      </c>
    </row>
  </sheetData>
  <sheetProtection algorithmName="SHA-512" hashValue="ChBREFIuiHMNXKHdUEJvoHvKDhe/43CpWIdMDXUE3jLtdvm4ko1++dNbNJSHPdADmNGCKDUxiTXg8o32y7b+0A==" saltValue="cg3WBTd6rpon/S8Em5ko4w==" spinCount="100000" sheet="1" objects="1" scenarios="1"/>
  <mergeCells count="17">
    <mergeCell ref="B4:D4"/>
    <mergeCell ref="D40:E40"/>
    <mergeCell ref="D24:K24"/>
    <mergeCell ref="C49:D49"/>
    <mergeCell ref="C50:D50"/>
    <mergeCell ref="B27:C27"/>
    <mergeCell ref="B28:C28"/>
    <mergeCell ref="B29:C29"/>
    <mergeCell ref="B30:C30"/>
    <mergeCell ref="B32:C32"/>
    <mergeCell ref="B33:C33"/>
    <mergeCell ref="B35:C35"/>
    <mergeCell ref="C53:D53"/>
    <mergeCell ref="B42:C42"/>
    <mergeCell ref="B43:C43"/>
    <mergeCell ref="B40:C40"/>
    <mergeCell ref="B38:H38"/>
  </mergeCells>
  <conditionalFormatting sqref="G2:Q4">
    <cfRule type="expression" dxfId="10" priority="5">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142875</xdr:rowOff>
                  </from>
                  <to>
                    <xdr:col>4</xdr:col>
                    <xdr:colOff>285750</xdr:colOff>
                    <xdr:row>45</xdr:row>
                    <xdr:rowOff>19050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28575</xdr:colOff>
                    <xdr:row>14</xdr:row>
                    <xdr:rowOff>19050</xdr:rowOff>
                  </from>
                  <to>
                    <xdr:col>2</xdr:col>
                    <xdr:colOff>0</xdr:colOff>
                    <xdr:row>14</xdr:row>
                    <xdr:rowOff>419100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38100</xdr:colOff>
                    <xdr:row>14</xdr:row>
                    <xdr:rowOff>19050</xdr:rowOff>
                  </from>
                  <to>
                    <xdr:col>2</xdr:col>
                    <xdr:colOff>952500</xdr:colOff>
                    <xdr:row>14</xdr:row>
                    <xdr:rowOff>419100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19050</xdr:colOff>
                    <xdr:row>15</xdr:row>
                    <xdr:rowOff>209550</xdr:rowOff>
                  </from>
                  <to>
                    <xdr:col>2</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8"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7" id="{91BB2B95-AE33-49E0-9817-F54C46DD482A}">
            <xm:f>IF(OR(Setup!$I$13="Yes",Setup!$I$15="Yes"),FALSE,TRUE)</xm:f>
            <x14:dxf>
              <font>
                <color theme="0"/>
              </font>
              <border>
                <left/>
                <right/>
                <top/>
                <bottom/>
                <vertical/>
                <horizontal/>
              </border>
            </x14:dxf>
          </x14:cfRule>
          <xm:sqref>B17</xm:sqref>
        </x14:conditionalFormatting>
        <x14:conditionalFormatting xmlns:xm="http://schemas.microsoft.com/office/excel/2006/main">
          <x14:cfRule type="expression" priority="4" id="{BEB16611-1774-40E6-B674-07AEDE8F0DB5}">
            <xm:f>IF(OR(Setup!$I$13="Yes",Setup!$I$15="Yes"),FALSE,TRUE)</xm:f>
            <x14:dxf>
              <font>
                <color theme="0"/>
              </font>
              <border>
                <left/>
                <right/>
                <top/>
                <bottom/>
                <vertical/>
                <horizontal/>
              </border>
            </x14:dxf>
          </x14:cfRule>
          <xm:sqref>B20:G21</xm:sqref>
        </x14:conditionalFormatting>
        <x14:conditionalFormatting xmlns:xm="http://schemas.microsoft.com/office/excel/2006/main">
          <x14:cfRule type="expression" priority="3" id="{015F9863-B18A-44F1-BC9B-AC481DE2468D}">
            <xm:f>IF(Capacity!$C$12&lt;&gt;"[Not Saved]",TRUE,FALSE)</xm:f>
            <x14:dxf>
              <font>
                <b val="0"/>
                <i val="0"/>
                <color auto="1"/>
              </font>
              <fill>
                <patternFill>
                  <bgColor theme="0" tint="-0.14996795556505021"/>
                </patternFill>
              </fill>
            </x14:dxf>
          </x14:cfRule>
          <xm:sqref>E4</xm:sqref>
        </x14:conditionalFormatting>
        <x14:conditionalFormatting xmlns:xm="http://schemas.microsoft.com/office/excel/2006/main">
          <x14:cfRule type="expression" priority="1" id="{29957F7C-FD55-4331-B430-1A801BC613AC}">
            <xm:f>IF(Capacity!$C$12="[Not Saved]",TRUE,FALSE)</xm:f>
            <x14:dxf>
              <font>
                <color theme="0"/>
              </font>
              <fill>
                <patternFill patternType="none">
                  <bgColor auto="1"/>
                </patternFill>
              </fill>
            </x14:dxf>
          </x14:cfRule>
          <xm:sqref>E2:E3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40" workbookViewId="0">
      <selection activeCell="B55" sqref="B55"/>
    </sheetView>
  </sheetViews>
  <sheetFormatPr defaultRowHeight="14.25" x14ac:dyDescent="0.2"/>
  <cols>
    <col min="1" max="1" width="32.75" customWidth="1"/>
  </cols>
  <sheetData>
    <row r="28" spans="1:12" x14ac:dyDescent="0.2">
      <c r="A28" t="s">
        <v>885</v>
      </c>
      <c r="J28" t="s">
        <v>938</v>
      </c>
    </row>
    <row r="30" spans="1:12" x14ac:dyDescent="0.2">
      <c r="A30" t="s">
        <v>392</v>
      </c>
      <c r="B30" t="s">
        <v>886</v>
      </c>
      <c r="J30" t="s">
        <v>939</v>
      </c>
      <c r="K30" t="s">
        <v>392</v>
      </c>
      <c r="L30" t="s">
        <v>886</v>
      </c>
    </row>
    <row r="31" spans="1:12" x14ac:dyDescent="0.2">
      <c r="A31" t="s">
        <v>11</v>
      </c>
      <c r="B31" t="s">
        <v>924</v>
      </c>
      <c r="J31" t="s">
        <v>940</v>
      </c>
      <c r="K31" t="s">
        <v>97</v>
      </c>
      <c r="L31" t="s">
        <v>934</v>
      </c>
    </row>
    <row r="32" spans="1:12" x14ac:dyDescent="0.2">
      <c r="A32" t="s">
        <v>51</v>
      </c>
      <c r="B32" t="s">
        <v>887</v>
      </c>
      <c r="J32" t="s">
        <v>942</v>
      </c>
      <c r="K32" t="s">
        <v>389</v>
      </c>
      <c r="L32" t="s">
        <v>935</v>
      </c>
    </row>
    <row r="33" spans="1:12" x14ac:dyDescent="0.2">
      <c r="A33" s="67" t="s">
        <v>51</v>
      </c>
      <c r="B33" t="s">
        <v>888</v>
      </c>
      <c r="J33" t="s">
        <v>941</v>
      </c>
      <c r="K33" t="s">
        <v>391</v>
      </c>
      <c r="L33" t="s">
        <v>936</v>
      </c>
    </row>
    <row r="34" spans="1:12" x14ac:dyDescent="0.2">
      <c r="A34" s="67" t="s">
        <v>51</v>
      </c>
      <c r="B34" t="s">
        <v>889</v>
      </c>
      <c r="J34" t="s">
        <v>943</v>
      </c>
      <c r="K34" t="s">
        <v>391</v>
      </c>
      <c r="L34" t="s">
        <v>937</v>
      </c>
    </row>
    <row r="35" spans="1:12" x14ac:dyDescent="0.2">
      <c r="A35" s="67" t="s">
        <v>51</v>
      </c>
      <c r="B35" t="s">
        <v>890</v>
      </c>
    </row>
    <row r="36" spans="1:12" x14ac:dyDescent="0.2">
      <c r="A36" s="67" t="s">
        <v>51</v>
      </c>
      <c r="B36" t="s">
        <v>891</v>
      </c>
    </row>
    <row r="37" spans="1:12" x14ac:dyDescent="0.2">
      <c r="A37" s="67" t="s">
        <v>51</v>
      </c>
      <c r="B37" t="s">
        <v>892</v>
      </c>
    </row>
    <row r="38" spans="1:12" x14ac:dyDescent="0.2">
      <c r="A38" s="67" t="s">
        <v>51</v>
      </c>
      <c r="B38" t="s">
        <v>893</v>
      </c>
    </row>
    <row r="39" spans="1:12" x14ac:dyDescent="0.2">
      <c r="A39" s="67" t="s">
        <v>51</v>
      </c>
      <c r="B39" t="s">
        <v>894</v>
      </c>
    </row>
    <row r="40" spans="1:12" x14ac:dyDescent="0.2">
      <c r="A40" t="s">
        <v>51</v>
      </c>
      <c r="B40" t="s">
        <v>895</v>
      </c>
    </row>
    <row r="41" spans="1:12" x14ac:dyDescent="0.2">
      <c r="A41" t="s">
        <v>51</v>
      </c>
      <c r="B41" t="s">
        <v>896</v>
      </c>
    </row>
    <row r="42" spans="1:12" x14ac:dyDescent="0.2">
      <c r="A42" t="s">
        <v>97</v>
      </c>
      <c r="B42" t="s">
        <v>897</v>
      </c>
    </row>
    <row r="43" spans="1:12" x14ac:dyDescent="0.2">
      <c r="A43" t="s">
        <v>899</v>
      </c>
      <c r="B43" t="s">
        <v>1172</v>
      </c>
    </row>
    <row r="44" spans="1:12" x14ac:dyDescent="0.2">
      <c r="A44" t="s">
        <v>388</v>
      </c>
      <c r="B44" t="s">
        <v>900</v>
      </c>
    </row>
    <row r="45" spans="1:12" x14ac:dyDescent="0.2">
      <c r="A45" t="s">
        <v>388</v>
      </c>
      <c r="B45" t="s">
        <v>901</v>
      </c>
    </row>
    <row r="46" spans="1:12" x14ac:dyDescent="0.2">
      <c r="A46" t="s">
        <v>388</v>
      </c>
      <c r="B46" t="s">
        <v>385</v>
      </c>
    </row>
    <row r="47" spans="1:12" x14ac:dyDescent="0.2">
      <c r="A47" t="s">
        <v>388</v>
      </c>
      <c r="B47" t="s">
        <v>902</v>
      </c>
    </row>
    <row r="48" spans="1:12" x14ac:dyDescent="0.2">
      <c r="A48" t="s">
        <v>388</v>
      </c>
      <c r="B48" t="s">
        <v>903</v>
      </c>
    </row>
    <row r="49" spans="1:2" x14ac:dyDescent="0.2">
      <c r="A49" t="s">
        <v>389</v>
      </c>
      <c r="B49" t="s">
        <v>897</v>
      </c>
    </row>
    <row r="50" spans="1:2" x14ac:dyDescent="0.2">
      <c r="A50" t="s">
        <v>389</v>
      </c>
      <c r="B50" t="s">
        <v>904</v>
      </c>
    </row>
    <row r="51" spans="1:2" x14ac:dyDescent="0.2">
      <c r="A51" t="s">
        <v>390</v>
      </c>
      <c r="B51" t="s">
        <v>905</v>
      </c>
    </row>
    <row r="52" spans="1:2" x14ac:dyDescent="0.2">
      <c r="A52" t="s">
        <v>390</v>
      </c>
      <c r="B52" t="s">
        <v>906</v>
      </c>
    </row>
    <row r="53" spans="1:2" x14ac:dyDescent="0.2">
      <c r="A53" t="s">
        <v>907</v>
      </c>
      <c r="B53" t="s">
        <v>908</v>
      </c>
    </row>
    <row r="54" spans="1:2" x14ac:dyDescent="0.2">
      <c r="A54" t="s">
        <v>909</v>
      </c>
      <c r="B54" t="s">
        <v>910</v>
      </c>
    </row>
    <row r="55" spans="1:2" x14ac:dyDescent="0.2">
      <c r="A55" t="s">
        <v>391</v>
      </c>
      <c r="B55" t="s">
        <v>911</v>
      </c>
    </row>
    <row r="56" spans="1:2" x14ac:dyDescent="0.2">
      <c r="A56" t="s">
        <v>477</v>
      </c>
      <c r="B56" t="s">
        <v>905</v>
      </c>
    </row>
    <row r="57" spans="1:2" x14ac:dyDescent="0.2">
      <c r="A57" s="67" t="s">
        <v>477</v>
      </c>
      <c r="B57" t="s">
        <v>911</v>
      </c>
    </row>
    <row r="58" spans="1:2" x14ac:dyDescent="0.2">
      <c r="A58" s="67" t="s">
        <v>477</v>
      </c>
      <c r="B58" t="s">
        <v>912</v>
      </c>
    </row>
    <row r="59" spans="1:2" x14ac:dyDescent="0.2">
      <c r="A59" s="67" t="s">
        <v>477</v>
      </c>
      <c r="B59" t="s">
        <v>913</v>
      </c>
    </row>
    <row r="60" spans="1:2" x14ac:dyDescent="0.2">
      <c r="A60" t="s">
        <v>477</v>
      </c>
      <c r="B60" t="s">
        <v>1236</v>
      </c>
    </row>
    <row r="61" spans="1:2" x14ac:dyDescent="0.2">
      <c r="A61" t="s">
        <v>914</v>
      </c>
      <c r="B61" t="s">
        <v>915</v>
      </c>
    </row>
    <row r="62" spans="1:2" x14ac:dyDescent="0.2">
      <c r="A62" t="s">
        <v>914</v>
      </c>
      <c r="B62" t="s">
        <v>916</v>
      </c>
    </row>
    <row r="63" spans="1:2" x14ac:dyDescent="0.2">
      <c r="A63" t="s">
        <v>914</v>
      </c>
      <c r="B63" t="s">
        <v>917</v>
      </c>
    </row>
    <row r="64" spans="1:2" x14ac:dyDescent="0.2">
      <c r="A64" t="s">
        <v>249</v>
      </c>
      <c r="B64" t="s">
        <v>918</v>
      </c>
    </row>
    <row r="65" spans="1:8" x14ac:dyDescent="0.2">
      <c r="A65" t="s">
        <v>510</v>
      </c>
      <c r="B65" t="s">
        <v>922</v>
      </c>
    </row>
    <row r="66" spans="1:8" x14ac:dyDescent="0.2">
      <c r="A66" t="s">
        <v>510</v>
      </c>
      <c r="B66" t="s">
        <v>923</v>
      </c>
    </row>
    <row r="67" spans="1:8" x14ac:dyDescent="0.2">
      <c r="A67" t="s">
        <v>510</v>
      </c>
      <c r="B67" t="s">
        <v>919</v>
      </c>
    </row>
    <row r="68" spans="1:8" x14ac:dyDescent="0.2">
      <c r="A68" t="s">
        <v>510</v>
      </c>
      <c r="B68" t="s">
        <v>920</v>
      </c>
    </row>
    <row r="69" spans="1:8" x14ac:dyDescent="0.2">
      <c r="A69" s="67" t="s">
        <v>510</v>
      </c>
      <c r="B69" t="s">
        <v>921</v>
      </c>
    </row>
    <row r="71" spans="1:8" x14ac:dyDescent="0.2">
      <c r="G71" s="291"/>
    </row>
    <row r="73" spans="1:8" x14ac:dyDescent="0.2">
      <c r="G73" s="67"/>
      <c r="H73" s="67"/>
    </row>
  </sheetData>
  <pageMargins left="0.7" right="0.7" top="0.75" bottom="0.75" header="0.3" footer="0.3"/>
  <pageSetup paperSize="9" orientation="portrait" verticalDpi="0"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Q220"/>
  <sheetViews>
    <sheetView topLeftCell="BG109" workbookViewId="0">
      <selection activeCell="BK112" sqref="BK112:BK211"/>
    </sheetView>
  </sheetViews>
  <sheetFormatPr defaultRowHeight="14.25" x14ac:dyDescent="0.2"/>
  <cols>
    <col min="1" max="1" width="9" style="67"/>
    <col min="2" max="2" width="12.125" customWidth="1"/>
    <col min="3" max="3" width="22.25" style="67" bestFit="1" customWidth="1"/>
    <col min="4" max="4" width="11.125" customWidth="1"/>
    <col min="60" max="61" width="9.625" customWidth="1"/>
    <col min="62" max="62" width="9.625" style="67" customWidth="1"/>
    <col min="63" max="114" width="9.75" bestFit="1" customWidth="1"/>
    <col min="115" max="115" width="9.75" style="67" bestFit="1" customWidth="1"/>
  </cols>
  <sheetData>
    <row r="1" spans="1:121" ht="15" x14ac:dyDescent="0.25">
      <c r="A1" s="67" t="s">
        <v>1243</v>
      </c>
      <c r="C1" s="2" t="s">
        <v>459</v>
      </c>
      <c r="D1" t="s">
        <v>467</v>
      </c>
      <c r="E1">
        <v>2</v>
      </c>
      <c r="H1" t="s">
        <v>433</v>
      </c>
      <c r="I1" t="str">
        <f>"Capacity summary ("&amp;LOWER('Capacity summary'!$C$16)&amp;")"&amp;IF(Capacity!C12&lt;&gt;"[Not Saved]"," - " &amp;Capacity!C12,"")</f>
        <v>Capacity summary (patients)</v>
      </c>
      <c r="BJ1" s="67" t="s">
        <v>458</v>
      </c>
      <c r="BK1" s="317">
        <f ca="1">INDEX('Critical resources (hide)'!$B$6:$F$58,MATCH('Capacity calculation (hide)'!BK$3,'Critical resources (hide)'!$F$6:$F$58,0),1)</f>
        <v>43584</v>
      </c>
      <c r="BL1" s="317">
        <f ca="1">INDEX('Critical resources (hide)'!$B$6:$F$58,MATCH('Capacity calculation (hide)'!BL$3,'Critical resources (hide)'!$F$6:$F$58,0),1)</f>
        <v>43591</v>
      </c>
      <c r="BM1" s="317">
        <f ca="1">INDEX('Critical resources (hide)'!$B$6:$F$58,MATCH('Capacity calculation (hide)'!BM$3,'Critical resources (hide)'!$F$6:$F$58,0),1)</f>
        <v>43598</v>
      </c>
      <c r="BN1" s="317">
        <f ca="1">INDEX('Critical resources (hide)'!$B$6:$F$58,MATCH('Capacity calculation (hide)'!BN$3,'Critical resources (hide)'!$F$6:$F$58,0),1)</f>
        <v>43605</v>
      </c>
      <c r="BO1" s="317">
        <f ca="1">INDEX('Critical resources (hide)'!$B$6:$F$58,MATCH('Capacity calculation (hide)'!BO$3,'Critical resources (hide)'!$F$6:$F$58,0),1)</f>
        <v>43612</v>
      </c>
      <c r="BP1" s="317">
        <f ca="1">INDEX('Critical resources (hide)'!$B$6:$F$58,MATCH('Capacity calculation (hide)'!BP$3,'Critical resources (hide)'!$F$6:$F$58,0),1)</f>
        <v>43619</v>
      </c>
      <c r="BQ1" s="317">
        <f ca="1">INDEX('Critical resources (hide)'!$B$6:$F$58,MATCH('Capacity calculation (hide)'!BQ$3,'Critical resources (hide)'!$F$6:$F$58,0),1)</f>
        <v>43626</v>
      </c>
      <c r="BR1" s="317">
        <f ca="1">INDEX('Critical resources (hide)'!$B$6:$F$58,MATCH('Capacity calculation (hide)'!BR$3,'Critical resources (hide)'!$F$6:$F$58,0),1)</f>
        <v>43633</v>
      </c>
      <c r="BS1" s="317">
        <f ca="1">INDEX('Critical resources (hide)'!$B$6:$F$58,MATCH('Capacity calculation (hide)'!BS$3,'Critical resources (hide)'!$F$6:$F$58,0),1)</f>
        <v>43640</v>
      </c>
      <c r="BT1" s="317">
        <f ca="1">INDEX('Critical resources (hide)'!$B$6:$F$58,MATCH('Capacity calculation (hide)'!BT$3,'Critical resources (hide)'!$F$6:$F$58,0),1)</f>
        <v>43647</v>
      </c>
      <c r="BU1" s="317">
        <f ca="1">INDEX('Critical resources (hide)'!$B$6:$F$58,MATCH('Capacity calculation (hide)'!BU$3,'Critical resources (hide)'!$F$6:$F$58,0),1)</f>
        <v>43654</v>
      </c>
      <c r="BV1" s="317">
        <f ca="1">INDEX('Critical resources (hide)'!$B$6:$F$58,MATCH('Capacity calculation (hide)'!BV$3,'Critical resources (hide)'!$F$6:$F$58,0),1)</f>
        <v>43661</v>
      </c>
      <c r="BW1" s="317">
        <f ca="1">INDEX('Critical resources (hide)'!$B$6:$F$58,MATCH('Capacity calculation (hide)'!BW$3,'Critical resources (hide)'!$F$6:$F$58,0),1)</f>
        <v>43668</v>
      </c>
      <c r="BX1" s="317">
        <f ca="1">INDEX('Critical resources (hide)'!$B$6:$F$58,MATCH('Capacity calculation (hide)'!BX$3,'Critical resources (hide)'!$F$6:$F$58,0),1)</f>
        <v>43675</v>
      </c>
      <c r="BY1" s="317">
        <f ca="1">INDEX('Critical resources (hide)'!$B$6:$F$58,MATCH('Capacity calculation (hide)'!BY$3,'Critical resources (hide)'!$F$6:$F$58,0),1)</f>
        <v>43682</v>
      </c>
      <c r="BZ1" s="317">
        <f ca="1">INDEX('Critical resources (hide)'!$B$6:$F$58,MATCH('Capacity calculation (hide)'!BZ$3,'Critical resources (hide)'!$F$6:$F$58,0),1)</f>
        <v>43689</v>
      </c>
      <c r="CA1" s="317">
        <f ca="1">INDEX('Critical resources (hide)'!$B$6:$F$58,MATCH('Capacity calculation (hide)'!CA$3,'Critical resources (hide)'!$F$6:$F$58,0),1)</f>
        <v>43696</v>
      </c>
      <c r="CB1" s="317">
        <f ca="1">INDEX('Critical resources (hide)'!$B$6:$F$58,MATCH('Capacity calculation (hide)'!CB$3,'Critical resources (hide)'!$F$6:$F$58,0),1)</f>
        <v>43703</v>
      </c>
      <c r="CC1" s="317">
        <f ca="1">INDEX('Critical resources (hide)'!$B$6:$F$58,MATCH('Capacity calculation (hide)'!CC$3,'Critical resources (hide)'!$F$6:$F$58,0),1)</f>
        <v>43710</v>
      </c>
      <c r="CD1" s="317">
        <f ca="1">INDEX('Critical resources (hide)'!$B$6:$F$58,MATCH('Capacity calculation (hide)'!CD$3,'Critical resources (hide)'!$F$6:$F$58,0),1)</f>
        <v>43717</v>
      </c>
      <c r="CE1" s="317">
        <f ca="1">INDEX('Critical resources (hide)'!$B$6:$F$58,MATCH('Capacity calculation (hide)'!CE$3,'Critical resources (hide)'!$F$6:$F$58,0),1)</f>
        <v>43724</v>
      </c>
      <c r="CF1" s="317">
        <f ca="1">INDEX('Critical resources (hide)'!$B$6:$F$58,MATCH('Capacity calculation (hide)'!CF$3,'Critical resources (hide)'!$F$6:$F$58,0),1)</f>
        <v>43731</v>
      </c>
      <c r="CG1" s="317">
        <f ca="1">INDEX('Critical resources (hide)'!$B$6:$F$58,MATCH('Capacity calculation (hide)'!CG$3,'Critical resources (hide)'!$F$6:$F$58,0),1)</f>
        <v>43738</v>
      </c>
      <c r="CH1" s="317">
        <f ca="1">INDEX('Critical resources (hide)'!$B$6:$F$58,MATCH('Capacity calculation (hide)'!CH$3,'Critical resources (hide)'!$F$6:$F$58,0),1)</f>
        <v>43745</v>
      </c>
      <c r="CI1" s="317">
        <f ca="1">INDEX('Critical resources (hide)'!$B$6:$F$58,MATCH('Capacity calculation (hide)'!CI$3,'Critical resources (hide)'!$F$6:$F$58,0),1)</f>
        <v>43752</v>
      </c>
      <c r="CJ1" s="317">
        <f ca="1">INDEX('Critical resources (hide)'!$B$6:$F$58,MATCH('Capacity calculation (hide)'!CJ$3,'Critical resources (hide)'!$F$6:$F$58,0),1)</f>
        <v>43759</v>
      </c>
      <c r="CK1" s="317">
        <f ca="1">INDEX('Critical resources (hide)'!$B$6:$F$58,MATCH('Capacity calculation (hide)'!CK$3,'Critical resources (hide)'!$F$6:$F$58,0),1)</f>
        <v>43766</v>
      </c>
      <c r="CL1" s="317">
        <f ca="1">INDEX('Critical resources (hide)'!$B$6:$F$58,MATCH('Capacity calculation (hide)'!CL$3,'Critical resources (hide)'!$F$6:$F$58,0),1)</f>
        <v>43773</v>
      </c>
      <c r="CM1" s="317">
        <f ca="1">INDEX('Critical resources (hide)'!$B$6:$F$58,MATCH('Capacity calculation (hide)'!CM$3,'Critical resources (hide)'!$F$6:$F$58,0),1)</f>
        <v>43780</v>
      </c>
      <c r="CN1" s="317">
        <f ca="1">INDEX('Critical resources (hide)'!$B$6:$F$58,MATCH('Capacity calculation (hide)'!CN$3,'Critical resources (hide)'!$F$6:$F$58,0),1)</f>
        <v>43787</v>
      </c>
      <c r="CO1" s="317">
        <f ca="1">INDEX('Critical resources (hide)'!$B$6:$F$58,MATCH('Capacity calculation (hide)'!CO$3,'Critical resources (hide)'!$F$6:$F$58,0),1)</f>
        <v>43794</v>
      </c>
      <c r="CP1" s="317">
        <f ca="1">INDEX('Critical resources (hide)'!$B$6:$F$58,MATCH('Capacity calculation (hide)'!CP$3,'Critical resources (hide)'!$F$6:$F$58,0),1)</f>
        <v>43801</v>
      </c>
      <c r="CQ1" s="317">
        <f ca="1">INDEX('Critical resources (hide)'!$B$6:$F$58,MATCH('Capacity calculation (hide)'!CQ$3,'Critical resources (hide)'!$F$6:$F$58,0),1)</f>
        <v>43808</v>
      </c>
      <c r="CR1" s="317">
        <f ca="1">INDEX('Critical resources (hide)'!$B$6:$F$58,MATCH('Capacity calculation (hide)'!CR$3,'Critical resources (hide)'!$F$6:$F$58,0),1)</f>
        <v>43815</v>
      </c>
      <c r="CS1" s="317">
        <f ca="1">INDEX('Critical resources (hide)'!$B$6:$F$58,MATCH('Capacity calculation (hide)'!CS$3,'Critical resources (hide)'!$F$6:$F$58,0),1)</f>
        <v>43822</v>
      </c>
      <c r="CT1" s="317">
        <f ca="1">INDEX('Critical resources (hide)'!$B$6:$F$58,MATCH('Capacity calculation (hide)'!CT$3,'Critical resources (hide)'!$F$6:$F$58,0),1)</f>
        <v>43829</v>
      </c>
      <c r="CU1" s="317">
        <f ca="1">INDEX('Critical resources (hide)'!$B$6:$F$58,MATCH('Capacity calculation (hide)'!CU$3,'Critical resources (hide)'!$F$6:$F$58,0),1)</f>
        <v>43836</v>
      </c>
      <c r="CV1" s="317">
        <f ca="1">INDEX('Critical resources (hide)'!$B$6:$F$58,MATCH('Capacity calculation (hide)'!CV$3,'Critical resources (hide)'!$F$6:$F$58,0),1)</f>
        <v>43843</v>
      </c>
      <c r="CW1" s="317">
        <f ca="1">INDEX('Critical resources (hide)'!$B$6:$F$58,MATCH('Capacity calculation (hide)'!CW$3,'Critical resources (hide)'!$F$6:$F$58,0),1)</f>
        <v>43850</v>
      </c>
      <c r="CX1" s="317">
        <f ca="1">INDEX('Critical resources (hide)'!$B$6:$F$58,MATCH('Capacity calculation (hide)'!CX$3,'Critical resources (hide)'!$F$6:$F$58,0),1)</f>
        <v>43857</v>
      </c>
      <c r="CY1" s="317">
        <f ca="1">INDEX('Critical resources (hide)'!$B$6:$F$58,MATCH('Capacity calculation (hide)'!CY$3,'Critical resources (hide)'!$F$6:$F$58,0),1)</f>
        <v>43864</v>
      </c>
      <c r="CZ1" s="317">
        <f ca="1">INDEX('Critical resources (hide)'!$B$6:$F$58,MATCH('Capacity calculation (hide)'!CZ$3,'Critical resources (hide)'!$F$6:$F$58,0),1)</f>
        <v>43871</v>
      </c>
      <c r="DA1" s="317">
        <f ca="1">INDEX('Critical resources (hide)'!$B$6:$F$58,MATCH('Capacity calculation (hide)'!DA$3,'Critical resources (hide)'!$F$6:$F$58,0),1)</f>
        <v>43878</v>
      </c>
      <c r="DB1" s="317">
        <f ca="1">INDEX('Critical resources (hide)'!$B$6:$F$58,MATCH('Capacity calculation (hide)'!DB$3,'Critical resources (hide)'!$F$6:$F$58,0),1)</f>
        <v>43885</v>
      </c>
      <c r="DC1" s="317">
        <f ca="1">INDEX('Critical resources (hide)'!$B$6:$F$58,MATCH('Capacity calculation (hide)'!DC$3,'Critical resources (hide)'!$F$6:$F$58,0),1)</f>
        <v>43892</v>
      </c>
      <c r="DD1" s="317">
        <f ca="1">INDEX('Critical resources (hide)'!$B$6:$F$58,MATCH('Capacity calculation (hide)'!DD$3,'Critical resources (hide)'!$F$6:$F$58,0),1)</f>
        <v>43899</v>
      </c>
      <c r="DE1" s="317">
        <f ca="1">INDEX('Critical resources (hide)'!$B$6:$F$58,MATCH('Capacity calculation (hide)'!DE$3,'Critical resources (hide)'!$F$6:$F$58,0),1)</f>
        <v>43906</v>
      </c>
      <c r="DF1" s="317">
        <f ca="1">INDEX('Critical resources (hide)'!$B$6:$F$58,MATCH('Capacity calculation (hide)'!DF$3,'Critical resources (hide)'!$F$6:$F$58,0),1)</f>
        <v>43913</v>
      </c>
      <c r="DG1" s="317">
        <f ca="1">INDEX('Critical resources (hide)'!$B$6:$F$58,MATCH('Capacity calculation (hide)'!DG$3,'Critical resources (hide)'!$F$6:$F$58,0),1)</f>
        <v>43920</v>
      </c>
      <c r="DH1" s="317">
        <f ca="1">INDEX('Critical resources (hide)'!$B$6:$F$58,MATCH('Capacity calculation (hide)'!DH$3,'Critical resources (hide)'!$F$6:$F$58,0),1)</f>
        <v>43927</v>
      </c>
      <c r="DI1" s="317">
        <f ca="1">INDEX('Critical resources (hide)'!$B$6:$F$58,MATCH('Capacity calculation (hide)'!DI$3,'Critical resources (hide)'!$F$6:$F$58,0),1)</f>
        <v>43934</v>
      </c>
      <c r="DJ1" s="317">
        <f ca="1">INDEX('Critical resources (hide)'!$B$6:$F$58,MATCH('Capacity calculation (hide)'!DJ$3,'Critical resources (hide)'!$F$6:$F$58,0),1)</f>
        <v>43941</v>
      </c>
      <c r="DK1" s="317">
        <f ca="1">INDEX('Critical resources (hide)'!$B$6:$F$58,MATCH('Capacity calculation (hide)'!DK$3,'Critical resources (hide)'!$F$6:$F$58,0),1)</f>
        <v>43584</v>
      </c>
    </row>
    <row r="2" spans="1:121" ht="15"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c r="DK2" s="386">
        <v>53</v>
      </c>
    </row>
    <row r="3" spans="1:121" ht="15"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18</v>
      </c>
      <c r="BL3" s="59">
        <f ca="1">OFFSET('Critical resources (hide)'!$F$6,COLUMN(B1)-1,0,1,1)</f>
        <v>19</v>
      </c>
      <c r="BM3" s="59">
        <f ca="1">OFFSET('Critical resources (hide)'!$F$6,COLUMN(C1)-1,0,1,1)</f>
        <v>20</v>
      </c>
      <c r="BN3" s="59">
        <f ca="1">OFFSET('Critical resources (hide)'!$F$6,COLUMN(D1)-1,0,1,1)</f>
        <v>21</v>
      </c>
      <c r="BO3" s="59">
        <f ca="1">OFFSET('Critical resources (hide)'!$F$6,COLUMN(E1)-1,0,1,1)</f>
        <v>22</v>
      </c>
      <c r="BP3" s="59">
        <f ca="1">OFFSET('Critical resources (hide)'!$F$6,COLUMN(F1)-1,0,1,1)</f>
        <v>23</v>
      </c>
      <c r="BQ3" s="59">
        <f ca="1">OFFSET('Critical resources (hide)'!$F$6,COLUMN(G1)-1,0,1,1)</f>
        <v>24</v>
      </c>
      <c r="BR3" s="59">
        <f ca="1">OFFSET('Critical resources (hide)'!$F$6,COLUMN(H1)-1,0,1,1)</f>
        <v>25</v>
      </c>
      <c r="BS3" s="59">
        <f ca="1">OFFSET('Critical resources (hide)'!$F$6,COLUMN(I1)-1,0,1,1)</f>
        <v>26</v>
      </c>
      <c r="BT3" s="59">
        <f ca="1">OFFSET('Critical resources (hide)'!$F$6,COLUMN(J1)-1,0,1,1)</f>
        <v>27</v>
      </c>
      <c r="BU3" s="59">
        <f ca="1">OFFSET('Critical resources (hide)'!$F$6,COLUMN(K1)-1,0,1,1)</f>
        <v>28</v>
      </c>
      <c r="BV3" s="59">
        <f ca="1">OFFSET('Critical resources (hide)'!$F$6,COLUMN(L1)-1,0,1,1)</f>
        <v>29</v>
      </c>
      <c r="BW3" s="59">
        <f ca="1">OFFSET('Critical resources (hide)'!$F$6,COLUMN(M1)-1,0,1,1)</f>
        <v>30</v>
      </c>
      <c r="BX3" s="59">
        <f ca="1">OFFSET('Critical resources (hide)'!$F$6,COLUMN(N1)-1,0,1,1)</f>
        <v>31</v>
      </c>
      <c r="BY3" s="59">
        <f ca="1">OFFSET('Critical resources (hide)'!$F$6,COLUMN(O1)-1,0,1,1)</f>
        <v>32</v>
      </c>
      <c r="BZ3" s="59">
        <f ca="1">OFFSET('Critical resources (hide)'!$F$6,COLUMN(P1)-1,0,1,1)</f>
        <v>33</v>
      </c>
      <c r="CA3" s="59">
        <f ca="1">OFFSET('Critical resources (hide)'!$F$6,COLUMN(Q1)-1,0,1,1)</f>
        <v>34</v>
      </c>
      <c r="CB3" s="59">
        <f ca="1">OFFSET('Critical resources (hide)'!$F$6,COLUMN(R1)-1,0,1,1)</f>
        <v>35</v>
      </c>
      <c r="CC3" s="59">
        <f ca="1">OFFSET('Critical resources (hide)'!$F$6,COLUMN(S1)-1,0,1,1)</f>
        <v>36</v>
      </c>
      <c r="CD3" s="59">
        <f ca="1">OFFSET('Critical resources (hide)'!$F$6,COLUMN(T1)-1,0,1,1)</f>
        <v>37</v>
      </c>
      <c r="CE3" s="59">
        <f ca="1">OFFSET('Critical resources (hide)'!$F$6,COLUMN(U1)-1,0,1,1)</f>
        <v>38</v>
      </c>
      <c r="CF3" s="59">
        <f ca="1">OFFSET('Critical resources (hide)'!$F$6,COLUMN(V1)-1,0,1,1)</f>
        <v>39</v>
      </c>
      <c r="CG3" s="59">
        <f ca="1">OFFSET('Critical resources (hide)'!$F$6,COLUMN(W1)-1,0,1,1)</f>
        <v>40</v>
      </c>
      <c r="CH3" s="59">
        <f ca="1">OFFSET('Critical resources (hide)'!$F$6,COLUMN(X1)-1,0,1,1)</f>
        <v>41</v>
      </c>
      <c r="CI3" s="59">
        <f ca="1">OFFSET('Critical resources (hide)'!$F$6,COLUMN(Y1)-1,0,1,1)</f>
        <v>42</v>
      </c>
      <c r="CJ3" s="59">
        <f ca="1">OFFSET('Critical resources (hide)'!$F$6,COLUMN(Z1)-1,0,1,1)</f>
        <v>43</v>
      </c>
      <c r="CK3" s="59">
        <f ca="1">OFFSET('Critical resources (hide)'!$F$6,COLUMN(AA1)-1,0,1,1)</f>
        <v>44</v>
      </c>
      <c r="CL3" s="59">
        <f ca="1">OFFSET('Critical resources (hide)'!$F$6,COLUMN(AB1)-1,0,1,1)</f>
        <v>45</v>
      </c>
      <c r="CM3" s="59">
        <f ca="1">OFFSET('Critical resources (hide)'!$F$6,COLUMN(AC1)-1,0,1,1)</f>
        <v>46</v>
      </c>
      <c r="CN3" s="59">
        <f ca="1">OFFSET('Critical resources (hide)'!$F$6,COLUMN(AD1)-1,0,1,1)</f>
        <v>47</v>
      </c>
      <c r="CO3" s="59">
        <f ca="1">OFFSET('Critical resources (hide)'!$F$6,COLUMN(AE1)-1,0,1,1)</f>
        <v>48</v>
      </c>
      <c r="CP3" s="59">
        <f ca="1">OFFSET('Critical resources (hide)'!$F$6,COLUMN(AF1)-1,0,1,1)</f>
        <v>49</v>
      </c>
      <c r="CQ3" s="59">
        <f ca="1">OFFSET('Critical resources (hide)'!$F$6,COLUMN(AG1)-1,0,1,1)</f>
        <v>50</v>
      </c>
      <c r="CR3" s="59">
        <f ca="1">OFFSET('Critical resources (hide)'!$F$6,COLUMN(AH1)-1,0,1,1)</f>
        <v>51</v>
      </c>
      <c r="CS3" s="59">
        <f ca="1">OFFSET('Critical resources (hide)'!$F$6,COLUMN(AI1)-1,0,1,1)</f>
        <v>52</v>
      </c>
      <c r="CT3" s="59">
        <f ca="1">OFFSET('Critical resources (hide)'!$F$6,COLUMN(AJ1)-1,0,1,1)</f>
        <v>1</v>
      </c>
      <c r="CU3" s="59">
        <f ca="1">OFFSET('Critical resources (hide)'!$F$6,COLUMN(AK1)-1,0,1,1)</f>
        <v>2</v>
      </c>
      <c r="CV3" s="59">
        <f ca="1">OFFSET('Critical resources (hide)'!$F$6,COLUMN(AL1)-1,0,1,1)</f>
        <v>3</v>
      </c>
      <c r="CW3" s="59">
        <f ca="1">OFFSET('Critical resources (hide)'!$F$6,COLUMN(AM1)-1,0,1,1)</f>
        <v>4</v>
      </c>
      <c r="CX3" s="59">
        <f ca="1">OFFSET('Critical resources (hide)'!$F$6,COLUMN(AN1)-1,0,1,1)</f>
        <v>5</v>
      </c>
      <c r="CY3" s="59">
        <f ca="1">OFFSET('Critical resources (hide)'!$F$6,COLUMN(AO1)-1,0,1,1)</f>
        <v>6</v>
      </c>
      <c r="CZ3" s="59">
        <f ca="1">OFFSET('Critical resources (hide)'!$F$6,COLUMN(AP1)-1,0,1,1)</f>
        <v>7</v>
      </c>
      <c r="DA3" s="59">
        <f ca="1">OFFSET('Critical resources (hide)'!$F$6,COLUMN(AQ1)-1,0,1,1)</f>
        <v>8</v>
      </c>
      <c r="DB3" s="59">
        <f ca="1">OFFSET('Critical resources (hide)'!$F$6,COLUMN(AR1)-1,0,1,1)</f>
        <v>9</v>
      </c>
      <c r="DC3" s="59">
        <f ca="1">OFFSET('Critical resources (hide)'!$F$6,COLUMN(AS1)-1,0,1,1)</f>
        <v>10</v>
      </c>
      <c r="DD3" s="59">
        <f ca="1">OFFSET('Critical resources (hide)'!$F$6,COLUMN(AT1)-1,0,1,1)</f>
        <v>11</v>
      </c>
      <c r="DE3" s="59">
        <f ca="1">OFFSET('Critical resources (hide)'!$F$6,COLUMN(AU1)-1,0,1,1)</f>
        <v>12</v>
      </c>
      <c r="DF3" s="59">
        <f ca="1">OFFSET('Critical resources (hide)'!$F$6,COLUMN(AV1)-1,0,1,1)</f>
        <v>13</v>
      </c>
      <c r="DG3" s="59">
        <f ca="1">OFFSET('Critical resources (hide)'!$F$6,COLUMN(AW1)-1,0,1,1)</f>
        <v>14</v>
      </c>
      <c r="DH3" s="59">
        <f ca="1">OFFSET('Critical resources (hide)'!$F$6,COLUMN(AX1)-1,0,1,1)</f>
        <v>15</v>
      </c>
      <c r="DI3" s="59">
        <f ca="1">OFFSET('Critical resources (hide)'!$F$6,COLUMN(AY1)-1,0,1,1)</f>
        <v>16</v>
      </c>
      <c r="DJ3" s="59">
        <f ca="1">OFFSET('Critical resources (hide)'!$F$6,COLUMN(AZ1)-1,0,1,1)</f>
        <v>17</v>
      </c>
      <c r="DK3" s="373">
        <f ca="1">DJ3+1</f>
        <v>18</v>
      </c>
      <c r="DL3" s="2" t="s">
        <v>462</v>
      </c>
      <c r="DM3" t="s">
        <v>463</v>
      </c>
    </row>
    <row r="4" spans="1:121" s="67" customFormat="1" ht="15"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1">
        <f t="shared" ref="BK4:CP4" ca="1" si="0">SUM(BK5:BK104)</f>
        <v>4.6383881230116648</v>
      </c>
      <c r="BL4" s="311">
        <f t="shared" ca="1" si="0"/>
        <v>4.6383881230116648</v>
      </c>
      <c r="BM4" s="311">
        <f t="shared" ca="1" si="0"/>
        <v>4.6383881230116648</v>
      </c>
      <c r="BN4" s="311">
        <f t="shared" ca="1" si="0"/>
        <v>4.6383881230116648</v>
      </c>
      <c r="BO4" s="311">
        <f t="shared" ca="1" si="0"/>
        <v>4.6383881230116648</v>
      </c>
      <c r="BP4" s="311">
        <f t="shared" ca="1" si="0"/>
        <v>18.364256848880391</v>
      </c>
      <c r="BQ4" s="311">
        <f t="shared" ca="1" si="0"/>
        <v>18.364256848880391</v>
      </c>
      <c r="BR4" s="311">
        <f t="shared" ca="1" si="0"/>
        <v>18.364256848880391</v>
      </c>
      <c r="BS4" s="311">
        <f t="shared" ca="1" si="0"/>
        <v>18.364256848880391</v>
      </c>
      <c r="BT4" s="311">
        <f t="shared" ca="1" si="0"/>
        <v>18.364256848880391</v>
      </c>
      <c r="BU4" s="311">
        <f t="shared" ca="1" si="0"/>
        <v>18.364256848880391</v>
      </c>
      <c r="BV4" s="311">
        <f t="shared" ca="1" si="0"/>
        <v>18.364256848880391</v>
      </c>
      <c r="BW4" s="311">
        <f t="shared" ca="1" si="0"/>
        <v>18.364256848880391</v>
      </c>
      <c r="BX4" s="311">
        <f t="shared" ca="1" si="0"/>
        <v>18.364256848880391</v>
      </c>
      <c r="BY4" s="311">
        <f t="shared" ca="1" si="0"/>
        <v>13.725868725868725</v>
      </c>
      <c r="BZ4" s="311">
        <f t="shared" ca="1" si="0"/>
        <v>13.725868725868725</v>
      </c>
      <c r="CA4" s="311">
        <f t="shared" ca="1" si="0"/>
        <v>13.725868725868725</v>
      </c>
      <c r="CB4" s="311">
        <f t="shared" ca="1" si="0"/>
        <v>13.725868725868725</v>
      </c>
      <c r="CC4" s="311">
        <f t="shared" ca="1" si="0"/>
        <v>13.725868725868725</v>
      </c>
      <c r="CD4" s="311">
        <f t="shared" ca="1" si="0"/>
        <v>13.725868725868725</v>
      </c>
      <c r="CE4" s="311">
        <f t="shared" ca="1" si="0"/>
        <v>4.6383881230116648</v>
      </c>
      <c r="CF4" s="311">
        <f t="shared" ca="1" si="0"/>
        <v>4.6383881230116648</v>
      </c>
      <c r="CG4" s="311">
        <f t="shared" ca="1" si="0"/>
        <v>4.6383881230116648</v>
      </c>
      <c r="CH4" s="311">
        <f t="shared" ca="1" si="0"/>
        <v>4.6383881230116648</v>
      </c>
      <c r="CI4" s="311">
        <f t="shared" ca="1" si="0"/>
        <v>18.364256848880391</v>
      </c>
      <c r="CJ4" s="311">
        <f t="shared" ca="1" si="0"/>
        <v>18.364256848880391</v>
      </c>
      <c r="CK4" s="311">
        <f t="shared" ca="1" si="0"/>
        <v>18.364256848880391</v>
      </c>
      <c r="CL4" s="311">
        <f t="shared" ca="1" si="0"/>
        <v>18.364256848880391</v>
      </c>
      <c r="CM4" s="311">
        <f t="shared" ca="1" si="0"/>
        <v>18.364256848880391</v>
      </c>
      <c r="CN4" s="311">
        <f t="shared" ca="1" si="0"/>
        <v>18.364256848880391</v>
      </c>
      <c r="CO4" s="311">
        <f t="shared" ca="1" si="0"/>
        <v>18.364256848880391</v>
      </c>
      <c r="CP4" s="311">
        <f t="shared" ca="1" si="0"/>
        <v>18.364256848880391</v>
      </c>
      <c r="CQ4" s="311">
        <f t="shared" ref="CQ4:DJ4" ca="1" si="1">SUM(CQ5:CQ104)</f>
        <v>18.364256848880391</v>
      </c>
      <c r="CR4" s="311">
        <f t="shared" ca="1" si="1"/>
        <v>7.9937888198757765</v>
      </c>
      <c r="CS4" s="311">
        <f t="shared" ca="1" si="1"/>
        <v>7.9937888198757765</v>
      </c>
      <c r="CT4" s="311">
        <f t="shared" ca="1" si="1"/>
        <v>7.9937888198757765</v>
      </c>
      <c r="CU4" s="311">
        <f t="shared" ca="1" si="1"/>
        <v>7.9937888198757765</v>
      </c>
      <c r="CV4" s="311">
        <f t="shared" ca="1" si="1"/>
        <v>7.9937888198757765</v>
      </c>
      <c r="CW4" s="311">
        <f t="shared" ca="1" si="1"/>
        <v>18.364256848880391</v>
      </c>
      <c r="CX4" s="311">
        <f t="shared" ca="1" si="1"/>
        <v>18.364256848880391</v>
      </c>
      <c r="CY4" s="311">
        <f t="shared" ca="1" si="1"/>
        <v>4.6383881230116648</v>
      </c>
      <c r="CZ4" s="311">
        <f t="shared" ca="1" si="1"/>
        <v>18.364256848880391</v>
      </c>
      <c r="DA4" s="311">
        <f t="shared" ca="1" si="1"/>
        <v>18.364256848880391</v>
      </c>
      <c r="DB4" s="311">
        <f t="shared" ca="1" si="1"/>
        <v>18.364256848880391</v>
      </c>
      <c r="DC4" s="311">
        <f t="shared" ca="1" si="1"/>
        <v>18.364256848880391</v>
      </c>
      <c r="DD4" s="311">
        <f t="shared" ca="1" si="1"/>
        <v>18.364256848880391</v>
      </c>
      <c r="DE4" s="311">
        <f t="shared" ca="1" si="1"/>
        <v>18.364256848880391</v>
      </c>
      <c r="DF4" s="311">
        <f t="shared" ca="1" si="1"/>
        <v>18.364256848880391</v>
      </c>
      <c r="DG4" s="311">
        <f t="shared" ca="1" si="1"/>
        <v>18.364256848880391</v>
      </c>
      <c r="DH4" s="311">
        <f t="shared" ca="1" si="1"/>
        <v>18.364256848880391</v>
      </c>
      <c r="DI4" s="311">
        <f t="shared" ca="1" si="1"/>
        <v>18.364256848880391</v>
      </c>
      <c r="DJ4" s="311">
        <f t="shared" ca="1" si="1"/>
        <v>18.364256848880391</v>
      </c>
      <c r="DK4" s="387">
        <f ca="1">DJ4</f>
        <v>18.364256848880391</v>
      </c>
      <c r="DL4" s="136">
        <f ca="1">SUM(BK4:DK4)</f>
        <v>756.36425684888013</v>
      </c>
      <c r="DM4" s="5">
        <f>SUM(DM5:DM104)</f>
        <v>738</v>
      </c>
    </row>
    <row r="5" spans="1:121" x14ac:dyDescent="0.2">
      <c r="A5" s="67">
        <f>IF(Capacity!L17='Capacity summary'!BI124,1,0)</f>
        <v>1</v>
      </c>
      <c r="B5">
        <f>IF(Capacity!V17='Capacity summary'!BI24,1,0)</f>
        <v>1</v>
      </c>
      <c r="C5" s="67" t="str">
        <f>ROW(A1)&amp;". "&amp;Capacity!B17</f>
        <v>1. Core Clinic 1</v>
      </c>
      <c r="D5" t="str">
        <f>'Capacity setup'!C12</f>
        <v>1. Consultant: Mr Smith</v>
      </c>
      <c r="E5" s="67">
        <f>'Capacity setup'!D12</f>
        <v>0</v>
      </c>
      <c r="F5" s="67">
        <f>'Capacity setup'!E12</f>
        <v>0</v>
      </c>
      <c r="H5" cm="1">
        <f t="array" aca="1" ref="H5" ca="1">IF(LOWER(Capacity!$L17)="x",IF(AND(SUMIF(Capacity_Resource,$D5,'Critical resources (hide)'!U$6:U$105)+SUMIF(Capacity_Resource,$E5,'Critical resources (hide)'!U$6:U$105)+SUMIF(Capacity_Resource,$F5,'Critical resources (hide)'!U$6:U$105)&gt;0,$E$1=2),0,1),0)</f>
        <v>0</v>
      </c>
      <c r="I5" s="67">
        <f ca="1">IF(LOWER(Capacity!$L17)="x",IF(AND(SUMIF(Capacity_Resource,$D5,'Critical resources (hide)'!V$6:V$105)+SUMIF(Capacity_Resource,$E5,'Critical resources (hide)'!V$6:V$105)+SUMIF(Capacity_Resource,$F5,'Critical resources (hide)'!V$6:V$105)&gt;0,$E$1=2),0,1),0)</f>
        <v>0</v>
      </c>
      <c r="J5" s="67">
        <f ca="1">IF(LOWER(Capacity!$L17)="x",IF(AND(SUMIF(Capacity_Resource,$D5,'Critical resources (hide)'!W$6:W$105)+SUMIF(Capacity_Resource,$E5,'Critical resources (hide)'!W$6:W$105)+SUMIF(Capacity_Resource,$F5,'Critical resources (hide)'!W$6:W$105)&gt;0,$E$1=2),0,1),0)</f>
        <v>0</v>
      </c>
      <c r="K5" s="67">
        <f ca="1">IF(LOWER(Capacity!$L17)="x",IF(AND(SUMIF(Capacity_Resource,$D5,'Critical resources (hide)'!X$6:X$105)+SUMIF(Capacity_Resource,$E5,'Critical resources (hide)'!X$6:X$105)+SUMIF(Capacity_Resource,$F5,'Critical resources (hide)'!X$6:X$105)&gt;0,$E$1=2),0,1),0)</f>
        <v>0</v>
      </c>
      <c r="L5" s="67">
        <f ca="1">IF(LOWER(Capacity!$L17)="x",IF(AND(SUMIF(Capacity_Resource,$D5,'Critical resources (hide)'!Y$6:Y$105)+SUMIF(Capacity_Resource,$E5,'Critical resources (hide)'!Y$6:Y$105)+SUMIF(Capacity_Resource,$F5,'Critical resources (hide)'!Y$6:Y$105)&gt;0,$E$1=2),0,1),0)</f>
        <v>0</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0</v>
      </c>
      <c r="AC5" s="67">
        <f ca="1">IF(LOWER(Capacity!$L17)="x",IF(AND(SUMIF(Capacity_Resource,$D5,'Critical resources (hide)'!AP$6:AP$105)+SUMIF(Capacity_Resource,$E5,'Critical resources (hide)'!AP$6:AP$105)+SUMIF(Capacity_Resource,$F5,'Critical resources (hide)'!AP$6:AP$105)&gt;0,$E$1=2),0,1),0)</f>
        <v>0</v>
      </c>
      <c r="AD5" s="67">
        <f ca="1">IF(LOWER(Capacity!$L17)="x",IF(AND(SUMIF(Capacity_Resource,$D5,'Critical resources (hide)'!AQ$6:AQ$105)+SUMIF(Capacity_Resource,$E5,'Critical resources (hide)'!AQ$6:AQ$105)+SUMIF(Capacity_Resource,$F5,'Critical resources (hide)'!AQ$6:AQ$105)&gt;0,$E$1=2),0,1),0)</f>
        <v>0</v>
      </c>
      <c r="AE5" s="67">
        <f ca="1">IF(LOWER(Capacity!$L17)="x",IF(AND(SUMIF(Capacity_Resource,$D5,'Critical resources (hide)'!AR$6:AR$105)+SUMIF(Capacity_Resource,$E5,'Critical resources (hide)'!AR$6:AR$105)+SUMIF(Capacity_Resource,$F5,'Critical resources (hide)'!AR$6:AR$105)&gt;0,$E$1=2),0,1),0)</f>
        <v>0</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0</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 ca="1">IF(ROW(C1)&lt;=Capacity!$A$16,IF('Capacity summary'!$D$14="No",SUM(H5:BG5),'Capacity summary'!$E124),0)</f>
        <v>42</v>
      </c>
      <c r="BI5" s="5">
        <f ca="1">IF(BH5&gt;0,IF(BH5&lt;Capacity!E17,Capacity!F17,Capacity!H17/'Capacity calculation (hide)'!BH5),"")</f>
        <v>6.4285714285714288</v>
      </c>
      <c r="BK5" s="311">
        <f ca="1">IF($BI5&lt;&gt;"",IF('Capacity summary'!$D$14="Yes",IF(COUNTBLANK('Capacity summary'!$H124:$BG124)&lt;52,IF('Capacity summary'!H124&lt;&gt;"",IF(LOWER('Capacity summary'!H124)="x",$BI5*H5,VALUE('Capacity summary'!H124)),0),H5*$BI5),H5*$BI5),0)</f>
        <v>0</v>
      </c>
      <c r="BL5" s="311">
        <f ca="1">IF($BI5&lt;&gt;"",IF('Capacity summary'!$D$14="Yes",IF(COUNTBLANK('Capacity summary'!$H124:$BG124)&lt;52,IF('Capacity summary'!I124&lt;&gt;"",IF(LOWER('Capacity summary'!I124)="x",$BI5*I5,VALUE('Capacity summary'!I124)),0),I5*$BI5),I5*$BI5),0)</f>
        <v>0</v>
      </c>
      <c r="BM5" s="311">
        <f ca="1">IF($BI5&lt;&gt;"",IF('Capacity summary'!$D$14="Yes",IF(COUNTBLANK('Capacity summary'!$H124:$BG124)&lt;52,IF('Capacity summary'!J124&lt;&gt;"",IF(LOWER('Capacity summary'!J124)="x",$BI5*J5,VALUE('Capacity summary'!J124)),0),J5*$BI5),J5*$BI5),0)</f>
        <v>0</v>
      </c>
      <c r="BN5" s="311">
        <f ca="1">IF($BI5&lt;&gt;"",IF('Capacity summary'!$D$14="Yes",IF(COUNTBLANK('Capacity summary'!$H124:$BG124)&lt;52,IF('Capacity summary'!K124&lt;&gt;"",IF(LOWER('Capacity summary'!K124)="x",$BI5*K5,VALUE('Capacity summary'!K124)),0),K5*$BI5),K5*$BI5),0)</f>
        <v>0</v>
      </c>
      <c r="BO5" s="311">
        <f ca="1">IF($BI5&lt;&gt;"",IF('Capacity summary'!$D$14="Yes",IF(COUNTBLANK('Capacity summary'!$H124:$BG124)&lt;52,IF('Capacity summary'!L124&lt;&gt;"",IF(LOWER('Capacity summary'!L124)="x",$BI5*L5,VALUE('Capacity summary'!L124)),0),L5*$BI5),L5*$BI5),0)</f>
        <v>0</v>
      </c>
      <c r="BP5" s="311">
        <f ca="1">IF($BI5&lt;&gt;"",IF('Capacity summary'!$D$14="Yes",IF(COUNTBLANK('Capacity summary'!$H124:$BG124)&lt;52,IF('Capacity summary'!M124&lt;&gt;"",IF(LOWER('Capacity summary'!M124)="x",$BI5*M5,VALUE('Capacity summary'!M124)),0),M5*$BI5),M5*$BI5),0)</f>
        <v>6.4285714285714288</v>
      </c>
      <c r="BQ5" s="311">
        <f ca="1">IF($BI5&lt;&gt;"",IF('Capacity summary'!$D$14="Yes",IF(COUNTBLANK('Capacity summary'!$H124:$BG124)&lt;52,IF('Capacity summary'!N124&lt;&gt;"",IF(LOWER('Capacity summary'!N124)="x",$BI5*N5,VALUE('Capacity summary'!N124)),0),N5*$BI5),N5*$BI5),0)</f>
        <v>6.4285714285714288</v>
      </c>
      <c r="BR5" s="311">
        <f ca="1">IF($BI5&lt;&gt;"",IF('Capacity summary'!$D$14="Yes",IF(COUNTBLANK('Capacity summary'!$H124:$BG124)&lt;52,IF('Capacity summary'!O124&lt;&gt;"",IF(LOWER('Capacity summary'!O124)="x",$BI5*O5,VALUE('Capacity summary'!O124)),0),O5*$BI5),O5*$BI5),0)</f>
        <v>6.4285714285714288</v>
      </c>
      <c r="BS5" s="311">
        <f ca="1">IF($BI5&lt;&gt;"",IF('Capacity summary'!$D$14="Yes",IF(COUNTBLANK('Capacity summary'!$H124:$BG124)&lt;52,IF('Capacity summary'!P124&lt;&gt;"",IF(LOWER('Capacity summary'!P124)="x",$BI5*P5,VALUE('Capacity summary'!P124)),0),P5*$BI5),P5*$BI5),0)</f>
        <v>6.4285714285714288</v>
      </c>
      <c r="BT5" s="311">
        <f ca="1">IF($BI5&lt;&gt;"",IF('Capacity summary'!$D$14="Yes",IF(COUNTBLANK('Capacity summary'!$H124:$BG124)&lt;52,IF('Capacity summary'!Q124&lt;&gt;"",IF(LOWER('Capacity summary'!Q124)="x",$BI5*Q5,VALUE('Capacity summary'!Q124)),0),Q5*$BI5),Q5*$BI5),0)</f>
        <v>6.4285714285714288</v>
      </c>
      <c r="BU5" s="311">
        <f ca="1">IF($BI5&lt;&gt;"",IF('Capacity summary'!$D$14="Yes",IF(COUNTBLANK('Capacity summary'!$H124:$BG124)&lt;52,IF('Capacity summary'!R124&lt;&gt;"",IF(LOWER('Capacity summary'!R124)="x",$BI5*R5,VALUE('Capacity summary'!R124)),0),R5*$BI5),R5*$BI5),0)</f>
        <v>6.4285714285714288</v>
      </c>
      <c r="BV5" s="311">
        <f ca="1">IF($BI5&lt;&gt;"",IF('Capacity summary'!$D$14="Yes",IF(COUNTBLANK('Capacity summary'!$H124:$BG124)&lt;52,IF('Capacity summary'!S124&lt;&gt;"",IF(LOWER('Capacity summary'!S124)="x",$BI5*S5,VALUE('Capacity summary'!S124)),0),S5*$BI5),S5*$BI5),0)</f>
        <v>6.4285714285714288</v>
      </c>
      <c r="BW5" s="311">
        <f ca="1">IF($BI5&lt;&gt;"",IF('Capacity summary'!$D$14="Yes",IF(COUNTBLANK('Capacity summary'!$H124:$BG124)&lt;52,IF('Capacity summary'!T124&lt;&gt;"",IF(LOWER('Capacity summary'!T124)="x",$BI5*T5,VALUE('Capacity summary'!T124)),0),T5*$BI5),T5*$BI5),0)</f>
        <v>6.4285714285714288</v>
      </c>
      <c r="BX5" s="311">
        <f ca="1">IF($BI5&lt;&gt;"",IF('Capacity summary'!$D$14="Yes",IF(COUNTBLANK('Capacity summary'!$H124:$BG124)&lt;52,IF('Capacity summary'!U124&lt;&gt;"",IF(LOWER('Capacity summary'!U124)="x",$BI5*U5,VALUE('Capacity summary'!U124)),0),U5*$BI5),U5*$BI5),0)</f>
        <v>6.4285714285714288</v>
      </c>
      <c r="BY5" s="311">
        <f ca="1">IF($BI5&lt;&gt;"",IF('Capacity summary'!$D$14="Yes",IF(COUNTBLANK('Capacity summary'!$H124:$BG124)&lt;52,IF('Capacity summary'!V124&lt;&gt;"",IF(LOWER('Capacity summary'!V124)="x",$BI5*V5,VALUE('Capacity summary'!V124)),0),V5*$BI5),V5*$BI5),0)</f>
        <v>6.4285714285714288</v>
      </c>
      <c r="BZ5" s="311">
        <f ca="1">IF($BI5&lt;&gt;"",IF('Capacity summary'!$D$14="Yes",IF(COUNTBLANK('Capacity summary'!$H124:$BG124)&lt;52,IF('Capacity summary'!W124&lt;&gt;"",IF(LOWER('Capacity summary'!W124)="x",$BI5*W5,VALUE('Capacity summary'!W124)),0),W5*$BI5),W5*$BI5),0)</f>
        <v>6.4285714285714288</v>
      </c>
      <c r="CA5" s="311">
        <f ca="1">IF($BI5&lt;&gt;"",IF('Capacity summary'!$D$14="Yes",IF(COUNTBLANK('Capacity summary'!$H124:$BG124)&lt;52,IF('Capacity summary'!X124&lt;&gt;"",IF(LOWER('Capacity summary'!X124)="x",$BI5*X5,VALUE('Capacity summary'!X124)),0),X5*$BI5),X5*$BI5),0)</f>
        <v>6.4285714285714288</v>
      </c>
      <c r="CB5" s="311">
        <f ca="1">IF($BI5&lt;&gt;"",IF('Capacity summary'!$D$14="Yes",IF(COUNTBLANK('Capacity summary'!$H124:$BG124)&lt;52,IF('Capacity summary'!Y124&lt;&gt;"",IF(LOWER('Capacity summary'!Y124)="x",$BI5*Y5,VALUE('Capacity summary'!Y124)),0),Y5*$BI5),Y5*$BI5),0)</f>
        <v>6.4285714285714288</v>
      </c>
      <c r="CC5" s="311">
        <f ca="1">IF($BI5&lt;&gt;"",IF('Capacity summary'!$D$14="Yes",IF(COUNTBLANK('Capacity summary'!$H124:$BG124)&lt;52,IF('Capacity summary'!Z124&lt;&gt;"",IF(LOWER('Capacity summary'!Z124)="x",$BI5*Z5,VALUE('Capacity summary'!Z124)),0),Z5*$BI5),Z5*$BI5),0)</f>
        <v>6.4285714285714288</v>
      </c>
      <c r="CD5" s="311">
        <f ca="1">IF($BI5&lt;&gt;"",IF('Capacity summary'!$D$14="Yes",IF(COUNTBLANK('Capacity summary'!$H124:$BG124)&lt;52,IF('Capacity summary'!AA124&lt;&gt;"",IF(LOWER('Capacity summary'!AA124)="x",$BI5*AA5,VALUE('Capacity summary'!AA124)),0),AA5*$BI5),AA5*$BI5),0)</f>
        <v>6.4285714285714288</v>
      </c>
      <c r="CE5" s="311">
        <f ca="1">IF($BI5&lt;&gt;"",IF('Capacity summary'!$D$14="Yes",IF(COUNTBLANK('Capacity summary'!$H124:$BG124)&lt;52,IF('Capacity summary'!AB124&lt;&gt;"",IF(LOWER('Capacity summary'!AB124)="x",$BI5*AB5,VALUE('Capacity summary'!AB124)),0),AB5*$BI5),AB5*$BI5),0)</f>
        <v>0</v>
      </c>
      <c r="CF5" s="311">
        <f ca="1">IF($BI5&lt;&gt;"",IF('Capacity summary'!$D$14="Yes",IF(COUNTBLANK('Capacity summary'!$H124:$BG124)&lt;52,IF('Capacity summary'!AC124&lt;&gt;"",IF(LOWER('Capacity summary'!AC124)="x",$BI5*AC5,VALUE('Capacity summary'!AC124)),0),AC5*$BI5),AC5*$BI5),0)</f>
        <v>0</v>
      </c>
      <c r="CG5" s="311">
        <f ca="1">IF($BI5&lt;&gt;"",IF('Capacity summary'!$D$14="Yes",IF(COUNTBLANK('Capacity summary'!$H124:$BG124)&lt;52,IF('Capacity summary'!AD124&lt;&gt;"",IF(LOWER('Capacity summary'!AD124)="x",$BI5*AD5,VALUE('Capacity summary'!AD124)),0),AD5*$BI5),AD5*$BI5),0)</f>
        <v>0</v>
      </c>
      <c r="CH5" s="311">
        <f ca="1">IF($BI5&lt;&gt;"",IF('Capacity summary'!$D$14="Yes",IF(COUNTBLANK('Capacity summary'!$H124:$BG124)&lt;52,IF('Capacity summary'!AE124&lt;&gt;"",IF(LOWER('Capacity summary'!AE124)="x",$BI5*AE5,VALUE('Capacity summary'!AE124)),0),AE5*$BI5),AE5*$BI5),0)</f>
        <v>0</v>
      </c>
      <c r="CI5" s="311">
        <f ca="1">IF($BI5&lt;&gt;"",IF('Capacity summary'!$D$14="Yes",IF(COUNTBLANK('Capacity summary'!$H124:$BG124)&lt;52,IF('Capacity summary'!AF124&lt;&gt;"",IF(LOWER('Capacity summary'!AF124)="x",$BI5*AF5,VALUE('Capacity summary'!AF124)),0),AF5*$BI5),AF5*$BI5),0)</f>
        <v>6.4285714285714288</v>
      </c>
      <c r="CJ5" s="311">
        <f ca="1">IF($BI5&lt;&gt;"",IF('Capacity summary'!$D$14="Yes",IF(COUNTBLANK('Capacity summary'!$H124:$BG124)&lt;52,IF('Capacity summary'!AG124&lt;&gt;"",IF(LOWER('Capacity summary'!AG124)="x",$BI5*AG5,VALUE('Capacity summary'!AG124)),0),AG5*$BI5),AG5*$BI5),0)</f>
        <v>6.4285714285714288</v>
      </c>
      <c r="CK5" s="311">
        <f ca="1">IF($BI5&lt;&gt;"",IF('Capacity summary'!$D$14="Yes",IF(COUNTBLANK('Capacity summary'!$H124:$BG124)&lt;52,IF('Capacity summary'!AH124&lt;&gt;"",IF(LOWER('Capacity summary'!AH124)="x",$BI5*AH5,VALUE('Capacity summary'!AH124)),0),AH5*$BI5),AH5*$BI5),0)</f>
        <v>6.4285714285714288</v>
      </c>
      <c r="CL5" s="311">
        <f ca="1">IF($BI5&lt;&gt;"",IF('Capacity summary'!$D$14="Yes",IF(COUNTBLANK('Capacity summary'!$H124:$BG124)&lt;52,IF('Capacity summary'!AI124&lt;&gt;"",IF(LOWER('Capacity summary'!AI124)="x",$BI5*AI5,VALUE('Capacity summary'!AI124)),0),AI5*$BI5),AI5*$BI5),0)</f>
        <v>6.4285714285714288</v>
      </c>
      <c r="CM5" s="311">
        <f ca="1">IF($BI5&lt;&gt;"",IF('Capacity summary'!$D$14="Yes",IF(COUNTBLANK('Capacity summary'!$H124:$BG124)&lt;52,IF('Capacity summary'!AJ124&lt;&gt;"",IF(LOWER('Capacity summary'!AJ124)="x",$BI5*AJ5,VALUE('Capacity summary'!AJ124)),0),AJ5*$BI5),AJ5*$BI5),0)</f>
        <v>6.4285714285714288</v>
      </c>
      <c r="CN5" s="311">
        <f ca="1">IF($BI5&lt;&gt;"",IF('Capacity summary'!$D$14="Yes",IF(COUNTBLANK('Capacity summary'!$H124:$BG124)&lt;52,IF('Capacity summary'!AK124&lt;&gt;"",IF(LOWER('Capacity summary'!AK124)="x",$BI5*AK5,VALUE('Capacity summary'!AK124)),0),AK5*$BI5),AK5*$BI5),0)</f>
        <v>6.4285714285714288</v>
      </c>
      <c r="CO5" s="311">
        <f ca="1">IF($BI5&lt;&gt;"",IF('Capacity summary'!$D$14="Yes",IF(COUNTBLANK('Capacity summary'!$H124:$BG124)&lt;52,IF('Capacity summary'!AL124&lt;&gt;"",IF(LOWER('Capacity summary'!AL124)="x",$BI5*AL5,VALUE('Capacity summary'!AL124)),0),AL5*$BI5),AL5*$BI5),0)</f>
        <v>6.4285714285714288</v>
      </c>
      <c r="CP5" s="311">
        <f ca="1">IF($BI5&lt;&gt;"",IF('Capacity summary'!$D$14="Yes",IF(COUNTBLANK('Capacity summary'!$H124:$BG124)&lt;52,IF('Capacity summary'!AM124&lt;&gt;"",IF(LOWER('Capacity summary'!AM124)="x",$BI5*AM5,VALUE('Capacity summary'!AM124)),0),AM5*$BI5),AM5*$BI5),0)</f>
        <v>6.4285714285714288</v>
      </c>
      <c r="CQ5" s="311">
        <f ca="1">IF($BI5&lt;&gt;"",IF('Capacity summary'!$D$14="Yes",IF(COUNTBLANK('Capacity summary'!$H124:$BG124)&lt;52,IF('Capacity summary'!AN124&lt;&gt;"",IF(LOWER('Capacity summary'!AN124)="x",$BI5*AN5,VALUE('Capacity summary'!AN124)),0),AN5*$BI5),AN5*$BI5),0)</f>
        <v>6.4285714285714288</v>
      </c>
      <c r="CR5" s="311">
        <f ca="1">IF($BI5&lt;&gt;"",IF('Capacity summary'!$D$14="Yes",IF(COUNTBLANK('Capacity summary'!$H124:$BG124)&lt;52,IF('Capacity summary'!AO124&lt;&gt;"",IF(LOWER('Capacity summary'!AO124)="x",$BI5*AO5,VALUE('Capacity summary'!AO124)),0),AO5*$BI5),AO5*$BI5),0)</f>
        <v>6.4285714285714288</v>
      </c>
      <c r="CS5" s="311">
        <f ca="1">IF($BI5&lt;&gt;"",IF('Capacity summary'!$D$14="Yes",IF(COUNTBLANK('Capacity summary'!$H124:$BG124)&lt;52,IF('Capacity summary'!AP124&lt;&gt;"",IF(LOWER('Capacity summary'!AP124)="x",$BI5*AP5,VALUE('Capacity summary'!AP124)),0),AP5*$BI5),AP5*$BI5),0)</f>
        <v>6.4285714285714288</v>
      </c>
      <c r="CT5" s="311">
        <f ca="1">IF($BI5&lt;&gt;"",IF('Capacity summary'!$D$14="Yes",IF(COUNTBLANK('Capacity summary'!$H124:$BG124)&lt;52,IF('Capacity summary'!AQ124&lt;&gt;"",IF(LOWER('Capacity summary'!AQ124)="x",$BI5*AQ5,VALUE('Capacity summary'!AQ124)),0),AQ5*$BI5),AQ5*$BI5),0)</f>
        <v>6.4285714285714288</v>
      </c>
      <c r="CU5" s="311">
        <f ca="1">IF($BI5&lt;&gt;"",IF('Capacity summary'!$D$14="Yes",IF(COUNTBLANK('Capacity summary'!$H124:$BG124)&lt;52,IF('Capacity summary'!AR124&lt;&gt;"",IF(LOWER('Capacity summary'!AR124)="x",$BI5*AR5,VALUE('Capacity summary'!AR124)),0),AR5*$BI5),AR5*$BI5),0)</f>
        <v>6.4285714285714288</v>
      </c>
      <c r="CV5" s="311">
        <f ca="1">IF($BI5&lt;&gt;"",IF('Capacity summary'!$D$14="Yes",IF(COUNTBLANK('Capacity summary'!$H124:$BG124)&lt;52,IF('Capacity summary'!AS124&lt;&gt;"",IF(LOWER('Capacity summary'!AS124)="x",$BI5*AS5,VALUE('Capacity summary'!AS124)),0),AS5*$BI5),AS5*$BI5),0)</f>
        <v>6.4285714285714288</v>
      </c>
      <c r="CW5" s="311">
        <f ca="1">IF($BI5&lt;&gt;"",IF('Capacity summary'!$D$14="Yes",IF(COUNTBLANK('Capacity summary'!$H124:$BG124)&lt;52,IF('Capacity summary'!AT124&lt;&gt;"",IF(LOWER('Capacity summary'!AT124)="x",$BI5*AT5,VALUE('Capacity summary'!AT124)),0),AT5*$BI5),AT5*$BI5),0)</f>
        <v>6.4285714285714288</v>
      </c>
      <c r="CX5" s="311">
        <f ca="1">IF($BI5&lt;&gt;"",IF('Capacity summary'!$D$14="Yes",IF(COUNTBLANK('Capacity summary'!$H124:$BG124)&lt;52,IF('Capacity summary'!AU124&lt;&gt;"",IF(LOWER('Capacity summary'!AU124)="x",$BI5*AU5,VALUE('Capacity summary'!AU124)),0),AU5*$BI5),AU5*$BI5),0)</f>
        <v>6.4285714285714288</v>
      </c>
      <c r="CY5" s="311">
        <f ca="1">IF($BI5&lt;&gt;"",IF('Capacity summary'!$D$14="Yes",IF(COUNTBLANK('Capacity summary'!$H124:$BG124)&lt;52,IF('Capacity summary'!AV124&lt;&gt;"",IF(LOWER('Capacity summary'!AV124)="x",$BI5*AV5,VALUE('Capacity summary'!AV124)),0),AV5*$BI5),AV5*$BI5),0)</f>
        <v>0</v>
      </c>
      <c r="CZ5" s="311">
        <f ca="1">IF($BI5&lt;&gt;"",IF('Capacity summary'!$D$14="Yes",IF(COUNTBLANK('Capacity summary'!$H124:$BG124)&lt;52,IF('Capacity summary'!AW124&lt;&gt;"",IF(LOWER('Capacity summary'!AW124)="x",$BI5*AW5,VALUE('Capacity summary'!AW124)),0),AW5*$BI5),AW5*$BI5),0)</f>
        <v>6.4285714285714288</v>
      </c>
      <c r="DA5" s="311">
        <f ca="1">IF($BI5&lt;&gt;"",IF('Capacity summary'!$D$14="Yes",IF(COUNTBLANK('Capacity summary'!$H124:$BG124)&lt;52,IF('Capacity summary'!AX124&lt;&gt;"",IF(LOWER('Capacity summary'!AX124)="x",$BI5*AX5,VALUE('Capacity summary'!AX124)),0),AX5*$BI5),AX5*$BI5),0)</f>
        <v>6.4285714285714288</v>
      </c>
      <c r="DB5" s="311">
        <f ca="1">IF($BI5&lt;&gt;"",IF('Capacity summary'!$D$14="Yes",IF(COUNTBLANK('Capacity summary'!$H124:$BG124)&lt;52,IF('Capacity summary'!AY124&lt;&gt;"",IF(LOWER('Capacity summary'!AY124)="x",$BI5*AY5,VALUE('Capacity summary'!AY124)),0),AY5*$BI5),AY5*$BI5),0)</f>
        <v>6.4285714285714288</v>
      </c>
      <c r="DC5" s="311">
        <f ca="1">IF($BI5&lt;&gt;"",IF('Capacity summary'!$D$14="Yes",IF(COUNTBLANK('Capacity summary'!$H124:$BG124)&lt;52,IF('Capacity summary'!AZ124&lt;&gt;"",IF(LOWER('Capacity summary'!AZ124)="x",$BI5*AZ5,VALUE('Capacity summary'!AZ124)),0),AZ5*$BI5),AZ5*$BI5),0)</f>
        <v>6.4285714285714288</v>
      </c>
      <c r="DD5" s="311">
        <f ca="1">IF($BI5&lt;&gt;"",IF('Capacity summary'!$D$14="Yes",IF(COUNTBLANK('Capacity summary'!$H124:$BG124)&lt;52,IF('Capacity summary'!BA124&lt;&gt;"",IF(LOWER('Capacity summary'!BA124)="x",$BI5*BA5,VALUE('Capacity summary'!BA124)),0),BA5*$BI5),BA5*$BI5),0)</f>
        <v>6.4285714285714288</v>
      </c>
      <c r="DE5" s="311">
        <f ca="1">IF($BI5&lt;&gt;"",IF('Capacity summary'!$D$14="Yes",IF(COUNTBLANK('Capacity summary'!$H124:$BG124)&lt;52,IF('Capacity summary'!BB124&lt;&gt;"",IF(LOWER('Capacity summary'!BB124)="x",$BI5*BB5,VALUE('Capacity summary'!BB124)),0),BB5*$BI5),BB5*$BI5),0)</f>
        <v>6.4285714285714288</v>
      </c>
      <c r="DF5" s="311">
        <f ca="1">IF($BI5&lt;&gt;"",IF('Capacity summary'!$D$14="Yes",IF(COUNTBLANK('Capacity summary'!$H124:$BG124)&lt;52,IF('Capacity summary'!BC124&lt;&gt;"",IF(LOWER('Capacity summary'!BC124)="x",$BI5*BC5,VALUE('Capacity summary'!BC124)),0),BC5*$BI5),BC5*$BI5),0)</f>
        <v>6.4285714285714288</v>
      </c>
      <c r="DG5" s="311">
        <f ca="1">IF($BI5&lt;&gt;"",IF('Capacity summary'!$D$14="Yes",IF(COUNTBLANK('Capacity summary'!$H124:$BG124)&lt;52,IF('Capacity summary'!BD124&lt;&gt;"",IF(LOWER('Capacity summary'!BD124)="x",$BI5*BD5,VALUE('Capacity summary'!BD124)),0),BD5*$BI5),BD5*$BI5),0)</f>
        <v>6.4285714285714288</v>
      </c>
      <c r="DH5" s="311">
        <f ca="1">IF($BI5&lt;&gt;"",IF('Capacity summary'!$D$14="Yes",IF(COUNTBLANK('Capacity summary'!$H124:$BG124)&lt;52,IF('Capacity summary'!BE124&lt;&gt;"",IF(LOWER('Capacity summary'!BE124)="x",$BI5*BE5,VALUE('Capacity summary'!BE124)),0),BE5*$BI5),BE5*$BI5),0)</f>
        <v>6.4285714285714288</v>
      </c>
      <c r="DI5" s="311">
        <f ca="1">IF($BI5&lt;&gt;"",IF('Capacity summary'!$D$14="Yes",IF(COUNTBLANK('Capacity summary'!$H124:$BG124)&lt;52,IF('Capacity summary'!BF124&lt;&gt;"",IF(LOWER('Capacity summary'!BF124)="x",$BI5*BF5,VALUE('Capacity summary'!BF124)),0),BF5*$BI5),BF5*$BI5),0)</f>
        <v>6.4285714285714288</v>
      </c>
      <c r="DJ5" s="311">
        <f ca="1">IF($BI5&lt;&gt;"",IF('Capacity summary'!$D$14="Yes",IF(COUNTBLANK('Capacity summary'!$H124:$BG124)&lt;52,IF('Capacity summary'!BG124&lt;&gt;"",IF(LOWER('Capacity summary'!BG124)="x",$BI5*BG5,VALUE('Capacity summary'!BG124)),0),BG5*$BI5),BG5*$BI5),0)</f>
        <v>6.4285714285714288</v>
      </c>
      <c r="DK5" s="387">
        <f t="shared" ref="DK5:DK68" ca="1" si="2">DJ5</f>
        <v>6.4285714285714288</v>
      </c>
      <c r="DL5" s="136">
        <f t="shared" ref="DL5:DL68" ca="1" si="3">SUM(BK5:DJ5)</f>
        <v>269.99999999999983</v>
      </c>
      <c r="DM5" s="311">
        <f>Capacity!H17</f>
        <v>270</v>
      </c>
      <c r="DQ5" s="5"/>
    </row>
    <row r="6" spans="1:121" x14ac:dyDescent="0.2">
      <c r="A6" s="67">
        <f>IF(Capacity!L18='Capacity summary'!BI125,1,0)</f>
        <v>1</v>
      </c>
      <c r="B6" s="67">
        <f>IF(Capacity!V18='Capacity summary'!BI25,1,0)</f>
        <v>1</v>
      </c>
      <c r="C6" s="67" t="str">
        <f>ROW(A2)&amp;". "&amp;Capacity!B18</f>
        <v>2. Core Clinic 2</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0</v>
      </c>
      <c r="I6" s="67">
        <f ca="1">IF(LOWER(Capacity!$L18)="x",IF(AND(SUMIF(Capacity_Resource,$D6,'Critical resources (hide)'!V$6:V$105)+SUMIF(Capacity_Resource,$E6,'Critical resources (hide)'!V$6:V$105)+SUMIF(Capacity_Resource,$F6,'Critical resources (hide)'!V$6:V$105)&gt;0,$E$1=2),0,1),0)</f>
        <v>0</v>
      </c>
      <c r="J6" s="67">
        <f ca="1">IF(LOWER(Capacity!$L18)="x",IF(AND(SUMIF(Capacity_Resource,$D6,'Critical resources (hide)'!W$6:W$105)+SUMIF(Capacity_Resource,$E6,'Critical resources (hide)'!W$6:W$105)+SUMIF(Capacity_Resource,$F6,'Critical resources (hide)'!W$6:W$105)&gt;0,$E$1=2),0,1),0)</f>
        <v>0</v>
      </c>
      <c r="K6" s="67">
        <f ca="1">IF(LOWER(Capacity!$L18)="x",IF(AND(SUMIF(Capacity_Resource,$D6,'Critical resources (hide)'!X$6:X$105)+SUMIF(Capacity_Resource,$E6,'Critical resources (hide)'!X$6:X$105)+SUMIF(Capacity_Resource,$F6,'Critical resources (hide)'!X$6:X$105)&gt;0,$E$1=2),0,1),0)</f>
        <v>0</v>
      </c>
      <c r="L6" s="67">
        <f ca="1">IF(LOWER(Capacity!$L18)="x",IF(AND(SUMIF(Capacity_Resource,$D6,'Critical resources (hide)'!Y$6:Y$105)+SUMIF(Capacity_Resource,$E6,'Critical resources (hide)'!Y$6:Y$105)+SUMIF(Capacity_Resource,$F6,'Critical resources (hide)'!Y$6:Y$105)&gt;0,$E$1=2),0,1),0)</f>
        <v>0</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0</v>
      </c>
      <c r="AC6" s="67">
        <f ca="1">IF(LOWER(Capacity!$L18)="x",IF(AND(SUMIF(Capacity_Resource,$D6,'Critical resources (hide)'!AP$6:AP$105)+SUMIF(Capacity_Resource,$E6,'Critical resources (hide)'!AP$6:AP$105)+SUMIF(Capacity_Resource,$F6,'Critical resources (hide)'!AP$6:AP$105)&gt;0,$E$1=2),0,1),0)</f>
        <v>0</v>
      </c>
      <c r="AD6" s="67">
        <f ca="1">IF(LOWER(Capacity!$L18)="x",IF(AND(SUMIF(Capacity_Resource,$D6,'Critical resources (hide)'!AQ$6:AQ$105)+SUMIF(Capacity_Resource,$E6,'Critical resources (hide)'!AQ$6:AQ$105)+SUMIF(Capacity_Resource,$F6,'Critical resources (hide)'!AQ$6:AQ$105)&gt;0,$E$1=2),0,1),0)</f>
        <v>0</v>
      </c>
      <c r="AE6" s="67">
        <f ca="1">IF(LOWER(Capacity!$L18)="x",IF(AND(SUMIF(Capacity_Resource,$D6,'Critical resources (hide)'!AR$6:AR$105)+SUMIF(Capacity_Resource,$E6,'Critical resources (hide)'!AR$6:AR$105)+SUMIF(Capacity_Resource,$F6,'Critical resources (hide)'!AR$6:AR$105)&gt;0,$E$1=2),0,1),0)</f>
        <v>0</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0</v>
      </c>
      <c r="AP6" s="67">
        <f ca="1">IF(LOWER(Capacity!$L18)="x",IF(AND(SUMIF(Capacity_Resource,$D6,'Critical resources (hide)'!BC$6:BC$105)+SUMIF(Capacity_Resource,$E6,'Critical resources (hide)'!BC$6:BC$105)+SUMIF(Capacity_Resource,$F6,'Critical resources (hide)'!BC$6:BC$105)&gt;0,$E$1=2),0,1),0)</f>
        <v>0</v>
      </c>
      <c r="AQ6" s="67">
        <f ca="1">IF(LOWER(Capacity!$L18)="x",IF(AND(SUMIF(Capacity_Resource,$D6,'Critical resources (hide)'!BD$6:BD$105)+SUMIF(Capacity_Resource,$E6,'Critical resources (hide)'!BD$6:BD$105)+SUMIF(Capacity_Resource,$F6,'Critical resources (hide)'!BD$6:BD$105)&gt;0,$E$1=2),0,1),0)</f>
        <v>0</v>
      </c>
      <c r="AR6" s="67">
        <f ca="1">IF(LOWER(Capacity!$L18)="x",IF(AND(SUMIF(Capacity_Resource,$D6,'Critical resources (hide)'!BE$6:BE$105)+SUMIF(Capacity_Resource,$E6,'Critical resources (hide)'!BE$6:BE$105)+SUMIF(Capacity_Resource,$F6,'Critical resources (hide)'!BE$6:BE$105)&gt;0,$E$1=2),0,1),0)</f>
        <v>0</v>
      </c>
      <c r="AS6" s="67">
        <f ca="1">IF(LOWER(Capacity!$L18)="x",IF(AND(SUMIF(Capacity_Resource,$D6,'Critical resources (hide)'!BF$6:BF$105)+SUMIF(Capacity_Resource,$E6,'Critical resources (hide)'!BF$6:BF$105)+SUMIF(Capacity_Resource,$F6,'Critical resources (hide)'!BF$6:BF$105)&gt;0,$E$1=2),0,1),0)</f>
        <v>0</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0</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 ca="1">IF(ROW(C2)&lt;=Capacity!$A$16,IF('Capacity summary'!$D$14="No",SUM(H6:BG6),'Capacity summary'!$E125),0)</f>
        <v>37</v>
      </c>
      <c r="BI6" s="5">
        <f ca="1">IF(BH6&gt;0,IF(BH6&lt;Capacity!E18,Capacity!F18,Capacity!H18/'Capacity calculation (hide)'!BH6),"")</f>
        <v>7.2972972972972974</v>
      </c>
      <c r="BK6" s="311">
        <f ca="1">IF($BI6&lt;&gt;"",IF('Capacity summary'!$D$14="Yes",IF(COUNTBLANK('Capacity summary'!$H125:$BG125)&lt;52,IF('Capacity summary'!H125&lt;&gt;"",IF(LOWER('Capacity summary'!H125)="x",$BI6*H6,VALUE('Capacity summary'!H125)),0),H6*$BI6),H6*$BI6),0)</f>
        <v>0</v>
      </c>
      <c r="BL6" s="311">
        <f ca="1">IF($BI6&lt;&gt;"",IF('Capacity summary'!$D$14="Yes",IF(COUNTBLANK('Capacity summary'!$H125:$BG125)&lt;52,IF('Capacity summary'!I125&lt;&gt;"",IF(LOWER('Capacity summary'!I125)="x",$BI6*I6,VALUE('Capacity summary'!I125)),0),I6*$BI6),I6*$BI6),0)</f>
        <v>0</v>
      </c>
      <c r="BM6" s="311">
        <f ca="1">IF($BI6&lt;&gt;"",IF('Capacity summary'!$D$14="Yes",IF(COUNTBLANK('Capacity summary'!$H125:$BG125)&lt;52,IF('Capacity summary'!J125&lt;&gt;"",IF(LOWER('Capacity summary'!J125)="x",$BI6*J6,VALUE('Capacity summary'!J125)),0),J6*$BI6),J6*$BI6),0)</f>
        <v>0</v>
      </c>
      <c r="BN6" s="311">
        <f ca="1">IF($BI6&lt;&gt;"",IF('Capacity summary'!$D$14="Yes",IF(COUNTBLANK('Capacity summary'!$H125:$BG125)&lt;52,IF('Capacity summary'!K125&lt;&gt;"",IF(LOWER('Capacity summary'!K125)="x",$BI6*K6,VALUE('Capacity summary'!K125)),0),K6*$BI6),K6*$BI6),0)</f>
        <v>0</v>
      </c>
      <c r="BO6" s="311">
        <f ca="1">IF($BI6&lt;&gt;"",IF('Capacity summary'!$D$14="Yes",IF(COUNTBLANK('Capacity summary'!$H125:$BG125)&lt;52,IF('Capacity summary'!L125&lt;&gt;"",IF(LOWER('Capacity summary'!L125)="x",$BI6*L6,VALUE('Capacity summary'!L125)),0),L6*$BI6),L6*$BI6),0)</f>
        <v>0</v>
      </c>
      <c r="BP6" s="311">
        <f ca="1">IF($BI6&lt;&gt;"",IF('Capacity summary'!$D$14="Yes",IF(COUNTBLANK('Capacity summary'!$H125:$BG125)&lt;52,IF('Capacity summary'!M125&lt;&gt;"",IF(LOWER('Capacity summary'!M125)="x",$BI6*M6,VALUE('Capacity summary'!M125)),0),M6*$BI6),M6*$BI6),0)</f>
        <v>7.2972972972972974</v>
      </c>
      <c r="BQ6" s="311">
        <f ca="1">IF($BI6&lt;&gt;"",IF('Capacity summary'!$D$14="Yes",IF(COUNTBLANK('Capacity summary'!$H125:$BG125)&lt;52,IF('Capacity summary'!N125&lt;&gt;"",IF(LOWER('Capacity summary'!N125)="x",$BI6*N6,VALUE('Capacity summary'!N125)),0),N6*$BI6),N6*$BI6),0)</f>
        <v>7.2972972972972974</v>
      </c>
      <c r="BR6" s="311">
        <f ca="1">IF($BI6&lt;&gt;"",IF('Capacity summary'!$D$14="Yes",IF(COUNTBLANK('Capacity summary'!$H125:$BG125)&lt;52,IF('Capacity summary'!O125&lt;&gt;"",IF(LOWER('Capacity summary'!O125)="x",$BI6*O6,VALUE('Capacity summary'!O125)),0),O6*$BI6),O6*$BI6),0)</f>
        <v>7.2972972972972974</v>
      </c>
      <c r="BS6" s="311">
        <f ca="1">IF($BI6&lt;&gt;"",IF('Capacity summary'!$D$14="Yes",IF(COUNTBLANK('Capacity summary'!$H125:$BG125)&lt;52,IF('Capacity summary'!P125&lt;&gt;"",IF(LOWER('Capacity summary'!P125)="x",$BI6*P6,VALUE('Capacity summary'!P125)),0),P6*$BI6),P6*$BI6),0)</f>
        <v>7.2972972972972974</v>
      </c>
      <c r="BT6" s="311">
        <f ca="1">IF($BI6&lt;&gt;"",IF('Capacity summary'!$D$14="Yes",IF(COUNTBLANK('Capacity summary'!$H125:$BG125)&lt;52,IF('Capacity summary'!Q125&lt;&gt;"",IF(LOWER('Capacity summary'!Q125)="x",$BI6*Q6,VALUE('Capacity summary'!Q125)),0),Q6*$BI6),Q6*$BI6),0)</f>
        <v>7.2972972972972974</v>
      </c>
      <c r="BU6" s="311">
        <f ca="1">IF($BI6&lt;&gt;"",IF('Capacity summary'!$D$14="Yes",IF(COUNTBLANK('Capacity summary'!$H125:$BG125)&lt;52,IF('Capacity summary'!R125&lt;&gt;"",IF(LOWER('Capacity summary'!R125)="x",$BI6*R6,VALUE('Capacity summary'!R125)),0),R6*$BI6),R6*$BI6),0)</f>
        <v>7.2972972972972974</v>
      </c>
      <c r="BV6" s="311">
        <f ca="1">IF($BI6&lt;&gt;"",IF('Capacity summary'!$D$14="Yes",IF(COUNTBLANK('Capacity summary'!$H125:$BG125)&lt;52,IF('Capacity summary'!S125&lt;&gt;"",IF(LOWER('Capacity summary'!S125)="x",$BI6*S6,VALUE('Capacity summary'!S125)),0),S6*$BI6),S6*$BI6),0)</f>
        <v>7.2972972972972974</v>
      </c>
      <c r="BW6" s="311">
        <f ca="1">IF($BI6&lt;&gt;"",IF('Capacity summary'!$D$14="Yes",IF(COUNTBLANK('Capacity summary'!$H125:$BG125)&lt;52,IF('Capacity summary'!T125&lt;&gt;"",IF(LOWER('Capacity summary'!T125)="x",$BI6*T6,VALUE('Capacity summary'!T125)),0),T6*$BI6),T6*$BI6),0)</f>
        <v>7.2972972972972974</v>
      </c>
      <c r="BX6" s="311">
        <f ca="1">IF($BI6&lt;&gt;"",IF('Capacity summary'!$D$14="Yes",IF(COUNTBLANK('Capacity summary'!$H125:$BG125)&lt;52,IF('Capacity summary'!U125&lt;&gt;"",IF(LOWER('Capacity summary'!U125)="x",$BI6*U6,VALUE('Capacity summary'!U125)),0),U6*$BI6),U6*$BI6),0)</f>
        <v>7.2972972972972974</v>
      </c>
      <c r="BY6" s="311">
        <f ca="1">IF($BI6&lt;&gt;"",IF('Capacity summary'!$D$14="Yes",IF(COUNTBLANK('Capacity summary'!$H125:$BG125)&lt;52,IF('Capacity summary'!V125&lt;&gt;"",IF(LOWER('Capacity summary'!V125)="x",$BI6*V6,VALUE('Capacity summary'!V125)),0),V6*$BI6),V6*$BI6),0)</f>
        <v>7.2972972972972974</v>
      </c>
      <c r="BZ6" s="311">
        <f ca="1">IF($BI6&lt;&gt;"",IF('Capacity summary'!$D$14="Yes",IF(COUNTBLANK('Capacity summary'!$H125:$BG125)&lt;52,IF('Capacity summary'!W125&lt;&gt;"",IF(LOWER('Capacity summary'!W125)="x",$BI6*W6,VALUE('Capacity summary'!W125)),0),W6*$BI6),W6*$BI6),0)</f>
        <v>7.2972972972972974</v>
      </c>
      <c r="CA6" s="311">
        <f ca="1">IF($BI6&lt;&gt;"",IF('Capacity summary'!$D$14="Yes",IF(COUNTBLANK('Capacity summary'!$H125:$BG125)&lt;52,IF('Capacity summary'!X125&lt;&gt;"",IF(LOWER('Capacity summary'!X125)="x",$BI6*X6,VALUE('Capacity summary'!X125)),0),X6*$BI6),X6*$BI6),0)</f>
        <v>7.2972972972972974</v>
      </c>
      <c r="CB6" s="311">
        <f ca="1">IF($BI6&lt;&gt;"",IF('Capacity summary'!$D$14="Yes",IF(COUNTBLANK('Capacity summary'!$H125:$BG125)&lt;52,IF('Capacity summary'!Y125&lt;&gt;"",IF(LOWER('Capacity summary'!Y125)="x",$BI6*Y6,VALUE('Capacity summary'!Y125)),0),Y6*$BI6),Y6*$BI6),0)</f>
        <v>7.2972972972972974</v>
      </c>
      <c r="CC6" s="311">
        <f ca="1">IF($BI6&lt;&gt;"",IF('Capacity summary'!$D$14="Yes",IF(COUNTBLANK('Capacity summary'!$H125:$BG125)&lt;52,IF('Capacity summary'!Z125&lt;&gt;"",IF(LOWER('Capacity summary'!Z125)="x",$BI6*Z6,VALUE('Capacity summary'!Z125)),0),Z6*$BI6),Z6*$BI6),0)</f>
        <v>7.2972972972972974</v>
      </c>
      <c r="CD6" s="311">
        <f ca="1">IF($BI6&lt;&gt;"",IF('Capacity summary'!$D$14="Yes",IF(COUNTBLANK('Capacity summary'!$H125:$BG125)&lt;52,IF('Capacity summary'!AA125&lt;&gt;"",IF(LOWER('Capacity summary'!AA125)="x",$BI6*AA6,VALUE('Capacity summary'!AA125)),0),AA6*$BI6),AA6*$BI6),0)</f>
        <v>7.2972972972972974</v>
      </c>
      <c r="CE6" s="311">
        <f ca="1">IF($BI6&lt;&gt;"",IF('Capacity summary'!$D$14="Yes",IF(COUNTBLANK('Capacity summary'!$H125:$BG125)&lt;52,IF('Capacity summary'!AB125&lt;&gt;"",IF(LOWER('Capacity summary'!AB125)="x",$BI6*AB6,VALUE('Capacity summary'!AB125)),0),AB6*$BI6),AB6*$BI6),0)</f>
        <v>0</v>
      </c>
      <c r="CF6" s="311">
        <f ca="1">IF($BI6&lt;&gt;"",IF('Capacity summary'!$D$14="Yes",IF(COUNTBLANK('Capacity summary'!$H125:$BG125)&lt;52,IF('Capacity summary'!AC125&lt;&gt;"",IF(LOWER('Capacity summary'!AC125)="x",$BI6*AC6,VALUE('Capacity summary'!AC125)),0),AC6*$BI6),AC6*$BI6),0)</f>
        <v>0</v>
      </c>
      <c r="CG6" s="311">
        <f ca="1">IF($BI6&lt;&gt;"",IF('Capacity summary'!$D$14="Yes",IF(COUNTBLANK('Capacity summary'!$H125:$BG125)&lt;52,IF('Capacity summary'!AD125&lt;&gt;"",IF(LOWER('Capacity summary'!AD125)="x",$BI6*AD6,VALUE('Capacity summary'!AD125)),0),AD6*$BI6),AD6*$BI6),0)</f>
        <v>0</v>
      </c>
      <c r="CH6" s="311">
        <f ca="1">IF($BI6&lt;&gt;"",IF('Capacity summary'!$D$14="Yes",IF(COUNTBLANK('Capacity summary'!$H125:$BG125)&lt;52,IF('Capacity summary'!AE125&lt;&gt;"",IF(LOWER('Capacity summary'!AE125)="x",$BI6*AE6,VALUE('Capacity summary'!AE125)),0),AE6*$BI6),AE6*$BI6),0)</f>
        <v>0</v>
      </c>
      <c r="CI6" s="311">
        <f ca="1">IF($BI6&lt;&gt;"",IF('Capacity summary'!$D$14="Yes",IF(COUNTBLANK('Capacity summary'!$H125:$BG125)&lt;52,IF('Capacity summary'!AF125&lt;&gt;"",IF(LOWER('Capacity summary'!AF125)="x",$BI6*AF6,VALUE('Capacity summary'!AF125)),0),AF6*$BI6),AF6*$BI6),0)</f>
        <v>7.2972972972972974</v>
      </c>
      <c r="CJ6" s="311">
        <f ca="1">IF($BI6&lt;&gt;"",IF('Capacity summary'!$D$14="Yes",IF(COUNTBLANK('Capacity summary'!$H125:$BG125)&lt;52,IF('Capacity summary'!AG125&lt;&gt;"",IF(LOWER('Capacity summary'!AG125)="x",$BI6*AG6,VALUE('Capacity summary'!AG125)),0),AG6*$BI6),AG6*$BI6),0)</f>
        <v>7.2972972972972974</v>
      </c>
      <c r="CK6" s="311">
        <f ca="1">IF($BI6&lt;&gt;"",IF('Capacity summary'!$D$14="Yes",IF(COUNTBLANK('Capacity summary'!$H125:$BG125)&lt;52,IF('Capacity summary'!AH125&lt;&gt;"",IF(LOWER('Capacity summary'!AH125)="x",$BI6*AH6,VALUE('Capacity summary'!AH125)),0),AH6*$BI6),AH6*$BI6),0)</f>
        <v>7.2972972972972974</v>
      </c>
      <c r="CL6" s="311">
        <f ca="1">IF($BI6&lt;&gt;"",IF('Capacity summary'!$D$14="Yes",IF(COUNTBLANK('Capacity summary'!$H125:$BG125)&lt;52,IF('Capacity summary'!AI125&lt;&gt;"",IF(LOWER('Capacity summary'!AI125)="x",$BI6*AI6,VALUE('Capacity summary'!AI125)),0),AI6*$BI6),AI6*$BI6),0)</f>
        <v>7.2972972972972974</v>
      </c>
      <c r="CM6" s="311">
        <f ca="1">IF($BI6&lt;&gt;"",IF('Capacity summary'!$D$14="Yes",IF(COUNTBLANK('Capacity summary'!$H125:$BG125)&lt;52,IF('Capacity summary'!AJ125&lt;&gt;"",IF(LOWER('Capacity summary'!AJ125)="x",$BI6*AJ6,VALUE('Capacity summary'!AJ125)),0),AJ6*$BI6),AJ6*$BI6),0)</f>
        <v>7.2972972972972974</v>
      </c>
      <c r="CN6" s="311">
        <f ca="1">IF($BI6&lt;&gt;"",IF('Capacity summary'!$D$14="Yes",IF(COUNTBLANK('Capacity summary'!$H125:$BG125)&lt;52,IF('Capacity summary'!AK125&lt;&gt;"",IF(LOWER('Capacity summary'!AK125)="x",$BI6*AK6,VALUE('Capacity summary'!AK125)),0),AK6*$BI6),AK6*$BI6),0)</f>
        <v>7.2972972972972974</v>
      </c>
      <c r="CO6" s="311">
        <f ca="1">IF($BI6&lt;&gt;"",IF('Capacity summary'!$D$14="Yes",IF(COUNTBLANK('Capacity summary'!$H125:$BG125)&lt;52,IF('Capacity summary'!AL125&lt;&gt;"",IF(LOWER('Capacity summary'!AL125)="x",$BI6*AL6,VALUE('Capacity summary'!AL125)),0),AL6*$BI6),AL6*$BI6),0)</f>
        <v>7.2972972972972974</v>
      </c>
      <c r="CP6" s="311">
        <f ca="1">IF($BI6&lt;&gt;"",IF('Capacity summary'!$D$14="Yes",IF(COUNTBLANK('Capacity summary'!$H125:$BG125)&lt;52,IF('Capacity summary'!AM125&lt;&gt;"",IF(LOWER('Capacity summary'!AM125)="x",$BI6*AM6,VALUE('Capacity summary'!AM125)),0),AM6*$BI6),AM6*$BI6),0)</f>
        <v>7.2972972972972974</v>
      </c>
      <c r="CQ6" s="311">
        <f ca="1">IF($BI6&lt;&gt;"",IF('Capacity summary'!$D$14="Yes",IF(COUNTBLANK('Capacity summary'!$H125:$BG125)&lt;52,IF('Capacity summary'!AN125&lt;&gt;"",IF(LOWER('Capacity summary'!AN125)="x",$BI6*AN6,VALUE('Capacity summary'!AN125)),0),AN6*$BI6),AN6*$BI6),0)</f>
        <v>7.2972972972972974</v>
      </c>
      <c r="CR6" s="311">
        <f ca="1">IF($BI6&lt;&gt;"",IF('Capacity summary'!$D$14="Yes",IF(COUNTBLANK('Capacity summary'!$H125:$BG125)&lt;52,IF('Capacity summary'!AO125&lt;&gt;"",IF(LOWER('Capacity summary'!AO125)="x",$BI6*AO6,VALUE('Capacity summary'!AO125)),0),AO6*$BI6),AO6*$BI6),0)</f>
        <v>0</v>
      </c>
      <c r="CS6" s="311">
        <f ca="1">IF($BI6&lt;&gt;"",IF('Capacity summary'!$D$14="Yes",IF(COUNTBLANK('Capacity summary'!$H125:$BG125)&lt;52,IF('Capacity summary'!AP125&lt;&gt;"",IF(LOWER('Capacity summary'!AP125)="x",$BI6*AP6,VALUE('Capacity summary'!AP125)),0),AP6*$BI6),AP6*$BI6),0)</f>
        <v>0</v>
      </c>
      <c r="CT6" s="311">
        <f ca="1">IF($BI6&lt;&gt;"",IF('Capacity summary'!$D$14="Yes",IF(COUNTBLANK('Capacity summary'!$H125:$BG125)&lt;52,IF('Capacity summary'!AQ125&lt;&gt;"",IF(LOWER('Capacity summary'!AQ125)="x",$BI6*AQ6,VALUE('Capacity summary'!AQ125)),0),AQ6*$BI6),AQ6*$BI6),0)</f>
        <v>0</v>
      </c>
      <c r="CU6" s="311">
        <f ca="1">IF($BI6&lt;&gt;"",IF('Capacity summary'!$D$14="Yes",IF(COUNTBLANK('Capacity summary'!$H125:$BG125)&lt;52,IF('Capacity summary'!AR125&lt;&gt;"",IF(LOWER('Capacity summary'!AR125)="x",$BI6*AR6,VALUE('Capacity summary'!AR125)),0),AR6*$BI6),AR6*$BI6),0)</f>
        <v>0</v>
      </c>
      <c r="CV6" s="311">
        <f ca="1">IF($BI6&lt;&gt;"",IF('Capacity summary'!$D$14="Yes",IF(COUNTBLANK('Capacity summary'!$H125:$BG125)&lt;52,IF('Capacity summary'!AS125&lt;&gt;"",IF(LOWER('Capacity summary'!AS125)="x",$BI6*AS6,VALUE('Capacity summary'!AS125)),0),AS6*$BI6),AS6*$BI6),0)</f>
        <v>0</v>
      </c>
      <c r="CW6" s="311">
        <f ca="1">IF($BI6&lt;&gt;"",IF('Capacity summary'!$D$14="Yes",IF(COUNTBLANK('Capacity summary'!$H125:$BG125)&lt;52,IF('Capacity summary'!AT125&lt;&gt;"",IF(LOWER('Capacity summary'!AT125)="x",$BI6*AT6,VALUE('Capacity summary'!AT125)),0),AT6*$BI6),AT6*$BI6),0)</f>
        <v>7.2972972972972974</v>
      </c>
      <c r="CX6" s="311">
        <f ca="1">IF($BI6&lt;&gt;"",IF('Capacity summary'!$D$14="Yes",IF(COUNTBLANK('Capacity summary'!$H125:$BG125)&lt;52,IF('Capacity summary'!AU125&lt;&gt;"",IF(LOWER('Capacity summary'!AU125)="x",$BI6*AU6,VALUE('Capacity summary'!AU125)),0),AU6*$BI6),AU6*$BI6),0)</f>
        <v>7.2972972972972974</v>
      </c>
      <c r="CY6" s="311">
        <f ca="1">IF($BI6&lt;&gt;"",IF('Capacity summary'!$D$14="Yes",IF(COUNTBLANK('Capacity summary'!$H125:$BG125)&lt;52,IF('Capacity summary'!AV125&lt;&gt;"",IF(LOWER('Capacity summary'!AV125)="x",$BI6*AV6,VALUE('Capacity summary'!AV125)),0),AV6*$BI6),AV6*$BI6),0)</f>
        <v>0</v>
      </c>
      <c r="CZ6" s="311">
        <f ca="1">IF($BI6&lt;&gt;"",IF('Capacity summary'!$D$14="Yes",IF(COUNTBLANK('Capacity summary'!$H125:$BG125)&lt;52,IF('Capacity summary'!AW125&lt;&gt;"",IF(LOWER('Capacity summary'!AW125)="x",$BI6*AW6,VALUE('Capacity summary'!AW125)),0),AW6*$BI6),AW6*$BI6),0)</f>
        <v>7.2972972972972974</v>
      </c>
      <c r="DA6" s="311">
        <f ca="1">IF($BI6&lt;&gt;"",IF('Capacity summary'!$D$14="Yes",IF(COUNTBLANK('Capacity summary'!$H125:$BG125)&lt;52,IF('Capacity summary'!AX125&lt;&gt;"",IF(LOWER('Capacity summary'!AX125)="x",$BI6*AX6,VALUE('Capacity summary'!AX125)),0),AX6*$BI6),AX6*$BI6),0)</f>
        <v>7.2972972972972974</v>
      </c>
      <c r="DB6" s="311">
        <f ca="1">IF($BI6&lt;&gt;"",IF('Capacity summary'!$D$14="Yes",IF(COUNTBLANK('Capacity summary'!$H125:$BG125)&lt;52,IF('Capacity summary'!AY125&lt;&gt;"",IF(LOWER('Capacity summary'!AY125)="x",$BI6*AY6,VALUE('Capacity summary'!AY125)),0),AY6*$BI6),AY6*$BI6),0)</f>
        <v>7.2972972972972974</v>
      </c>
      <c r="DC6" s="311">
        <f ca="1">IF($BI6&lt;&gt;"",IF('Capacity summary'!$D$14="Yes",IF(COUNTBLANK('Capacity summary'!$H125:$BG125)&lt;52,IF('Capacity summary'!AZ125&lt;&gt;"",IF(LOWER('Capacity summary'!AZ125)="x",$BI6*AZ6,VALUE('Capacity summary'!AZ125)),0),AZ6*$BI6),AZ6*$BI6),0)</f>
        <v>7.2972972972972974</v>
      </c>
      <c r="DD6" s="311">
        <f ca="1">IF($BI6&lt;&gt;"",IF('Capacity summary'!$D$14="Yes",IF(COUNTBLANK('Capacity summary'!$H125:$BG125)&lt;52,IF('Capacity summary'!BA125&lt;&gt;"",IF(LOWER('Capacity summary'!BA125)="x",$BI6*BA6,VALUE('Capacity summary'!BA125)),0),BA6*$BI6),BA6*$BI6),0)</f>
        <v>7.2972972972972974</v>
      </c>
      <c r="DE6" s="311">
        <f ca="1">IF($BI6&lt;&gt;"",IF('Capacity summary'!$D$14="Yes",IF(COUNTBLANK('Capacity summary'!$H125:$BG125)&lt;52,IF('Capacity summary'!BB125&lt;&gt;"",IF(LOWER('Capacity summary'!BB125)="x",$BI6*BB6,VALUE('Capacity summary'!BB125)),0),BB6*$BI6),BB6*$BI6),0)</f>
        <v>7.2972972972972974</v>
      </c>
      <c r="DF6" s="311">
        <f ca="1">IF($BI6&lt;&gt;"",IF('Capacity summary'!$D$14="Yes",IF(COUNTBLANK('Capacity summary'!$H125:$BG125)&lt;52,IF('Capacity summary'!BC125&lt;&gt;"",IF(LOWER('Capacity summary'!BC125)="x",$BI6*BC6,VALUE('Capacity summary'!BC125)),0),BC6*$BI6),BC6*$BI6),0)</f>
        <v>7.2972972972972974</v>
      </c>
      <c r="DG6" s="311">
        <f ca="1">IF($BI6&lt;&gt;"",IF('Capacity summary'!$D$14="Yes",IF(COUNTBLANK('Capacity summary'!$H125:$BG125)&lt;52,IF('Capacity summary'!BD125&lt;&gt;"",IF(LOWER('Capacity summary'!BD125)="x",$BI6*BD6,VALUE('Capacity summary'!BD125)),0),BD6*$BI6),BD6*$BI6),0)</f>
        <v>7.2972972972972974</v>
      </c>
      <c r="DH6" s="311">
        <f ca="1">IF($BI6&lt;&gt;"",IF('Capacity summary'!$D$14="Yes",IF(COUNTBLANK('Capacity summary'!$H125:$BG125)&lt;52,IF('Capacity summary'!BE125&lt;&gt;"",IF(LOWER('Capacity summary'!BE125)="x",$BI6*BE6,VALUE('Capacity summary'!BE125)),0),BE6*$BI6),BE6*$BI6),0)</f>
        <v>7.2972972972972974</v>
      </c>
      <c r="DI6" s="311">
        <f ca="1">IF($BI6&lt;&gt;"",IF('Capacity summary'!$D$14="Yes",IF(COUNTBLANK('Capacity summary'!$H125:$BG125)&lt;52,IF('Capacity summary'!BF125&lt;&gt;"",IF(LOWER('Capacity summary'!BF125)="x",$BI6*BF6,VALUE('Capacity summary'!BF125)),0),BF6*$BI6),BF6*$BI6),0)</f>
        <v>7.2972972972972974</v>
      </c>
      <c r="DJ6" s="311">
        <f ca="1">IF($BI6&lt;&gt;"",IF('Capacity summary'!$D$14="Yes",IF(COUNTBLANK('Capacity summary'!$H125:$BG125)&lt;52,IF('Capacity summary'!BG125&lt;&gt;"",IF(LOWER('Capacity summary'!BG125)="x",$BI6*BG6,VALUE('Capacity summary'!BG125)),0),BG6*$BI6),BG6*$BI6),0)</f>
        <v>7.2972972972972974</v>
      </c>
      <c r="DK6" s="387">
        <f t="shared" ca="1" si="2"/>
        <v>7.2972972972972974</v>
      </c>
      <c r="DL6" s="136">
        <f t="shared" ca="1" si="3"/>
        <v>269.99999999999983</v>
      </c>
      <c r="DM6" s="311">
        <f>Capacity!H18</f>
        <v>270</v>
      </c>
      <c r="DQ6" s="5"/>
    </row>
    <row r="7" spans="1:121" x14ac:dyDescent="0.2">
      <c r="A7" s="67">
        <f>IF(Capacity!L19='Capacity summary'!BI126,1,0)</f>
        <v>1</v>
      </c>
      <c r="B7" s="67">
        <f>IF(Capacity!V19='Capacity summary'!BI26,1,0)</f>
        <v>1</v>
      </c>
      <c r="C7" s="67" t="str">
        <f>ROW(A3)&amp;". "&amp;Capacity!B19</f>
        <v>3. Core Clinic 3</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0</v>
      </c>
      <c r="W7" s="67">
        <f ca="1">IF(LOWER(Capacity!$L19)="x",IF(AND(SUMIF(Capacity_Resource,$D7,'Critical resources (hide)'!AJ$6:AJ$105)+SUMIF(Capacity_Resource,$E7,'Critical resources (hide)'!AJ$6:AJ$105)+SUMIF(Capacity_Resource,$F7,'Critical resources (hide)'!AJ$6:AJ$105)&gt;0,$E$1=2),0,1),0)</f>
        <v>0</v>
      </c>
      <c r="X7" s="67">
        <f ca="1">IF(LOWER(Capacity!$L19)="x",IF(AND(SUMIF(Capacity_Resource,$D7,'Critical resources (hide)'!AK$6:AK$105)+SUMIF(Capacity_Resource,$E7,'Critical resources (hide)'!AK$6:AK$105)+SUMIF(Capacity_Resource,$F7,'Critical resources (hide)'!AK$6:AK$105)&gt;0,$E$1=2),0,1),0)</f>
        <v>0</v>
      </c>
      <c r="Y7" s="67">
        <f ca="1">IF(LOWER(Capacity!$L19)="x",IF(AND(SUMIF(Capacity_Resource,$D7,'Critical resources (hide)'!AL$6:AL$105)+SUMIF(Capacity_Resource,$E7,'Critical resources (hide)'!AL$6:AL$105)+SUMIF(Capacity_Resource,$F7,'Critical resources (hide)'!AL$6:AL$105)&gt;0,$E$1=2),0,1),0)</f>
        <v>0</v>
      </c>
      <c r="Z7" s="67">
        <f ca="1">IF(LOWER(Capacity!$L19)="x",IF(AND(SUMIF(Capacity_Resource,$D7,'Critical resources (hide)'!AM$6:AM$105)+SUMIF(Capacity_Resource,$E7,'Critical resources (hide)'!AM$6:AM$105)+SUMIF(Capacity_Resource,$F7,'Critical resources (hide)'!AM$6:AM$105)&gt;0,$E$1=2),0,1),0)</f>
        <v>0</v>
      </c>
      <c r="AA7" s="67">
        <f ca="1">IF(LOWER(Capacity!$L19)="x",IF(AND(SUMIF(Capacity_Resource,$D7,'Critical resources (hide)'!AN$6:AN$105)+SUMIF(Capacity_Resource,$E7,'Critical resources (hide)'!AN$6:AN$105)+SUMIF(Capacity_Resource,$F7,'Critical resources (hide)'!AN$6:AN$105)&gt;0,$E$1=2),0,1),0)</f>
        <v>0</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0</v>
      </c>
      <c r="AP7" s="67">
        <f ca="1">IF(LOWER(Capacity!$L19)="x",IF(AND(SUMIF(Capacity_Resource,$D7,'Critical resources (hide)'!BC$6:BC$105)+SUMIF(Capacity_Resource,$E7,'Critical resources (hide)'!BC$6:BC$105)+SUMIF(Capacity_Resource,$F7,'Critical resources (hide)'!BC$6:BC$105)&gt;0,$E$1=2),0,1),0)</f>
        <v>0</v>
      </c>
      <c r="AQ7" s="67">
        <f ca="1">IF(LOWER(Capacity!$L19)="x",IF(AND(SUMIF(Capacity_Resource,$D7,'Critical resources (hide)'!BD$6:BD$105)+SUMIF(Capacity_Resource,$E7,'Critical resources (hide)'!BD$6:BD$105)+SUMIF(Capacity_Resource,$F7,'Critical resources (hide)'!BD$6:BD$105)&gt;0,$E$1=2),0,1),0)</f>
        <v>0</v>
      </c>
      <c r="AR7" s="67">
        <f ca="1">IF(LOWER(Capacity!$L19)="x",IF(AND(SUMIF(Capacity_Resource,$D7,'Critical resources (hide)'!BE$6:BE$105)+SUMIF(Capacity_Resource,$E7,'Critical resources (hide)'!BE$6:BE$105)+SUMIF(Capacity_Resource,$F7,'Critical resources (hide)'!BE$6:BE$105)&gt;0,$E$1=2),0,1),0)</f>
        <v>0</v>
      </c>
      <c r="AS7" s="67">
        <f ca="1">IF(LOWER(Capacity!$L19)="x",IF(AND(SUMIF(Capacity_Resource,$D7,'Critical resources (hide)'!BF$6:BF$105)+SUMIF(Capacity_Resource,$E7,'Critical resources (hide)'!BF$6:BF$105)+SUMIF(Capacity_Resource,$F7,'Critical resources (hide)'!BF$6:BF$105)&gt;0,$E$1=2),0,1),0)</f>
        <v>0</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 ca="1">IF(ROW(C3)&lt;=Capacity!$A$16,IF('Capacity summary'!$D$14="No",SUM(H7:BG7),'Capacity summary'!$E126),0)</f>
        <v>41</v>
      </c>
      <c r="BI7" s="5">
        <f ca="1">IF(BH7&gt;0,IF(BH7&lt;Capacity!E19,Capacity!F19,Capacity!H19/'Capacity calculation (hide)'!BH7),"")</f>
        <v>3.0731707317073171</v>
      </c>
      <c r="BK7" s="311">
        <f ca="1">IF($BI7&lt;&gt;"",IF('Capacity summary'!$D$14="Yes",IF(COUNTBLANK('Capacity summary'!$H126:$BG126)&lt;52,IF('Capacity summary'!H126&lt;&gt;"",IF(LOWER('Capacity summary'!H126)="x",$BI7*H7,VALUE('Capacity summary'!H126)),0),H7*$BI7),H7*$BI7),0)</f>
        <v>3.0731707317073171</v>
      </c>
      <c r="BL7" s="311">
        <f ca="1">IF($BI7&lt;&gt;"",IF('Capacity summary'!$D$14="Yes",IF(COUNTBLANK('Capacity summary'!$H126:$BG126)&lt;52,IF('Capacity summary'!I126&lt;&gt;"",IF(LOWER('Capacity summary'!I126)="x",$BI7*I7,VALUE('Capacity summary'!I126)),0),I7*$BI7),I7*$BI7),0)</f>
        <v>3.0731707317073171</v>
      </c>
      <c r="BM7" s="311">
        <f ca="1">IF($BI7&lt;&gt;"",IF('Capacity summary'!$D$14="Yes",IF(COUNTBLANK('Capacity summary'!$H126:$BG126)&lt;52,IF('Capacity summary'!J126&lt;&gt;"",IF(LOWER('Capacity summary'!J126)="x",$BI7*J7,VALUE('Capacity summary'!J126)),0),J7*$BI7),J7*$BI7),0)</f>
        <v>3.0731707317073171</v>
      </c>
      <c r="BN7" s="311">
        <f ca="1">IF($BI7&lt;&gt;"",IF('Capacity summary'!$D$14="Yes",IF(COUNTBLANK('Capacity summary'!$H126:$BG126)&lt;52,IF('Capacity summary'!K126&lt;&gt;"",IF(LOWER('Capacity summary'!K126)="x",$BI7*K7,VALUE('Capacity summary'!K126)),0),K7*$BI7),K7*$BI7),0)</f>
        <v>3.0731707317073171</v>
      </c>
      <c r="BO7" s="311">
        <f ca="1">IF($BI7&lt;&gt;"",IF('Capacity summary'!$D$14="Yes",IF(COUNTBLANK('Capacity summary'!$H126:$BG126)&lt;52,IF('Capacity summary'!L126&lt;&gt;"",IF(LOWER('Capacity summary'!L126)="x",$BI7*L7,VALUE('Capacity summary'!L126)),0),L7*$BI7),L7*$BI7),0)</f>
        <v>3.0731707317073171</v>
      </c>
      <c r="BP7" s="311">
        <f ca="1">IF($BI7&lt;&gt;"",IF('Capacity summary'!$D$14="Yes",IF(COUNTBLANK('Capacity summary'!$H126:$BG126)&lt;52,IF('Capacity summary'!M126&lt;&gt;"",IF(LOWER('Capacity summary'!M126)="x",$BI7*M7,VALUE('Capacity summary'!M126)),0),M7*$BI7),M7*$BI7),0)</f>
        <v>3.0731707317073171</v>
      </c>
      <c r="BQ7" s="311">
        <f ca="1">IF($BI7&lt;&gt;"",IF('Capacity summary'!$D$14="Yes",IF(COUNTBLANK('Capacity summary'!$H126:$BG126)&lt;52,IF('Capacity summary'!N126&lt;&gt;"",IF(LOWER('Capacity summary'!N126)="x",$BI7*N7,VALUE('Capacity summary'!N126)),0),N7*$BI7),N7*$BI7),0)</f>
        <v>3.0731707317073171</v>
      </c>
      <c r="BR7" s="311">
        <f ca="1">IF($BI7&lt;&gt;"",IF('Capacity summary'!$D$14="Yes",IF(COUNTBLANK('Capacity summary'!$H126:$BG126)&lt;52,IF('Capacity summary'!O126&lt;&gt;"",IF(LOWER('Capacity summary'!O126)="x",$BI7*O7,VALUE('Capacity summary'!O126)),0),O7*$BI7),O7*$BI7),0)</f>
        <v>3.0731707317073171</v>
      </c>
      <c r="BS7" s="311">
        <f ca="1">IF($BI7&lt;&gt;"",IF('Capacity summary'!$D$14="Yes",IF(COUNTBLANK('Capacity summary'!$H126:$BG126)&lt;52,IF('Capacity summary'!P126&lt;&gt;"",IF(LOWER('Capacity summary'!P126)="x",$BI7*P7,VALUE('Capacity summary'!P126)),0),P7*$BI7),P7*$BI7),0)</f>
        <v>3.0731707317073171</v>
      </c>
      <c r="BT7" s="311">
        <f ca="1">IF($BI7&lt;&gt;"",IF('Capacity summary'!$D$14="Yes",IF(COUNTBLANK('Capacity summary'!$H126:$BG126)&lt;52,IF('Capacity summary'!Q126&lt;&gt;"",IF(LOWER('Capacity summary'!Q126)="x",$BI7*Q7,VALUE('Capacity summary'!Q126)),0),Q7*$BI7),Q7*$BI7),0)</f>
        <v>3.0731707317073171</v>
      </c>
      <c r="BU7" s="311">
        <f ca="1">IF($BI7&lt;&gt;"",IF('Capacity summary'!$D$14="Yes",IF(COUNTBLANK('Capacity summary'!$H126:$BG126)&lt;52,IF('Capacity summary'!R126&lt;&gt;"",IF(LOWER('Capacity summary'!R126)="x",$BI7*R7,VALUE('Capacity summary'!R126)),0),R7*$BI7),R7*$BI7),0)</f>
        <v>3.0731707317073171</v>
      </c>
      <c r="BV7" s="311">
        <f ca="1">IF($BI7&lt;&gt;"",IF('Capacity summary'!$D$14="Yes",IF(COUNTBLANK('Capacity summary'!$H126:$BG126)&lt;52,IF('Capacity summary'!S126&lt;&gt;"",IF(LOWER('Capacity summary'!S126)="x",$BI7*S7,VALUE('Capacity summary'!S126)),0),S7*$BI7),S7*$BI7),0)</f>
        <v>3.0731707317073171</v>
      </c>
      <c r="BW7" s="311">
        <f ca="1">IF($BI7&lt;&gt;"",IF('Capacity summary'!$D$14="Yes",IF(COUNTBLANK('Capacity summary'!$H126:$BG126)&lt;52,IF('Capacity summary'!T126&lt;&gt;"",IF(LOWER('Capacity summary'!T126)="x",$BI7*T7,VALUE('Capacity summary'!T126)),0),T7*$BI7),T7*$BI7),0)</f>
        <v>3.0731707317073171</v>
      </c>
      <c r="BX7" s="311">
        <f ca="1">IF($BI7&lt;&gt;"",IF('Capacity summary'!$D$14="Yes",IF(COUNTBLANK('Capacity summary'!$H126:$BG126)&lt;52,IF('Capacity summary'!U126&lt;&gt;"",IF(LOWER('Capacity summary'!U126)="x",$BI7*U7,VALUE('Capacity summary'!U126)),0),U7*$BI7),U7*$BI7),0)</f>
        <v>3.0731707317073171</v>
      </c>
      <c r="BY7" s="311">
        <f ca="1">IF($BI7&lt;&gt;"",IF('Capacity summary'!$D$14="Yes",IF(COUNTBLANK('Capacity summary'!$H126:$BG126)&lt;52,IF('Capacity summary'!V126&lt;&gt;"",IF(LOWER('Capacity summary'!V126)="x",$BI7*V7,VALUE('Capacity summary'!V126)),0),V7*$BI7),V7*$BI7),0)</f>
        <v>0</v>
      </c>
      <c r="BZ7" s="311">
        <f ca="1">IF($BI7&lt;&gt;"",IF('Capacity summary'!$D$14="Yes",IF(COUNTBLANK('Capacity summary'!$H126:$BG126)&lt;52,IF('Capacity summary'!W126&lt;&gt;"",IF(LOWER('Capacity summary'!W126)="x",$BI7*W7,VALUE('Capacity summary'!W126)),0),W7*$BI7),W7*$BI7),0)</f>
        <v>0</v>
      </c>
      <c r="CA7" s="311">
        <f ca="1">IF($BI7&lt;&gt;"",IF('Capacity summary'!$D$14="Yes",IF(COUNTBLANK('Capacity summary'!$H126:$BG126)&lt;52,IF('Capacity summary'!X126&lt;&gt;"",IF(LOWER('Capacity summary'!X126)="x",$BI7*X7,VALUE('Capacity summary'!X126)),0),X7*$BI7),X7*$BI7),0)</f>
        <v>0</v>
      </c>
      <c r="CB7" s="311">
        <f ca="1">IF($BI7&lt;&gt;"",IF('Capacity summary'!$D$14="Yes",IF(COUNTBLANK('Capacity summary'!$H126:$BG126)&lt;52,IF('Capacity summary'!Y126&lt;&gt;"",IF(LOWER('Capacity summary'!Y126)="x",$BI7*Y7,VALUE('Capacity summary'!Y126)),0),Y7*$BI7),Y7*$BI7),0)</f>
        <v>0</v>
      </c>
      <c r="CC7" s="311">
        <f ca="1">IF($BI7&lt;&gt;"",IF('Capacity summary'!$D$14="Yes",IF(COUNTBLANK('Capacity summary'!$H126:$BG126)&lt;52,IF('Capacity summary'!Z126&lt;&gt;"",IF(LOWER('Capacity summary'!Z126)="x",$BI7*Z7,VALUE('Capacity summary'!Z126)),0),Z7*$BI7),Z7*$BI7),0)</f>
        <v>0</v>
      </c>
      <c r="CD7" s="311">
        <f ca="1">IF($BI7&lt;&gt;"",IF('Capacity summary'!$D$14="Yes",IF(COUNTBLANK('Capacity summary'!$H126:$BG126)&lt;52,IF('Capacity summary'!AA126&lt;&gt;"",IF(LOWER('Capacity summary'!AA126)="x",$BI7*AA7,VALUE('Capacity summary'!AA126)),0),AA7*$BI7),AA7*$BI7),0)</f>
        <v>0</v>
      </c>
      <c r="CE7" s="311">
        <f ca="1">IF($BI7&lt;&gt;"",IF('Capacity summary'!$D$14="Yes",IF(COUNTBLANK('Capacity summary'!$H126:$BG126)&lt;52,IF('Capacity summary'!AB126&lt;&gt;"",IF(LOWER('Capacity summary'!AB126)="x",$BI7*AB7,VALUE('Capacity summary'!AB126)),0),AB7*$BI7),AB7*$BI7),0)</f>
        <v>3.0731707317073171</v>
      </c>
      <c r="CF7" s="311">
        <f ca="1">IF($BI7&lt;&gt;"",IF('Capacity summary'!$D$14="Yes",IF(COUNTBLANK('Capacity summary'!$H126:$BG126)&lt;52,IF('Capacity summary'!AC126&lt;&gt;"",IF(LOWER('Capacity summary'!AC126)="x",$BI7*AC7,VALUE('Capacity summary'!AC126)),0),AC7*$BI7),AC7*$BI7),0)</f>
        <v>3.0731707317073171</v>
      </c>
      <c r="CG7" s="311">
        <f ca="1">IF($BI7&lt;&gt;"",IF('Capacity summary'!$D$14="Yes",IF(COUNTBLANK('Capacity summary'!$H126:$BG126)&lt;52,IF('Capacity summary'!AD126&lt;&gt;"",IF(LOWER('Capacity summary'!AD126)="x",$BI7*AD7,VALUE('Capacity summary'!AD126)),0),AD7*$BI7),AD7*$BI7),0)</f>
        <v>3.0731707317073171</v>
      </c>
      <c r="CH7" s="311">
        <f ca="1">IF($BI7&lt;&gt;"",IF('Capacity summary'!$D$14="Yes",IF(COUNTBLANK('Capacity summary'!$H126:$BG126)&lt;52,IF('Capacity summary'!AE126&lt;&gt;"",IF(LOWER('Capacity summary'!AE126)="x",$BI7*AE7,VALUE('Capacity summary'!AE126)),0),AE7*$BI7),AE7*$BI7),0)</f>
        <v>3.0731707317073171</v>
      </c>
      <c r="CI7" s="311">
        <f ca="1">IF($BI7&lt;&gt;"",IF('Capacity summary'!$D$14="Yes",IF(COUNTBLANK('Capacity summary'!$H126:$BG126)&lt;52,IF('Capacity summary'!AF126&lt;&gt;"",IF(LOWER('Capacity summary'!AF126)="x",$BI7*AF7,VALUE('Capacity summary'!AF126)),0),AF7*$BI7),AF7*$BI7),0)</f>
        <v>3.0731707317073171</v>
      </c>
      <c r="CJ7" s="311">
        <f ca="1">IF($BI7&lt;&gt;"",IF('Capacity summary'!$D$14="Yes",IF(COUNTBLANK('Capacity summary'!$H126:$BG126)&lt;52,IF('Capacity summary'!AG126&lt;&gt;"",IF(LOWER('Capacity summary'!AG126)="x",$BI7*AG7,VALUE('Capacity summary'!AG126)),0),AG7*$BI7),AG7*$BI7),0)</f>
        <v>3.0731707317073171</v>
      </c>
      <c r="CK7" s="311">
        <f ca="1">IF($BI7&lt;&gt;"",IF('Capacity summary'!$D$14="Yes",IF(COUNTBLANK('Capacity summary'!$H126:$BG126)&lt;52,IF('Capacity summary'!AH126&lt;&gt;"",IF(LOWER('Capacity summary'!AH126)="x",$BI7*AH7,VALUE('Capacity summary'!AH126)),0),AH7*$BI7),AH7*$BI7),0)</f>
        <v>3.0731707317073171</v>
      </c>
      <c r="CL7" s="311">
        <f ca="1">IF($BI7&lt;&gt;"",IF('Capacity summary'!$D$14="Yes",IF(COUNTBLANK('Capacity summary'!$H126:$BG126)&lt;52,IF('Capacity summary'!AI126&lt;&gt;"",IF(LOWER('Capacity summary'!AI126)="x",$BI7*AI7,VALUE('Capacity summary'!AI126)),0),AI7*$BI7),AI7*$BI7),0)</f>
        <v>3.0731707317073171</v>
      </c>
      <c r="CM7" s="311">
        <f ca="1">IF($BI7&lt;&gt;"",IF('Capacity summary'!$D$14="Yes",IF(COUNTBLANK('Capacity summary'!$H126:$BG126)&lt;52,IF('Capacity summary'!AJ126&lt;&gt;"",IF(LOWER('Capacity summary'!AJ126)="x",$BI7*AJ7,VALUE('Capacity summary'!AJ126)),0),AJ7*$BI7),AJ7*$BI7),0)</f>
        <v>3.0731707317073171</v>
      </c>
      <c r="CN7" s="311">
        <f ca="1">IF($BI7&lt;&gt;"",IF('Capacity summary'!$D$14="Yes",IF(COUNTBLANK('Capacity summary'!$H126:$BG126)&lt;52,IF('Capacity summary'!AK126&lt;&gt;"",IF(LOWER('Capacity summary'!AK126)="x",$BI7*AK7,VALUE('Capacity summary'!AK126)),0),AK7*$BI7),AK7*$BI7),0)</f>
        <v>3.0731707317073171</v>
      </c>
      <c r="CO7" s="311">
        <f ca="1">IF($BI7&lt;&gt;"",IF('Capacity summary'!$D$14="Yes",IF(COUNTBLANK('Capacity summary'!$H126:$BG126)&lt;52,IF('Capacity summary'!AL126&lt;&gt;"",IF(LOWER('Capacity summary'!AL126)="x",$BI7*AL7,VALUE('Capacity summary'!AL126)),0),AL7*$BI7),AL7*$BI7),0)</f>
        <v>3.0731707317073171</v>
      </c>
      <c r="CP7" s="311">
        <f ca="1">IF($BI7&lt;&gt;"",IF('Capacity summary'!$D$14="Yes",IF(COUNTBLANK('Capacity summary'!$H126:$BG126)&lt;52,IF('Capacity summary'!AM126&lt;&gt;"",IF(LOWER('Capacity summary'!AM126)="x",$BI7*AM7,VALUE('Capacity summary'!AM126)),0),AM7*$BI7),AM7*$BI7),0)</f>
        <v>3.0731707317073171</v>
      </c>
      <c r="CQ7" s="311">
        <f ca="1">IF($BI7&lt;&gt;"",IF('Capacity summary'!$D$14="Yes",IF(COUNTBLANK('Capacity summary'!$H126:$BG126)&lt;52,IF('Capacity summary'!AN126&lt;&gt;"",IF(LOWER('Capacity summary'!AN126)="x",$BI7*AN7,VALUE('Capacity summary'!AN126)),0),AN7*$BI7),AN7*$BI7),0)</f>
        <v>3.0731707317073171</v>
      </c>
      <c r="CR7" s="311">
        <f ca="1">IF($BI7&lt;&gt;"",IF('Capacity summary'!$D$14="Yes",IF(COUNTBLANK('Capacity summary'!$H126:$BG126)&lt;52,IF('Capacity summary'!AO126&lt;&gt;"",IF(LOWER('Capacity summary'!AO126)="x",$BI7*AO7,VALUE('Capacity summary'!AO126)),0),AO7*$BI7),AO7*$BI7),0)</f>
        <v>0</v>
      </c>
      <c r="CS7" s="311">
        <f ca="1">IF($BI7&lt;&gt;"",IF('Capacity summary'!$D$14="Yes",IF(COUNTBLANK('Capacity summary'!$H126:$BG126)&lt;52,IF('Capacity summary'!AP126&lt;&gt;"",IF(LOWER('Capacity summary'!AP126)="x",$BI7*AP7,VALUE('Capacity summary'!AP126)),0),AP7*$BI7),AP7*$BI7),0)</f>
        <v>0</v>
      </c>
      <c r="CT7" s="311">
        <f ca="1">IF($BI7&lt;&gt;"",IF('Capacity summary'!$D$14="Yes",IF(COUNTBLANK('Capacity summary'!$H126:$BG126)&lt;52,IF('Capacity summary'!AQ126&lt;&gt;"",IF(LOWER('Capacity summary'!AQ126)="x",$BI7*AQ7,VALUE('Capacity summary'!AQ126)),0),AQ7*$BI7),AQ7*$BI7),0)</f>
        <v>0</v>
      </c>
      <c r="CU7" s="311">
        <f ca="1">IF($BI7&lt;&gt;"",IF('Capacity summary'!$D$14="Yes",IF(COUNTBLANK('Capacity summary'!$H126:$BG126)&lt;52,IF('Capacity summary'!AR126&lt;&gt;"",IF(LOWER('Capacity summary'!AR126)="x",$BI7*AR7,VALUE('Capacity summary'!AR126)),0),AR7*$BI7),AR7*$BI7),0)</f>
        <v>0</v>
      </c>
      <c r="CV7" s="311">
        <f ca="1">IF($BI7&lt;&gt;"",IF('Capacity summary'!$D$14="Yes",IF(COUNTBLANK('Capacity summary'!$H126:$BG126)&lt;52,IF('Capacity summary'!AS126&lt;&gt;"",IF(LOWER('Capacity summary'!AS126)="x",$BI7*AS7,VALUE('Capacity summary'!AS126)),0),AS7*$BI7),AS7*$BI7),0)</f>
        <v>0</v>
      </c>
      <c r="CW7" s="311">
        <f ca="1">IF($BI7&lt;&gt;"",IF('Capacity summary'!$D$14="Yes",IF(COUNTBLANK('Capacity summary'!$H126:$BG126)&lt;52,IF('Capacity summary'!AT126&lt;&gt;"",IF(LOWER('Capacity summary'!AT126)="x",$BI7*AT7,VALUE('Capacity summary'!AT126)),0),AT7*$BI7),AT7*$BI7),0)</f>
        <v>3.0731707317073171</v>
      </c>
      <c r="CX7" s="311">
        <f ca="1">IF($BI7&lt;&gt;"",IF('Capacity summary'!$D$14="Yes",IF(COUNTBLANK('Capacity summary'!$H126:$BG126)&lt;52,IF('Capacity summary'!AU126&lt;&gt;"",IF(LOWER('Capacity summary'!AU126)="x",$BI7*AU7,VALUE('Capacity summary'!AU126)),0),AU7*$BI7),AU7*$BI7),0)</f>
        <v>3.0731707317073171</v>
      </c>
      <c r="CY7" s="311">
        <f ca="1">IF($BI7&lt;&gt;"",IF('Capacity summary'!$D$14="Yes",IF(COUNTBLANK('Capacity summary'!$H126:$BG126)&lt;52,IF('Capacity summary'!AV126&lt;&gt;"",IF(LOWER('Capacity summary'!AV126)="x",$BI7*AV7,VALUE('Capacity summary'!AV126)),0),AV7*$BI7),AV7*$BI7),0)</f>
        <v>3.0731707317073171</v>
      </c>
      <c r="CZ7" s="311">
        <f ca="1">IF($BI7&lt;&gt;"",IF('Capacity summary'!$D$14="Yes",IF(COUNTBLANK('Capacity summary'!$H126:$BG126)&lt;52,IF('Capacity summary'!AW126&lt;&gt;"",IF(LOWER('Capacity summary'!AW126)="x",$BI7*AW7,VALUE('Capacity summary'!AW126)),0),AW7*$BI7),AW7*$BI7),0)</f>
        <v>3.0731707317073171</v>
      </c>
      <c r="DA7" s="311">
        <f ca="1">IF($BI7&lt;&gt;"",IF('Capacity summary'!$D$14="Yes",IF(COUNTBLANK('Capacity summary'!$H126:$BG126)&lt;52,IF('Capacity summary'!AX126&lt;&gt;"",IF(LOWER('Capacity summary'!AX126)="x",$BI7*AX7,VALUE('Capacity summary'!AX126)),0),AX7*$BI7),AX7*$BI7),0)</f>
        <v>3.0731707317073171</v>
      </c>
      <c r="DB7" s="311">
        <f ca="1">IF($BI7&lt;&gt;"",IF('Capacity summary'!$D$14="Yes",IF(COUNTBLANK('Capacity summary'!$H126:$BG126)&lt;52,IF('Capacity summary'!AY126&lt;&gt;"",IF(LOWER('Capacity summary'!AY126)="x",$BI7*AY7,VALUE('Capacity summary'!AY126)),0),AY7*$BI7),AY7*$BI7),0)</f>
        <v>3.0731707317073171</v>
      </c>
      <c r="DC7" s="311">
        <f ca="1">IF($BI7&lt;&gt;"",IF('Capacity summary'!$D$14="Yes",IF(COUNTBLANK('Capacity summary'!$H126:$BG126)&lt;52,IF('Capacity summary'!AZ126&lt;&gt;"",IF(LOWER('Capacity summary'!AZ126)="x",$BI7*AZ7,VALUE('Capacity summary'!AZ126)),0),AZ7*$BI7),AZ7*$BI7),0)</f>
        <v>3.0731707317073171</v>
      </c>
      <c r="DD7" s="311">
        <f ca="1">IF($BI7&lt;&gt;"",IF('Capacity summary'!$D$14="Yes",IF(COUNTBLANK('Capacity summary'!$H126:$BG126)&lt;52,IF('Capacity summary'!BA126&lt;&gt;"",IF(LOWER('Capacity summary'!BA126)="x",$BI7*BA7,VALUE('Capacity summary'!BA126)),0),BA7*$BI7),BA7*$BI7),0)</f>
        <v>3.0731707317073171</v>
      </c>
      <c r="DE7" s="311">
        <f ca="1">IF($BI7&lt;&gt;"",IF('Capacity summary'!$D$14="Yes",IF(COUNTBLANK('Capacity summary'!$H126:$BG126)&lt;52,IF('Capacity summary'!BB126&lt;&gt;"",IF(LOWER('Capacity summary'!BB126)="x",$BI7*BB7,VALUE('Capacity summary'!BB126)),0),BB7*$BI7),BB7*$BI7),0)</f>
        <v>3.0731707317073171</v>
      </c>
      <c r="DF7" s="311">
        <f ca="1">IF($BI7&lt;&gt;"",IF('Capacity summary'!$D$14="Yes",IF(COUNTBLANK('Capacity summary'!$H126:$BG126)&lt;52,IF('Capacity summary'!BC126&lt;&gt;"",IF(LOWER('Capacity summary'!BC126)="x",$BI7*BC7,VALUE('Capacity summary'!BC126)),0),BC7*$BI7),BC7*$BI7),0)</f>
        <v>3.0731707317073171</v>
      </c>
      <c r="DG7" s="311">
        <f ca="1">IF($BI7&lt;&gt;"",IF('Capacity summary'!$D$14="Yes",IF(COUNTBLANK('Capacity summary'!$H126:$BG126)&lt;52,IF('Capacity summary'!BD126&lt;&gt;"",IF(LOWER('Capacity summary'!BD126)="x",$BI7*BD7,VALUE('Capacity summary'!BD126)),0),BD7*$BI7),BD7*$BI7),0)</f>
        <v>3.0731707317073171</v>
      </c>
      <c r="DH7" s="311">
        <f ca="1">IF($BI7&lt;&gt;"",IF('Capacity summary'!$D$14="Yes",IF(COUNTBLANK('Capacity summary'!$H126:$BG126)&lt;52,IF('Capacity summary'!BE126&lt;&gt;"",IF(LOWER('Capacity summary'!BE126)="x",$BI7*BE7,VALUE('Capacity summary'!BE126)),0),BE7*$BI7),BE7*$BI7),0)</f>
        <v>3.0731707317073171</v>
      </c>
      <c r="DI7" s="311">
        <f ca="1">IF($BI7&lt;&gt;"",IF('Capacity summary'!$D$14="Yes",IF(COUNTBLANK('Capacity summary'!$H126:$BG126)&lt;52,IF('Capacity summary'!BF126&lt;&gt;"",IF(LOWER('Capacity summary'!BF126)="x",$BI7*BF7,VALUE('Capacity summary'!BF126)),0),BF7*$BI7),BF7*$BI7),0)</f>
        <v>3.0731707317073171</v>
      </c>
      <c r="DJ7" s="311">
        <f ca="1">IF($BI7&lt;&gt;"",IF('Capacity summary'!$D$14="Yes",IF(COUNTBLANK('Capacity summary'!$H126:$BG126)&lt;52,IF('Capacity summary'!BG126&lt;&gt;"",IF(LOWER('Capacity summary'!BG126)="x",$BI7*BG7,VALUE('Capacity summary'!BG126)),0),BG7*$BI7),BG7*$BI7),0)</f>
        <v>3.0731707317073171</v>
      </c>
      <c r="DK7" s="387">
        <f t="shared" ca="1" si="2"/>
        <v>3.0731707317073171</v>
      </c>
      <c r="DL7" s="136">
        <f t="shared" ca="1" si="3"/>
        <v>126.00000000000007</v>
      </c>
      <c r="DM7" s="311">
        <f>Capacity!H19</f>
        <v>126</v>
      </c>
      <c r="DQ7" s="5"/>
    </row>
    <row r="8" spans="1:121" x14ac:dyDescent="0.2">
      <c r="A8" s="67">
        <f>IF(Capacity!L20='Capacity summary'!BI127,1,0)</f>
        <v>1</v>
      </c>
      <c r="B8" s="67">
        <f>IF(Capacity!V20='Capacity summary'!BI27,1,0)</f>
        <v>1</v>
      </c>
      <c r="C8" s="67" t="str">
        <f>ROW(A4)&amp;". "&amp;Capacity!B20</f>
        <v>4. Core Clinic 4</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0</v>
      </c>
      <c r="W8" s="67">
        <f ca="1">IF(LOWER(Capacity!$L20)="x",IF(AND(SUMIF(Capacity_Resource,$D8,'Critical resources (hide)'!AJ$6:AJ$105)+SUMIF(Capacity_Resource,$E8,'Critical resources (hide)'!AJ$6:AJ$105)+SUMIF(Capacity_Resource,$F8,'Critical resources (hide)'!AJ$6:AJ$105)&gt;0,$E$1=2),0,1),0)</f>
        <v>0</v>
      </c>
      <c r="X8" s="67">
        <f ca="1">IF(LOWER(Capacity!$L20)="x",IF(AND(SUMIF(Capacity_Resource,$D8,'Critical resources (hide)'!AK$6:AK$105)+SUMIF(Capacity_Resource,$E8,'Critical resources (hide)'!AK$6:AK$105)+SUMIF(Capacity_Resource,$F8,'Critical resources (hide)'!AK$6:AK$105)&gt;0,$E$1=2),0,1),0)</f>
        <v>0</v>
      </c>
      <c r="Y8" s="67">
        <f ca="1">IF(LOWER(Capacity!$L20)="x",IF(AND(SUMIF(Capacity_Resource,$D8,'Critical resources (hide)'!AL$6:AL$105)+SUMIF(Capacity_Resource,$E8,'Critical resources (hide)'!AL$6:AL$105)+SUMIF(Capacity_Resource,$F8,'Critical resources (hide)'!AL$6:AL$105)&gt;0,$E$1=2),0,1),0)</f>
        <v>0</v>
      </c>
      <c r="Z8" s="67">
        <f ca="1">IF(LOWER(Capacity!$L20)="x",IF(AND(SUMIF(Capacity_Resource,$D8,'Critical resources (hide)'!AM$6:AM$105)+SUMIF(Capacity_Resource,$E8,'Critical resources (hide)'!AM$6:AM$105)+SUMIF(Capacity_Resource,$F8,'Critical resources (hide)'!AM$6:AM$105)&gt;0,$E$1=2),0,1),0)</f>
        <v>0</v>
      </c>
      <c r="AA8" s="67">
        <f ca="1">IF(LOWER(Capacity!$L20)="x",IF(AND(SUMIF(Capacity_Resource,$D8,'Critical resources (hide)'!AN$6:AN$105)+SUMIF(Capacity_Resource,$E8,'Critical resources (hide)'!AN$6:AN$105)+SUMIF(Capacity_Resource,$F8,'Critical resources (hide)'!AN$6:AN$105)&gt;0,$E$1=2),0,1),0)</f>
        <v>0</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 ca="1">IF(ROW(C4)&lt;=Capacity!$A$16,IF('Capacity summary'!$D$14="No",SUM(H8:BG8),'Capacity summary'!$E127),0)</f>
        <v>46</v>
      </c>
      <c r="BI8" s="5">
        <f ca="1">IF(BH8&gt;0,IF(BH8&lt;Capacity!E20,Capacity!F20,Capacity!H20/'Capacity calculation (hide)'!BH8),"")</f>
        <v>1.5652173913043479</v>
      </c>
      <c r="BK8" s="311">
        <f ca="1">IF($BI8&lt;&gt;"",IF('Capacity summary'!$D$14="Yes",IF(COUNTBLANK('Capacity summary'!$H127:$BG127)&lt;52,IF('Capacity summary'!H127&lt;&gt;"",IF(LOWER('Capacity summary'!H127)="x",$BI8*H8,VALUE('Capacity summary'!H127)),0),H8*$BI8),H8*$BI8),0)</f>
        <v>1.5652173913043479</v>
      </c>
      <c r="BL8" s="311">
        <f ca="1">IF($BI8&lt;&gt;"",IF('Capacity summary'!$D$14="Yes",IF(COUNTBLANK('Capacity summary'!$H127:$BG127)&lt;52,IF('Capacity summary'!I127&lt;&gt;"",IF(LOWER('Capacity summary'!I127)="x",$BI8*I8,VALUE('Capacity summary'!I127)),0),I8*$BI8),I8*$BI8),0)</f>
        <v>1.5652173913043479</v>
      </c>
      <c r="BM8" s="311">
        <f ca="1">IF($BI8&lt;&gt;"",IF('Capacity summary'!$D$14="Yes",IF(COUNTBLANK('Capacity summary'!$H127:$BG127)&lt;52,IF('Capacity summary'!J127&lt;&gt;"",IF(LOWER('Capacity summary'!J127)="x",$BI8*J8,VALUE('Capacity summary'!J127)),0),J8*$BI8),J8*$BI8),0)</f>
        <v>1.5652173913043479</v>
      </c>
      <c r="BN8" s="311">
        <f ca="1">IF($BI8&lt;&gt;"",IF('Capacity summary'!$D$14="Yes",IF(COUNTBLANK('Capacity summary'!$H127:$BG127)&lt;52,IF('Capacity summary'!K127&lt;&gt;"",IF(LOWER('Capacity summary'!K127)="x",$BI8*K8,VALUE('Capacity summary'!K127)),0),K8*$BI8),K8*$BI8),0)</f>
        <v>1.5652173913043479</v>
      </c>
      <c r="BO8" s="311">
        <f ca="1">IF($BI8&lt;&gt;"",IF('Capacity summary'!$D$14="Yes",IF(COUNTBLANK('Capacity summary'!$H127:$BG127)&lt;52,IF('Capacity summary'!L127&lt;&gt;"",IF(LOWER('Capacity summary'!L127)="x",$BI8*L8,VALUE('Capacity summary'!L127)),0),L8*$BI8),L8*$BI8),0)</f>
        <v>1.5652173913043479</v>
      </c>
      <c r="BP8" s="311">
        <f ca="1">IF($BI8&lt;&gt;"",IF('Capacity summary'!$D$14="Yes",IF(COUNTBLANK('Capacity summary'!$H127:$BG127)&lt;52,IF('Capacity summary'!M127&lt;&gt;"",IF(LOWER('Capacity summary'!M127)="x",$BI8*M8,VALUE('Capacity summary'!M127)),0),M8*$BI8),M8*$BI8),0)</f>
        <v>1.5652173913043479</v>
      </c>
      <c r="BQ8" s="311">
        <f ca="1">IF($BI8&lt;&gt;"",IF('Capacity summary'!$D$14="Yes",IF(COUNTBLANK('Capacity summary'!$H127:$BG127)&lt;52,IF('Capacity summary'!N127&lt;&gt;"",IF(LOWER('Capacity summary'!N127)="x",$BI8*N8,VALUE('Capacity summary'!N127)),0),N8*$BI8),N8*$BI8),0)</f>
        <v>1.5652173913043479</v>
      </c>
      <c r="BR8" s="311">
        <f ca="1">IF($BI8&lt;&gt;"",IF('Capacity summary'!$D$14="Yes",IF(COUNTBLANK('Capacity summary'!$H127:$BG127)&lt;52,IF('Capacity summary'!O127&lt;&gt;"",IF(LOWER('Capacity summary'!O127)="x",$BI8*O8,VALUE('Capacity summary'!O127)),0),O8*$BI8),O8*$BI8),0)</f>
        <v>1.5652173913043479</v>
      </c>
      <c r="BS8" s="311">
        <f ca="1">IF($BI8&lt;&gt;"",IF('Capacity summary'!$D$14="Yes",IF(COUNTBLANK('Capacity summary'!$H127:$BG127)&lt;52,IF('Capacity summary'!P127&lt;&gt;"",IF(LOWER('Capacity summary'!P127)="x",$BI8*P8,VALUE('Capacity summary'!P127)),0),P8*$BI8),P8*$BI8),0)</f>
        <v>1.5652173913043479</v>
      </c>
      <c r="BT8" s="311">
        <f ca="1">IF($BI8&lt;&gt;"",IF('Capacity summary'!$D$14="Yes",IF(COUNTBLANK('Capacity summary'!$H127:$BG127)&lt;52,IF('Capacity summary'!Q127&lt;&gt;"",IF(LOWER('Capacity summary'!Q127)="x",$BI8*Q8,VALUE('Capacity summary'!Q127)),0),Q8*$BI8),Q8*$BI8),0)</f>
        <v>1.5652173913043479</v>
      </c>
      <c r="BU8" s="311">
        <f ca="1">IF($BI8&lt;&gt;"",IF('Capacity summary'!$D$14="Yes",IF(COUNTBLANK('Capacity summary'!$H127:$BG127)&lt;52,IF('Capacity summary'!R127&lt;&gt;"",IF(LOWER('Capacity summary'!R127)="x",$BI8*R8,VALUE('Capacity summary'!R127)),0),R8*$BI8),R8*$BI8),0)</f>
        <v>1.5652173913043479</v>
      </c>
      <c r="BV8" s="311">
        <f ca="1">IF($BI8&lt;&gt;"",IF('Capacity summary'!$D$14="Yes",IF(COUNTBLANK('Capacity summary'!$H127:$BG127)&lt;52,IF('Capacity summary'!S127&lt;&gt;"",IF(LOWER('Capacity summary'!S127)="x",$BI8*S8,VALUE('Capacity summary'!S127)),0),S8*$BI8),S8*$BI8),0)</f>
        <v>1.5652173913043479</v>
      </c>
      <c r="BW8" s="311">
        <f ca="1">IF($BI8&lt;&gt;"",IF('Capacity summary'!$D$14="Yes",IF(COUNTBLANK('Capacity summary'!$H127:$BG127)&lt;52,IF('Capacity summary'!T127&lt;&gt;"",IF(LOWER('Capacity summary'!T127)="x",$BI8*T8,VALUE('Capacity summary'!T127)),0),T8*$BI8),T8*$BI8),0)</f>
        <v>1.5652173913043479</v>
      </c>
      <c r="BX8" s="311">
        <f ca="1">IF($BI8&lt;&gt;"",IF('Capacity summary'!$D$14="Yes",IF(COUNTBLANK('Capacity summary'!$H127:$BG127)&lt;52,IF('Capacity summary'!U127&lt;&gt;"",IF(LOWER('Capacity summary'!U127)="x",$BI8*U8,VALUE('Capacity summary'!U127)),0),U8*$BI8),U8*$BI8),0)</f>
        <v>1.5652173913043479</v>
      </c>
      <c r="BY8" s="311">
        <f ca="1">IF($BI8&lt;&gt;"",IF('Capacity summary'!$D$14="Yes",IF(COUNTBLANK('Capacity summary'!$H127:$BG127)&lt;52,IF('Capacity summary'!V127&lt;&gt;"",IF(LOWER('Capacity summary'!V127)="x",$BI8*V8,VALUE('Capacity summary'!V127)),0),V8*$BI8),V8*$BI8),0)</f>
        <v>0</v>
      </c>
      <c r="BZ8" s="311">
        <f ca="1">IF($BI8&lt;&gt;"",IF('Capacity summary'!$D$14="Yes",IF(COUNTBLANK('Capacity summary'!$H127:$BG127)&lt;52,IF('Capacity summary'!W127&lt;&gt;"",IF(LOWER('Capacity summary'!W127)="x",$BI8*W8,VALUE('Capacity summary'!W127)),0),W8*$BI8),W8*$BI8),0)</f>
        <v>0</v>
      </c>
      <c r="CA8" s="311">
        <f ca="1">IF($BI8&lt;&gt;"",IF('Capacity summary'!$D$14="Yes",IF(COUNTBLANK('Capacity summary'!$H127:$BG127)&lt;52,IF('Capacity summary'!X127&lt;&gt;"",IF(LOWER('Capacity summary'!X127)="x",$BI8*X8,VALUE('Capacity summary'!X127)),0),X8*$BI8),X8*$BI8),0)</f>
        <v>0</v>
      </c>
      <c r="CB8" s="311">
        <f ca="1">IF($BI8&lt;&gt;"",IF('Capacity summary'!$D$14="Yes",IF(COUNTBLANK('Capacity summary'!$H127:$BG127)&lt;52,IF('Capacity summary'!Y127&lt;&gt;"",IF(LOWER('Capacity summary'!Y127)="x",$BI8*Y8,VALUE('Capacity summary'!Y127)),0),Y8*$BI8),Y8*$BI8),0)</f>
        <v>0</v>
      </c>
      <c r="CC8" s="311">
        <f ca="1">IF($BI8&lt;&gt;"",IF('Capacity summary'!$D$14="Yes",IF(COUNTBLANK('Capacity summary'!$H127:$BG127)&lt;52,IF('Capacity summary'!Z127&lt;&gt;"",IF(LOWER('Capacity summary'!Z127)="x",$BI8*Z8,VALUE('Capacity summary'!Z127)),0),Z8*$BI8),Z8*$BI8),0)</f>
        <v>0</v>
      </c>
      <c r="CD8" s="311">
        <f ca="1">IF($BI8&lt;&gt;"",IF('Capacity summary'!$D$14="Yes",IF(COUNTBLANK('Capacity summary'!$H127:$BG127)&lt;52,IF('Capacity summary'!AA127&lt;&gt;"",IF(LOWER('Capacity summary'!AA127)="x",$BI8*AA8,VALUE('Capacity summary'!AA127)),0),AA8*$BI8),AA8*$BI8),0)</f>
        <v>0</v>
      </c>
      <c r="CE8" s="311">
        <f ca="1">IF($BI8&lt;&gt;"",IF('Capacity summary'!$D$14="Yes",IF(COUNTBLANK('Capacity summary'!$H127:$BG127)&lt;52,IF('Capacity summary'!AB127&lt;&gt;"",IF(LOWER('Capacity summary'!AB127)="x",$BI8*AB8,VALUE('Capacity summary'!AB127)),0),AB8*$BI8),AB8*$BI8),0)</f>
        <v>1.5652173913043479</v>
      </c>
      <c r="CF8" s="311">
        <f ca="1">IF($BI8&lt;&gt;"",IF('Capacity summary'!$D$14="Yes",IF(COUNTBLANK('Capacity summary'!$H127:$BG127)&lt;52,IF('Capacity summary'!AC127&lt;&gt;"",IF(LOWER('Capacity summary'!AC127)="x",$BI8*AC8,VALUE('Capacity summary'!AC127)),0),AC8*$BI8),AC8*$BI8),0)</f>
        <v>1.5652173913043479</v>
      </c>
      <c r="CG8" s="311">
        <f ca="1">IF($BI8&lt;&gt;"",IF('Capacity summary'!$D$14="Yes",IF(COUNTBLANK('Capacity summary'!$H127:$BG127)&lt;52,IF('Capacity summary'!AD127&lt;&gt;"",IF(LOWER('Capacity summary'!AD127)="x",$BI8*AD8,VALUE('Capacity summary'!AD127)),0),AD8*$BI8),AD8*$BI8),0)</f>
        <v>1.5652173913043479</v>
      </c>
      <c r="CH8" s="311">
        <f ca="1">IF($BI8&lt;&gt;"",IF('Capacity summary'!$D$14="Yes",IF(COUNTBLANK('Capacity summary'!$H127:$BG127)&lt;52,IF('Capacity summary'!AE127&lt;&gt;"",IF(LOWER('Capacity summary'!AE127)="x",$BI8*AE8,VALUE('Capacity summary'!AE127)),0),AE8*$BI8),AE8*$BI8),0)</f>
        <v>1.5652173913043479</v>
      </c>
      <c r="CI8" s="311">
        <f ca="1">IF($BI8&lt;&gt;"",IF('Capacity summary'!$D$14="Yes",IF(COUNTBLANK('Capacity summary'!$H127:$BG127)&lt;52,IF('Capacity summary'!AF127&lt;&gt;"",IF(LOWER('Capacity summary'!AF127)="x",$BI8*AF8,VALUE('Capacity summary'!AF127)),0),AF8*$BI8),AF8*$BI8),0)</f>
        <v>1.5652173913043479</v>
      </c>
      <c r="CJ8" s="311">
        <f ca="1">IF($BI8&lt;&gt;"",IF('Capacity summary'!$D$14="Yes",IF(COUNTBLANK('Capacity summary'!$H127:$BG127)&lt;52,IF('Capacity summary'!AG127&lt;&gt;"",IF(LOWER('Capacity summary'!AG127)="x",$BI8*AG8,VALUE('Capacity summary'!AG127)),0),AG8*$BI8),AG8*$BI8),0)</f>
        <v>1.5652173913043479</v>
      </c>
      <c r="CK8" s="311">
        <f ca="1">IF($BI8&lt;&gt;"",IF('Capacity summary'!$D$14="Yes",IF(COUNTBLANK('Capacity summary'!$H127:$BG127)&lt;52,IF('Capacity summary'!AH127&lt;&gt;"",IF(LOWER('Capacity summary'!AH127)="x",$BI8*AH8,VALUE('Capacity summary'!AH127)),0),AH8*$BI8),AH8*$BI8),0)</f>
        <v>1.5652173913043479</v>
      </c>
      <c r="CL8" s="311">
        <f ca="1">IF($BI8&lt;&gt;"",IF('Capacity summary'!$D$14="Yes",IF(COUNTBLANK('Capacity summary'!$H127:$BG127)&lt;52,IF('Capacity summary'!AI127&lt;&gt;"",IF(LOWER('Capacity summary'!AI127)="x",$BI8*AI8,VALUE('Capacity summary'!AI127)),0),AI8*$BI8),AI8*$BI8),0)</f>
        <v>1.5652173913043479</v>
      </c>
      <c r="CM8" s="311">
        <f ca="1">IF($BI8&lt;&gt;"",IF('Capacity summary'!$D$14="Yes",IF(COUNTBLANK('Capacity summary'!$H127:$BG127)&lt;52,IF('Capacity summary'!AJ127&lt;&gt;"",IF(LOWER('Capacity summary'!AJ127)="x",$BI8*AJ8,VALUE('Capacity summary'!AJ127)),0),AJ8*$BI8),AJ8*$BI8),0)</f>
        <v>1.5652173913043479</v>
      </c>
      <c r="CN8" s="311">
        <f ca="1">IF($BI8&lt;&gt;"",IF('Capacity summary'!$D$14="Yes",IF(COUNTBLANK('Capacity summary'!$H127:$BG127)&lt;52,IF('Capacity summary'!AK127&lt;&gt;"",IF(LOWER('Capacity summary'!AK127)="x",$BI8*AK8,VALUE('Capacity summary'!AK127)),0),AK8*$BI8),AK8*$BI8),0)</f>
        <v>1.5652173913043479</v>
      </c>
      <c r="CO8" s="311">
        <f ca="1">IF($BI8&lt;&gt;"",IF('Capacity summary'!$D$14="Yes",IF(COUNTBLANK('Capacity summary'!$H127:$BG127)&lt;52,IF('Capacity summary'!AL127&lt;&gt;"",IF(LOWER('Capacity summary'!AL127)="x",$BI8*AL8,VALUE('Capacity summary'!AL127)),0),AL8*$BI8),AL8*$BI8),0)</f>
        <v>1.5652173913043479</v>
      </c>
      <c r="CP8" s="311">
        <f ca="1">IF($BI8&lt;&gt;"",IF('Capacity summary'!$D$14="Yes",IF(COUNTBLANK('Capacity summary'!$H127:$BG127)&lt;52,IF('Capacity summary'!AM127&lt;&gt;"",IF(LOWER('Capacity summary'!AM127)="x",$BI8*AM8,VALUE('Capacity summary'!AM127)),0),AM8*$BI8),AM8*$BI8),0)</f>
        <v>1.5652173913043479</v>
      </c>
      <c r="CQ8" s="311">
        <f ca="1">IF($BI8&lt;&gt;"",IF('Capacity summary'!$D$14="Yes",IF(COUNTBLANK('Capacity summary'!$H127:$BG127)&lt;52,IF('Capacity summary'!AN127&lt;&gt;"",IF(LOWER('Capacity summary'!AN127)="x",$BI8*AN8,VALUE('Capacity summary'!AN127)),0),AN8*$BI8),AN8*$BI8),0)</f>
        <v>1.5652173913043479</v>
      </c>
      <c r="CR8" s="311">
        <f ca="1">IF($BI8&lt;&gt;"",IF('Capacity summary'!$D$14="Yes",IF(COUNTBLANK('Capacity summary'!$H127:$BG127)&lt;52,IF('Capacity summary'!AO127&lt;&gt;"",IF(LOWER('Capacity summary'!AO127)="x",$BI8*AO8,VALUE('Capacity summary'!AO127)),0),AO8*$BI8),AO8*$BI8),0)</f>
        <v>1.5652173913043479</v>
      </c>
      <c r="CS8" s="311">
        <f ca="1">IF($BI8&lt;&gt;"",IF('Capacity summary'!$D$14="Yes",IF(COUNTBLANK('Capacity summary'!$H127:$BG127)&lt;52,IF('Capacity summary'!AP127&lt;&gt;"",IF(LOWER('Capacity summary'!AP127)="x",$BI8*AP8,VALUE('Capacity summary'!AP127)),0),AP8*$BI8),AP8*$BI8),0)</f>
        <v>1.5652173913043479</v>
      </c>
      <c r="CT8" s="311">
        <f ca="1">IF($BI8&lt;&gt;"",IF('Capacity summary'!$D$14="Yes",IF(COUNTBLANK('Capacity summary'!$H127:$BG127)&lt;52,IF('Capacity summary'!AQ127&lt;&gt;"",IF(LOWER('Capacity summary'!AQ127)="x",$BI8*AQ8,VALUE('Capacity summary'!AQ127)),0),AQ8*$BI8),AQ8*$BI8),0)</f>
        <v>1.5652173913043479</v>
      </c>
      <c r="CU8" s="311">
        <f ca="1">IF($BI8&lt;&gt;"",IF('Capacity summary'!$D$14="Yes",IF(COUNTBLANK('Capacity summary'!$H127:$BG127)&lt;52,IF('Capacity summary'!AR127&lt;&gt;"",IF(LOWER('Capacity summary'!AR127)="x",$BI8*AR8,VALUE('Capacity summary'!AR127)),0),AR8*$BI8),AR8*$BI8),0)</f>
        <v>1.5652173913043479</v>
      </c>
      <c r="CV8" s="311">
        <f ca="1">IF($BI8&lt;&gt;"",IF('Capacity summary'!$D$14="Yes",IF(COUNTBLANK('Capacity summary'!$H127:$BG127)&lt;52,IF('Capacity summary'!AS127&lt;&gt;"",IF(LOWER('Capacity summary'!AS127)="x",$BI8*AS8,VALUE('Capacity summary'!AS127)),0),AS8*$BI8),AS8*$BI8),0)</f>
        <v>1.5652173913043479</v>
      </c>
      <c r="CW8" s="311">
        <f ca="1">IF($BI8&lt;&gt;"",IF('Capacity summary'!$D$14="Yes",IF(COUNTBLANK('Capacity summary'!$H127:$BG127)&lt;52,IF('Capacity summary'!AT127&lt;&gt;"",IF(LOWER('Capacity summary'!AT127)="x",$BI8*AT8,VALUE('Capacity summary'!AT127)),0),AT8*$BI8),AT8*$BI8),0)</f>
        <v>1.5652173913043479</v>
      </c>
      <c r="CX8" s="311">
        <f ca="1">IF($BI8&lt;&gt;"",IF('Capacity summary'!$D$14="Yes",IF(COUNTBLANK('Capacity summary'!$H127:$BG127)&lt;52,IF('Capacity summary'!AU127&lt;&gt;"",IF(LOWER('Capacity summary'!AU127)="x",$BI8*AU8,VALUE('Capacity summary'!AU127)),0),AU8*$BI8),AU8*$BI8),0)</f>
        <v>1.5652173913043479</v>
      </c>
      <c r="CY8" s="311">
        <f ca="1">IF($BI8&lt;&gt;"",IF('Capacity summary'!$D$14="Yes",IF(COUNTBLANK('Capacity summary'!$H127:$BG127)&lt;52,IF('Capacity summary'!AV127&lt;&gt;"",IF(LOWER('Capacity summary'!AV127)="x",$BI8*AV8,VALUE('Capacity summary'!AV127)),0),AV8*$BI8),AV8*$BI8),0)</f>
        <v>1.5652173913043479</v>
      </c>
      <c r="CZ8" s="311">
        <f ca="1">IF($BI8&lt;&gt;"",IF('Capacity summary'!$D$14="Yes",IF(COUNTBLANK('Capacity summary'!$H127:$BG127)&lt;52,IF('Capacity summary'!AW127&lt;&gt;"",IF(LOWER('Capacity summary'!AW127)="x",$BI8*AW8,VALUE('Capacity summary'!AW127)),0),AW8*$BI8),AW8*$BI8),0)</f>
        <v>1.5652173913043479</v>
      </c>
      <c r="DA8" s="311">
        <f ca="1">IF($BI8&lt;&gt;"",IF('Capacity summary'!$D$14="Yes",IF(COUNTBLANK('Capacity summary'!$H127:$BG127)&lt;52,IF('Capacity summary'!AX127&lt;&gt;"",IF(LOWER('Capacity summary'!AX127)="x",$BI8*AX8,VALUE('Capacity summary'!AX127)),0),AX8*$BI8),AX8*$BI8),0)</f>
        <v>1.5652173913043479</v>
      </c>
      <c r="DB8" s="311">
        <f ca="1">IF($BI8&lt;&gt;"",IF('Capacity summary'!$D$14="Yes",IF(COUNTBLANK('Capacity summary'!$H127:$BG127)&lt;52,IF('Capacity summary'!AY127&lt;&gt;"",IF(LOWER('Capacity summary'!AY127)="x",$BI8*AY8,VALUE('Capacity summary'!AY127)),0),AY8*$BI8),AY8*$BI8),0)</f>
        <v>1.5652173913043479</v>
      </c>
      <c r="DC8" s="311">
        <f ca="1">IF($BI8&lt;&gt;"",IF('Capacity summary'!$D$14="Yes",IF(COUNTBLANK('Capacity summary'!$H127:$BG127)&lt;52,IF('Capacity summary'!AZ127&lt;&gt;"",IF(LOWER('Capacity summary'!AZ127)="x",$BI8*AZ8,VALUE('Capacity summary'!AZ127)),0),AZ8*$BI8),AZ8*$BI8),0)</f>
        <v>1.5652173913043479</v>
      </c>
      <c r="DD8" s="311">
        <f ca="1">IF($BI8&lt;&gt;"",IF('Capacity summary'!$D$14="Yes",IF(COUNTBLANK('Capacity summary'!$H127:$BG127)&lt;52,IF('Capacity summary'!BA127&lt;&gt;"",IF(LOWER('Capacity summary'!BA127)="x",$BI8*BA8,VALUE('Capacity summary'!BA127)),0),BA8*$BI8),BA8*$BI8),0)</f>
        <v>1.5652173913043479</v>
      </c>
      <c r="DE8" s="311">
        <f ca="1">IF($BI8&lt;&gt;"",IF('Capacity summary'!$D$14="Yes",IF(COUNTBLANK('Capacity summary'!$H127:$BG127)&lt;52,IF('Capacity summary'!BB127&lt;&gt;"",IF(LOWER('Capacity summary'!BB127)="x",$BI8*BB8,VALUE('Capacity summary'!BB127)),0),BB8*$BI8),BB8*$BI8),0)</f>
        <v>1.5652173913043479</v>
      </c>
      <c r="DF8" s="311">
        <f ca="1">IF($BI8&lt;&gt;"",IF('Capacity summary'!$D$14="Yes",IF(COUNTBLANK('Capacity summary'!$H127:$BG127)&lt;52,IF('Capacity summary'!BC127&lt;&gt;"",IF(LOWER('Capacity summary'!BC127)="x",$BI8*BC8,VALUE('Capacity summary'!BC127)),0),BC8*$BI8),BC8*$BI8),0)</f>
        <v>1.5652173913043479</v>
      </c>
      <c r="DG8" s="311">
        <f ca="1">IF($BI8&lt;&gt;"",IF('Capacity summary'!$D$14="Yes",IF(COUNTBLANK('Capacity summary'!$H127:$BG127)&lt;52,IF('Capacity summary'!BD127&lt;&gt;"",IF(LOWER('Capacity summary'!BD127)="x",$BI8*BD8,VALUE('Capacity summary'!BD127)),0),BD8*$BI8),BD8*$BI8),0)</f>
        <v>1.5652173913043479</v>
      </c>
      <c r="DH8" s="311">
        <f ca="1">IF($BI8&lt;&gt;"",IF('Capacity summary'!$D$14="Yes",IF(COUNTBLANK('Capacity summary'!$H127:$BG127)&lt;52,IF('Capacity summary'!BE127&lt;&gt;"",IF(LOWER('Capacity summary'!BE127)="x",$BI8*BE8,VALUE('Capacity summary'!BE127)),0),BE8*$BI8),BE8*$BI8),0)</f>
        <v>1.5652173913043479</v>
      </c>
      <c r="DI8" s="311">
        <f ca="1">IF($BI8&lt;&gt;"",IF('Capacity summary'!$D$14="Yes",IF(COUNTBLANK('Capacity summary'!$H127:$BG127)&lt;52,IF('Capacity summary'!BF127&lt;&gt;"",IF(LOWER('Capacity summary'!BF127)="x",$BI8*BF8,VALUE('Capacity summary'!BF127)),0),BF8*$BI8),BF8*$BI8),0)</f>
        <v>1.5652173913043479</v>
      </c>
      <c r="DJ8" s="311">
        <f ca="1">IF($BI8&lt;&gt;"",IF('Capacity summary'!$D$14="Yes",IF(COUNTBLANK('Capacity summary'!$H127:$BG127)&lt;52,IF('Capacity summary'!BG127&lt;&gt;"",IF(LOWER('Capacity summary'!BG127)="x",$BI8*BG8,VALUE('Capacity summary'!BG127)),0),BG8*$BI8),BG8*$BI8),0)</f>
        <v>1.5652173913043479</v>
      </c>
      <c r="DK8" s="387">
        <f t="shared" ca="1" si="2"/>
        <v>1.5652173913043479</v>
      </c>
      <c r="DL8" s="136">
        <f t="shared" ca="1" si="3"/>
        <v>72.000000000000043</v>
      </c>
      <c r="DM8" s="311">
        <f>Capacity!H20</f>
        <v>72</v>
      </c>
      <c r="DQ8" s="5"/>
    </row>
    <row r="9" spans="1:121" x14ac:dyDescent="0.2">
      <c r="A9" s="67">
        <f>IF(Capacity!L21='Capacity summary'!BI128,1,0)</f>
        <v>1</v>
      </c>
      <c r="B9" s="67">
        <f>IF(Capacity!V21='Capacity summary'!BI28,1,0)</f>
        <v>1</v>
      </c>
      <c r="C9" s="67" t="str">
        <f>ROW(A5)&amp;". "&amp;Capacity!B21</f>
        <v xml:space="preserve">5. </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IF(ROW(C5)&lt;=Capacity!$A$16,IF('Capacity summary'!$D$14="No",SUM(H9:BG9),'Capacity summary'!$E128),0)</f>
        <v>0</v>
      </c>
      <c r="BI9" s="5" t="str">
        <f>IF(BH9&gt;0,IF(BH9&lt;Capacity!E21,Capacity!F21,Capacity!H21/'Capacity calculation (hide)'!BH9),"")</f>
        <v/>
      </c>
      <c r="BK9" s="311">
        <f>IF($BI9&lt;&gt;"",IF('Capacity summary'!$D$14="Yes",IF(COUNTBLANK('Capacity summary'!$H128:$BG128)&lt;52,IF('Capacity summary'!H128&lt;&gt;"",IF(LOWER('Capacity summary'!H128)="x",$BI9*H9,VALUE('Capacity summary'!H128)),0),H9*$BI9),H9*$BI9),0)</f>
        <v>0</v>
      </c>
      <c r="BL9" s="311">
        <f>IF($BI9&lt;&gt;"",IF('Capacity summary'!$D$14="Yes",IF(COUNTBLANK('Capacity summary'!$H128:$BG128)&lt;52,IF('Capacity summary'!I128&lt;&gt;"",IF(LOWER('Capacity summary'!I128)="x",$BI9*I9,VALUE('Capacity summary'!I128)),0),I9*$BI9),I9*$BI9),0)</f>
        <v>0</v>
      </c>
      <c r="BM9" s="311">
        <f>IF($BI9&lt;&gt;"",IF('Capacity summary'!$D$14="Yes",IF(COUNTBLANK('Capacity summary'!$H128:$BG128)&lt;52,IF('Capacity summary'!J128&lt;&gt;"",IF(LOWER('Capacity summary'!J128)="x",$BI9*J9,VALUE('Capacity summary'!J128)),0),J9*$BI9),J9*$BI9),0)</f>
        <v>0</v>
      </c>
      <c r="BN9" s="311">
        <f>IF($BI9&lt;&gt;"",IF('Capacity summary'!$D$14="Yes",IF(COUNTBLANK('Capacity summary'!$H128:$BG128)&lt;52,IF('Capacity summary'!K128&lt;&gt;"",IF(LOWER('Capacity summary'!K128)="x",$BI9*K9,VALUE('Capacity summary'!K128)),0),K9*$BI9),K9*$BI9),0)</f>
        <v>0</v>
      </c>
      <c r="BO9" s="311">
        <f>IF($BI9&lt;&gt;"",IF('Capacity summary'!$D$14="Yes",IF(COUNTBLANK('Capacity summary'!$H128:$BG128)&lt;52,IF('Capacity summary'!L128&lt;&gt;"",IF(LOWER('Capacity summary'!L128)="x",$BI9*L9,VALUE('Capacity summary'!L128)),0),L9*$BI9),L9*$BI9),0)</f>
        <v>0</v>
      </c>
      <c r="BP9" s="311">
        <f>IF($BI9&lt;&gt;"",IF('Capacity summary'!$D$14="Yes",IF(COUNTBLANK('Capacity summary'!$H128:$BG128)&lt;52,IF('Capacity summary'!M128&lt;&gt;"",IF(LOWER('Capacity summary'!M128)="x",$BI9*M9,VALUE('Capacity summary'!M128)),0),M9*$BI9),M9*$BI9),0)</f>
        <v>0</v>
      </c>
      <c r="BQ9" s="311">
        <f>IF($BI9&lt;&gt;"",IF('Capacity summary'!$D$14="Yes",IF(COUNTBLANK('Capacity summary'!$H128:$BG128)&lt;52,IF('Capacity summary'!N128&lt;&gt;"",IF(LOWER('Capacity summary'!N128)="x",$BI9*N9,VALUE('Capacity summary'!N128)),0),N9*$BI9),N9*$BI9),0)</f>
        <v>0</v>
      </c>
      <c r="BR9" s="311">
        <f>IF($BI9&lt;&gt;"",IF('Capacity summary'!$D$14="Yes",IF(COUNTBLANK('Capacity summary'!$H128:$BG128)&lt;52,IF('Capacity summary'!O128&lt;&gt;"",IF(LOWER('Capacity summary'!O128)="x",$BI9*O9,VALUE('Capacity summary'!O128)),0),O9*$BI9),O9*$BI9),0)</f>
        <v>0</v>
      </c>
      <c r="BS9" s="311">
        <f>IF($BI9&lt;&gt;"",IF('Capacity summary'!$D$14="Yes",IF(COUNTBLANK('Capacity summary'!$H128:$BG128)&lt;52,IF('Capacity summary'!P128&lt;&gt;"",IF(LOWER('Capacity summary'!P128)="x",$BI9*P9,VALUE('Capacity summary'!P128)),0),P9*$BI9),P9*$BI9),0)</f>
        <v>0</v>
      </c>
      <c r="BT9" s="311">
        <f>IF($BI9&lt;&gt;"",IF('Capacity summary'!$D$14="Yes",IF(COUNTBLANK('Capacity summary'!$H128:$BG128)&lt;52,IF('Capacity summary'!Q128&lt;&gt;"",IF(LOWER('Capacity summary'!Q128)="x",$BI9*Q9,VALUE('Capacity summary'!Q128)),0),Q9*$BI9),Q9*$BI9),0)</f>
        <v>0</v>
      </c>
      <c r="BU9" s="311">
        <f>IF($BI9&lt;&gt;"",IF('Capacity summary'!$D$14="Yes",IF(COUNTBLANK('Capacity summary'!$H128:$BG128)&lt;52,IF('Capacity summary'!R128&lt;&gt;"",IF(LOWER('Capacity summary'!R128)="x",$BI9*R9,VALUE('Capacity summary'!R128)),0),R9*$BI9),R9*$BI9),0)</f>
        <v>0</v>
      </c>
      <c r="BV9" s="311">
        <f>IF($BI9&lt;&gt;"",IF('Capacity summary'!$D$14="Yes",IF(COUNTBLANK('Capacity summary'!$H128:$BG128)&lt;52,IF('Capacity summary'!S128&lt;&gt;"",IF(LOWER('Capacity summary'!S128)="x",$BI9*S9,VALUE('Capacity summary'!S128)),0),S9*$BI9),S9*$BI9),0)</f>
        <v>0</v>
      </c>
      <c r="BW9" s="311">
        <f>IF($BI9&lt;&gt;"",IF('Capacity summary'!$D$14="Yes",IF(COUNTBLANK('Capacity summary'!$H128:$BG128)&lt;52,IF('Capacity summary'!T128&lt;&gt;"",IF(LOWER('Capacity summary'!T128)="x",$BI9*T9,VALUE('Capacity summary'!T128)),0),T9*$BI9),T9*$BI9),0)</f>
        <v>0</v>
      </c>
      <c r="BX9" s="311">
        <f>IF($BI9&lt;&gt;"",IF('Capacity summary'!$D$14="Yes",IF(COUNTBLANK('Capacity summary'!$H128:$BG128)&lt;52,IF('Capacity summary'!U128&lt;&gt;"",IF(LOWER('Capacity summary'!U128)="x",$BI9*U9,VALUE('Capacity summary'!U128)),0),U9*$BI9),U9*$BI9),0)</f>
        <v>0</v>
      </c>
      <c r="BY9" s="311">
        <f>IF($BI9&lt;&gt;"",IF('Capacity summary'!$D$14="Yes",IF(COUNTBLANK('Capacity summary'!$H128:$BG128)&lt;52,IF('Capacity summary'!V128&lt;&gt;"",IF(LOWER('Capacity summary'!V128)="x",$BI9*V9,VALUE('Capacity summary'!V128)),0),V9*$BI9),V9*$BI9),0)</f>
        <v>0</v>
      </c>
      <c r="BZ9" s="311">
        <f>IF($BI9&lt;&gt;"",IF('Capacity summary'!$D$14="Yes",IF(COUNTBLANK('Capacity summary'!$H128:$BG128)&lt;52,IF('Capacity summary'!W128&lt;&gt;"",IF(LOWER('Capacity summary'!W128)="x",$BI9*W9,VALUE('Capacity summary'!W128)),0),W9*$BI9),W9*$BI9),0)</f>
        <v>0</v>
      </c>
      <c r="CA9" s="311">
        <f>IF($BI9&lt;&gt;"",IF('Capacity summary'!$D$14="Yes",IF(COUNTBLANK('Capacity summary'!$H128:$BG128)&lt;52,IF('Capacity summary'!X128&lt;&gt;"",IF(LOWER('Capacity summary'!X128)="x",$BI9*X9,VALUE('Capacity summary'!X128)),0),X9*$BI9),X9*$BI9),0)</f>
        <v>0</v>
      </c>
      <c r="CB9" s="311">
        <f>IF($BI9&lt;&gt;"",IF('Capacity summary'!$D$14="Yes",IF(COUNTBLANK('Capacity summary'!$H128:$BG128)&lt;52,IF('Capacity summary'!Y128&lt;&gt;"",IF(LOWER('Capacity summary'!Y128)="x",$BI9*Y9,VALUE('Capacity summary'!Y128)),0),Y9*$BI9),Y9*$BI9),0)</f>
        <v>0</v>
      </c>
      <c r="CC9" s="311">
        <f>IF($BI9&lt;&gt;"",IF('Capacity summary'!$D$14="Yes",IF(COUNTBLANK('Capacity summary'!$H128:$BG128)&lt;52,IF('Capacity summary'!Z128&lt;&gt;"",IF(LOWER('Capacity summary'!Z128)="x",$BI9*Z9,VALUE('Capacity summary'!Z128)),0),Z9*$BI9),Z9*$BI9),0)</f>
        <v>0</v>
      </c>
      <c r="CD9" s="311">
        <f>IF($BI9&lt;&gt;"",IF('Capacity summary'!$D$14="Yes",IF(COUNTBLANK('Capacity summary'!$H128:$BG128)&lt;52,IF('Capacity summary'!AA128&lt;&gt;"",IF(LOWER('Capacity summary'!AA128)="x",$BI9*AA9,VALUE('Capacity summary'!AA128)),0),AA9*$BI9),AA9*$BI9),0)</f>
        <v>0</v>
      </c>
      <c r="CE9" s="311">
        <f>IF($BI9&lt;&gt;"",IF('Capacity summary'!$D$14="Yes",IF(COUNTBLANK('Capacity summary'!$H128:$BG128)&lt;52,IF('Capacity summary'!AB128&lt;&gt;"",IF(LOWER('Capacity summary'!AB128)="x",$BI9*AB9,VALUE('Capacity summary'!AB128)),0),AB9*$BI9),AB9*$BI9),0)</f>
        <v>0</v>
      </c>
      <c r="CF9" s="311">
        <f>IF($BI9&lt;&gt;"",IF('Capacity summary'!$D$14="Yes",IF(COUNTBLANK('Capacity summary'!$H128:$BG128)&lt;52,IF('Capacity summary'!AC128&lt;&gt;"",IF(LOWER('Capacity summary'!AC128)="x",$BI9*AC9,VALUE('Capacity summary'!AC128)),0),AC9*$BI9),AC9*$BI9),0)</f>
        <v>0</v>
      </c>
      <c r="CG9" s="311">
        <f>IF($BI9&lt;&gt;"",IF('Capacity summary'!$D$14="Yes",IF(COUNTBLANK('Capacity summary'!$H128:$BG128)&lt;52,IF('Capacity summary'!AD128&lt;&gt;"",IF(LOWER('Capacity summary'!AD128)="x",$BI9*AD9,VALUE('Capacity summary'!AD128)),0),AD9*$BI9),AD9*$BI9),0)</f>
        <v>0</v>
      </c>
      <c r="CH9" s="311">
        <f>IF($BI9&lt;&gt;"",IF('Capacity summary'!$D$14="Yes",IF(COUNTBLANK('Capacity summary'!$H128:$BG128)&lt;52,IF('Capacity summary'!AE128&lt;&gt;"",IF(LOWER('Capacity summary'!AE128)="x",$BI9*AE9,VALUE('Capacity summary'!AE128)),0),AE9*$BI9),AE9*$BI9),0)</f>
        <v>0</v>
      </c>
      <c r="CI9" s="311">
        <f>IF($BI9&lt;&gt;"",IF('Capacity summary'!$D$14="Yes",IF(COUNTBLANK('Capacity summary'!$H128:$BG128)&lt;52,IF('Capacity summary'!AF128&lt;&gt;"",IF(LOWER('Capacity summary'!AF128)="x",$BI9*AF9,VALUE('Capacity summary'!AF128)),0),AF9*$BI9),AF9*$BI9),0)</f>
        <v>0</v>
      </c>
      <c r="CJ9" s="311">
        <f>IF($BI9&lt;&gt;"",IF('Capacity summary'!$D$14="Yes",IF(COUNTBLANK('Capacity summary'!$H128:$BG128)&lt;52,IF('Capacity summary'!AG128&lt;&gt;"",IF(LOWER('Capacity summary'!AG128)="x",$BI9*AG9,VALUE('Capacity summary'!AG128)),0),AG9*$BI9),AG9*$BI9),0)</f>
        <v>0</v>
      </c>
      <c r="CK9" s="311">
        <f>IF($BI9&lt;&gt;"",IF('Capacity summary'!$D$14="Yes",IF(COUNTBLANK('Capacity summary'!$H128:$BG128)&lt;52,IF('Capacity summary'!AH128&lt;&gt;"",IF(LOWER('Capacity summary'!AH128)="x",$BI9*AH9,VALUE('Capacity summary'!AH128)),0),AH9*$BI9),AH9*$BI9),0)</f>
        <v>0</v>
      </c>
      <c r="CL9" s="311">
        <f>IF($BI9&lt;&gt;"",IF('Capacity summary'!$D$14="Yes",IF(COUNTBLANK('Capacity summary'!$H128:$BG128)&lt;52,IF('Capacity summary'!AI128&lt;&gt;"",IF(LOWER('Capacity summary'!AI128)="x",$BI9*AI9,VALUE('Capacity summary'!AI128)),0),AI9*$BI9),AI9*$BI9),0)</f>
        <v>0</v>
      </c>
      <c r="CM9" s="311">
        <f>IF($BI9&lt;&gt;"",IF('Capacity summary'!$D$14="Yes",IF(COUNTBLANK('Capacity summary'!$H128:$BG128)&lt;52,IF('Capacity summary'!AJ128&lt;&gt;"",IF(LOWER('Capacity summary'!AJ128)="x",$BI9*AJ9,VALUE('Capacity summary'!AJ128)),0),AJ9*$BI9),AJ9*$BI9),0)</f>
        <v>0</v>
      </c>
      <c r="CN9" s="311">
        <f>IF($BI9&lt;&gt;"",IF('Capacity summary'!$D$14="Yes",IF(COUNTBLANK('Capacity summary'!$H128:$BG128)&lt;52,IF('Capacity summary'!AK128&lt;&gt;"",IF(LOWER('Capacity summary'!AK128)="x",$BI9*AK9,VALUE('Capacity summary'!AK128)),0),AK9*$BI9),AK9*$BI9),0)</f>
        <v>0</v>
      </c>
      <c r="CO9" s="311">
        <f>IF($BI9&lt;&gt;"",IF('Capacity summary'!$D$14="Yes",IF(COUNTBLANK('Capacity summary'!$H128:$BG128)&lt;52,IF('Capacity summary'!AL128&lt;&gt;"",IF(LOWER('Capacity summary'!AL128)="x",$BI9*AL9,VALUE('Capacity summary'!AL128)),0),AL9*$BI9),AL9*$BI9),0)</f>
        <v>0</v>
      </c>
      <c r="CP9" s="311">
        <f>IF($BI9&lt;&gt;"",IF('Capacity summary'!$D$14="Yes",IF(COUNTBLANK('Capacity summary'!$H128:$BG128)&lt;52,IF('Capacity summary'!AM128&lt;&gt;"",IF(LOWER('Capacity summary'!AM128)="x",$BI9*AM9,VALUE('Capacity summary'!AM128)),0),AM9*$BI9),AM9*$BI9),0)</f>
        <v>0</v>
      </c>
      <c r="CQ9" s="311">
        <f>IF($BI9&lt;&gt;"",IF('Capacity summary'!$D$14="Yes",IF(COUNTBLANK('Capacity summary'!$H128:$BG128)&lt;52,IF('Capacity summary'!AN128&lt;&gt;"",IF(LOWER('Capacity summary'!AN128)="x",$BI9*AN9,VALUE('Capacity summary'!AN128)),0),AN9*$BI9),AN9*$BI9),0)</f>
        <v>0</v>
      </c>
      <c r="CR9" s="311">
        <f>IF($BI9&lt;&gt;"",IF('Capacity summary'!$D$14="Yes",IF(COUNTBLANK('Capacity summary'!$H128:$BG128)&lt;52,IF('Capacity summary'!AO128&lt;&gt;"",IF(LOWER('Capacity summary'!AO128)="x",$BI9*AO9,VALUE('Capacity summary'!AO128)),0),AO9*$BI9),AO9*$BI9),0)</f>
        <v>0</v>
      </c>
      <c r="CS9" s="311">
        <f>IF($BI9&lt;&gt;"",IF('Capacity summary'!$D$14="Yes",IF(COUNTBLANK('Capacity summary'!$H128:$BG128)&lt;52,IF('Capacity summary'!AP128&lt;&gt;"",IF(LOWER('Capacity summary'!AP128)="x",$BI9*AP9,VALUE('Capacity summary'!AP128)),0),AP9*$BI9),AP9*$BI9),0)</f>
        <v>0</v>
      </c>
      <c r="CT9" s="311">
        <f>IF($BI9&lt;&gt;"",IF('Capacity summary'!$D$14="Yes",IF(COUNTBLANK('Capacity summary'!$H128:$BG128)&lt;52,IF('Capacity summary'!AQ128&lt;&gt;"",IF(LOWER('Capacity summary'!AQ128)="x",$BI9*AQ9,VALUE('Capacity summary'!AQ128)),0),AQ9*$BI9),AQ9*$BI9),0)</f>
        <v>0</v>
      </c>
      <c r="CU9" s="311">
        <f>IF($BI9&lt;&gt;"",IF('Capacity summary'!$D$14="Yes",IF(COUNTBLANK('Capacity summary'!$H128:$BG128)&lt;52,IF('Capacity summary'!AR128&lt;&gt;"",IF(LOWER('Capacity summary'!AR128)="x",$BI9*AR9,VALUE('Capacity summary'!AR128)),0),AR9*$BI9),AR9*$BI9),0)</f>
        <v>0</v>
      </c>
      <c r="CV9" s="311">
        <f>IF($BI9&lt;&gt;"",IF('Capacity summary'!$D$14="Yes",IF(COUNTBLANK('Capacity summary'!$H128:$BG128)&lt;52,IF('Capacity summary'!AS128&lt;&gt;"",IF(LOWER('Capacity summary'!AS128)="x",$BI9*AS9,VALUE('Capacity summary'!AS128)),0),AS9*$BI9),AS9*$BI9),0)</f>
        <v>0</v>
      </c>
      <c r="CW9" s="311">
        <f>IF($BI9&lt;&gt;"",IF('Capacity summary'!$D$14="Yes",IF(COUNTBLANK('Capacity summary'!$H128:$BG128)&lt;52,IF('Capacity summary'!AT128&lt;&gt;"",IF(LOWER('Capacity summary'!AT128)="x",$BI9*AT9,VALUE('Capacity summary'!AT128)),0),AT9*$BI9),AT9*$BI9),0)</f>
        <v>0</v>
      </c>
      <c r="CX9" s="311">
        <f>IF($BI9&lt;&gt;"",IF('Capacity summary'!$D$14="Yes",IF(COUNTBLANK('Capacity summary'!$H128:$BG128)&lt;52,IF('Capacity summary'!AU128&lt;&gt;"",IF(LOWER('Capacity summary'!AU128)="x",$BI9*AU9,VALUE('Capacity summary'!AU128)),0),AU9*$BI9),AU9*$BI9),0)</f>
        <v>0</v>
      </c>
      <c r="CY9" s="311">
        <f>IF($BI9&lt;&gt;"",IF('Capacity summary'!$D$14="Yes",IF(COUNTBLANK('Capacity summary'!$H128:$BG128)&lt;52,IF('Capacity summary'!AV128&lt;&gt;"",IF(LOWER('Capacity summary'!AV128)="x",$BI9*AV9,VALUE('Capacity summary'!AV128)),0),AV9*$BI9),AV9*$BI9),0)</f>
        <v>0</v>
      </c>
      <c r="CZ9" s="311">
        <f>IF($BI9&lt;&gt;"",IF('Capacity summary'!$D$14="Yes",IF(COUNTBLANK('Capacity summary'!$H128:$BG128)&lt;52,IF('Capacity summary'!AW128&lt;&gt;"",IF(LOWER('Capacity summary'!AW128)="x",$BI9*AW9,VALUE('Capacity summary'!AW128)),0),AW9*$BI9),AW9*$BI9),0)</f>
        <v>0</v>
      </c>
      <c r="DA9" s="311">
        <f>IF($BI9&lt;&gt;"",IF('Capacity summary'!$D$14="Yes",IF(COUNTBLANK('Capacity summary'!$H128:$BG128)&lt;52,IF('Capacity summary'!AX128&lt;&gt;"",IF(LOWER('Capacity summary'!AX128)="x",$BI9*AX9,VALUE('Capacity summary'!AX128)),0),AX9*$BI9),AX9*$BI9),0)</f>
        <v>0</v>
      </c>
      <c r="DB9" s="311">
        <f>IF($BI9&lt;&gt;"",IF('Capacity summary'!$D$14="Yes",IF(COUNTBLANK('Capacity summary'!$H128:$BG128)&lt;52,IF('Capacity summary'!AY128&lt;&gt;"",IF(LOWER('Capacity summary'!AY128)="x",$BI9*AY9,VALUE('Capacity summary'!AY128)),0),AY9*$BI9),AY9*$BI9),0)</f>
        <v>0</v>
      </c>
      <c r="DC9" s="311">
        <f>IF($BI9&lt;&gt;"",IF('Capacity summary'!$D$14="Yes",IF(COUNTBLANK('Capacity summary'!$H128:$BG128)&lt;52,IF('Capacity summary'!AZ128&lt;&gt;"",IF(LOWER('Capacity summary'!AZ128)="x",$BI9*AZ9,VALUE('Capacity summary'!AZ128)),0),AZ9*$BI9),AZ9*$BI9),0)</f>
        <v>0</v>
      </c>
      <c r="DD9" s="311">
        <f>IF($BI9&lt;&gt;"",IF('Capacity summary'!$D$14="Yes",IF(COUNTBLANK('Capacity summary'!$H128:$BG128)&lt;52,IF('Capacity summary'!BA128&lt;&gt;"",IF(LOWER('Capacity summary'!BA128)="x",$BI9*BA9,VALUE('Capacity summary'!BA128)),0),BA9*$BI9),BA9*$BI9),0)</f>
        <v>0</v>
      </c>
      <c r="DE9" s="311">
        <f>IF($BI9&lt;&gt;"",IF('Capacity summary'!$D$14="Yes",IF(COUNTBLANK('Capacity summary'!$H128:$BG128)&lt;52,IF('Capacity summary'!BB128&lt;&gt;"",IF(LOWER('Capacity summary'!BB128)="x",$BI9*BB9,VALUE('Capacity summary'!BB128)),0),BB9*$BI9),BB9*$BI9),0)</f>
        <v>0</v>
      </c>
      <c r="DF9" s="311">
        <f>IF($BI9&lt;&gt;"",IF('Capacity summary'!$D$14="Yes",IF(COUNTBLANK('Capacity summary'!$H128:$BG128)&lt;52,IF('Capacity summary'!BC128&lt;&gt;"",IF(LOWER('Capacity summary'!BC128)="x",$BI9*BC9,VALUE('Capacity summary'!BC128)),0),BC9*$BI9),BC9*$BI9),0)</f>
        <v>0</v>
      </c>
      <c r="DG9" s="311">
        <f>IF($BI9&lt;&gt;"",IF('Capacity summary'!$D$14="Yes",IF(COUNTBLANK('Capacity summary'!$H128:$BG128)&lt;52,IF('Capacity summary'!BD128&lt;&gt;"",IF(LOWER('Capacity summary'!BD128)="x",$BI9*BD9,VALUE('Capacity summary'!BD128)),0),BD9*$BI9),BD9*$BI9),0)</f>
        <v>0</v>
      </c>
      <c r="DH9" s="311">
        <f>IF($BI9&lt;&gt;"",IF('Capacity summary'!$D$14="Yes",IF(COUNTBLANK('Capacity summary'!$H128:$BG128)&lt;52,IF('Capacity summary'!BE128&lt;&gt;"",IF(LOWER('Capacity summary'!BE128)="x",$BI9*BE9,VALUE('Capacity summary'!BE128)),0),BE9*$BI9),BE9*$BI9),0)</f>
        <v>0</v>
      </c>
      <c r="DI9" s="311">
        <f>IF($BI9&lt;&gt;"",IF('Capacity summary'!$D$14="Yes",IF(COUNTBLANK('Capacity summary'!$H128:$BG128)&lt;52,IF('Capacity summary'!BF128&lt;&gt;"",IF(LOWER('Capacity summary'!BF128)="x",$BI9*BF9,VALUE('Capacity summary'!BF128)),0),BF9*$BI9),BF9*$BI9),0)</f>
        <v>0</v>
      </c>
      <c r="DJ9" s="311">
        <f>IF($BI9&lt;&gt;"",IF('Capacity summary'!$D$14="Yes",IF(COUNTBLANK('Capacity summary'!$H128:$BG128)&lt;52,IF('Capacity summary'!BG128&lt;&gt;"",IF(LOWER('Capacity summary'!BG128)="x",$BI9*BG9,VALUE('Capacity summary'!BG128)),0),BG9*$BI9),BG9*$BI9),0)</f>
        <v>0</v>
      </c>
      <c r="DK9" s="387">
        <f t="shared" si="2"/>
        <v>0</v>
      </c>
      <c r="DL9" s="136">
        <f t="shared" si="3"/>
        <v>0</v>
      </c>
      <c r="DM9" s="311" t="str">
        <f>Capacity!H21</f>
        <v/>
      </c>
      <c r="DQ9" s="5"/>
    </row>
    <row r="10" spans="1:121" x14ac:dyDescent="0.2">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1">
        <f>IF($BI10&lt;&gt;"",IF('Capacity summary'!$D$14="Yes",IF(COUNTBLANK('Capacity summary'!$H129:$BG129)&lt;52,IF('Capacity summary'!H129&lt;&gt;"",IF(LOWER('Capacity summary'!H129)="x",$BI10*H10,VALUE('Capacity summary'!H129)),0),H10*$BI10),H10*$BI10),0)</f>
        <v>0</v>
      </c>
      <c r="BL10" s="311">
        <f>IF($BI10&lt;&gt;"",IF('Capacity summary'!$D$14="Yes",IF(COUNTBLANK('Capacity summary'!$H129:$BG129)&lt;52,IF('Capacity summary'!I129&lt;&gt;"",IF(LOWER('Capacity summary'!I129)="x",$BI10*I10,VALUE('Capacity summary'!I129)),0),I10*$BI10),I10*$BI10),0)</f>
        <v>0</v>
      </c>
      <c r="BM10" s="311">
        <f>IF($BI10&lt;&gt;"",IF('Capacity summary'!$D$14="Yes",IF(COUNTBLANK('Capacity summary'!$H129:$BG129)&lt;52,IF('Capacity summary'!J129&lt;&gt;"",IF(LOWER('Capacity summary'!J129)="x",$BI10*J10,VALUE('Capacity summary'!J129)),0),J10*$BI10),J10*$BI10),0)</f>
        <v>0</v>
      </c>
      <c r="BN10" s="311">
        <f>IF($BI10&lt;&gt;"",IF('Capacity summary'!$D$14="Yes",IF(COUNTBLANK('Capacity summary'!$H129:$BG129)&lt;52,IF('Capacity summary'!K129&lt;&gt;"",IF(LOWER('Capacity summary'!K129)="x",$BI10*K10,VALUE('Capacity summary'!K129)),0),K10*$BI10),K10*$BI10),0)</f>
        <v>0</v>
      </c>
      <c r="BO10" s="311">
        <f>IF($BI10&lt;&gt;"",IF('Capacity summary'!$D$14="Yes",IF(COUNTBLANK('Capacity summary'!$H129:$BG129)&lt;52,IF('Capacity summary'!L129&lt;&gt;"",IF(LOWER('Capacity summary'!L129)="x",$BI10*L10,VALUE('Capacity summary'!L129)),0),L10*$BI10),L10*$BI10),0)</f>
        <v>0</v>
      </c>
      <c r="BP10" s="311">
        <f>IF($BI10&lt;&gt;"",IF('Capacity summary'!$D$14="Yes",IF(COUNTBLANK('Capacity summary'!$H129:$BG129)&lt;52,IF('Capacity summary'!M129&lt;&gt;"",IF(LOWER('Capacity summary'!M129)="x",$BI10*M10,VALUE('Capacity summary'!M129)),0),M10*$BI10),M10*$BI10),0)</f>
        <v>0</v>
      </c>
      <c r="BQ10" s="311">
        <f>IF($BI10&lt;&gt;"",IF('Capacity summary'!$D$14="Yes",IF(COUNTBLANK('Capacity summary'!$H129:$BG129)&lt;52,IF('Capacity summary'!N129&lt;&gt;"",IF(LOWER('Capacity summary'!N129)="x",$BI10*N10,VALUE('Capacity summary'!N129)),0),N10*$BI10),N10*$BI10),0)</f>
        <v>0</v>
      </c>
      <c r="BR10" s="311">
        <f>IF($BI10&lt;&gt;"",IF('Capacity summary'!$D$14="Yes",IF(COUNTBLANK('Capacity summary'!$H129:$BG129)&lt;52,IF('Capacity summary'!O129&lt;&gt;"",IF(LOWER('Capacity summary'!O129)="x",$BI10*O10,VALUE('Capacity summary'!O129)),0),O10*$BI10),O10*$BI10),0)</f>
        <v>0</v>
      </c>
      <c r="BS10" s="311">
        <f>IF($BI10&lt;&gt;"",IF('Capacity summary'!$D$14="Yes",IF(COUNTBLANK('Capacity summary'!$H129:$BG129)&lt;52,IF('Capacity summary'!P129&lt;&gt;"",IF(LOWER('Capacity summary'!P129)="x",$BI10*P10,VALUE('Capacity summary'!P129)),0),P10*$BI10),P10*$BI10),0)</f>
        <v>0</v>
      </c>
      <c r="BT10" s="311">
        <f>IF($BI10&lt;&gt;"",IF('Capacity summary'!$D$14="Yes",IF(COUNTBLANK('Capacity summary'!$H129:$BG129)&lt;52,IF('Capacity summary'!Q129&lt;&gt;"",IF(LOWER('Capacity summary'!Q129)="x",$BI10*Q10,VALUE('Capacity summary'!Q129)),0),Q10*$BI10),Q10*$BI10),0)</f>
        <v>0</v>
      </c>
      <c r="BU10" s="311">
        <f>IF($BI10&lt;&gt;"",IF('Capacity summary'!$D$14="Yes",IF(COUNTBLANK('Capacity summary'!$H129:$BG129)&lt;52,IF('Capacity summary'!R129&lt;&gt;"",IF(LOWER('Capacity summary'!R129)="x",$BI10*R10,VALUE('Capacity summary'!R129)),0),R10*$BI10),R10*$BI10),0)</f>
        <v>0</v>
      </c>
      <c r="BV10" s="311">
        <f>IF($BI10&lt;&gt;"",IF('Capacity summary'!$D$14="Yes",IF(COUNTBLANK('Capacity summary'!$H129:$BG129)&lt;52,IF('Capacity summary'!S129&lt;&gt;"",IF(LOWER('Capacity summary'!S129)="x",$BI10*S10,VALUE('Capacity summary'!S129)),0),S10*$BI10),S10*$BI10),0)</f>
        <v>0</v>
      </c>
      <c r="BW10" s="311">
        <f>IF($BI10&lt;&gt;"",IF('Capacity summary'!$D$14="Yes",IF(COUNTBLANK('Capacity summary'!$H129:$BG129)&lt;52,IF('Capacity summary'!T129&lt;&gt;"",IF(LOWER('Capacity summary'!T129)="x",$BI10*T10,VALUE('Capacity summary'!T129)),0),T10*$BI10),T10*$BI10),0)</f>
        <v>0</v>
      </c>
      <c r="BX10" s="311">
        <f>IF($BI10&lt;&gt;"",IF('Capacity summary'!$D$14="Yes",IF(COUNTBLANK('Capacity summary'!$H129:$BG129)&lt;52,IF('Capacity summary'!U129&lt;&gt;"",IF(LOWER('Capacity summary'!U129)="x",$BI10*U10,VALUE('Capacity summary'!U129)),0),U10*$BI10),U10*$BI10),0)</f>
        <v>0</v>
      </c>
      <c r="BY10" s="311">
        <f>IF($BI10&lt;&gt;"",IF('Capacity summary'!$D$14="Yes",IF(COUNTBLANK('Capacity summary'!$H129:$BG129)&lt;52,IF('Capacity summary'!V129&lt;&gt;"",IF(LOWER('Capacity summary'!V129)="x",$BI10*V10,VALUE('Capacity summary'!V129)),0),V10*$BI10),V10*$BI10),0)</f>
        <v>0</v>
      </c>
      <c r="BZ10" s="311">
        <f>IF($BI10&lt;&gt;"",IF('Capacity summary'!$D$14="Yes",IF(COUNTBLANK('Capacity summary'!$H129:$BG129)&lt;52,IF('Capacity summary'!W129&lt;&gt;"",IF(LOWER('Capacity summary'!W129)="x",$BI10*W10,VALUE('Capacity summary'!W129)),0),W10*$BI10),W10*$BI10),0)</f>
        <v>0</v>
      </c>
      <c r="CA10" s="311">
        <f>IF($BI10&lt;&gt;"",IF('Capacity summary'!$D$14="Yes",IF(COUNTBLANK('Capacity summary'!$H129:$BG129)&lt;52,IF('Capacity summary'!X129&lt;&gt;"",IF(LOWER('Capacity summary'!X129)="x",$BI10*X10,VALUE('Capacity summary'!X129)),0),X10*$BI10),X10*$BI10),0)</f>
        <v>0</v>
      </c>
      <c r="CB10" s="311">
        <f>IF($BI10&lt;&gt;"",IF('Capacity summary'!$D$14="Yes",IF(COUNTBLANK('Capacity summary'!$H129:$BG129)&lt;52,IF('Capacity summary'!Y129&lt;&gt;"",IF(LOWER('Capacity summary'!Y129)="x",$BI10*Y10,VALUE('Capacity summary'!Y129)),0),Y10*$BI10),Y10*$BI10),0)</f>
        <v>0</v>
      </c>
      <c r="CC10" s="311">
        <f>IF($BI10&lt;&gt;"",IF('Capacity summary'!$D$14="Yes",IF(COUNTBLANK('Capacity summary'!$H129:$BG129)&lt;52,IF('Capacity summary'!Z129&lt;&gt;"",IF(LOWER('Capacity summary'!Z129)="x",$BI10*Z10,VALUE('Capacity summary'!Z129)),0),Z10*$BI10),Z10*$BI10),0)</f>
        <v>0</v>
      </c>
      <c r="CD10" s="311">
        <f>IF($BI10&lt;&gt;"",IF('Capacity summary'!$D$14="Yes",IF(COUNTBLANK('Capacity summary'!$H129:$BG129)&lt;52,IF('Capacity summary'!AA129&lt;&gt;"",IF(LOWER('Capacity summary'!AA129)="x",$BI10*AA10,VALUE('Capacity summary'!AA129)),0),AA10*$BI10),AA10*$BI10),0)</f>
        <v>0</v>
      </c>
      <c r="CE10" s="311">
        <f>IF($BI10&lt;&gt;"",IF('Capacity summary'!$D$14="Yes",IF(COUNTBLANK('Capacity summary'!$H129:$BG129)&lt;52,IF('Capacity summary'!AB129&lt;&gt;"",IF(LOWER('Capacity summary'!AB129)="x",$BI10*AB10,VALUE('Capacity summary'!AB129)),0),AB10*$BI10),AB10*$BI10),0)</f>
        <v>0</v>
      </c>
      <c r="CF10" s="311">
        <f>IF($BI10&lt;&gt;"",IF('Capacity summary'!$D$14="Yes",IF(COUNTBLANK('Capacity summary'!$H129:$BG129)&lt;52,IF('Capacity summary'!AC129&lt;&gt;"",IF(LOWER('Capacity summary'!AC129)="x",$BI10*AC10,VALUE('Capacity summary'!AC129)),0),AC10*$BI10),AC10*$BI10),0)</f>
        <v>0</v>
      </c>
      <c r="CG10" s="311">
        <f>IF($BI10&lt;&gt;"",IF('Capacity summary'!$D$14="Yes",IF(COUNTBLANK('Capacity summary'!$H129:$BG129)&lt;52,IF('Capacity summary'!AD129&lt;&gt;"",IF(LOWER('Capacity summary'!AD129)="x",$BI10*AD10,VALUE('Capacity summary'!AD129)),0),AD10*$BI10),AD10*$BI10),0)</f>
        <v>0</v>
      </c>
      <c r="CH10" s="311">
        <f>IF($BI10&lt;&gt;"",IF('Capacity summary'!$D$14="Yes",IF(COUNTBLANK('Capacity summary'!$H129:$BG129)&lt;52,IF('Capacity summary'!AE129&lt;&gt;"",IF(LOWER('Capacity summary'!AE129)="x",$BI10*AE10,VALUE('Capacity summary'!AE129)),0),AE10*$BI10),AE10*$BI10),0)</f>
        <v>0</v>
      </c>
      <c r="CI10" s="311">
        <f>IF($BI10&lt;&gt;"",IF('Capacity summary'!$D$14="Yes",IF(COUNTBLANK('Capacity summary'!$H129:$BG129)&lt;52,IF('Capacity summary'!AF129&lt;&gt;"",IF(LOWER('Capacity summary'!AF129)="x",$BI10*AF10,VALUE('Capacity summary'!AF129)),0),AF10*$BI10),AF10*$BI10),0)</f>
        <v>0</v>
      </c>
      <c r="CJ10" s="311">
        <f>IF($BI10&lt;&gt;"",IF('Capacity summary'!$D$14="Yes",IF(COUNTBLANK('Capacity summary'!$H129:$BG129)&lt;52,IF('Capacity summary'!AG129&lt;&gt;"",IF(LOWER('Capacity summary'!AG129)="x",$BI10*AG10,VALUE('Capacity summary'!AG129)),0),AG10*$BI10),AG10*$BI10),0)</f>
        <v>0</v>
      </c>
      <c r="CK10" s="311">
        <f>IF($BI10&lt;&gt;"",IF('Capacity summary'!$D$14="Yes",IF(COUNTBLANK('Capacity summary'!$H129:$BG129)&lt;52,IF('Capacity summary'!AH129&lt;&gt;"",IF(LOWER('Capacity summary'!AH129)="x",$BI10*AH10,VALUE('Capacity summary'!AH129)),0),AH10*$BI10),AH10*$BI10),0)</f>
        <v>0</v>
      </c>
      <c r="CL10" s="311">
        <f>IF($BI10&lt;&gt;"",IF('Capacity summary'!$D$14="Yes",IF(COUNTBLANK('Capacity summary'!$H129:$BG129)&lt;52,IF('Capacity summary'!AI129&lt;&gt;"",IF(LOWER('Capacity summary'!AI129)="x",$BI10*AI10,VALUE('Capacity summary'!AI129)),0),AI10*$BI10),AI10*$BI10),0)</f>
        <v>0</v>
      </c>
      <c r="CM10" s="311">
        <f>IF($BI10&lt;&gt;"",IF('Capacity summary'!$D$14="Yes",IF(COUNTBLANK('Capacity summary'!$H129:$BG129)&lt;52,IF('Capacity summary'!AJ129&lt;&gt;"",IF(LOWER('Capacity summary'!AJ129)="x",$BI10*AJ10,VALUE('Capacity summary'!AJ129)),0),AJ10*$BI10),AJ10*$BI10),0)</f>
        <v>0</v>
      </c>
      <c r="CN10" s="311">
        <f>IF($BI10&lt;&gt;"",IF('Capacity summary'!$D$14="Yes",IF(COUNTBLANK('Capacity summary'!$H129:$BG129)&lt;52,IF('Capacity summary'!AK129&lt;&gt;"",IF(LOWER('Capacity summary'!AK129)="x",$BI10*AK10,VALUE('Capacity summary'!AK129)),0),AK10*$BI10),AK10*$BI10),0)</f>
        <v>0</v>
      </c>
      <c r="CO10" s="311">
        <f>IF($BI10&lt;&gt;"",IF('Capacity summary'!$D$14="Yes",IF(COUNTBLANK('Capacity summary'!$H129:$BG129)&lt;52,IF('Capacity summary'!AL129&lt;&gt;"",IF(LOWER('Capacity summary'!AL129)="x",$BI10*AL10,VALUE('Capacity summary'!AL129)),0),AL10*$BI10),AL10*$BI10),0)</f>
        <v>0</v>
      </c>
      <c r="CP10" s="311">
        <f>IF($BI10&lt;&gt;"",IF('Capacity summary'!$D$14="Yes",IF(COUNTBLANK('Capacity summary'!$H129:$BG129)&lt;52,IF('Capacity summary'!AM129&lt;&gt;"",IF(LOWER('Capacity summary'!AM129)="x",$BI10*AM10,VALUE('Capacity summary'!AM129)),0),AM10*$BI10),AM10*$BI10),0)</f>
        <v>0</v>
      </c>
      <c r="CQ10" s="311">
        <f>IF($BI10&lt;&gt;"",IF('Capacity summary'!$D$14="Yes",IF(COUNTBLANK('Capacity summary'!$H129:$BG129)&lt;52,IF('Capacity summary'!AN129&lt;&gt;"",IF(LOWER('Capacity summary'!AN129)="x",$BI10*AN10,VALUE('Capacity summary'!AN129)),0),AN10*$BI10),AN10*$BI10),0)</f>
        <v>0</v>
      </c>
      <c r="CR10" s="311">
        <f>IF($BI10&lt;&gt;"",IF('Capacity summary'!$D$14="Yes",IF(COUNTBLANK('Capacity summary'!$H129:$BG129)&lt;52,IF('Capacity summary'!AO129&lt;&gt;"",IF(LOWER('Capacity summary'!AO129)="x",$BI10*AO10,VALUE('Capacity summary'!AO129)),0),AO10*$BI10),AO10*$BI10),0)</f>
        <v>0</v>
      </c>
      <c r="CS10" s="311">
        <f>IF($BI10&lt;&gt;"",IF('Capacity summary'!$D$14="Yes",IF(COUNTBLANK('Capacity summary'!$H129:$BG129)&lt;52,IF('Capacity summary'!AP129&lt;&gt;"",IF(LOWER('Capacity summary'!AP129)="x",$BI10*AP10,VALUE('Capacity summary'!AP129)),0),AP10*$BI10),AP10*$BI10),0)</f>
        <v>0</v>
      </c>
      <c r="CT10" s="311">
        <f>IF($BI10&lt;&gt;"",IF('Capacity summary'!$D$14="Yes",IF(COUNTBLANK('Capacity summary'!$H129:$BG129)&lt;52,IF('Capacity summary'!AQ129&lt;&gt;"",IF(LOWER('Capacity summary'!AQ129)="x",$BI10*AQ10,VALUE('Capacity summary'!AQ129)),0),AQ10*$BI10),AQ10*$BI10),0)</f>
        <v>0</v>
      </c>
      <c r="CU10" s="311">
        <f>IF($BI10&lt;&gt;"",IF('Capacity summary'!$D$14="Yes",IF(COUNTBLANK('Capacity summary'!$H129:$BG129)&lt;52,IF('Capacity summary'!AR129&lt;&gt;"",IF(LOWER('Capacity summary'!AR129)="x",$BI10*AR10,VALUE('Capacity summary'!AR129)),0),AR10*$BI10),AR10*$BI10),0)</f>
        <v>0</v>
      </c>
      <c r="CV10" s="311">
        <f>IF($BI10&lt;&gt;"",IF('Capacity summary'!$D$14="Yes",IF(COUNTBLANK('Capacity summary'!$H129:$BG129)&lt;52,IF('Capacity summary'!AS129&lt;&gt;"",IF(LOWER('Capacity summary'!AS129)="x",$BI10*AS10,VALUE('Capacity summary'!AS129)),0),AS10*$BI10),AS10*$BI10),0)</f>
        <v>0</v>
      </c>
      <c r="CW10" s="311">
        <f>IF($BI10&lt;&gt;"",IF('Capacity summary'!$D$14="Yes",IF(COUNTBLANK('Capacity summary'!$H129:$BG129)&lt;52,IF('Capacity summary'!AT129&lt;&gt;"",IF(LOWER('Capacity summary'!AT129)="x",$BI10*AT10,VALUE('Capacity summary'!AT129)),0),AT10*$BI10),AT10*$BI10),0)</f>
        <v>0</v>
      </c>
      <c r="CX10" s="311">
        <f>IF($BI10&lt;&gt;"",IF('Capacity summary'!$D$14="Yes",IF(COUNTBLANK('Capacity summary'!$H129:$BG129)&lt;52,IF('Capacity summary'!AU129&lt;&gt;"",IF(LOWER('Capacity summary'!AU129)="x",$BI10*AU10,VALUE('Capacity summary'!AU129)),0),AU10*$BI10),AU10*$BI10),0)</f>
        <v>0</v>
      </c>
      <c r="CY10" s="311">
        <f>IF($BI10&lt;&gt;"",IF('Capacity summary'!$D$14="Yes",IF(COUNTBLANK('Capacity summary'!$H129:$BG129)&lt;52,IF('Capacity summary'!AV129&lt;&gt;"",IF(LOWER('Capacity summary'!AV129)="x",$BI10*AV10,VALUE('Capacity summary'!AV129)),0),AV10*$BI10),AV10*$BI10),0)</f>
        <v>0</v>
      </c>
      <c r="CZ10" s="311">
        <f>IF($BI10&lt;&gt;"",IF('Capacity summary'!$D$14="Yes",IF(COUNTBLANK('Capacity summary'!$H129:$BG129)&lt;52,IF('Capacity summary'!AW129&lt;&gt;"",IF(LOWER('Capacity summary'!AW129)="x",$BI10*AW10,VALUE('Capacity summary'!AW129)),0),AW10*$BI10),AW10*$BI10),0)</f>
        <v>0</v>
      </c>
      <c r="DA10" s="311">
        <f>IF($BI10&lt;&gt;"",IF('Capacity summary'!$D$14="Yes",IF(COUNTBLANK('Capacity summary'!$H129:$BG129)&lt;52,IF('Capacity summary'!AX129&lt;&gt;"",IF(LOWER('Capacity summary'!AX129)="x",$BI10*AX10,VALUE('Capacity summary'!AX129)),0),AX10*$BI10),AX10*$BI10),0)</f>
        <v>0</v>
      </c>
      <c r="DB10" s="311">
        <f>IF($BI10&lt;&gt;"",IF('Capacity summary'!$D$14="Yes",IF(COUNTBLANK('Capacity summary'!$H129:$BG129)&lt;52,IF('Capacity summary'!AY129&lt;&gt;"",IF(LOWER('Capacity summary'!AY129)="x",$BI10*AY10,VALUE('Capacity summary'!AY129)),0),AY10*$BI10),AY10*$BI10),0)</f>
        <v>0</v>
      </c>
      <c r="DC10" s="311">
        <f>IF($BI10&lt;&gt;"",IF('Capacity summary'!$D$14="Yes",IF(COUNTBLANK('Capacity summary'!$H129:$BG129)&lt;52,IF('Capacity summary'!AZ129&lt;&gt;"",IF(LOWER('Capacity summary'!AZ129)="x",$BI10*AZ10,VALUE('Capacity summary'!AZ129)),0),AZ10*$BI10),AZ10*$BI10),0)</f>
        <v>0</v>
      </c>
      <c r="DD10" s="311">
        <f>IF($BI10&lt;&gt;"",IF('Capacity summary'!$D$14="Yes",IF(COUNTBLANK('Capacity summary'!$H129:$BG129)&lt;52,IF('Capacity summary'!BA129&lt;&gt;"",IF(LOWER('Capacity summary'!BA129)="x",$BI10*BA10,VALUE('Capacity summary'!BA129)),0),BA10*$BI10),BA10*$BI10),0)</f>
        <v>0</v>
      </c>
      <c r="DE10" s="311">
        <f>IF($BI10&lt;&gt;"",IF('Capacity summary'!$D$14="Yes",IF(COUNTBLANK('Capacity summary'!$H129:$BG129)&lt;52,IF('Capacity summary'!BB129&lt;&gt;"",IF(LOWER('Capacity summary'!BB129)="x",$BI10*BB10,VALUE('Capacity summary'!BB129)),0),BB10*$BI10),BB10*$BI10),0)</f>
        <v>0</v>
      </c>
      <c r="DF10" s="311">
        <f>IF($BI10&lt;&gt;"",IF('Capacity summary'!$D$14="Yes",IF(COUNTBLANK('Capacity summary'!$H129:$BG129)&lt;52,IF('Capacity summary'!BC129&lt;&gt;"",IF(LOWER('Capacity summary'!BC129)="x",$BI10*BC10,VALUE('Capacity summary'!BC129)),0),BC10*$BI10),BC10*$BI10),0)</f>
        <v>0</v>
      </c>
      <c r="DG10" s="311">
        <f>IF($BI10&lt;&gt;"",IF('Capacity summary'!$D$14="Yes",IF(COUNTBLANK('Capacity summary'!$H129:$BG129)&lt;52,IF('Capacity summary'!BD129&lt;&gt;"",IF(LOWER('Capacity summary'!BD129)="x",$BI10*BD10,VALUE('Capacity summary'!BD129)),0),BD10*$BI10),BD10*$BI10),0)</f>
        <v>0</v>
      </c>
      <c r="DH10" s="311">
        <f>IF($BI10&lt;&gt;"",IF('Capacity summary'!$D$14="Yes",IF(COUNTBLANK('Capacity summary'!$H129:$BG129)&lt;52,IF('Capacity summary'!BE129&lt;&gt;"",IF(LOWER('Capacity summary'!BE129)="x",$BI10*BE10,VALUE('Capacity summary'!BE129)),0),BE10*$BI10),BE10*$BI10),0)</f>
        <v>0</v>
      </c>
      <c r="DI10" s="311">
        <f>IF($BI10&lt;&gt;"",IF('Capacity summary'!$D$14="Yes",IF(COUNTBLANK('Capacity summary'!$H129:$BG129)&lt;52,IF('Capacity summary'!BF129&lt;&gt;"",IF(LOWER('Capacity summary'!BF129)="x",$BI10*BF10,VALUE('Capacity summary'!BF129)),0),BF10*$BI10),BF10*$BI10),0)</f>
        <v>0</v>
      </c>
      <c r="DJ10" s="311">
        <f>IF($BI10&lt;&gt;"",IF('Capacity summary'!$D$14="Yes",IF(COUNTBLANK('Capacity summary'!$H129:$BG129)&lt;52,IF('Capacity summary'!BG129&lt;&gt;"",IF(LOWER('Capacity summary'!BG129)="x",$BI10*BG10,VALUE('Capacity summary'!BG129)),0),BG10*$BI10),BG10*$BI10),0)</f>
        <v>0</v>
      </c>
      <c r="DK10" s="387">
        <f t="shared" si="2"/>
        <v>0</v>
      </c>
      <c r="DL10" s="136">
        <f t="shared" si="3"/>
        <v>0</v>
      </c>
      <c r="DM10" s="311" t="str">
        <f>Capacity!H22</f>
        <v/>
      </c>
      <c r="DQ10" s="5"/>
    </row>
    <row r="11" spans="1:121" x14ac:dyDescent="0.2">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1">
        <f>IF($BI11&lt;&gt;"",IF('Capacity summary'!$D$14="Yes",IF(COUNTBLANK('Capacity summary'!$H130:$BG130)&lt;52,IF('Capacity summary'!H130&lt;&gt;"",IF(LOWER('Capacity summary'!H130)="x",$BI11*H11,VALUE('Capacity summary'!H130)),0),H11*$BI11),H11*$BI11),0)</f>
        <v>0</v>
      </c>
      <c r="BL11" s="311">
        <f>IF($BI11&lt;&gt;"",IF('Capacity summary'!$D$14="Yes",IF(COUNTBLANK('Capacity summary'!$H130:$BG130)&lt;52,IF('Capacity summary'!I130&lt;&gt;"",IF(LOWER('Capacity summary'!I130)="x",$BI11*I11,VALUE('Capacity summary'!I130)),0),I11*$BI11),I11*$BI11),0)</f>
        <v>0</v>
      </c>
      <c r="BM11" s="311">
        <f>IF($BI11&lt;&gt;"",IF('Capacity summary'!$D$14="Yes",IF(COUNTBLANK('Capacity summary'!$H130:$BG130)&lt;52,IF('Capacity summary'!J130&lt;&gt;"",IF(LOWER('Capacity summary'!J130)="x",$BI11*J11,VALUE('Capacity summary'!J130)),0),J11*$BI11),J11*$BI11),0)</f>
        <v>0</v>
      </c>
      <c r="BN11" s="311">
        <f>IF($BI11&lt;&gt;"",IF('Capacity summary'!$D$14="Yes",IF(COUNTBLANK('Capacity summary'!$H130:$BG130)&lt;52,IF('Capacity summary'!K130&lt;&gt;"",IF(LOWER('Capacity summary'!K130)="x",$BI11*K11,VALUE('Capacity summary'!K130)),0),K11*$BI11),K11*$BI11),0)</f>
        <v>0</v>
      </c>
      <c r="BO11" s="311">
        <f>IF($BI11&lt;&gt;"",IF('Capacity summary'!$D$14="Yes",IF(COUNTBLANK('Capacity summary'!$H130:$BG130)&lt;52,IF('Capacity summary'!L130&lt;&gt;"",IF(LOWER('Capacity summary'!L130)="x",$BI11*L11,VALUE('Capacity summary'!L130)),0),L11*$BI11),L11*$BI11),0)</f>
        <v>0</v>
      </c>
      <c r="BP11" s="311">
        <f>IF($BI11&lt;&gt;"",IF('Capacity summary'!$D$14="Yes",IF(COUNTBLANK('Capacity summary'!$H130:$BG130)&lt;52,IF('Capacity summary'!M130&lt;&gt;"",IF(LOWER('Capacity summary'!M130)="x",$BI11*M11,VALUE('Capacity summary'!M130)),0),M11*$BI11),M11*$BI11),0)</f>
        <v>0</v>
      </c>
      <c r="BQ11" s="311">
        <f>IF($BI11&lt;&gt;"",IF('Capacity summary'!$D$14="Yes",IF(COUNTBLANK('Capacity summary'!$H130:$BG130)&lt;52,IF('Capacity summary'!N130&lt;&gt;"",IF(LOWER('Capacity summary'!N130)="x",$BI11*N11,VALUE('Capacity summary'!N130)),0),N11*$BI11),N11*$BI11),0)</f>
        <v>0</v>
      </c>
      <c r="BR11" s="311">
        <f>IF($BI11&lt;&gt;"",IF('Capacity summary'!$D$14="Yes",IF(COUNTBLANK('Capacity summary'!$H130:$BG130)&lt;52,IF('Capacity summary'!O130&lt;&gt;"",IF(LOWER('Capacity summary'!O130)="x",$BI11*O11,VALUE('Capacity summary'!O130)),0),O11*$BI11),O11*$BI11),0)</f>
        <v>0</v>
      </c>
      <c r="BS11" s="311">
        <f>IF($BI11&lt;&gt;"",IF('Capacity summary'!$D$14="Yes",IF(COUNTBLANK('Capacity summary'!$H130:$BG130)&lt;52,IF('Capacity summary'!P130&lt;&gt;"",IF(LOWER('Capacity summary'!P130)="x",$BI11*P11,VALUE('Capacity summary'!P130)),0),P11*$BI11),P11*$BI11),0)</f>
        <v>0</v>
      </c>
      <c r="BT11" s="311">
        <f>IF($BI11&lt;&gt;"",IF('Capacity summary'!$D$14="Yes",IF(COUNTBLANK('Capacity summary'!$H130:$BG130)&lt;52,IF('Capacity summary'!Q130&lt;&gt;"",IF(LOWER('Capacity summary'!Q130)="x",$BI11*Q11,VALUE('Capacity summary'!Q130)),0),Q11*$BI11),Q11*$BI11),0)</f>
        <v>0</v>
      </c>
      <c r="BU11" s="311">
        <f>IF($BI11&lt;&gt;"",IF('Capacity summary'!$D$14="Yes",IF(COUNTBLANK('Capacity summary'!$H130:$BG130)&lt;52,IF('Capacity summary'!R130&lt;&gt;"",IF(LOWER('Capacity summary'!R130)="x",$BI11*R11,VALUE('Capacity summary'!R130)),0),R11*$BI11),R11*$BI11),0)</f>
        <v>0</v>
      </c>
      <c r="BV11" s="311">
        <f>IF($BI11&lt;&gt;"",IF('Capacity summary'!$D$14="Yes",IF(COUNTBLANK('Capacity summary'!$H130:$BG130)&lt;52,IF('Capacity summary'!S130&lt;&gt;"",IF(LOWER('Capacity summary'!S130)="x",$BI11*S11,VALUE('Capacity summary'!S130)),0),S11*$BI11),S11*$BI11),0)</f>
        <v>0</v>
      </c>
      <c r="BW11" s="311">
        <f>IF($BI11&lt;&gt;"",IF('Capacity summary'!$D$14="Yes",IF(COUNTBLANK('Capacity summary'!$H130:$BG130)&lt;52,IF('Capacity summary'!T130&lt;&gt;"",IF(LOWER('Capacity summary'!T130)="x",$BI11*T11,VALUE('Capacity summary'!T130)),0),T11*$BI11),T11*$BI11),0)</f>
        <v>0</v>
      </c>
      <c r="BX11" s="311">
        <f>IF($BI11&lt;&gt;"",IF('Capacity summary'!$D$14="Yes",IF(COUNTBLANK('Capacity summary'!$H130:$BG130)&lt;52,IF('Capacity summary'!U130&lt;&gt;"",IF(LOWER('Capacity summary'!U130)="x",$BI11*U11,VALUE('Capacity summary'!U130)),0),U11*$BI11),U11*$BI11),0)</f>
        <v>0</v>
      </c>
      <c r="BY11" s="311">
        <f>IF($BI11&lt;&gt;"",IF('Capacity summary'!$D$14="Yes",IF(COUNTBLANK('Capacity summary'!$H130:$BG130)&lt;52,IF('Capacity summary'!V130&lt;&gt;"",IF(LOWER('Capacity summary'!V130)="x",$BI11*V11,VALUE('Capacity summary'!V130)),0),V11*$BI11),V11*$BI11),0)</f>
        <v>0</v>
      </c>
      <c r="BZ11" s="311">
        <f>IF($BI11&lt;&gt;"",IF('Capacity summary'!$D$14="Yes",IF(COUNTBLANK('Capacity summary'!$H130:$BG130)&lt;52,IF('Capacity summary'!W130&lt;&gt;"",IF(LOWER('Capacity summary'!W130)="x",$BI11*W11,VALUE('Capacity summary'!W130)),0),W11*$BI11),W11*$BI11),0)</f>
        <v>0</v>
      </c>
      <c r="CA11" s="311">
        <f>IF($BI11&lt;&gt;"",IF('Capacity summary'!$D$14="Yes",IF(COUNTBLANK('Capacity summary'!$H130:$BG130)&lt;52,IF('Capacity summary'!X130&lt;&gt;"",IF(LOWER('Capacity summary'!X130)="x",$BI11*X11,VALUE('Capacity summary'!X130)),0),X11*$BI11),X11*$BI11),0)</f>
        <v>0</v>
      </c>
      <c r="CB11" s="311">
        <f>IF($BI11&lt;&gt;"",IF('Capacity summary'!$D$14="Yes",IF(COUNTBLANK('Capacity summary'!$H130:$BG130)&lt;52,IF('Capacity summary'!Y130&lt;&gt;"",IF(LOWER('Capacity summary'!Y130)="x",$BI11*Y11,VALUE('Capacity summary'!Y130)),0),Y11*$BI11),Y11*$BI11),0)</f>
        <v>0</v>
      </c>
      <c r="CC11" s="311">
        <f>IF($BI11&lt;&gt;"",IF('Capacity summary'!$D$14="Yes",IF(COUNTBLANK('Capacity summary'!$H130:$BG130)&lt;52,IF('Capacity summary'!Z130&lt;&gt;"",IF(LOWER('Capacity summary'!Z130)="x",$BI11*Z11,VALUE('Capacity summary'!Z130)),0),Z11*$BI11),Z11*$BI11),0)</f>
        <v>0</v>
      </c>
      <c r="CD11" s="311">
        <f>IF($BI11&lt;&gt;"",IF('Capacity summary'!$D$14="Yes",IF(COUNTBLANK('Capacity summary'!$H130:$BG130)&lt;52,IF('Capacity summary'!AA130&lt;&gt;"",IF(LOWER('Capacity summary'!AA130)="x",$BI11*AA11,VALUE('Capacity summary'!AA130)),0),AA11*$BI11),AA11*$BI11),0)</f>
        <v>0</v>
      </c>
      <c r="CE11" s="311">
        <f>IF($BI11&lt;&gt;"",IF('Capacity summary'!$D$14="Yes",IF(COUNTBLANK('Capacity summary'!$H130:$BG130)&lt;52,IF('Capacity summary'!AB130&lt;&gt;"",IF(LOWER('Capacity summary'!AB130)="x",$BI11*AB11,VALUE('Capacity summary'!AB130)),0),AB11*$BI11),AB11*$BI11),0)</f>
        <v>0</v>
      </c>
      <c r="CF11" s="311">
        <f>IF($BI11&lt;&gt;"",IF('Capacity summary'!$D$14="Yes",IF(COUNTBLANK('Capacity summary'!$H130:$BG130)&lt;52,IF('Capacity summary'!AC130&lt;&gt;"",IF(LOWER('Capacity summary'!AC130)="x",$BI11*AC11,VALUE('Capacity summary'!AC130)),0),AC11*$BI11),AC11*$BI11),0)</f>
        <v>0</v>
      </c>
      <c r="CG11" s="311">
        <f>IF($BI11&lt;&gt;"",IF('Capacity summary'!$D$14="Yes",IF(COUNTBLANK('Capacity summary'!$H130:$BG130)&lt;52,IF('Capacity summary'!AD130&lt;&gt;"",IF(LOWER('Capacity summary'!AD130)="x",$BI11*AD11,VALUE('Capacity summary'!AD130)),0),AD11*$BI11),AD11*$BI11),0)</f>
        <v>0</v>
      </c>
      <c r="CH11" s="311">
        <f>IF($BI11&lt;&gt;"",IF('Capacity summary'!$D$14="Yes",IF(COUNTBLANK('Capacity summary'!$H130:$BG130)&lt;52,IF('Capacity summary'!AE130&lt;&gt;"",IF(LOWER('Capacity summary'!AE130)="x",$BI11*AE11,VALUE('Capacity summary'!AE130)),0),AE11*$BI11),AE11*$BI11),0)</f>
        <v>0</v>
      </c>
      <c r="CI11" s="311">
        <f>IF($BI11&lt;&gt;"",IF('Capacity summary'!$D$14="Yes",IF(COUNTBLANK('Capacity summary'!$H130:$BG130)&lt;52,IF('Capacity summary'!AF130&lt;&gt;"",IF(LOWER('Capacity summary'!AF130)="x",$BI11*AF11,VALUE('Capacity summary'!AF130)),0),AF11*$BI11),AF11*$BI11),0)</f>
        <v>0</v>
      </c>
      <c r="CJ11" s="311">
        <f>IF($BI11&lt;&gt;"",IF('Capacity summary'!$D$14="Yes",IF(COUNTBLANK('Capacity summary'!$H130:$BG130)&lt;52,IF('Capacity summary'!AG130&lt;&gt;"",IF(LOWER('Capacity summary'!AG130)="x",$BI11*AG11,VALUE('Capacity summary'!AG130)),0),AG11*$BI11),AG11*$BI11),0)</f>
        <v>0</v>
      </c>
      <c r="CK11" s="311">
        <f>IF($BI11&lt;&gt;"",IF('Capacity summary'!$D$14="Yes",IF(COUNTBLANK('Capacity summary'!$H130:$BG130)&lt;52,IF('Capacity summary'!AH130&lt;&gt;"",IF(LOWER('Capacity summary'!AH130)="x",$BI11*AH11,VALUE('Capacity summary'!AH130)),0),AH11*$BI11),AH11*$BI11),0)</f>
        <v>0</v>
      </c>
      <c r="CL11" s="311">
        <f>IF($BI11&lt;&gt;"",IF('Capacity summary'!$D$14="Yes",IF(COUNTBLANK('Capacity summary'!$H130:$BG130)&lt;52,IF('Capacity summary'!AI130&lt;&gt;"",IF(LOWER('Capacity summary'!AI130)="x",$BI11*AI11,VALUE('Capacity summary'!AI130)),0),AI11*$BI11),AI11*$BI11),0)</f>
        <v>0</v>
      </c>
      <c r="CM11" s="311">
        <f>IF($BI11&lt;&gt;"",IF('Capacity summary'!$D$14="Yes",IF(COUNTBLANK('Capacity summary'!$H130:$BG130)&lt;52,IF('Capacity summary'!AJ130&lt;&gt;"",IF(LOWER('Capacity summary'!AJ130)="x",$BI11*AJ11,VALUE('Capacity summary'!AJ130)),0),AJ11*$BI11),AJ11*$BI11),0)</f>
        <v>0</v>
      </c>
      <c r="CN11" s="311">
        <f>IF($BI11&lt;&gt;"",IF('Capacity summary'!$D$14="Yes",IF(COUNTBLANK('Capacity summary'!$H130:$BG130)&lt;52,IF('Capacity summary'!AK130&lt;&gt;"",IF(LOWER('Capacity summary'!AK130)="x",$BI11*AK11,VALUE('Capacity summary'!AK130)),0),AK11*$BI11),AK11*$BI11),0)</f>
        <v>0</v>
      </c>
      <c r="CO11" s="311">
        <f>IF($BI11&lt;&gt;"",IF('Capacity summary'!$D$14="Yes",IF(COUNTBLANK('Capacity summary'!$H130:$BG130)&lt;52,IF('Capacity summary'!AL130&lt;&gt;"",IF(LOWER('Capacity summary'!AL130)="x",$BI11*AL11,VALUE('Capacity summary'!AL130)),0),AL11*$BI11),AL11*$BI11),0)</f>
        <v>0</v>
      </c>
      <c r="CP11" s="311">
        <f>IF($BI11&lt;&gt;"",IF('Capacity summary'!$D$14="Yes",IF(COUNTBLANK('Capacity summary'!$H130:$BG130)&lt;52,IF('Capacity summary'!AM130&lt;&gt;"",IF(LOWER('Capacity summary'!AM130)="x",$BI11*AM11,VALUE('Capacity summary'!AM130)),0),AM11*$BI11),AM11*$BI11),0)</f>
        <v>0</v>
      </c>
      <c r="CQ11" s="311">
        <f>IF($BI11&lt;&gt;"",IF('Capacity summary'!$D$14="Yes",IF(COUNTBLANK('Capacity summary'!$H130:$BG130)&lt;52,IF('Capacity summary'!AN130&lt;&gt;"",IF(LOWER('Capacity summary'!AN130)="x",$BI11*AN11,VALUE('Capacity summary'!AN130)),0),AN11*$BI11),AN11*$BI11),0)</f>
        <v>0</v>
      </c>
      <c r="CR11" s="311">
        <f>IF($BI11&lt;&gt;"",IF('Capacity summary'!$D$14="Yes",IF(COUNTBLANK('Capacity summary'!$H130:$BG130)&lt;52,IF('Capacity summary'!AO130&lt;&gt;"",IF(LOWER('Capacity summary'!AO130)="x",$BI11*AO11,VALUE('Capacity summary'!AO130)),0),AO11*$BI11),AO11*$BI11),0)</f>
        <v>0</v>
      </c>
      <c r="CS11" s="311">
        <f>IF($BI11&lt;&gt;"",IF('Capacity summary'!$D$14="Yes",IF(COUNTBLANK('Capacity summary'!$H130:$BG130)&lt;52,IF('Capacity summary'!AP130&lt;&gt;"",IF(LOWER('Capacity summary'!AP130)="x",$BI11*AP11,VALUE('Capacity summary'!AP130)),0),AP11*$BI11),AP11*$BI11),0)</f>
        <v>0</v>
      </c>
      <c r="CT11" s="311">
        <f>IF($BI11&lt;&gt;"",IF('Capacity summary'!$D$14="Yes",IF(COUNTBLANK('Capacity summary'!$H130:$BG130)&lt;52,IF('Capacity summary'!AQ130&lt;&gt;"",IF(LOWER('Capacity summary'!AQ130)="x",$BI11*AQ11,VALUE('Capacity summary'!AQ130)),0),AQ11*$BI11),AQ11*$BI11),0)</f>
        <v>0</v>
      </c>
      <c r="CU11" s="311">
        <f>IF($BI11&lt;&gt;"",IF('Capacity summary'!$D$14="Yes",IF(COUNTBLANK('Capacity summary'!$H130:$BG130)&lt;52,IF('Capacity summary'!AR130&lt;&gt;"",IF(LOWER('Capacity summary'!AR130)="x",$BI11*AR11,VALUE('Capacity summary'!AR130)),0),AR11*$BI11),AR11*$BI11),0)</f>
        <v>0</v>
      </c>
      <c r="CV11" s="311">
        <f>IF($BI11&lt;&gt;"",IF('Capacity summary'!$D$14="Yes",IF(COUNTBLANK('Capacity summary'!$H130:$BG130)&lt;52,IF('Capacity summary'!AS130&lt;&gt;"",IF(LOWER('Capacity summary'!AS130)="x",$BI11*AS11,VALUE('Capacity summary'!AS130)),0),AS11*$BI11),AS11*$BI11),0)</f>
        <v>0</v>
      </c>
      <c r="CW11" s="311">
        <f>IF($BI11&lt;&gt;"",IF('Capacity summary'!$D$14="Yes",IF(COUNTBLANK('Capacity summary'!$H130:$BG130)&lt;52,IF('Capacity summary'!AT130&lt;&gt;"",IF(LOWER('Capacity summary'!AT130)="x",$BI11*AT11,VALUE('Capacity summary'!AT130)),0),AT11*$BI11),AT11*$BI11),0)</f>
        <v>0</v>
      </c>
      <c r="CX11" s="311">
        <f>IF($BI11&lt;&gt;"",IF('Capacity summary'!$D$14="Yes",IF(COUNTBLANK('Capacity summary'!$H130:$BG130)&lt;52,IF('Capacity summary'!AU130&lt;&gt;"",IF(LOWER('Capacity summary'!AU130)="x",$BI11*AU11,VALUE('Capacity summary'!AU130)),0),AU11*$BI11),AU11*$BI11),0)</f>
        <v>0</v>
      </c>
      <c r="CY11" s="311">
        <f>IF($BI11&lt;&gt;"",IF('Capacity summary'!$D$14="Yes",IF(COUNTBLANK('Capacity summary'!$H130:$BG130)&lt;52,IF('Capacity summary'!AV130&lt;&gt;"",IF(LOWER('Capacity summary'!AV130)="x",$BI11*AV11,VALUE('Capacity summary'!AV130)),0),AV11*$BI11),AV11*$BI11),0)</f>
        <v>0</v>
      </c>
      <c r="CZ11" s="311">
        <f>IF($BI11&lt;&gt;"",IF('Capacity summary'!$D$14="Yes",IF(COUNTBLANK('Capacity summary'!$H130:$BG130)&lt;52,IF('Capacity summary'!AW130&lt;&gt;"",IF(LOWER('Capacity summary'!AW130)="x",$BI11*AW11,VALUE('Capacity summary'!AW130)),0),AW11*$BI11),AW11*$BI11),0)</f>
        <v>0</v>
      </c>
      <c r="DA11" s="311">
        <f>IF($BI11&lt;&gt;"",IF('Capacity summary'!$D$14="Yes",IF(COUNTBLANK('Capacity summary'!$H130:$BG130)&lt;52,IF('Capacity summary'!AX130&lt;&gt;"",IF(LOWER('Capacity summary'!AX130)="x",$BI11*AX11,VALUE('Capacity summary'!AX130)),0),AX11*$BI11),AX11*$BI11),0)</f>
        <v>0</v>
      </c>
      <c r="DB11" s="311">
        <f>IF($BI11&lt;&gt;"",IF('Capacity summary'!$D$14="Yes",IF(COUNTBLANK('Capacity summary'!$H130:$BG130)&lt;52,IF('Capacity summary'!AY130&lt;&gt;"",IF(LOWER('Capacity summary'!AY130)="x",$BI11*AY11,VALUE('Capacity summary'!AY130)),0),AY11*$BI11),AY11*$BI11),0)</f>
        <v>0</v>
      </c>
      <c r="DC11" s="311">
        <f>IF($BI11&lt;&gt;"",IF('Capacity summary'!$D$14="Yes",IF(COUNTBLANK('Capacity summary'!$H130:$BG130)&lt;52,IF('Capacity summary'!AZ130&lt;&gt;"",IF(LOWER('Capacity summary'!AZ130)="x",$BI11*AZ11,VALUE('Capacity summary'!AZ130)),0),AZ11*$BI11),AZ11*$BI11),0)</f>
        <v>0</v>
      </c>
      <c r="DD11" s="311">
        <f>IF($BI11&lt;&gt;"",IF('Capacity summary'!$D$14="Yes",IF(COUNTBLANK('Capacity summary'!$H130:$BG130)&lt;52,IF('Capacity summary'!BA130&lt;&gt;"",IF(LOWER('Capacity summary'!BA130)="x",$BI11*BA11,VALUE('Capacity summary'!BA130)),0),BA11*$BI11),BA11*$BI11),0)</f>
        <v>0</v>
      </c>
      <c r="DE11" s="311">
        <f>IF($BI11&lt;&gt;"",IF('Capacity summary'!$D$14="Yes",IF(COUNTBLANK('Capacity summary'!$H130:$BG130)&lt;52,IF('Capacity summary'!BB130&lt;&gt;"",IF(LOWER('Capacity summary'!BB130)="x",$BI11*BB11,VALUE('Capacity summary'!BB130)),0),BB11*$BI11),BB11*$BI11),0)</f>
        <v>0</v>
      </c>
      <c r="DF11" s="311">
        <f>IF($BI11&lt;&gt;"",IF('Capacity summary'!$D$14="Yes",IF(COUNTBLANK('Capacity summary'!$H130:$BG130)&lt;52,IF('Capacity summary'!BC130&lt;&gt;"",IF(LOWER('Capacity summary'!BC130)="x",$BI11*BC11,VALUE('Capacity summary'!BC130)),0),BC11*$BI11),BC11*$BI11),0)</f>
        <v>0</v>
      </c>
      <c r="DG11" s="311">
        <f>IF($BI11&lt;&gt;"",IF('Capacity summary'!$D$14="Yes",IF(COUNTBLANK('Capacity summary'!$H130:$BG130)&lt;52,IF('Capacity summary'!BD130&lt;&gt;"",IF(LOWER('Capacity summary'!BD130)="x",$BI11*BD11,VALUE('Capacity summary'!BD130)),0),BD11*$BI11),BD11*$BI11),0)</f>
        <v>0</v>
      </c>
      <c r="DH11" s="311">
        <f>IF($BI11&lt;&gt;"",IF('Capacity summary'!$D$14="Yes",IF(COUNTBLANK('Capacity summary'!$H130:$BG130)&lt;52,IF('Capacity summary'!BE130&lt;&gt;"",IF(LOWER('Capacity summary'!BE130)="x",$BI11*BE11,VALUE('Capacity summary'!BE130)),0),BE11*$BI11),BE11*$BI11),0)</f>
        <v>0</v>
      </c>
      <c r="DI11" s="311">
        <f>IF($BI11&lt;&gt;"",IF('Capacity summary'!$D$14="Yes",IF(COUNTBLANK('Capacity summary'!$H130:$BG130)&lt;52,IF('Capacity summary'!BF130&lt;&gt;"",IF(LOWER('Capacity summary'!BF130)="x",$BI11*BF11,VALUE('Capacity summary'!BF130)),0),BF11*$BI11),BF11*$BI11),0)</f>
        <v>0</v>
      </c>
      <c r="DJ11" s="311">
        <f>IF($BI11&lt;&gt;"",IF('Capacity summary'!$D$14="Yes",IF(COUNTBLANK('Capacity summary'!$H130:$BG130)&lt;52,IF('Capacity summary'!BG130&lt;&gt;"",IF(LOWER('Capacity summary'!BG130)="x",$BI11*BG11,VALUE('Capacity summary'!BG130)),0),BG11*$BI11),BG11*$BI11),0)</f>
        <v>0</v>
      </c>
      <c r="DK11" s="387">
        <f t="shared" si="2"/>
        <v>0</v>
      </c>
      <c r="DL11" s="136">
        <f t="shared" si="3"/>
        <v>0</v>
      </c>
      <c r="DM11" s="311" t="str">
        <f>Capacity!H23</f>
        <v/>
      </c>
      <c r="DQ11" s="5"/>
    </row>
    <row r="12" spans="1:121" x14ac:dyDescent="0.2">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1">
        <f>IF($BI12&lt;&gt;"",IF('Capacity summary'!$D$14="Yes",IF(COUNTBLANK('Capacity summary'!$H131:$BG131)&lt;52,IF('Capacity summary'!H131&lt;&gt;"",IF(LOWER('Capacity summary'!H131)="x",$BI12*H12,VALUE('Capacity summary'!H131)),0),H12*$BI12),H12*$BI12),0)</f>
        <v>0</v>
      </c>
      <c r="BL12" s="311">
        <f>IF($BI12&lt;&gt;"",IF('Capacity summary'!$D$14="Yes",IF(COUNTBLANK('Capacity summary'!$H131:$BG131)&lt;52,IF('Capacity summary'!I131&lt;&gt;"",IF(LOWER('Capacity summary'!I131)="x",$BI12*I12,VALUE('Capacity summary'!I131)),0),I12*$BI12),I12*$BI12),0)</f>
        <v>0</v>
      </c>
      <c r="BM12" s="311">
        <f>IF($BI12&lt;&gt;"",IF('Capacity summary'!$D$14="Yes",IF(COUNTBLANK('Capacity summary'!$H131:$BG131)&lt;52,IF('Capacity summary'!J131&lt;&gt;"",IF(LOWER('Capacity summary'!J131)="x",$BI12*J12,VALUE('Capacity summary'!J131)),0),J12*$BI12),J12*$BI12),0)</f>
        <v>0</v>
      </c>
      <c r="BN12" s="311">
        <f>IF($BI12&lt;&gt;"",IF('Capacity summary'!$D$14="Yes",IF(COUNTBLANK('Capacity summary'!$H131:$BG131)&lt;52,IF('Capacity summary'!K131&lt;&gt;"",IF(LOWER('Capacity summary'!K131)="x",$BI12*K12,VALUE('Capacity summary'!K131)),0),K12*$BI12),K12*$BI12),0)</f>
        <v>0</v>
      </c>
      <c r="BO12" s="311">
        <f>IF($BI12&lt;&gt;"",IF('Capacity summary'!$D$14="Yes",IF(COUNTBLANK('Capacity summary'!$H131:$BG131)&lt;52,IF('Capacity summary'!L131&lt;&gt;"",IF(LOWER('Capacity summary'!L131)="x",$BI12*L12,VALUE('Capacity summary'!L131)),0),L12*$BI12),L12*$BI12),0)</f>
        <v>0</v>
      </c>
      <c r="BP12" s="311">
        <f>IF($BI12&lt;&gt;"",IF('Capacity summary'!$D$14="Yes",IF(COUNTBLANK('Capacity summary'!$H131:$BG131)&lt;52,IF('Capacity summary'!M131&lt;&gt;"",IF(LOWER('Capacity summary'!M131)="x",$BI12*M12,VALUE('Capacity summary'!M131)),0),M12*$BI12),M12*$BI12),0)</f>
        <v>0</v>
      </c>
      <c r="BQ12" s="311">
        <f>IF($BI12&lt;&gt;"",IF('Capacity summary'!$D$14="Yes",IF(COUNTBLANK('Capacity summary'!$H131:$BG131)&lt;52,IF('Capacity summary'!N131&lt;&gt;"",IF(LOWER('Capacity summary'!N131)="x",$BI12*N12,VALUE('Capacity summary'!N131)),0),N12*$BI12),N12*$BI12),0)</f>
        <v>0</v>
      </c>
      <c r="BR12" s="311">
        <f>IF($BI12&lt;&gt;"",IF('Capacity summary'!$D$14="Yes",IF(COUNTBLANK('Capacity summary'!$H131:$BG131)&lt;52,IF('Capacity summary'!O131&lt;&gt;"",IF(LOWER('Capacity summary'!O131)="x",$BI12*O12,VALUE('Capacity summary'!O131)),0),O12*$BI12),O12*$BI12),0)</f>
        <v>0</v>
      </c>
      <c r="BS12" s="311">
        <f>IF($BI12&lt;&gt;"",IF('Capacity summary'!$D$14="Yes",IF(COUNTBLANK('Capacity summary'!$H131:$BG131)&lt;52,IF('Capacity summary'!P131&lt;&gt;"",IF(LOWER('Capacity summary'!P131)="x",$BI12*P12,VALUE('Capacity summary'!P131)),0),P12*$BI12),P12*$BI12),0)</f>
        <v>0</v>
      </c>
      <c r="BT12" s="311">
        <f>IF($BI12&lt;&gt;"",IF('Capacity summary'!$D$14="Yes",IF(COUNTBLANK('Capacity summary'!$H131:$BG131)&lt;52,IF('Capacity summary'!Q131&lt;&gt;"",IF(LOWER('Capacity summary'!Q131)="x",$BI12*Q12,VALUE('Capacity summary'!Q131)),0),Q12*$BI12),Q12*$BI12),0)</f>
        <v>0</v>
      </c>
      <c r="BU12" s="311">
        <f>IF($BI12&lt;&gt;"",IF('Capacity summary'!$D$14="Yes",IF(COUNTBLANK('Capacity summary'!$H131:$BG131)&lt;52,IF('Capacity summary'!R131&lt;&gt;"",IF(LOWER('Capacity summary'!R131)="x",$BI12*R12,VALUE('Capacity summary'!R131)),0),R12*$BI12),R12*$BI12),0)</f>
        <v>0</v>
      </c>
      <c r="BV12" s="311">
        <f>IF($BI12&lt;&gt;"",IF('Capacity summary'!$D$14="Yes",IF(COUNTBLANK('Capacity summary'!$H131:$BG131)&lt;52,IF('Capacity summary'!S131&lt;&gt;"",IF(LOWER('Capacity summary'!S131)="x",$BI12*S12,VALUE('Capacity summary'!S131)),0),S12*$BI12),S12*$BI12),0)</f>
        <v>0</v>
      </c>
      <c r="BW12" s="311">
        <f>IF($BI12&lt;&gt;"",IF('Capacity summary'!$D$14="Yes",IF(COUNTBLANK('Capacity summary'!$H131:$BG131)&lt;52,IF('Capacity summary'!T131&lt;&gt;"",IF(LOWER('Capacity summary'!T131)="x",$BI12*T12,VALUE('Capacity summary'!T131)),0),T12*$BI12),T12*$BI12),0)</f>
        <v>0</v>
      </c>
      <c r="BX12" s="311">
        <f>IF($BI12&lt;&gt;"",IF('Capacity summary'!$D$14="Yes",IF(COUNTBLANK('Capacity summary'!$H131:$BG131)&lt;52,IF('Capacity summary'!U131&lt;&gt;"",IF(LOWER('Capacity summary'!U131)="x",$BI12*U12,VALUE('Capacity summary'!U131)),0),U12*$BI12),U12*$BI12),0)</f>
        <v>0</v>
      </c>
      <c r="BY12" s="311">
        <f>IF($BI12&lt;&gt;"",IF('Capacity summary'!$D$14="Yes",IF(COUNTBLANK('Capacity summary'!$H131:$BG131)&lt;52,IF('Capacity summary'!V131&lt;&gt;"",IF(LOWER('Capacity summary'!V131)="x",$BI12*V12,VALUE('Capacity summary'!V131)),0),V12*$BI12),V12*$BI12),0)</f>
        <v>0</v>
      </c>
      <c r="BZ12" s="311">
        <f>IF($BI12&lt;&gt;"",IF('Capacity summary'!$D$14="Yes",IF(COUNTBLANK('Capacity summary'!$H131:$BG131)&lt;52,IF('Capacity summary'!W131&lt;&gt;"",IF(LOWER('Capacity summary'!W131)="x",$BI12*W12,VALUE('Capacity summary'!W131)),0),W12*$BI12),W12*$BI12),0)</f>
        <v>0</v>
      </c>
      <c r="CA12" s="311">
        <f>IF($BI12&lt;&gt;"",IF('Capacity summary'!$D$14="Yes",IF(COUNTBLANK('Capacity summary'!$H131:$BG131)&lt;52,IF('Capacity summary'!X131&lt;&gt;"",IF(LOWER('Capacity summary'!X131)="x",$BI12*X12,VALUE('Capacity summary'!X131)),0),X12*$BI12),X12*$BI12),0)</f>
        <v>0</v>
      </c>
      <c r="CB12" s="311">
        <f>IF($BI12&lt;&gt;"",IF('Capacity summary'!$D$14="Yes",IF(COUNTBLANK('Capacity summary'!$H131:$BG131)&lt;52,IF('Capacity summary'!Y131&lt;&gt;"",IF(LOWER('Capacity summary'!Y131)="x",$BI12*Y12,VALUE('Capacity summary'!Y131)),0),Y12*$BI12),Y12*$BI12),0)</f>
        <v>0</v>
      </c>
      <c r="CC12" s="311">
        <f>IF($BI12&lt;&gt;"",IF('Capacity summary'!$D$14="Yes",IF(COUNTBLANK('Capacity summary'!$H131:$BG131)&lt;52,IF('Capacity summary'!Z131&lt;&gt;"",IF(LOWER('Capacity summary'!Z131)="x",$BI12*Z12,VALUE('Capacity summary'!Z131)),0),Z12*$BI12),Z12*$BI12),0)</f>
        <v>0</v>
      </c>
      <c r="CD12" s="311">
        <f>IF($BI12&lt;&gt;"",IF('Capacity summary'!$D$14="Yes",IF(COUNTBLANK('Capacity summary'!$H131:$BG131)&lt;52,IF('Capacity summary'!AA131&lt;&gt;"",IF(LOWER('Capacity summary'!AA131)="x",$BI12*AA12,VALUE('Capacity summary'!AA131)),0),AA12*$BI12),AA12*$BI12),0)</f>
        <v>0</v>
      </c>
      <c r="CE12" s="311">
        <f>IF($BI12&lt;&gt;"",IF('Capacity summary'!$D$14="Yes",IF(COUNTBLANK('Capacity summary'!$H131:$BG131)&lt;52,IF('Capacity summary'!AB131&lt;&gt;"",IF(LOWER('Capacity summary'!AB131)="x",$BI12*AB12,VALUE('Capacity summary'!AB131)),0),AB12*$BI12),AB12*$BI12),0)</f>
        <v>0</v>
      </c>
      <c r="CF12" s="311">
        <f>IF($BI12&lt;&gt;"",IF('Capacity summary'!$D$14="Yes",IF(COUNTBLANK('Capacity summary'!$H131:$BG131)&lt;52,IF('Capacity summary'!AC131&lt;&gt;"",IF(LOWER('Capacity summary'!AC131)="x",$BI12*AC12,VALUE('Capacity summary'!AC131)),0),AC12*$BI12),AC12*$BI12),0)</f>
        <v>0</v>
      </c>
      <c r="CG12" s="311">
        <f>IF($BI12&lt;&gt;"",IF('Capacity summary'!$D$14="Yes",IF(COUNTBLANK('Capacity summary'!$H131:$BG131)&lt;52,IF('Capacity summary'!AD131&lt;&gt;"",IF(LOWER('Capacity summary'!AD131)="x",$BI12*AD12,VALUE('Capacity summary'!AD131)),0),AD12*$BI12),AD12*$BI12),0)</f>
        <v>0</v>
      </c>
      <c r="CH12" s="311">
        <f>IF($BI12&lt;&gt;"",IF('Capacity summary'!$D$14="Yes",IF(COUNTBLANK('Capacity summary'!$H131:$BG131)&lt;52,IF('Capacity summary'!AE131&lt;&gt;"",IF(LOWER('Capacity summary'!AE131)="x",$BI12*AE12,VALUE('Capacity summary'!AE131)),0),AE12*$BI12),AE12*$BI12),0)</f>
        <v>0</v>
      </c>
      <c r="CI12" s="311">
        <f>IF($BI12&lt;&gt;"",IF('Capacity summary'!$D$14="Yes",IF(COUNTBLANK('Capacity summary'!$H131:$BG131)&lt;52,IF('Capacity summary'!AF131&lt;&gt;"",IF(LOWER('Capacity summary'!AF131)="x",$BI12*AF12,VALUE('Capacity summary'!AF131)),0),AF12*$BI12),AF12*$BI12),0)</f>
        <v>0</v>
      </c>
      <c r="CJ12" s="311">
        <f>IF($BI12&lt;&gt;"",IF('Capacity summary'!$D$14="Yes",IF(COUNTBLANK('Capacity summary'!$H131:$BG131)&lt;52,IF('Capacity summary'!AG131&lt;&gt;"",IF(LOWER('Capacity summary'!AG131)="x",$BI12*AG12,VALUE('Capacity summary'!AG131)),0),AG12*$BI12),AG12*$BI12),0)</f>
        <v>0</v>
      </c>
      <c r="CK12" s="311">
        <f>IF($BI12&lt;&gt;"",IF('Capacity summary'!$D$14="Yes",IF(COUNTBLANK('Capacity summary'!$H131:$BG131)&lt;52,IF('Capacity summary'!AH131&lt;&gt;"",IF(LOWER('Capacity summary'!AH131)="x",$BI12*AH12,VALUE('Capacity summary'!AH131)),0),AH12*$BI12),AH12*$BI12),0)</f>
        <v>0</v>
      </c>
      <c r="CL12" s="311">
        <f>IF($BI12&lt;&gt;"",IF('Capacity summary'!$D$14="Yes",IF(COUNTBLANK('Capacity summary'!$H131:$BG131)&lt;52,IF('Capacity summary'!AI131&lt;&gt;"",IF(LOWER('Capacity summary'!AI131)="x",$BI12*AI12,VALUE('Capacity summary'!AI131)),0),AI12*$BI12),AI12*$BI12),0)</f>
        <v>0</v>
      </c>
      <c r="CM12" s="311">
        <f>IF($BI12&lt;&gt;"",IF('Capacity summary'!$D$14="Yes",IF(COUNTBLANK('Capacity summary'!$H131:$BG131)&lt;52,IF('Capacity summary'!AJ131&lt;&gt;"",IF(LOWER('Capacity summary'!AJ131)="x",$BI12*AJ12,VALUE('Capacity summary'!AJ131)),0),AJ12*$BI12),AJ12*$BI12),0)</f>
        <v>0</v>
      </c>
      <c r="CN12" s="311">
        <f>IF($BI12&lt;&gt;"",IF('Capacity summary'!$D$14="Yes",IF(COUNTBLANK('Capacity summary'!$H131:$BG131)&lt;52,IF('Capacity summary'!AK131&lt;&gt;"",IF(LOWER('Capacity summary'!AK131)="x",$BI12*AK12,VALUE('Capacity summary'!AK131)),0),AK12*$BI12),AK12*$BI12),0)</f>
        <v>0</v>
      </c>
      <c r="CO12" s="311">
        <f>IF($BI12&lt;&gt;"",IF('Capacity summary'!$D$14="Yes",IF(COUNTBLANK('Capacity summary'!$H131:$BG131)&lt;52,IF('Capacity summary'!AL131&lt;&gt;"",IF(LOWER('Capacity summary'!AL131)="x",$BI12*AL12,VALUE('Capacity summary'!AL131)),0),AL12*$BI12),AL12*$BI12),0)</f>
        <v>0</v>
      </c>
      <c r="CP12" s="311">
        <f>IF($BI12&lt;&gt;"",IF('Capacity summary'!$D$14="Yes",IF(COUNTBLANK('Capacity summary'!$H131:$BG131)&lt;52,IF('Capacity summary'!AM131&lt;&gt;"",IF(LOWER('Capacity summary'!AM131)="x",$BI12*AM12,VALUE('Capacity summary'!AM131)),0),AM12*$BI12),AM12*$BI12),0)</f>
        <v>0</v>
      </c>
      <c r="CQ12" s="311">
        <f>IF($BI12&lt;&gt;"",IF('Capacity summary'!$D$14="Yes",IF(COUNTBLANK('Capacity summary'!$H131:$BG131)&lt;52,IF('Capacity summary'!AN131&lt;&gt;"",IF(LOWER('Capacity summary'!AN131)="x",$BI12*AN12,VALUE('Capacity summary'!AN131)),0),AN12*$BI12),AN12*$BI12),0)</f>
        <v>0</v>
      </c>
      <c r="CR12" s="311">
        <f>IF($BI12&lt;&gt;"",IF('Capacity summary'!$D$14="Yes",IF(COUNTBLANK('Capacity summary'!$H131:$BG131)&lt;52,IF('Capacity summary'!AO131&lt;&gt;"",IF(LOWER('Capacity summary'!AO131)="x",$BI12*AO12,VALUE('Capacity summary'!AO131)),0),AO12*$BI12),AO12*$BI12),0)</f>
        <v>0</v>
      </c>
      <c r="CS12" s="311">
        <f>IF($BI12&lt;&gt;"",IF('Capacity summary'!$D$14="Yes",IF(COUNTBLANK('Capacity summary'!$H131:$BG131)&lt;52,IF('Capacity summary'!AP131&lt;&gt;"",IF(LOWER('Capacity summary'!AP131)="x",$BI12*AP12,VALUE('Capacity summary'!AP131)),0),AP12*$BI12),AP12*$BI12),0)</f>
        <v>0</v>
      </c>
      <c r="CT12" s="311">
        <f>IF($BI12&lt;&gt;"",IF('Capacity summary'!$D$14="Yes",IF(COUNTBLANK('Capacity summary'!$H131:$BG131)&lt;52,IF('Capacity summary'!AQ131&lt;&gt;"",IF(LOWER('Capacity summary'!AQ131)="x",$BI12*AQ12,VALUE('Capacity summary'!AQ131)),0),AQ12*$BI12),AQ12*$BI12),0)</f>
        <v>0</v>
      </c>
      <c r="CU12" s="311">
        <f>IF($BI12&lt;&gt;"",IF('Capacity summary'!$D$14="Yes",IF(COUNTBLANK('Capacity summary'!$H131:$BG131)&lt;52,IF('Capacity summary'!AR131&lt;&gt;"",IF(LOWER('Capacity summary'!AR131)="x",$BI12*AR12,VALUE('Capacity summary'!AR131)),0),AR12*$BI12),AR12*$BI12),0)</f>
        <v>0</v>
      </c>
      <c r="CV12" s="311">
        <f>IF($BI12&lt;&gt;"",IF('Capacity summary'!$D$14="Yes",IF(COUNTBLANK('Capacity summary'!$H131:$BG131)&lt;52,IF('Capacity summary'!AS131&lt;&gt;"",IF(LOWER('Capacity summary'!AS131)="x",$BI12*AS12,VALUE('Capacity summary'!AS131)),0),AS12*$BI12),AS12*$BI12),0)</f>
        <v>0</v>
      </c>
      <c r="CW12" s="311">
        <f>IF($BI12&lt;&gt;"",IF('Capacity summary'!$D$14="Yes",IF(COUNTBLANK('Capacity summary'!$H131:$BG131)&lt;52,IF('Capacity summary'!AT131&lt;&gt;"",IF(LOWER('Capacity summary'!AT131)="x",$BI12*AT12,VALUE('Capacity summary'!AT131)),0),AT12*$BI12),AT12*$BI12),0)</f>
        <v>0</v>
      </c>
      <c r="CX12" s="311">
        <f>IF($BI12&lt;&gt;"",IF('Capacity summary'!$D$14="Yes",IF(COUNTBLANK('Capacity summary'!$H131:$BG131)&lt;52,IF('Capacity summary'!AU131&lt;&gt;"",IF(LOWER('Capacity summary'!AU131)="x",$BI12*AU12,VALUE('Capacity summary'!AU131)),0),AU12*$BI12),AU12*$BI12),0)</f>
        <v>0</v>
      </c>
      <c r="CY12" s="311">
        <f>IF($BI12&lt;&gt;"",IF('Capacity summary'!$D$14="Yes",IF(COUNTBLANK('Capacity summary'!$H131:$BG131)&lt;52,IF('Capacity summary'!AV131&lt;&gt;"",IF(LOWER('Capacity summary'!AV131)="x",$BI12*AV12,VALUE('Capacity summary'!AV131)),0),AV12*$BI12),AV12*$BI12),0)</f>
        <v>0</v>
      </c>
      <c r="CZ12" s="311">
        <f>IF($BI12&lt;&gt;"",IF('Capacity summary'!$D$14="Yes",IF(COUNTBLANK('Capacity summary'!$H131:$BG131)&lt;52,IF('Capacity summary'!AW131&lt;&gt;"",IF(LOWER('Capacity summary'!AW131)="x",$BI12*AW12,VALUE('Capacity summary'!AW131)),0),AW12*$BI12),AW12*$BI12),0)</f>
        <v>0</v>
      </c>
      <c r="DA12" s="311">
        <f>IF($BI12&lt;&gt;"",IF('Capacity summary'!$D$14="Yes",IF(COUNTBLANK('Capacity summary'!$H131:$BG131)&lt;52,IF('Capacity summary'!AX131&lt;&gt;"",IF(LOWER('Capacity summary'!AX131)="x",$BI12*AX12,VALUE('Capacity summary'!AX131)),0),AX12*$BI12),AX12*$BI12),0)</f>
        <v>0</v>
      </c>
      <c r="DB12" s="311">
        <f>IF($BI12&lt;&gt;"",IF('Capacity summary'!$D$14="Yes",IF(COUNTBLANK('Capacity summary'!$H131:$BG131)&lt;52,IF('Capacity summary'!AY131&lt;&gt;"",IF(LOWER('Capacity summary'!AY131)="x",$BI12*AY12,VALUE('Capacity summary'!AY131)),0),AY12*$BI12),AY12*$BI12),0)</f>
        <v>0</v>
      </c>
      <c r="DC12" s="311">
        <f>IF($BI12&lt;&gt;"",IF('Capacity summary'!$D$14="Yes",IF(COUNTBLANK('Capacity summary'!$H131:$BG131)&lt;52,IF('Capacity summary'!AZ131&lt;&gt;"",IF(LOWER('Capacity summary'!AZ131)="x",$BI12*AZ12,VALUE('Capacity summary'!AZ131)),0),AZ12*$BI12),AZ12*$BI12),0)</f>
        <v>0</v>
      </c>
      <c r="DD12" s="311">
        <f>IF($BI12&lt;&gt;"",IF('Capacity summary'!$D$14="Yes",IF(COUNTBLANK('Capacity summary'!$H131:$BG131)&lt;52,IF('Capacity summary'!BA131&lt;&gt;"",IF(LOWER('Capacity summary'!BA131)="x",$BI12*BA12,VALUE('Capacity summary'!BA131)),0),BA12*$BI12),BA12*$BI12),0)</f>
        <v>0</v>
      </c>
      <c r="DE12" s="311">
        <f>IF($BI12&lt;&gt;"",IF('Capacity summary'!$D$14="Yes",IF(COUNTBLANK('Capacity summary'!$H131:$BG131)&lt;52,IF('Capacity summary'!BB131&lt;&gt;"",IF(LOWER('Capacity summary'!BB131)="x",$BI12*BB12,VALUE('Capacity summary'!BB131)),0),BB12*$BI12),BB12*$BI12),0)</f>
        <v>0</v>
      </c>
      <c r="DF12" s="311">
        <f>IF($BI12&lt;&gt;"",IF('Capacity summary'!$D$14="Yes",IF(COUNTBLANK('Capacity summary'!$H131:$BG131)&lt;52,IF('Capacity summary'!BC131&lt;&gt;"",IF(LOWER('Capacity summary'!BC131)="x",$BI12*BC12,VALUE('Capacity summary'!BC131)),0),BC12*$BI12),BC12*$BI12),0)</f>
        <v>0</v>
      </c>
      <c r="DG12" s="311">
        <f>IF($BI12&lt;&gt;"",IF('Capacity summary'!$D$14="Yes",IF(COUNTBLANK('Capacity summary'!$H131:$BG131)&lt;52,IF('Capacity summary'!BD131&lt;&gt;"",IF(LOWER('Capacity summary'!BD131)="x",$BI12*BD12,VALUE('Capacity summary'!BD131)),0),BD12*$BI12),BD12*$BI12),0)</f>
        <v>0</v>
      </c>
      <c r="DH12" s="311">
        <f>IF($BI12&lt;&gt;"",IF('Capacity summary'!$D$14="Yes",IF(COUNTBLANK('Capacity summary'!$H131:$BG131)&lt;52,IF('Capacity summary'!BE131&lt;&gt;"",IF(LOWER('Capacity summary'!BE131)="x",$BI12*BE12,VALUE('Capacity summary'!BE131)),0),BE12*$BI12),BE12*$BI12),0)</f>
        <v>0</v>
      </c>
      <c r="DI12" s="311">
        <f>IF($BI12&lt;&gt;"",IF('Capacity summary'!$D$14="Yes",IF(COUNTBLANK('Capacity summary'!$H131:$BG131)&lt;52,IF('Capacity summary'!BF131&lt;&gt;"",IF(LOWER('Capacity summary'!BF131)="x",$BI12*BF12,VALUE('Capacity summary'!BF131)),0),BF12*$BI12),BF12*$BI12),0)</f>
        <v>0</v>
      </c>
      <c r="DJ12" s="311">
        <f>IF($BI12&lt;&gt;"",IF('Capacity summary'!$D$14="Yes",IF(COUNTBLANK('Capacity summary'!$H131:$BG131)&lt;52,IF('Capacity summary'!BG131&lt;&gt;"",IF(LOWER('Capacity summary'!BG131)="x",$BI12*BG12,VALUE('Capacity summary'!BG131)),0),BG12*$BI12),BG12*$BI12),0)</f>
        <v>0</v>
      </c>
      <c r="DK12" s="387">
        <f t="shared" si="2"/>
        <v>0</v>
      </c>
      <c r="DL12" s="136">
        <f t="shared" si="3"/>
        <v>0</v>
      </c>
      <c r="DM12" s="311" t="str">
        <f>Capacity!H24</f>
        <v/>
      </c>
      <c r="DQ12" s="5"/>
    </row>
    <row r="13" spans="1:121" x14ac:dyDescent="0.2">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1">
        <f>IF($BI13&lt;&gt;"",IF('Capacity summary'!$D$14="Yes",IF(COUNTBLANK('Capacity summary'!$H132:$BG132)&lt;52,IF('Capacity summary'!H132&lt;&gt;"",IF(LOWER('Capacity summary'!H132)="x",$BI13*H13,VALUE('Capacity summary'!H132)),0),H13*$BI13),H13*$BI13),0)</f>
        <v>0</v>
      </c>
      <c r="BL13" s="311">
        <f>IF($BI13&lt;&gt;"",IF('Capacity summary'!$D$14="Yes",IF(COUNTBLANK('Capacity summary'!$H132:$BG132)&lt;52,IF('Capacity summary'!I132&lt;&gt;"",IF(LOWER('Capacity summary'!I132)="x",$BI13*I13,VALUE('Capacity summary'!I132)),0),I13*$BI13),I13*$BI13),0)</f>
        <v>0</v>
      </c>
      <c r="BM13" s="311">
        <f>IF($BI13&lt;&gt;"",IF('Capacity summary'!$D$14="Yes",IF(COUNTBLANK('Capacity summary'!$H132:$BG132)&lt;52,IF('Capacity summary'!J132&lt;&gt;"",IF(LOWER('Capacity summary'!J132)="x",$BI13*J13,VALUE('Capacity summary'!J132)),0),J13*$BI13),J13*$BI13),0)</f>
        <v>0</v>
      </c>
      <c r="BN13" s="311">
        <f>IF($BI13&lt;&gt;"",IF('Capacity summary'!$D$14="Yes",IF(COUNTBLANK('Capacity summary'!$H132:$BG132)&lt;52,IF('Capacity summary'!K132&lt;&gt;"",IF(LOWER('Capacity summary'!K132)="x",$BI13*K13,VALUE('Capacity summary'!K132)),0),K13*$BI13),K13*$BI13),0)</f>
        <v>0</v>
      </c>
      <c r="BO13" s="311">
        <f>IF($BI13&lt;&gt;"",IF('Capacity summary'!$D$14="Yes",IF(COUNTBLANK('Capacity summary'!$H132:$BG132)&lt;52,IF('Capacity summary'!L132&lt;&gt;"",IF(LOWER('Capacity summary'!L132)="x",$BI13*L13,VALUE('Capacity summary'!L132)),0),L13*$BI13),L13*$BI13),0)</f>
        <v>0</v>
      </c>
      <c r="BP13" s="311">
        <f>IF($BI13&lt;&gt;"",IF('Capacity summary'!$D$14="Yes",IF(COUNTBLANK('Capacity summary'!$H132:$BG132)&lt;52,IF('Capacity summary'!M132&lt;&gt;"",IF(LOWER('Capacity summary'!M132)="x",$BI13*M13,VALUE('Capacity summary'!M132)),0),M13*$BI13),M13*$BI13),0)</f>
        <v>0</v>
      </c>
      <c r="BQ13" s="311">
        <f>IF($BI13&lt;&gt;"",IF('Capacity summary'!$D$14="Yes",IF(COUNTBLANK('Capacity summary'!$H132:$BG132)&lt;52,IF('Capacity summary'!N132&lt;&gt;"",IF(LOWER('Capacity summary'!N132)="x",$BI13*N13,VALUE('Capacity summary'!N132)),0),N13*$BI13),N13*$BI13),0)</f>
        <v>0</v>
      </c>
      <c r="BR13" s="311">
        <f>IF($BI13&lt;&gt;"",IF('Capacity summary'!$D$14="Yes",IF(COUNTBLANK('Capacity summary'!$H132:$BG132)&lt;52,IF('Capacity summary'!O132&lt;&gt;"",IF(LOWER('Capacity summary'!O132)="x",$BI13*O13,VALUE('Capacity summary'!O132)),0),O13*$BI13),O13*$BI13),0)</f>
        <v>0</v>
      </c>
      <c r="BS13" s="311">
        <f>IF($BI13&lt;&gt;"",IF('Capacity summary'!$D$14="Yes",IF(COUNTBLANK('Capacity summary'!$H132:$BG132)&lt;52,IF('Capacity summary'!P132&lt;&gt;"",IF(LOWER('Capacity summary'!P132)="x",$BI13*P13,VALUE('Capacity summary'!P132)),0),P13*$BI13),P13*$BI13),0)</f>
        <v>0</v>
      </c>
      <c r="BT13" s="311">
        <f>IF($BI13&lt;&gt;"",IF('Capacity summary'!$D$14="Yes",IF(COUNTBLANK('Capacity summary'!$H132:$BG132)&lt;52,IF('Capacity summary'!Q132&lt;&gt;"",IF(LOWER('Capacity summary'!Q132)="x",$BI13*Q13,VALUE('Capacity summary'!Q132)),0),Q13*$BI13),Q13*$BI13),0)</f>
        <v>0</v>
      </c>
      <c r="BU13" s="311">
        <f>IF($BI13&lt;&gt;"",IF('Capacity summary'!$D$14="Yes",IF(COUNTBLANK('Capacity summary'!$H132:$BG132)&lt;52,IF('Capacity summary'!R132&lt;&gt;"",IF(LOWER('Capacity summary'!R132)="x",$BI13*R13,VALUE('Capacity summary'!R132)),0),R13*$BI13),R13*$BI13),0)</f>
        <v>0</v>
      </c>
      <c r="BV13" s="311">
        <f>IF($BI13&lt;&gt;"",IF('Capacity summary'!$D$14="Yes",IF(COUNTBLANK('Capacity summary'!$H132:$BG132)&lt;52,IF('Capacity summary'!S132&lt;&gt;"",IF(LOWER('Capacity summary'!S132)="x",$BI13*S13,VALUE('Capacity summary'!S132)),0),S13*$BI13),S13*$BI13),0)</f>
        <v>0</v>
      </c>
      <c r="BW13" s="311">
        <f>IF($BI13&lt;&gt;"",IF('Capacity summary'!$D$14="Yes",IF(COUNTBLANK('Capacity summary'!$H132:$BG132)&lt;52,IF('Capacity summary'!T132&lt;&gt;"",IF(LOWER('Capacity summary'!T132)="x",$BI13*T13,VALUE('Capacity summary'!T132)),0),T13*$BI13),T13*$BI13),0)</f>
        <v>0</v>
      </c>
      <c r="BX13" s="311">
        <f>IF($BI13&lt;&gt;"",IF('Capacity summary'!$D$14="Yes",IF(COUNTBLANK('Capacity summary'!$H132:$BG132)&lt;52,IF('Capacity summary'!U132&lt;&gt;"",IF(LOWER('Capacity summary'!U132)="x",$BI13*U13,VALUE('Capacity summary'!U132)),0),U13*$BI13),U13*$BI13),0)</f>
        <v>0</v>
      </c>
      <c r="BY13" s="311">
        <f>IF($BI13&lt;&gt;"",IF('Capacity summary'!$D$14="Yes",IF(COUNTBLANK('Capacity summary'!$H132:$BG132)&lt;52,IF('Capacity summary'!V132&lt;&gt;"",IF(LOWER('Capacity summary'!V132)="x",$BI13*V13,VALUE('Capacity summary'!V132)),0),V13*$BI13),V13*$BI13),0)</f>
        <v>0</v>
      </c>
      <c r="BZ13" s="311">
        <f>IF($BI13&lt;&gt;"",IF('Capacity summary'!$D$14="Yes",IF(COUNTBLANK('Capacity summary'!$H132:$BG132)&lt;52,IF('Capacity summary'!W132&lt;&gt;"",IF(LOWER('Capacity summary'!W132)="x",$BI13*W13,VALUE('Capacity summary'!W132)),0),W13*$BI13),W13*$BI13),0)</f>
        <v>0</v>
      </c>
      <c r="CA13" s="311">
        <f>IF($BI13&lt;&gt;"",IF('Capacity summary'!$D$14="Yes",IF(COUNTBLANK('Capacity summary'!$H132:$BG132)&lt;52,IF('Capacity summary'!X132&lt;&gt;"",IF(LOWER('Capacity summary'!X132)="x",$BI13*X13,VALUE('Capacity summary'!X132)),0),X13*$BI13),X13*$BI13),0)</f>
        <v>0</v>
      </c>
      <c r="CB13" s="311">
        <f>IF($BI13&lt;&gt;"",IF('Capacity summary'!$D$14="Yes",IF(COUNTBLANK('Capacity summary'!$H132:$BG132)&lt;52,IF('Capacity summary'!Y132&lt;&gt;"",IF(LOWER('Capacity summary'!Y132)="x",$BI13*Y13,VALUE('Capacity summary'!Y132)),0),Y13*$BI13),Y13*$BI13),0)</f>
        <v>0</v>
      </c>
      <c r="CC13" s="311">
        <f>IF($BI13&lt;&gt;"",IF('Capacity summary'!$D$14="Yes",IF(COUNTBLANK('Capacity summary'!$H132:$BG132)&lt;52,IF('Capacity summary'!Z132&lt;&gt;"",IF(LOWER('Capacity summary'!Z132)="x",$BI13*Z13,VALUE('Capacity summary'!Z132)),0),Z13*$BI13),Z13*$BI13),0)</f>
        <v>0</v>
      </c>
      <c r="CD13" s="311">
        <f>IF($BI13&lt;&gt;"",IF('Capacity summary'!$D$14="Yes",IF(COUNTBLANK('Capacity summary'!$H132:$BG132)&lt;52,IF('Capacity summary'!AA132&lt;&gt;"",IF(LOWER('Capacity summary'!AA132)="x",$BI13*AA13,VALUE('Capacity summary'!AA132)),0),AA13*$BI13),AA13*$BI13),0)</f>
        <v>0</v>
      </c>
      <c r="CE13" s="311">
        <f>IF($BI13&lt;&gt;"",IF('Capacity summary'!$D$14="Yes",IF(COUNTBLANK('Capacity summary'!$H132:$BG132)&lt;52,IF('Capacity summary'!AB132&lt;&gt;"",IF(LOWER('Capacity summary'!AB132)="x",$BI13*AB13,VALUE('Capacity summary'!AB132)),0),AB13*$BI13),AB13*$BI13),0)</f>
        <v>0</v>
      </c>
      <c r="CF13" s="311">
        <f>IF($BI13&lt;&gt;"",IF('Capacity summary'!$D$14="Yes",IF(COUNTBLANK('Capacity summary'!$H132:$BG132)&lt;52,IF('Capacity summary'!AC132&lt;&gt;"",IF(LOWER('Capacity summary'!AC132)="x",$BI13*AC13,VALUE('Capacity summary'!AC132)),0),AC13*$BI13),AC13*$BI13),0)</f>
        <v>0</v>
      </c>
      <c r="CG13" s="311">
        <f>IF($BI13&lt;&gt;"",IF('Capacity summary'!$D$14="Yes",IF(COUNTBLANK('Capacity summary'!$H132:$BG132)&lt;52,IF('Capacity summary'!AD132&lt;&gt;"",IF(LOWER('Capacity summary'!AD132)="x",$BI13*AD13,VALUE('Capacity summary'!AD132)),0),AD13*$BI13),AD13*$BI13),0)</f>
        <v>0</v>
      </c>
      <c r="CH13" s="311">
        <f>IF($BI13&lt;&gt;"",IF('Capacity summary'!$D$14="Yes",IF(COUNTBLANK('Capacity summary'!$H132:$BG132)&lt;52,IF('Capacity summary'!AE132&lt;&gt;"",IF(LOWER('Capacity summary'!AE132)="x",$BI13*AE13,VALUE('Capacity summary'!AE132)),0),AE13*$BI13),AE13*$BI13),0)</f>
        <v>0</v>
      </c>
      <c r="CI13" s="311">
        <f>IF($BI13&lt;&gt;"",IF('Capacity summary'!$D$14="Yes",IF(COUNTBLANK('Capacity summary'!$H132:$BG132)&lt;52,IF('Capacity summary'!AF132&lt;&gt;"",IF(LOWER('Capacity summary'!AF132)="x",$BI13*AF13,VALUE('Capacity summary'!AF132)),0),AF13*$BI13),AF13*$BI13),0)</f>
        <v>0</v>
      </c>
      <c r="CJ13" s="311">
        <f>IF($BI13&lt;&gt;"",IF('Capacity summary'!$D$14="Yes",IF(COUNTBLANK('Capacity summary'!$H132:$BG132)&lt;52,IF('Capacity summary'!AG132&lt;&gt;"",IF(LOWER('Capacity summary'!AG132)="x",$BI13*AG13,VALUE('Capacity summary'!AG132)),0),AG13*$BI13),AG13*$BI13),0)</f>
        <v>0</v>
      </c>
      <c r="CK13" s="311">
        <f>IF($BI13&lt;&gt;"",IF('Capacity summary'!$D$14="Yes",IF(COUNTBLANK('Capacity summary'!$H132:$BG132)&lt;52,IF('Capacity summary'!AH132&lt;&gt;"",IF(LOWER('Capacity summary'!AH132)="x",$BI13*AH13,VALUE('Capacity summary'!AH132)),0),AH13*$BI13),AH13*$BI13),0)</f>
        <v>0</v>
      </c>
      <c r="CL13" s="311">
        <f>IF($BI13&lt;&gt;"",IF('Capacity summary'!$D$14="Yes",IF(COUNTBLANK('Capacity summary'!$H132:$BG132)&lt;52,IF('Capacity summary'!AI132&lt;&gt;"",IF(LOWER('Capacity summary'!AI132)="x",$BI13*AI13,VALUE('Capacity summary'!AI132)),0),AI13*$BI13),AI13*$BI13),0)</f>
        <v>0</v>
      </c>
      <c r="CM13" s="311">
        <f>IF($BI13&lt;&gt;"",IF('Capacity summary'!$D$14="Yes",IF(COUNTBLANK('Capacity summary'!$H132:$BG132)&lt;52,IF('Capacity summary'!AJ132&lt;&gt;"",IF(LOWER('Capacity summary'!AJ132)="x",$BI13*AJ13,VALUE('Capacity summary'!AJ132)),0),AJ13*$BI13),AJ13*$BI13),0)</f>
        <v>0</v>
      </c>
      <c r="CN13" s="311">
        <f>IF($BI13&lt;&gt;"",IF('Capacity summary'!$D$14="Yes",IF(COUNTBLANK('Capacity summary'!$H132:$BG132)&lt;52,IF('Capacity summary'!AK132&lt;&gt;"",IF(LOWER('Capacity summary'!AK132)="x",$BI13*AK13,VALUE('Capacity summary'!AK132)),0),AK13*$BI13),AK13*$BI13),0)</f>
        <v>0</v>
      </c>
      <c r="CO13" s="311">
        <f>IF($BI13&lt;&gt;"",IF('Capacity summary'!$D$14="Yes",IF(COUNTBLANK('Capacity summary'!$H132:$BG132)&lt;52,IF('Capacity summary'!AL132&lt;&gt;"",IF(LOWER('Capacity summary'!AL132)="x",$BI13*AL13,VALUE('Capacity summary'!AL132)),0),AL13*$BI13),AL13*$BI13),0)</f>
        <v>0</v>
      </c>
      <c r="CP13" s="311">
        <f>IF($BI13&lt;&gt;"",IF('Capacity summary'!$D$14="Yes",IF(COUNTBLANK('Capacity summary'!$H132:$BG132)&lt;52,IF('Capacity summary'!AM132&lt;&gt;"",IF(LOWER('Capacity summary'!AM132)="x",$BI13*AM13,VALUE('Capacity summary'!AM132)),0),AM13*$BI13),AM13*$BI13),0)</f>
        <v>0</v>
      </c>
      <c r="CQ13" s="311">
        <f>IF($BI13&lt;&gt;"",IF('Capacity summary'!$D$14="Yes",IF(COUNTBLANK('Capacity summary'!$H132:$BG132)&lt;52,IF('Capacity summary'!AN132&lt;&gt;"",IF(LOWER('Capacity summary'!AN132)="x",$BI13*AN13,VALUE('Capacity summary'!AN132)),0),AN13*$BI13),AN13*$BI13),0)</f>
        <v>0</v>
      </c>
      <c r="CR13" s="311">
        <f>IF($BI13&lt;&gt;"",IF('Capacity summary'!$D$14="Yes",IF(COUNTBLANK('Capacity summary'!$H132:$BG132)&lt;52,IF('Capacity summary'!AO132&lt;&gt;"",IF(LOWER('Capacity summary'!AO132)="x",$BI13*AO13,VALUE('Capacity summary'!AO132)),0),AO13*$BI13),AO13*$BI13),0)</f>
        <v>0</v>
      </c>
      <c r="CS13" s="311">
        <f>IF($BI13&lt;&gt;"",IF('Capacity summary'!$D$14="Yes",IF(COUNTBLANK('Capacity summary'!$H132:$BG132)&lt;52,IF('Capacity summary'!AP132&lt;&gt;"",IF(LOWER('Capacity summary'!AP132)="x",$BI13*AP13,VALUE('Capacity summary'!AP132)),0),AP13*$BI13),AP13*$BI13),0)</f>
        <v>0</v>
      </c>
      <c r="CT13" s="311">
        <f>IF($BI13&lt;&gt;"",IF('Capacity summary'!$D$14="Yes",IF(COUNTBLANK('Capacity summary'!$H132:$BG132)&lt;52,IF('Capacity summary'!AQ132&lt;&gt;"",IF(LOWER('Capacity summary'!AQ132)="x",$BI13*AQ13,VALUE('Capacity summary'!AQ132)),0),AQ13*$BI13),AQ13*$BI13),0)</f>
        <v>0</v>
      </c>
      <c r="CU13" s="311">
        <f>IF($BI13&lt;&gt;"",IF('Capacity summary'!$D$14="Yes",IF(COUNTBLANK('Capacity summary'!$H132:$BG132)&lt;52,IF('Capacity summary'!AR132&lt;&gt;"",IF(LOWER('Capacity summary'!AR132)="x",$BI13*AR13,VALUE('Capacity summary'!AR132)),0),AR13*$BI13),AR13*$BI13),0)</f>
        <v>0</v>
      </c>
      <c r="CV13" s="311">
        <f>IF($BI13&lt;&gt;"",IF('Capacity summary'!$D$14="Yes",IF(COUNTBLANK('Capacity summary'!$H132:$BG132)&lt;52,IF('Capacity summary'!AS132&lt;&gt;"",IF(LOWER('Capacity summary'!AS132)="x",$BI13*AS13,VALUE('Capacity summary'!AS132)),0),AS13*$BI13),AS13*$BI13),0)</f>
        <v>0</v>
      </c>
      <c r="CW13" s="311">
        <f>IF($BI13&lt;&gt;"",IF('Capacity summary'!$D$14="Yes",IF(COUNTBLANK('Capacity summary'!$H132:$BG132)&lt;52,IF('Capacity summary'!AT132&lt;&gt;"",IF(LOWER('Capacity summary'!AT132)="x",$BI13*AT13,VALUE('Capacity summary'!AT132)),0),AT13*$BI13),AT13*$BI13),0)</f>
        <v>0</v>
      </c>
      <c r="CX13" s="311">
        <f>IF($BI13&lt;&gt;"",IF('Capacity summary'!$D$14="Yes",IF(COUNTBLANK('Capacity summary'!$H132:$BG132)&lt;52,IF('Capacity summary'!AU132&lt;&gt;"",IF(LOWER('Capacity summary'!AU132)="x",$BI13*AU13,VALUE('Capacity summary'!AU132)),0),AU13*$BI13),AU13*$BI13),0)</f>
        <v>0</v>
      </c>
      <c r="CY13" s="311">
        <f>IF($BI13&lt;&gt;"",IF('Capacity summary'!$D$14="Yes",IF(COUNTBLANK('Capacity summary'!$H132:$BG132)&lt;52,IF('Capacity summary'!AV132&lt;&gt;"",IF(LOWER('Capacity summary'!AV132)="x",$BI13*AV13,VALUE('Capacity summary'!AV132)),0),AV13*$BI13),AV13*$BI13),0)</f>
        <v>0</v>
      </c>
      <c r="CZ13" s="311">
        <f>IF($BI13&lt;&gt;"",IF('Capacity summary'!$D$14="Yes",IF(COUNTBLANK('Capacity summary'!$H132:$BG132)&lt;52,IF('Capacity summary'!AW132&lt;&gt;"",IF(LOWER('Capacity summary'!AW132)="x",$BI13*AW13,VALUE('Capacity summary'!AW132)),0),AW13*$BI13),AW13*$BI13),0)</f>
        <v>0</v>
      </c>
      <c r="DA13" s="311">
        <f>IF($BI13&lt;&gt;"",IF('Capacity summary'!$D$14="Yes",IF(COUNTBLANK('Capacity summary'!$H132:$BG132)&lt;52,IF('Capacity summary'!AX132&lt;&gt;"",IF(LOWER('Capacity summary'!AX132)="x",$BI13*AX13,VALUE('Capacity summary'!AX132)),0),AX13*$BI13),AX13*$BI13),0)</f>
        <v>0</v>
      </c>
      <c r="DB13" s="311">
        <f>IF($BI13&lt;&gt;"",IF('Capacity summary'!$D$14="Yes",IF(COUNTBLANK('Capacity summary'!$H132:$BG132)&lt;52,IF('Capacity summary'!AY132&lt;&gt;"",IF(LOWER('Capacity summary'!AY132)="x",$BI13*AY13,VALUE('Capacity summary'!AY132)),0),AY13*$BI13),AY13*$BI13),0)</f>
        <v>0</v>
      </c>
      <c r="DC13" s="311">
        <f>IF($BI13&lt;&gt;"",IF('Capacity summary'!$D$14="Yes",IF(COUNTBLANK('Capacity summary'!$H132:$BG132)&lt;52,IF('Capacity summary'!AZ132&lt;&gt;"",IF(LOWER('Capacity summary'!AZ132)="x",$BI13*AZ13,VALUE('Capacity summary'!AZ132)),0),AZ13*$BI13),AZ13*$BI13),0)</f>
        <v>0</v>
      </c>
      <c r="DD13" s="311">
        <f>IF($BI13&lt;&gt;"",IF('Capacity summary'!$D$14="Yes",IF(COUNTBLANK('Capacity summary'!$H132:$BG132)&lt;52,IF('Capacity summary'!BA132&lt;&gt;"",IF(LOWER('Capacity summary'!BA132)="x",$BI13*BA13,VALUE('Capacity summary'!BA132)),0),BA13*$BI13),BA13*$BI13),0)</f>
        <v>0</v>
      </c>
      <c r="DE13" s="311">
        <f>IF($BI13&lt;&gt;"",IF('Capacity summary'!$D$14="Yes",IF(COUNTBLANK('Capacity summary'!$H132:$BG132)&lt;52,IF('Capacity summary'!BB132&lt;&gt;"",IF(LOWER('Capacity summary'!BB132)="x",$BI13*BB13,VALUE('Capacity summary'!BB132)),0),BB13*$BI13),BB13*$BI13),0)</f>
        <v>0</v>
      </c>
      <c r="DF13" s="311">
        <f>IF($BI13&lt;&gt;"",IF('Capacity summary'!$D$14="Yes",IF(COUNTBLANK('Capacity summary'!$H132:$BG132)&lt;52,IF('Capacity summary'!BC132&lt;&gt;"",IF(LOWER('Capacity summary'!BC132)="x",$BI13*BC13,VALUE('Capacity summary'!BC132)),0),BC13*$BI13),BC13*$BI13),0)</f>
        <v>0</v>
      </c>
      <c r="DG13" s="311">
        <f>IF($BI13&lt;&gt;"",IF('Capacity summary'!$D$14="Yes",IF(COUNTBLANK('Capacity summary'!$H132:$BG132)&lt;52,IF('Capacity summary'!BD132&lt;&gt;"",IF(LOWER('Capacity summary'!BD132)="x",$BI13*BD13,VALUE('Capacity summary'!BD132)),0),BD13*$BI13),BD13*$BI13),0)</f>
        <v>0</v>
      </c>
      <c r="DH13" s="311">
        <f>IF($BI13&lt;&gt;"",IF('Capacity summary'!$D$14="Yes",IF(COUNTBLANK('Capacity summary'!$H132:$BG132)&lt;52,IF('Capacity summary'!BE132&lt;&gt;"",IF(LOWER('Capacity summary'!BE132)="x",$BI13*BE13,VALUE('Capacity summary'!BE132)),0),BE13*$BI13),BE13*$BI13),0)</f>
        <v>0</v>
      </c>
      <c r="DI13" s="311">
        <f>IF($BI13&lt;&gt;"",IF('Capacity summary'!$D$14="Yes",IF(COUNTBLANK('Capacity summary'!$H132:$BG132)&lt;52,IF('Capacity summary'!BF132&lt;&gt;"",IF(LOWER('Capacity summary'!BF132)="x",$BI13*BF13,VALUE('Capacity summary'!BF132)),0),BF13*$BI13),BF13*$BI13),0)</f>
        <v>0</v>
      </c>
      <c r="DJ13" s="311">
        <f>IF($BI13&lt;&gt;"",IF('Capacity summary'!$D$14="Yes",IF(COUNTBLANK('Capacity summary'!$H132:$BG132)&lt;52,IF('Capacity summary'!BG132&lt;&gt;"",IF(LOWER('Capacity summary'!BG132)="x",$BI13*BG13,VALUE('Capacity summary'!BG132)),0),BG13*$BI13),BG13*$BI13),0)</f>
        <v>0</v>
      </c>
      <c r="DK13" s="387">
        <f t="shared" si="2"/>
        <v>0</v>
      </c>
      <c r="DL13" s="136">
        <f t="shared" si="3"/>
        <v>0</v>
      </c>
      <c r="DM13" s="311" t="str">
        <f>Capacity!H25</f>
        <v/>
      </c>
      <c r="DQ13" s="5"/>
    </row>
    <row r="14" spans="1:121" x14ac:dyDescent="0.2">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1">
        <f>IF($BI14&lt;&gt;"",IF('Capacity summary'!$D$14="Yes",IF(COUNTBLANK('Capacity summary'!$H133:$BG133)&lt;52,IF('Capacity summary'!H133&lt;&gt;"",IF(LOWER('Capacity summary'!H133)="x",$BI14*H14,VALUE('Capacity summary'!H133)),0),H14*$BI14),H14*$BI14),0)</f>
        <v>0</v>
      </c>
      <c r="BL14" s="311">
        <f>IF($BI14&lt;&gt;"",IF('Capacity summary'!$D$14="Yes",IF(COUNTBLANK('Capacity summary'!$H133:$BG133)&lt;52,IF('Capacity summary'!I133&lt;&gt;"",IF(LOWER('Capacity summary'!I133)="x",$BI14*I14,VALUE('Capacity summary'!I133)),0),I14*$BI14),I14*$BI14),0)</f>
        <v>0</v>
      </c>
      <c r="BM14" s="311">
        <f>IF($BI14&lt;&gt;"",IF('Capacity summary'!$D$14="Yes",IF(COUNTBLANK('Capacity summary'!$H133:$BG133)&lt;52,IF('Capacity summary'!J133&lt;&gt;"",IF(LOWER('Capacity summary'!J133)="x",$BI14*J14,VALUE('Capacity summary'!J133)),0),J14*$BI14),J14*$BI14),0)</f>
        <v>0</v>
      </c>
      <c r="BN14" s="311">
        <f>IF($BI14&lt;&gt;"",IF('Capacity summary'!$D$14="Yes",IF(COUNTBLANK('Capacity summary'!$H133:$BG133)&lt;52,IF('Capacity summary'!K133&lt;&gt;"",IF(LOWER('Capacity summary'!K133)="x",$BI14*K14,VALUE('Capacity summary'!K133)),0),K14*$BI14),K14*$BI14),0)</f>
        <v>0</v>
      </c>
      <c r="BO14" s="311">
        <f>IF($BI14&lt;&gt;"",IF('Capacity summary'!$D$14="Yes",IF(COUNTBLANK('Capacity summary'!$H133:$BG133)&lt;52,IF('Capacity summary'!L133&lt;&gt;"",IF(LOWER('Capacity summary'!L133)="x",$BI14*L14,VALUE('Capacity summary'!L133)),0),L14*$BI14),L14*$BI14),0)</f>
        <v>0</v>
      </c>
      <c r="BP14" s="311">
        <f>IF($BI14&lt;&gt;"",IF('Capacity summary'!$D$14="Yes",IF(COUNTBLANK('Capacity summary'!$H133:$BG133)&lt;52,IF('Capacity summary'!M133&lt;&gt;"",IF(LOWER('Capacity summary'!M133)="x",$BI14*M14,VALUE('Capacity summary'!M133)),0),M14*$BI14),M14*$BI14),0)</f>
        <v>0</v>
      </c>
      <c r="BQ14" s="311">
        <f>IF($BI14&lt;&gt;"",IF('Capacity summary'!$D$14="Yes",IF(COUNTBLANK('Capacity summary'!$H133:$BG133)&lt;52,IF('Capacity summary'!N133&lt;&gt;"",IF(LOWER('Capacity summary'!N133)="x",$BI14*N14,VALUE('Capacity summary'!N133)),0),N14*$BI14),N14*$BI14),0)</f>
        <v>0</v>
      </c>
      <c r="BR14" s="311">
        <f>IF($BI14&lt;&gt;"",IF('Capacity summary'!$D$14="Yes",IF(COUNTBLANK('Capacity summary'!$H133:$BG133)&lt;52,IF('Capacity summary'!O133&lt;&gt;"",IF(LOWER('Capacity summary'!O133)="x",$BI14*O14,VALUE('Capacity summary'!O133)),0),O14*$BI14),O14*$BI14),0)</f>
        <v>0</v>
      </c>
      <c r="BS14" s="311">
        <f>IF($BI14&lt;&gt;"",IF('Capacity summary'!$D$14="Yes",IF(COUNTBLANK('Capacity summary'!$H133:$BG133)&lt;52,IF('Capacity summary'!P133&lt;&gt;"",IF(LOWER('Capacity summary'!P133)="x",$BI14*P14,VALUE('Capacity summary'!P133)),0),P14*$BI14),P14*$BI14),0)</f>
        <v>0</v>
      </c>
      <c r="BT14" s="311">
        <f>IF($BI14&lt;&gt;"",IF('Capacity summary'!$D$14="Yes",IF(COUNTBLANK('Capacity summary'!$H133:$BG133)&lt;52,IF('Capacity summary'!Q133&lt;&gt;"",IF(LOWER('Capacity summary'!Q133)="x",$BI14*Q14,VALUE('Capacity summary'!Q133)),0),Q14*$BI14),Q14*$BI14),0)</f>
        <v>0</v>
      </c>
      <c r="BU14" s="311">
        <f>IF($BI14&lt;&gt;"",IF('Capacity summary'!$D$14="Yes",IF(COUNTBLANK('Capacity summary'!$H133:$BG133)&lt;52,IF('Capacity summary'!R133&lt;&gt;"",IF(LOWER('Capacity summary'!R133)="x",$BI14*R14,VALUE('Capacity summary'!R133)),0),R14*$BI14),R14*$BI14),0)</f>
        <v>0</v>
      </c>
      <c r="BV14" s="311">
        <f>IF($BI14&lt;&gt;"",IF('Capacity summary'!$D$14="Yes",IF(COUNTBLANK('Capacity summary'!$H133:$BG133)&lt;52,IF('Capacity summary'!S133&lt;&gt;"",IF(LOWER('Capacity summary'!S133)="x",$BI14*S14,VALUE('Capacity summary'!S133)),0),S14*$BI14),S14*$BI14),0)</f>
        <v>0</v>
      </c>
      <c r="BW14" s="311">
        <f>IF($BI14&lt;&gt;"",IF('Capacity summary'!$D$14="Yes",IF(COUNTBLANK('Capacity summary'!$H133:$BG133)&lt;52,IF('Capacity summary'!T133&lt;&gt;"",IF(LOWER('Capacity summary'!T133)="x",$BI14*T14,VALUE('Capacity summary'!T133)),0),T14*$BI14),T14*$BI14),0)</f>
        <v>0</v>
      </c>
      <c r="BX14" s="311">
        <f>IF($BI14&lt;&gt;"",IF('Capacity summary'!$D$14="Yes",IF(COUNTBLANK('Capacity summary'!$H133:$BG133)&lt;52,IF('Capacity summary'!U133&lt;&gt;"",IF(LOWER('Capacity summary'!U133)="x",$BI14*U14,VALUE('Capacity summary'!U133)),0),U14*$BI14),U14*$BI14),0)</f>
        <v>0</v>
      </c>
      <c r="BY14" s="311">
        <f>IF($BI14&lt;&gt;"",IF('Capacity summary'!$D$14="Yes",IF(COUNTBLANK('Capacity summary'!$H133:$BG133)&lt;52,IF('Capacity summary'!V133&lt;&gt;"",IF(LOWER('Capacity summary'!V133)="x",$BI14*V14,VALUE('Capacity summary'!V133)),0),V14*$BI14),V14*$BI14),0)</f>
        <v>0</v>
      </c>
      <c r="BZ14" s="311">
        <f>IF($BI14&lt;&gt;"",IF('Capacity summary'!$D$14="Yes",IF(COUNTBLANK('Capacity summary'!$H133:$BG133)&lt;52,IF('Capacity summary'!W133&lt;&gt;"",IF(LOWER('Capacity summary'!W133)="x",$BI14*W14,VALUE('Capacity summary'!W133)),0),W14*$BI14),W14*$BI14),0)</f>
        <v>0</v>
      </c>
      <c r="CA14" s="311">
        <f>IF($BI14&lt;&gt;"",IF('Capacity summary'!$D$14="Yes",IF(COUNTBLANK('Capacity summary'!$H133:$BG133)&lt;52,IF('Capacity summary'!X133&lt;&gt;"",IF(LOWER('Capacity summary'!X133)="x",$BI14*X14,VALUE('Capacity summary'!X133)),0),X14*$BI14),X14*$BI14),0)</f>
        <v>0</v>
      </c>
      <c r="CB14" s="311">
        <f>IF($BI14&lt;&gt;"",IF('Capacity summary'!$D$14="Yes",IF(COUNTBLANK('Capacity summary'!$H133:$BG133)&lt;52,IF('Capacity summary'!Y133&lt;&gt;"",IF(LOWER('Capacity summary'!Y133)="x",$BI14*Y14,VALUE('Capacity summary'!Y133)),0),Y14*$BI14),Y14*$BI14),0)</f>
        <v>0</v>
      </c>
      <c r="CC14" s="311">
        <f>IF($BI14&lt;&gt;"",IF('Capacity summary'!$D$14="Yes",IF(COUNTBLANK('Capacity summary'!$H133:$BG133)&lt;52,IF('Capacity summary'!Z133&lt;&gt;"",IF(LOWER('Capacity summary'!Z133)="x",$BI14*Z14,VALUE('Capacity summary'!Z133)),0),Z14*$BI14),Z14*$BI14),0)</f>
        <v>0</v>
      </c>
      <c r="CD14" s="311">
        <f>IF($BI14&lt;&gt;"",IF('Capacity summary'!$D$14="Yes",IF(COUNTBLANK('Capacity summary'!$H133:$BG133)&lt;52,IF('Capacity summary'!AA133&lt;&gt;"",IF(LOWER('Capacity summary'!AA133)="x",$BI14*AA14,VALUE('Capacity summary'!AA133)),0),AA14*$BI14),AA14*$BI14),0)</f>
        <v>0</v>
      </c>
      <c r="CE14" s="311">
        <f>IF($BI14&lt;&gt;"",IF('Capacity summary'!$D$14="Yes",IF(COUNTBLANK('Capacity summary'!$H133:$BG133)&lt;52,IF('Capacity summary'!AB133&lt;&gt;"",IF(LOWER('Capacity summary'!AB133)="x",$BI14*AB14,VALUE('Capacity summary'!AB133)),0),AB14*$BI14),AB14*$BI14),0)</f>
        <v>0</v>
      </c>
      <c r="CF14" s="311">
        <f>IF($BI14&lt;&gt;"",IF('Capacity summary'!$D$14="Yes",IF(COUNTBLANK('Capacity summary'!$H133:$BG133)&lt;52,IF('Capacity summary'!AC133&lt;&gt;"",IF(LOWER('Capacity summary'!AC133)="x",$BI14*AC14,VALUE('Capacity summary'!AC133)),0),AC14*$BI14),AC14*$BI14),0)</f>
        <v>0</v>
      </c>
      <c r="CG14" s="311">
        <f>IF($BI14&lt;&gt;"",IF('Capacity summary'!$D$14="Yes",IF(COUNTBLANK('Capacity summary'!$H133:$BG133)&lt;52,IF('Capacity summary'!AD133&lt;&gt;"",IF(LOWER('Capacity summary'!AD133)="x",$BI14*AD14,VALUE('Capacity summary'!AD133)),0),AD14*$BI14),AD14*$BI14),0)</f>
        <v>0</v>
      </c>
      <c r="CH14" s="311">
        <f>IF($BI14&lt;&gt;"",IF('Capacity summary'!$D$14="Yes",IF(COUNTBLANK('Capacity summary'!$H133:$BG133)&lt;52,IF('Capacity summary'!AE133&lt;&gt;"",IF(LOWER('Capacity summary'!AE133)="x",$BI14*AE14,VALUE('Capacity summary'!AE133)),0),AE14*$BI14),AE14*$BI14),0)</f>
        <v>0</v>
      </c>
      <c r="CI14" s="311">
        <f>IF($BI14&lt;&gt;"",IF('Capacity summary'!$D$14="Yes",IF(COUNTBLANK('Capacity summary'!$H133:$BG133)&lt;52,IF('Capacity summary'!AF133&lt;&gt;"",IF(LOWER('Capacity summary'!AF133)="x",$BI14*AF14,VALUE('Capacity summary'!AF133)),0),AF14*$BI14),AF14*$BI14),0)</f>
        <v>0</v>
      </c>
      <c r="CJ14" s="311">
        <f>IF($BI14&lt;&gt;"",IF('Capacity summary'!$D$14="Yes",IF(COUNTBLANK('Capacity summary'!$H133:$BG133)&lt;52,IF('Capacity summary'!AG133&lt;&gt;"",IF(LOWER('Capacity summary'!AG133)="x",$BI14*AG14,VALUE('Capacity summary'!AG133)),0),AG14*$BI14),AG14*$BI14),0)</f>
        <v>0</v>
      </c>
      <c r="CK14" s="311">
        <f>IF($BI14&lt;&gt;"",IF('Capacity summary'!$D$14="Yes",IF(COUNTBLANK('Capacity summary'!$H133:$BG133)&lt;52,IF('Capacity summary'!AH133&lt;&gt;"",IF(LOWER('Capacity summary'!AH133)="x",$BI14*AH14,VALUE('Capacity summary'!AH133)),0),AH14*$BI14),AH14*$BI14),0)</f>
        <v>0</v>
      </c>
      <c r="CL14" s="311">
        <f>IF($BI14&lt;&gt;"",IF('Capacity summary'!$D$14="Yes",IF(COUNTBLANK('Capacity summary'!$H133:$BG133)&lt;52,IF('Capacity summary'!AI133&lt;&gt;"",IF(LOWER('Capacity summary'!AI133)="x",$BI14*AI14,VALUE('Capacity summary'!AI133)),0),AI14*$BI14),AI14*$BI14),0)</f>
        <v>0</v>
      </c>
      <c r="CM14" s="311">
        <f>IF($BI14&lt;&gt;"",IF('Capacity summary'!$D$14="Yes",IF(COUNTBLANK('Capacity summary'!$H133:$BG133)&lt;52,IF('Capacity summary'!AJ133&lt;&gt;"",IF(LOWER('Capacity summary'!AJ133)="x",$BI14*AJ14,VALUE('Capacity summary'!AJ133)),0),AJ14*$BI14),AJ14*$BI14),0)</f>
        <v>0</v>
      </c>
      <c r="CN14" s="311">
        <f>IF($BI14&lt;&gt;"",IF('Capacity summary'!$D$14="Yes",IF(COUNTBLANK('Capacity summary'!$H133:$BG133)&lt;52,IF('Capacity summary'!AK133&lt;&gt;"",IF(LOWER('Capacity summary'!AK133)="x",$BI14*AK14,VALUE('Capacity summary'!AK133)),0),AK14*$BI14),AK14*$BI14),0)</f>
        <v>0</v>
      </c>
      <c r="CO14" s="311">
        <f>IF($BI14&lt;&gt;"",IF('Capacity summary'!$D$14="Yes",IF(COUNTBLANK('Capacity summary'!$H133:$BG133)&lt;52,IF('Capacity summary'!AL133&lt;&gt;"",IF(LOWER('Capacity summary'!AL133)="x",$BI14*AL14,VALUE('Capacity summary'!AL133)),0),AL14*$BI14),AL14*$BI14),0)</f>
        <v>0</v>
      </c>
      <c r="CP14" s="311">
        <f>IF($BI14&lt;&gt;"",IF('Capacity summary'!$D$14="Yes",IF(COUNTBLANK('Capacity summary'!$H133:$BG133)&lt;52,IF('Capacity summary'!AM133&lt;&gt;"",IF(LOWER('Capacity summary'!AM133)="x",$BI14*AM14,VALUE('Capacity summary'!AM133)),0),AM14*$BI14),AM14*$BI14),0)</f>
        <v>0</v>
      </c>
      <c r="CQ14" s="311">
        <f>IF($BI14&lt;&gt;"",IF('Capacity summary'!$D$14="Yes",IF(COUNTBLANK('Capacity summary'!$H133:$BG133)&lt;52,IF('Capacity summary'!AN133&lt;&gt;"",IF(LOWER('Capacity summary'!AN133)="x",$BI14*AN14,VALUE('Capacity summary'!AN133)),0),AN14*$BI14),AN14*$BI14),0)</f>
        <v>0</v>
      </c>
      <c r="CR14" s="311">
        <f>IF($BI14&lt;&gt;"",IF('Capacity summary'!$D$14="Yes",IF(COUNTBLANK('Capacity summary'!$H133:$BG133)&lt;52,IF('Capacity summary'!AO133&lt;&gt;"",IF(LOWER('Capacity summary'!AO133)="x",$BI14*AO14,VALUE('Capacity summary'!AO133)),0),AO14*$BI14),AO14*$BI14),0)</f>
        <v>0</v>
      </c>
      <c r="CS14" s="311">
        <f>IF($BI14&lt;&gt;"",IF('Capacity summary'!$D$14="Yes",IF(COUNTBLANK('Capacity summary'!$H133:$BG133)&lt;52,IF('Capacity summary'!AP133&lt;&gt;"",IF(LOWER('Capacity summary'!AP133)="x",$BI14*AP14,VALUE('Capacity summary'!AP133)),0),AP14*$BI14),AP14*$BI14),0)</f>
        <v>0</v>
      </c>
      <c r="CT14" s="311">
        <f>IF($BI14&lt;&gt;"",IF('Capacity summary'!$D$14="Yes",IF(COUNTBLANK('Capacity summary'!$H133:$BG133)&lt;52,IF('Capacity summary'!AQ133&lt;&gt;"",IF(LOWER('Capacity summary'!AQ133)="x",$BI14*AQ14,VALUE('Capacity summary'!AQ133)),0),AQ14*$BI14),AQ14*$BI14),0)</f>
        <v>0</v>
      </c>
      <c r="CU14" s="311">
        <f>IF($BI14&lt;&gt;"",IF('Capacity summary'!$D$14="Yes",IF(COUNTBLANK('Capacity summary'!$H133:$BG133)&lt;52,IF('Capacity summary'!AR133&lt;&gt;"",IF(LOWER('Capacity summary'!AR133)="x",$BI14*AR14,VALUE('Capacity summary'!AR133)),0),AR14*$BI14),AR14*$BI14),0)</f>
        <v>0</v>
      </c>
      <c r="CV14" s="311">
        <f>IF($BI14&lt;&gt;"",IF('Capacity summary'!$D$14="Yes",IF(COUNTBLANK('Capacity summary'!$H133:$BG133)&lt;52,IF('Capacity summary'!AS133&lt;&gt;"",IF(LOWER('Capacity summary'!AS133)="x",$BI14*AS14,VALUE('Capacity summary'!AS133)),0),AS14*$BI14),AS14*$BI14),0)</f>
        <v>0</v>
      </c>
      <c r="CW14" s="311">
        <f>IF($BI14&lt;&gt;"",IF('Capacity summary'!$D$14="Yes",IF(COUNTBLANK('Capacity summary'!$H133:$BG133)&lt;52,IF('Capacity summary'!AT133&lt;&gt;"",IF(LOWER('Capacity summary'!AT133)="x",$BI14*AT14,VALUE('Capacity summary'!AT133)),0),AT14*$BI14),AT14*$BI14),0)</f>
        <v>0</v>
      </c>
      <c r="CX14" s="311">
        <f>IF($BI14&lt;&gt;"",IF('Capacity summary'!$D$14="Yes",IF(COUNTBLANK('Capacity summary'!$H133:$BG133)&lt;52,IF('Capacity summary'!AU133&lt;&gt;"",IF(LOWER('Capacity summary'!AU133)="x",$BI14*AU14,VALUE('Capacity summary'!AU133)),0),AU14*$BI14),AU14*$BI14),0)</f>
        <v>0</v>
      </c>
      <c r="CY14" s="311">
        <f>IF($BI14&lt;&gt;"",IF('Capacity summary'!$D$14="Yes",IF(COUNTBLANK('Capacity summary'!$H133:$BG133)&lt;52,IF('Capacity summary'!AV133&lt;&gt;"",IF(LOWER('Capacity summary'!AV133)="x",$BI14*AV14,VALUE('Capacity summary'!AV133)),0),AV14*$BI14),AV14*$BI14),0)</f>
        <v>0</v>
      </c>
      <c r="CZ14" s="311">
        <f>IF($BI14&lt;&gt;"",IF('Capacity summary'!$D$14="Yes",IF(COUNTBLANK('Capacity summary'!$H133:$BG133)&lt;52,IF('Capacity summary'!AW133&lt;&gt;"",IF(LOWER('Capacity summary'!AW133)="x",$BI14*AW14,VALUE('Capacity summary'!AW133)),0),AW14*$BI14),AW14*$BI14),0)</f>
        <v>0</v>
      </c>
      <c r="DA14" s="311">
        <f>IF($BI14&lt;&gt;"",IF('Capacity summary'!$D$14="Yes",IF(COUNTBLANK('Capacity summary'!$H133:$BG133)&lt;52,IF('Capacity summary'!AX133&lt;&gt;"",IF(LOWER('Capacity summary'!AX133)="x",$BI14*AX14,VALUE('Capacity summary'!AX133)),0),AX14*$BI14),AX14*$BI14),0)</f>
        <v>0</v>
      </c>
      <c r="DB14" s="311">
        <f>IF($BI14&lt;&gt;"",IF('Capacity summary'!$D$14="Yes",IF(COUNTBLANK('Capacity summary'!$H133:$BG133)&lt;52,IF('Capacity summary'!AY133&lt;&gt;"",IF(LOWER('Capacity summary'!AY133)="x",$BI14*AY14,VALUE('Capacity summary'!AY133)),0),AY14*$BI14),AY14*$BI14),0)</f>
        <v>0</v>
      </c>
      <c r="DC14" s="311">
        <f>IF($BI14&lt;&gt;"",IF('Capacity summary'!$D$14="Yes",IF(COUNTBLANK('Capacity summary'!$H133:$BG133)&lt;52,IF('Capacity summary'!AZ133&lt;&gt;"",IF(LOWER('Capacity summary'!AZ133)="x",$BI14*AZ14,VALUE('Capacity summary'!AZ133)),0),AZ14*$BI14),AZ14*$BI14),0)</f>
        <v>0</v>
      </c>
      <c r="DD14" s="311">
        <f>IF($BI14&lt;&gt;"",IF('Capacity summary'!$D$14="Yes",IF(COUNTBLANK('Capacity summary'!$H133:$BG133)&lt;52,IF('Capacity summary'!BA133&lt;&gt;"",IF(LOWER('Capacity summary'!BA133)="x",$BI14*BA14,VALUE('Capacity summary'!BA133)),0),BA14*$BI14),BA14*$BI14),0)</f>
        <v>0</v>
      </c>
      <c r="DE14" s="311">
        <f>IF($BI14&lt;&gt;"",IF('Capacity summary'!$D$14="Yes",IF(COUNTBLANK('Capacity summary'!$H133:$BG133)&lt;52,IF('Capacity summary'!BB133&lt;&gt;"",IF(LOWER('Capacity summary'!BB133)="x",$BI14*BB14,VALUE('Capacity summary'!BB133)),0),BB14*$BI14),BB14*$BI14),0)</f>
        <v>0</v>
      </c>
      <c r="DF14" s="311">
        <f>IF($BI14&lt;&gt;"",IF('Capacity summary'!$D$14="Yes",IF(COUNTBLANK('Capacity summary'!$H133:$BG133)&lt;52,IF('Capacity summary'!BC133&lt;&gt;"",IF(LOWER('Capacity summary'!BC133)="x",$BI14*BC14,VALUE('Capacity summary'!BC133)),0),BC14*$BI14),BC14*$BI14),0)</f>
        <v>0</v>
      </c>
      <c r="DG14" s="311">
        <f>IF($BI14&lt;&gt;"",IF('Capacity summary'!$D$14="Yes",IF(COUNTBLANK('Capacity summary'!$H133:$BG133)&lt;52,IF('Capacity summary'!BD133&lt;&gt;"",IF(LOWER('Capacity summary'!BD133)="x",$BI14*BD14,VALUE('Capacity summary'!BD133)),0),BD14*$BI14),BD14*$BI14),0)</f>
        <v>0</v>
      </c>
      <c r="DH14" s="311">
        <f>IF($BI14&lt;&gt;"",IF('Capacity summary'!$D$14="Yes",IF(COUNTBLANK('Capacity summary'!$H133:$BG133)&lt;52,IF('Capacity summary'!BE133&lt;&gt;"",IF(LOWER('Capacity summary'!BE133)="x",$BI14*BE14,VALUE('Capacity summary'!BE133)),0),BE14*$BI14),BE14*$BI14),0)</f>
        <v>0</v>
      </c>
      <c r="DI14" s="311">
        <f>IF($BI14&lt;&gt;"",IF('Capacity summary'!$D$14="Yes",IF(COUNTBLANK('Capacity summary'!$H133:$BG133)&lt;52,IF('Capacity summary'!BF133&lt;&gt;"",IF(LOWER('Capacity summary'!BF133)="x",$BI14*BF14,VALUE('Capacity summary'!BF133)),0),BF14*$BI14),BF14*$BI14),0)</f>
        <v>0</v>
      </c>
      <c r="DJ14" s="311">
        <f>IF($BI14&lt;&gt;"",IF('Capacity summary'!$D$14="Yes",IF(COUNTBLANK('Capacity summary'!$H133:$BG133)&lt;52,IF('Capacity summary'!BG133&lt;&gt;"",IF(LOWER('Capacity summary'!BG133)="x",$BI14*BG14,VALUE('Capacity summary'!BG133)),0),BG14*$BI14),BG14*$BI14),0)</f>
        <v>0</v>
      </c>
      <c r="DK14" s="387">
        <f t="shared" si="2"/>
        <v>0</v>
      </c>
      <c r="DL14" s="136">
        <f t="shared" si="3"/>
        <v>0</v>
      </c>
      <c r="DM14" s="311" t="str">
        <f>Capacity!H26</f>
        <v/>
      </c>
      <c r="DQ14" s="5"/>
    </row>
    <row r="15" spans="1:121" x14ac:dyDescent="0.2">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1">
        <f>IF($BI15&lt;&gt;"",IF('Capacity summary'!$D$14="Yes",IF(COUNTBLANK('Capacity summary'!$H134:$BG134)&lt;52,IF('Capacity summary'!H134&lt;&gt;"",IF(LOWER('Capacity summary'!H134)="x",$BI15*H15,VALUE('Capacity summary'!H134)),0),H15*$BI15),H15*$BI15),0)</f>
        <v>0</v>
      </c>
      <c r="BL15" s="311">
        <f>IF($BI15&lt;&gt;"",IF('Capacity summary'!$D$14="Yes",IF(COUNTBLANK('Capacity summary'!$H134:$BG134)&lt;52,IF('Capacity summary'!I134&lt;&gt;"",IF(LOWER('Capacity summary'!I134)="x",$BI15*I15,VALUE('Capacity summary'!I134)),0),I15*$BI15),I15*$BI15),0)</f>
        <v>0</v>
      </c>
      <c r="BM15" s="311">
        <f>IF($BI15&lt;&gt;"",IF('Capacity summary'!$D$14="Yes",IF(COUNTBLANK('Capacity summary'!$H134:$BG134)&lt;52,IF('Capacity summary'!J134&lt;&gt;"",IF(LOWER('Capacity summary'!J134)="x",$BI15*J15,VALUE('Capacity summary'!J134)),0),J15*$BI15),J15*$BI15),0)</f>
        <v>0</v>
      </c>
      <c r="BN15" s="311">
        <f>IF($BI15&lt;&gt;"",IF('Capacity summary'!$D$14="Yes",IF(COUNTBLANK('Capacity summary'!$H134:$BG134)&lt;52,IF('Capacity summary'!K134&lt;&gt;"",IF(LOWER('Capacity summary'!K134)="x",$BI15*K15,VALUE('Capacity summary'!K134)),0),K15*$BI15),K15*$BI15),0)</f>
        <v>0</v>
      </c>
      <c r="BO15" s="311">
        <f>IF($BI15&lt;&gt;"",IF('Capacity summary'!$D$14="Yes",IF(COUNTBLANK('Capacity summary'!$H134:$BG134)&lt;52,IF('Capacity summary'!L134&lt;&gt;"",IF(LOWER('Capacity summary'!L134)="x",$BI15*L15,VALUE('Capacity summary'!L134)),0),L15*$BI15),L15*$BI15),0)</f>
        <v>0</v>
      </c>
      <c r="BP15" s="311">
        <f>IF($BI15&lt;&gt;"",IF('Capacity summary'!$D$14="Yes",IF(COUNTBLANK('Capacity summary'!$H134:$BG134)&lt;52,IF('Capacity summary'!M134&lt;&gt;"",IF(LOWER('Capacity summary'!M134)="x",$BI15*M15,VALUE('Capacity summary'!M134)),0),M15*$BI15),M15*$BI15),0)</f>
        <v>0</v>
      </c>
      <c r="BQ15" s="311">
        <f>IF($BI15&lt;&gt;"",IF('Capacity summary'!$D$14="Yes",IF(COUNTBLANK('Capacity summary'!$H134:$BG134)&lt;52,IF('Capacity summary'!N134&lt;&gt;"",IF(LOWER('Capacity summary'!N134)="x",$BI15*N15,VALUE('Capacity summary'!N134)),0),N15*$BI15),N15*$BI15),0)</f>
        <v>0</v>
      </c>
      <c r="BR15" s="311">
        <f>IF($BI15&lt;&gt;"",IF('Capacity summary'!$D$14="Yes",IF(COUNTBLANK('Capacity summary'!$H134:$BG134)&lt;52,IF('Capacity summary'!O134&lt;&gt;"",IF(LOWER('Capacity summary'!O134)="x",$BI15*O15,VALUE('Capacity summary'!O134)),0),O15*$BI15),O15*$BI15),0)</f>
        <v>0</v>
      </c>
      <c r="BS15" s="311">
        <f>IF($BI15&lt;&gt;"",IF('Capacity summary'!$D$14="Yes",IF(COUNTBLANK('Capacity summary'!$H134:$BG134)&lt;52,IF('Capacity summary'!P134&lt;&gt;"",IF(LOWER('Capacity summary'!P134)="x",$BI15*P15,VALUE('Capacity summary'!P134)),0),P15*$BI15),P15*$BI15),0)</f>
        <v>0</v>
      </c>
      <c r="BT15" s="311">
        <f>IF($BI15&lt;&gt;"",IF('Capacity summary'!$D$14="Yes",IF(COUNTBLANK('Capacity summary'!$H134:$BG134)&lt;52,IF('Capacity summary'!Q134&lt;&gt;"",IF(LOWER('Capacity summary'!Q134)="x",$BI15*Q15,VALUE('Capacity summary'!Q134)),0),Q15*$BI15),Q15*$BI15),0)</f>
        <v>0</v>
      </c>
      <c r="BU15" s="311">
        <f>IF($BI15&lt;&gt;"",IF('Capacity summary'!$D$14="Yes",IF(COUNTBLANK('Capacity summary'!$H134:$BG134)&lt;52,IF('Capacity summary'!R134&lt;&gt;"",IF(LOWER('Capacity summary'!R134)="x",$BI15*R15,VALUE('Capacity summary'!R134)),0),R15*$BI15),R15*$BI15),0)</f>
        <v>0</v>
      </c>
      <c r="BV15" s="311">
        <f>IF($BI15&lt;&gt;"",IF('Capacity summary'!$D$14="Yes",IF(COUNTBLANK('Capacity summary'!$H134:$BG134)&lt;52,IF('Capacity summary'!S134&lt;&gt;"",IF(LOWER('Capacity summary'!S134)="x",$BI15*S15,VALUE('Capacity summary'!S134)),0),S15*$BI15),S15*$BI15),0)</f>
        <v>0</v>
      </c>
      <c r="BW15" s="311">
        <f>IF($BI15&lt;&gt;"",IF('Capacity summary'!$D$14="Yes",IF(COUNTBLANK('Capacity summary'!$H134:$BG134)&lt;52,IF('Capacity summary'!T134&lt;&gt;"",IF(LOWER('Capacity summary'!T134)="x",$BI15*T15,VALUE('Capacity summary'!T134)),0),T15*$BI15),T15*$BI15),0)</f>
        <v>0</v>
      </c>
      <c r="BX15" s="311">
        <f>IF($BI15&lt;&gt;"",IF('Capacity summary'!$D$14="Yes",IF(COUNTBLANK('Capacity summary'!$H134:$BG134)&lt;52,IF('Capacity summary'!U134&lt;&gt;"",IF(LOWER('Capacity summary'!U134)="x",$BI15*U15,VALUE('Capacity summary'!U134)),0),U15*$BI15),U15*$BI15),0)</f>
        <v>0</v>
      </c>
      <c r="BY15" s="311">
        <f>IF($BI15&lt;&gt;"",IF('Capacity summary'!$D$14="Yes",IF(COUNTBLANK('Capacity summary'!$H134:$BG134)&lt;52,IF('Capacity summary'!V134&lt;&gt;"",IF(LOWER('Capacity summary'!V134)="x",$BI15*V15,VALUE('Capacity summary'!V134)),0),V15*$BI15),V15*$BI15),0)</f>
        <v>0</v>
      </c>
      <c r="BZ15" s="311">
        <f>IF($BI15&lt;&gt;"",IF('Capacity summary'!$D$14="Yes",IF(COUNTBLANK('Capacity summary'!$H134:$BG134)&lt;52,IF('Capacity summary'!W134&lt;&gt;"",IF(LOWER('Capacity summary'!W134)="x",$BI15*W15,VALUE('Capacity summary'!W134)),0),W15*$BI15),W15*$BI15),0)</f>
        <v>0</v>
      </c>
      <c r="CA15" s="311">
        <f>IF($BI15&lt;&gt;"",IF('Capacity summary'!$D$14="Yes",IF(COUNTBLANK('Capacity summary'!$H134:$BG134)&lt;52,IF('Capacity summary'!X134&lt;&gt;"",IF(LOWER('Capacity summary'!X134)="x",$BI15*X15,VALUE('Capacity summary'!X134)),0),X15*$BI15),X15*$BI15),0)</f>
        <v>0</v>
      </c>
      <c r="CB15" s="311">
        <f>IF($BI15&lt;&gt;"",IF('Capacity summary'!$D$14="Yes",IF(COUNTBLANK('Capacity summary'!$H134:$BG134)&lt;52,IF('Capacity summary'!Y134&lt;&gt;"",IF(LOWER('Capacity summary'!Y134)="x",$BI15*Y15,VALUE('Capacity summary'!Y134)),0),Y15*$BI15),Y15*$BI15),0)</f>
        <v>0</v>
      </c>
      <c r="CC15" s="311">
        <f>IF($BI15&lt;&gt;"",IF('Capacity summary'!$D$14="Yes",IF(COUNTBLANK('Capacity summary'!$H134:$BG134)&lt;52,IF('Capacity summary'!Z134&lt;&gt;"",IF(LOWER('Capacity summary'!Z134)="x",$BI15*Z15,VALUE('Capacity summary'!Z134)),0),Z15*$BI15),Z15*$BI15),0)</f>
        <v>0</v>
      </c>
      <c r="CD15" s="311">
        <f>IF($BI15&lt;&gt;"",IF('Capacity summary'!$D$14="Yes",IF(COUNTBLANK('Capacity summary'!$H134:$BG134)&lt;52,IF('Capacity summary'!AA134&lt;&gt;"",IF(LOWER('Capacity summary'!AA134)="x",$BI15*AA15,VALUE('Capacity summary'!AA134)),0),AA15*$BI15),AA15*$BI15),0)</f>
        <v>0</v>
      </c>
      <c r="CE15" s="311">
        <f>IF($BI15&lt;&gt;"",IF('Capacity summary'!$D$14="Yes",IF(COUNTBLANK('Capacity summary'!$H134:$BG134)&lt;52,IF('Capacity summary'!AB134&lt;&gt;"",IF(LOWER('Capacity summary'!AB134)="x",$BI15*AB15,VALUE('Capacity summary'!AB134)),0),AB15*$BI15),AB15*$BI15),0)</f>
        <v>0</v>
      </c>
      <c r="CF15" s="311">
        <f>IF($BI15&lt;&gt;"",IF('Capacity summary'!$D$14="Yes",IF(COUNTBLANK('Capacity summary'!$H134:$BG134)&lt;52,IF('Capacity summary'!AC134&lt;&gt;"",IF(LOWER('Capacity summary'!AC134)="x",$BI15*AC15,VALUE('Capacity summary'!AC134)),0),AC15*$BI15),AC15*$BI15),0)</f>
        <v>0</v>
      </c>
      <c r="CG15" s="311">
        <f>IF($BI15&lt;&gt;"",IF('Capacity summary'!$D$14="Yes",IF(COUNTBLANK('Capacity summary'!$H134:$BG134)&lt;52,IF('Capacity summary'!AD134&lt;&gt;"",IF(LOWER('Capacity summary'!AD134)="x",$BI15*AD15,VALUE('Capacity summary'!AD134)),0),AD15*$BI15),AD15*$BI15),0)</f>
        <v>0</v>
      </c>
      <c r="CH15" s="311">
        <f>IF($BI15&lt;&gt;"",IF('Capacity summary'!$D$14="Yes",IF(COUNTBLANK('Capacity summary'!$H134:$BG134)&lt;52,IF('Capacity summary'!AE134&lt;&gt;"",IF(LOWER('Capacity summary'!AE134)="x",$BI15*AE15,VALUE('Capacity summary'!AE134)),0),AE15*$BI15),AE15*$BI15),0)</f>
        <v>0</v>
      </c>
      <c r="CI15" s="311">
        <f>IF($BI15&lt;&gt;"",IF('Capacity summary'!$D$14="Yes",IF(COUNTBLANK('Capacity summary'!$H134:$BG134)&lt;52,IF('Capacity summary'!AF134&lt;&gt;"",IF(LOWER('Capacity summary'!AF134)="x",$BI15*AF15,VALUE('Capacity summary'!AF134)),0),AF15*$BI15),AF15*$BI15),0)</f>
        <v>0</v>
      </c>
      <c r="CJ15" s="311">
        <f>IF($BI15&lt;&gt;"",IF('Capacity summary'!$D$14="Yes",IF(COUNTBLANK('Capacity summary'!$H134:$BG134)&lt;52,IF('Capacity summary'!AG134&lt;&gt;"",IF(LOWER('Capacity summary'!AG134)="x",$BI15*AG15,VALUE('Capacity summary'!AG134)),0),AG15*$BI15),AG15*$BI15),0)</f>
        <v>0</v>
      </c>
      <c r="CK15" s="311">
        <f>IF($BI15&lt;&gt;"",IF('Capacity summary'!$D$14="Yes",IF(COUNTBLANK('Capacity summary'!$H134:$BG134)&lt;52,IF('Capacity summary'!AH134&lt;&gt;"",IF(LOWER('Capacity summary'!AH134)="x",$BI15*AH15,VALUE('Capacity summary'!AH134)),0),AH15*$BI15),AH15*$BI15),0)</f>
        <v>0</v>
      </c>
      <c r="CL15" s="311">
        <f>IF($BI15&lt;&gt;"",IF('Capacity summary'!$D$14="Yes",IF(COUNTBLANK('Capacity summary'!$H134:$BG134)&lt;52,IF('Capacity summary'!AI134&lt;&gt;"",IF(LOWER('Capacity summary'!AI134)="x",$BI15*AI15,VALUE('Capacity summary'!AI134)),0),AI15*$BI15),AI15*$BI15),0)</f>
        <v>0</v>
      </c>
      <c r="CM15" s="311">
        <f>IF($BI15&lt;&gt;"",IF('Capacity summary'!$D$14="Yes",IF(COUNTBLANK('Capacity summary'!$H134:$BG134)&lt;52,IF('Capacity summary'!AJ134&lt;&gt;"",IF(LOWER('Capacity summary'!AJ134)="x",$BI15*AJ15,VALUE('Capacity summary'!AJ134)),0),AJ15*$BI15),AJ15*$BI15),0)</f>
        <v>0</v>
      </c>
      <c r="CN15" s="311">
        <f>IF($BI15&lt;&gt;"",IF('Capacity summary'!$D$14="Yes",IF(COUNTBLANK('Capacity summary'!$H134:$BG134)&lt;52,IF('Capacity summary'!AK134&lt;&gt;"",IF(LOWER('Capacity summary'!AK134)="x",$BI15*AK15,VALUE('Capacity summary'!AK134)),0),AK15*$BI15),AK15*$BI15),0)</f>
        <v>0</v>
      </c>
      <c r="CO15" s="311">
        <f>IF($BI15&lt;&gt;"",IF('Capacity summary'!$D$14="Yes",IF(COUNTBLANK('Capacity summary'!$H134:$BG134)&lt;52,IF('Capacity summary'!AL134&lt;&gt;"",IF(LOWER('Capacity summary'!AL134)="x",$BI15*AL15,VALUE('Capacity summary'!AL134)),0),AL15*$BI15),AL15*$BI15),0)</f>
        <v>0</v>
      </c>
      <c r="CP15" s="311">
        <f>IF($BI15&lt;&gt;"",IF('Capacity summary'!$D$14="Yes",IF(COUNTBLANK('Capacity summary'!$H134:$BG134)&lt;52,IF('Capacity summary'!AM134&lt;&gt;"",IF(LOWER('Capacity summary'!AM134)="x",$BI15*AM15,VALUE('Capacity summary'!AM134)),0),AM15*$BI15),AM15*$BI15),0)</f>
        <v>0</v>
      </c>
      <c r="CQ15" s="311">
        <f>IF($BI15&lt;&gt;"",IF('Capacity summary'!$D$14="Yes",IF(COUNTBLANK('Capacity summary'!$H134:$BG134)&lt;52,IF('Capacity summary'!AN134&lt;&gt;"",IF(LOWER('Capacity summary'!AN134)="x",$BI15*AN15,VALUE('Capacity summary'!AN134)),0),AN15*$BI15),AN15*$BI15),0)</f>
        <v>0</v>
      </c>
      <c r="CR15" s="311">
        <f>IF($BI15&lt;&gt;"",IF('Capacity summary'!$D$14="Yes",IF(COUNTBLANK('Capacity summary'!$H134:$BG134)&lt;52,IF('Capacity summary'!AO134&lt;&gt;"",IF(LOWER('Capacity summary'!AO134)="x",$BI15*AO15,VALUE('Capacity summary'!AO134)),0),AO15*$BI15),AO15*$BI15),0)</f>
        <v>0</v>
      </c>
      <c r="CS15" s="311">
        <f>IF($BI15&lt;&gt;"",IF('Capacity summary'!$D$14="Yes",IF(COUNTBLANK('Capacity summary'!$H134:$BG134)&lt;52,IF('Capacity summary'!AP134&lt;&gt;"",IF(LOWER('Capacity summary'!AP134)="x",$BI15*AP15,VALUE('Capacity summary'!AP134)),0),AP15*$BI15),AP15*$BI15),0)</f>
        <v>0</v>
      </c>
      <c r="CT15" s="311">
        <f>IF($BI15&lt;&gt;"",IF('Capacity summary'!$D$14="Yes",IF(COUNTBLANK('Capacity summary'!$H134:$BG134)&lt;52,IF('Capacity summary'!AQ134&lt;&gt;"",IF(LOWER('Capacity summary'!AQ134)="x",$BI15*AQ15,VALUE('Capacity summary'!AQ134)),0),AQ15*$BI15),AQ15*$BI15),0)</f>
        <v>0</v>
      </c>
      <c r="CU15" s="311">
        <f>IF($BI15&lt;&gt;"",IF('Capacity summary'!$D$14="Yes",IF(COUNTBLANK('Capacity summary'!$H134:$BG134)&lt;52,IF('Capacity summary'!AR134&lt;&gt;"",IF(LOWER('Capacity summary'!AR134)="x",$BI15*AR15,VALUE('Capacity summary'!AR134)),0),AR15*$BI15),AR15*$BI15),0)</f>
        <v>0</v>
      </c>
      <c r="CV15" s="311">
        <f>IF($BI15&lt;&gt;"",IF('Capacity summary'!$D$14="Yes",IF(COUNTBLANK('Capacity summary'!$H134:$BG134)&lt;52,IF('Capacity summary'!AS134&lt;&gt;"",IF(LOWER('Capacity summary'!AS134)="x",$BI15*AS15,VALUE('Capacity summary'!AS134)),0),AS15*$BI15),AS15*$BI15),0)</f>
        <v>0</v>
      </c>
      <c r="CW15" s="311">
        <f>IF($BI15&lt;&gt;"",IF('Capacity summary'!$D$14="Yes",IF(COUNTBLANK('Capacity summary'!$H134:$BG134)&lt;52,IF('Capacity summary'!AT134&lt;&gt;"",IF(LOWER('Capacity summary'!AT134)="x",$BI15*AT15,VALUE('Capacity summary'!AT134)),0),AT15*$BI15),AT15*$BI15),0)</f>
        <v>0</v>
      </c>
      <c r="CX15" s="311">
        <f>IF($BI15&lt;&gt;"",IF('Capacity summary'!$D$14="Yes",IF(COUNTBLANK('Capacity summary'!$H134:$BG134)&lt;52,IF('Capacity summary'!AU134&lt;&gt;"",IF(LOWER('Capacity summary'!AU134)="x",$BI15*AU15,VALUE('Capacity summary'!AU134)),0),AU15*$BI15),AU15*$BI15),0)</f>
        <v>0</v>
      </c>
      <c r="CY15" s="311">
        <f>IF($BI15&lt;&gt;"",IF('Capacity summary'!$D$14="Yes",IF(COUNTBLANK('Capacity summary'!$H134:$BG134)&lt;52,IF('Capacity summary'!AV134&lt;&gt;"",IF(LOWER('Capacity summary'!AV134)="x",$BI15*AV15,VALUE('Capacity summary'!AV134)),0),AV15*$BI15),AV15*$BI15),0)</f>
        <v>0</v>
      </c>
      <c r="CZ15" s="311">
        <f>IF($BI15&lt;&gt;"",IF('Capacity summary'!$D$14="Yes",IF(COUNTBLANK('Capacity summary'!$H134:$BG134)&lt;52,IF('Capacity summary'!AW134&lt;&gt;"",IF(LOWER('Capacity summary'!AW134)="x",$BI15*AW15,VALUE('Capacity summary'!AW134)),0),AW15*$BI15),AW15*$BI15),0)</f>
        <v>0</v>
      </c>
      <c r="DA15" s="311">
        <f>IF($BI15&lt;&gt;"",IF('Capacity summary'!$D$14="Yes",IF(COUNTBLANK('Capacity summary'!$H134:$BG134)&lt;52,IF('Capacity summary'!AX134&lt;&gt;"",IF(LOWER('Capacity summary'!AX134)="x",$BI15*AX15,VALUE('Capacity summary'!AX134)),0),AX15*$BI15),AX15*$BI15),0)</f>
        <v>0</v>
      </c>
      <c r="DB15" s="311">
        <f>IF($BI15&lt;&gt;"",IF('Capacity summary'!$D$14="Yes",IF(COUNTBLANK('Capacity summary'!$H134:$BG134)&lt;52,IF('Capacity summary'!AY134&lt;&gt;"",IF(LOWER('Capacity summary'!AY134)="x",$BI15*AY15,VALUE('Capacity summary'!AY134)),0),AY15*$BI15),AY15*$BI15),0)</f>
        <v>0</v>
      </c>
      <c r="DC15" s="311">
        <f>IF($BI15&lt;&gt;"",IF('Capacity summary'!$D$14="Yes",IF(COUNTBLANK('Capacity summary'!$H134:$BG134)&lt;52,IF('Capacity summary'!AZ134&lt;&gt;"",IF(LOWER('Capacity summary'!AZ134)="x",$BI15*AZ15,VALUE('Capacity summary'!AZ134)),0),AZ15*$BI15),AZ15*$BI15),0)</f>
        <v>0</v>
      </c>
      <c r="DD15" s="311">
        <f>IF($BI15&lt;&gt;"",IF('Capacity summary'!$D$14="Yes",IF(COUNTBLANK('Capacity summary'!$H134:$BG134)&lt;52,IF('Capacity summary'!BA134&lt;&gt;"",IF(LOWER('Capacity summary'!BA134)="x",$BI15*BA15,VALUE('Capacity summary'!BA134)),0),BA15*$BI15),BA15*$BI15),0)</f>
        <v>0</v>
      </c>
      <c r="DE15" s="311">
        <f>IF($BI15&lt;&gt;"",IF('Capacity summary'!$D$14="Yes",IF(COUNTBLANK('Capacity summary'!$H134:$BG134)&lt;52,IF('Capacity summary'!BB134&lt;&gt;"",IF(LOWER('Capacity summary'!BB134)="x",$BI15*BB15,VALUE('Capacity summary'!BB134)),0),BB15*$BI15),BB15*$BI15),0)</f>
        <v>0</v>
      </c>
      <c r="DF15" s="311">
        <f>IF($BI15&lt;&gt;"",IF('Capacity summary'!$D$14="Yes",IF(COUNTBLANK('Capacity summary'!$H134:$BG134)&lt;52,IF('Capacity summary'!BC134&lt;&gt;"",IF(LOWER('Capacity summary'!BC134)="x",$BI15*BC15,VALUE('Capacity summary'!BC134)),0),BC15*$BI15),BC15*$BI15),0)</f>
        <v>0</v>
      </c>
      <c r="DG15" s="311">
        <f>IF($BI15&lt;&gt;"",IF('Capacity summary'!$D$14="Yes",IF(COUNTBLANK('Capacity summary'!$H134:$BG134)&lt;52,IF('Capacity summary'!BD134&lt;&gt;"",IF(LOWER('Capacity summary'!BD134)="x",$BI15*BD15,VALUE('Capacity summary'!BD134)),0),BD15*$BI15),BD15*$BI15),0)</f>
        <v>0</v>
      </c>
      <c r="DH15" s="311">
        <f>IF($BI15&lt;&gt;"",IF('Capacity summary'!$D$14="Yes",IF(COUNTBLANK('Capacity summary'!$H134:$BG134)&lt;52,IF('Capacity summary'!BE134&lt;&gt;"",IF(LOWER('Capacity summary'!BE134)="x",$BI15*BE15,VALUE('Capacity summary'!BE134)),0),BE15*$BI15),BE15*$BI15),0)</f>
        <v>0</v>
      </c>
      <c r="DI15" s="311">
        <f>IF($BI15&lt;&gt;"",IF('Capacity summary'!$D$14="Yes",IF(COUNTBLANK('Capacity summary'!$H134:$BG134)&lt;52,IF('Capacity summary'!BF134&lt;&gt;"",IF(LOWER('Capacity summary'!BF134)="x",$BI15*BF15,VALUE('Capacity summary'!BF134)),0),BF15*$BI15),BF15*$BI15),0)</f>
        <v>0</v>
      </c>
      <c r="DJ15" s="311">
        <f>IF($BI15&lt;&gt;"",IF('Capacity summary'!$D$14="Yes",IF(COUNTBLANK('Capacity summary'!$H134:$BG134)&lt;52,IF('Capacity summary'!BG134&lt;&gt;"",IF(LOWER('Capacity summary'!BG134)="x",$BI15*BG15,VALUE('Capacity summary'!BG134)),0),BG15*$BI15),BG15*$BI15),0)</f>
        <v>0</v>
      </c>
      <c r="DK15" s="387">
        <f t="shared" si="2"/>
        <v>0</v>
      </c>
      <c r="DL15" s="136">
        <f t="shared" si="3"/>
        <v>0</v>
      </c>
      <c r="DM15" s="311" t="str">
        <f>Capacity!H27</f>
        <v/>
      </c>
      <c r="DQ15" s="5"/>
    </row>
    <row r="16" spans="1:121" x14ac:dyDescent="0.2">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1">
        <f>IF($BI16&lt;&gt;"",IF('Capacity summary'!$D$14="Yes",IF(COUNTBLANK('Capacity summary'!$H135:$BG135)&lt;52,IF('Capacity summary'!H135&lt;&gt;"",IF(LOWER('Capacity summary'!H135)="x",$BI16*H16,VALUE('Capacity summary'!H135)),0),H16*$BI16),H16*$BI16),0)</f>
        <v>0</v>
      </c>
      <c r="BL16" s="311">
        <f>IF($BI16&lt;&gt;"",IF('Capacity summary'!$D$14="Yes",IF(COUNTBLANK('Capacity summary'!$H135:$BG135)&lt;52,IF('Capacity summary'!I135&lt;&gt;"",IF(LOWER('Capacity summary'!I135)="x",$BI16*I16,VALUE('Capacity summary'!I135)),0),I16*$BI16),I16*$BI16),0)</f>
        <v>0</v>
      </c>
      <c r="BM16" s="311">
        <f>IF($BI16&lt;&gt;"",IF('Capacity summary'!$D$14="Yes",IF(COUNTBLANK('Capacity summary'!$H135:$BG135)&lt;52,IF('Capacity summary'!J135&lt;&gt;"",IF(LOWER('Capacity summary'!J135)="x",$BI16*J16,VALUE('Capacity summary'!J135)),0),J16*$BI16),J16*$BI16),0)</f>
        <v>0</v>
      </c>
      <c r="BN16" s="311">
        <f>IF($BI16&lt;&gt;"",IF('Capacity summary'!$D$14="Yes",IF(COUNTBLANK('Capacity summary'!$H135:$BG135)&lt;52,IF('Capacity summary'!K135&lt;&gt;"",IF(LOWER('Capacity summary'!K135)="x",$BI16*K16,VALUE('Capacity summary'!K135)),0),K16*$BI16),K16*$BI16),0)</f>
        <v>0</v>
      </c>
      <c r="BO16" s="311">
        <f>IF($BI16&lt;&gt;"",IF('Capacity summary'!$D$14="Yes",IF(COUNTBLANK('Capacity summary'!$H135:$BG135)&lt;52,IF('Capacity summary'!L135&lt;&gt;"",IF(LOWER('Capacity summary'!L135)="x",$BI16*L16,VALUE('Capacity summary'!L135)),0),L16*$BI16),L16*$BI16),0)</f>
        <v>0</v>
      </c>
      <c r="BP16" s="311">
        <f>IF($BI16&lt;&gt;"",IF('Capacity summary'!$D$14="Yes",IF(COUNTBLANK('Capacity summary'!$H135:$BG135)&lt;52,IF('Capacity summary'!M135&lt;&gt;"",IF(LOWER('Capacity summary'!M135)="x",$BI16*M16,VALUE('Capacity summary'!M135)),0),M16*$BI16),M16*$BI16),0)</f>
        <v>0</v>
      </c>
      <c r="BQ16" s="311">
        <f>IF($BI16&lt;&gt;"",IF('Capacity summary'!$D$14="Yes",IF(COUNTBLANK('Capacity summary'!$H135:$BG135)&lt;52,IF('Capacity summary'!N135&lt;&gt;"",IF(LOWER('Capacity summary'!N135)="x",$BI16*N16,VALUE('Capacity summary'!N135)),0),N16*$BI16),N16*$BI16),0)</f>
        <v>0</v>
      </c>
      <c r="BR16" s="311">
        <f>IF($BI16&lt;&gt;"",IF('Capacity summary'!$D$14="Yes",IF(COUNTBLANK('Capacity summary'!$H135:$BG135)&lt;52,IF('Capacity summary'!O135&lt;&gt;"",IF(LOWER('Capacity summary'!O135)="x",$BI16*O16,VALUE('Capacity summary'!O135)),0),O16*$BI16),O16*$BI16),0)</f>
        <v>0</v>
      </c>
      <c r="BS16" s="311">
        <f>IF($BI16&lt;&gt;"",IF('Capacity summary'!$D$14="Yes",IF(COUNTBLANK('Capacity summary'!$H135:$BG135)&lt;52,IF('Capacity summary'!P135&lt;&gt;"",IF(LOWER('Capacity summary'!P135)="x",$BI16*P16,VALUE('Capacity summary'!P135)),0),P16*$BI16),P16*$BI16),0)</f>
        <v>0</v>
      </c>
      <c r="BT16" s="311">
        <f>IF($BI16&lt;&gt;"",IF('Capacity summary'!$D$14="Yes",IF(COUNTBLANK('Capacity summary'!$H135:$BG135)&lt;52,IF('Capacity summary'!Q135&lt;&gt;"",IF(LOWER('Capacity summary'!Q135)="x",$BI16*Q16,VALUE('Capacity summary'!Q135)),0),Q16*$BI16),Q16*$BI16),0)</f>
        <v>0</v>
      </c>
      <c r="BU16" s="311">
        <f>IF($BI16&lt;&gt;"",IF('Capacity summary'!$D$14="Yes",IF(COUNTBLANK('Capacity summary'!$H135:$BG135)&lt;52,IF('Capacity summary'!R135&lt;&gt;"",IF(LOWER('Capacity summary'!R135)="x",$BI16*R16,VALUE('Capacity summary'!R135)),0),R16*$BI16),R16*$BI16),0)</f>
        <v>0</v>
      </c>
      <c r="BV16" s="311">
        <f>IF($BI16&lt;&gt;"",IF('Capacity summary'!$D$14="Yes",IF(COUNTBLANK('Capacity summary'!$H135:$BG135)&lt;52,IF('Capacity summary'!S135&lt;&gt;"",IF(LOWER('Capacity summary'!S135)="x",$BI16*S16,VALUE('Capacity summary'!S135)),0),S16*$BI16),S16*$BI16),0)</f>
        <v>0</v>
      </c>
      <c r="BW16" s="311">
        <f>IF($BI16&lt;&gt;"",IF('Capacity summary'!$D$14="Yes",IF(COUNTBLANK('Capacity summary'!$H135:$BG135)&lt;52,IF('Capacity summary'!T135&lt;&gt;"",IF(LOWER('Capacity summary'!T135)="x",$BI16*T16,VALUE('Capacity summary'!T135)),0),T16*$BI16),T16*$BI16),0)</f>
        <v>0</v>
      </c>
      <c r="BX16" s="311">
        <f>IF($BI16&lt;&gt;"",IF('Capacity summary'!$D$14="Yes",IF(COUNTBLANK('Capacity summary'!$H135:$BG135)&lt;52,IF('Capacity summary'!U135&lt;&gt;"",IF(LOWER('Capacity summary'!U135)="x",$BI16*U16,VALUE('Capacity summary'!U135)),0),U16*$BI16),U16*$BI16),0)</f>
        <v>0</v>
      </c>
      <c r="BY16" s="311">
        <f>IF($BI16&lt;&gt;"",IF('Capacity summary'!$D$14="Yes",IF(COUNTBLANK('Capacity summary'!$H135:$BG135)&lt;52,IF('Capacity summary'!V135&lt;&gt;"",IF(LOWER('Capacity summary'!V135)="x",$BI16*V16,VALUE('Capacity summary'!V135)),0),V16*$BI16),V16*$BI16),0)</f>
        <v>0</v>
      </c>
      <c r="BZ16" s="311">
        <f>IF($BI16&lt;&gt;"",IF('Capacity summary'!$D$14="Yes",IF(COUNTBLANK('Capacity summary'!$H135:$BG135)&lt;52,IF('Capacity summary'!W135&lt;&gt;"",IF(LOWER('Capacity summary'!W135)="x",$BI16*W16,VALUE('Capacity summary'!W135)),0),W16*$BI16),W16*$BI16),0)</f>
        <v>0</v>
      </c>
      <c r="CA16" s="311">
        <f>IF($BI16&lt;&gt;"",IF('Capacity summary'!$D$14="Yes",IF(COUNTBLANK('Capacity summary'!$H135:$BG135)&lt;52,IF('Capacity summary'!X135&lt;&gt;"",IF(LOWER('Capacity summary'!X135)="x",$BI16*X16,VALUE('Capacity summary'!X135)),0),X16*$BI16),X16*$BI16),0)</f>
        <v>0</v>
      </c>
      <c r="CB16" s="311">
        <f>IF($BI16&lt;&gt;"",IF('Capacity summary'!$D$14="Yes",IF(COUNTBLANK('Capacity summary'!$H135:$BG135)&lt;52,IF('Capacity summary'!Y135&lt;&gt;"",IF(LOWER('Capacity summary'!Y135)="x",$BI16*Y16,VALUE('Capacity summary'!Y135)),0),Y16*$BI16),Y16*$BI16),0)</f>
        <v>0</v>
      </c>
      <c r="CC16" s="311">
        <f>IF($BI16&lt;&gt;"",IF('Capacity summary'!$D$14="Yes",IF(COUNTBLANK('Capacity summary'!$H135:$BG135)&lt;52,IF('Capacity summary'!Z135&lt;&gt;"",IF(LOWER('Capacity summary'!Z135)="x",$BI16*Z16,VALUE('Capacity summary'!Z135)),0),Z16*$BI16),Z16*$BI16),0)</f>
        <v>0</v>
      </c>
      <c r="CD16" s="311">
        <f>IF($BI16&lt;&gt;"",IF('Capacity summary'!$D$14="Yes",IF(COUNTBLANK('Capacity summary'!$H135:$BG135)&lt;52,IF('Capacity summary'!AA135&lt;&gt;"",IF(LOWER('Capacity summary'!AA135)="x",$BI16*AA16,VALUE('Capacity summary'!AA135)),0),AA16*$BI16),AA16*$BI16),0)</f>
        <v>0</v>
      </c>
      <c r="CE16" s="311">
        <f>IF($BI16&lt;&gt;"",IF('Capacity summary'!$D$14="Yes",IF(COUNTBLANK('Capacity summary'!$H135:$BG135)&lt;52,IF('Capacity summary'!AB135&lt;&gt;"",IF(LOWER('Capacity summary'!AB135)="x",$BI16*AB16,VALUE('Capacity summary'!AB135)),0),AB16*$BI16),AB16*$BI16),0)</f>
        <v>0</v>
      </c>
      <c r="CF16" s="311">
        <f>IF($BI16&lt;&gt;"",IF('Capacity summary'!$D$14="Yes",IF(COUNTBLANK('Capacity summary'!$H135:$BG135)&lt;52,IF('Capacity summary'!AC135&lt;&gt;"",IF(LOWER('Capacity summary'!AC135)="x",$BI16*AC16,VALUE('Capacity summary'!AC135)),0),AC16*$BI16),AC16*$BI16),0)</f>
        <v>0</v>
      </c>
      <c r="CG16" s="311">
        <f>IF($BI16&lt;&gt;"",IF('Capacity summary'!$D$14="Yes",IF(COUNTBLANK('Capacity summary'!$H135:$BG135)&lt;52,IF('Capacity summary'!AD135&lt;&gt;"",IF(LOWER('Capacity summary'!AD135)="x",$BI16*AD16,VALUE('Capacity summary'!AD135)),0),AD16*$BI16),AD16*$BI16),0)</f>
        <v>0</v>
      </c>
      <c r="CH16" s="311">
        <f>IF($BI16&lt;&gt;"",IF('Capacity summary'!$D$14="Yes",IF(COUNTBLANK('Capacity summary'!$H135:$BG135)&lt;52,IF('Capacity summary'!AE135&lt;&gt;"",IF(LOWER('Capacity summary'!AE135)="x",$BI16*AE16,VALUE('Capacity summary'!AE135)),0),AE16*$BI16),AE16*$BI16),0)</f>
        <v>0</v>
      </c>
      <c r="CI16" s="311">
        <f>IF($BI16&lt;&gt;"",IF('Capacity summary'!$D$14="Yes",IF(COUNTBLANK('Capacity summary'!$H135:$BG135)&lt;52,IF('Capacity summary'!AF135&lt;&gt;"",IF(LOWER('Capacity summary'!AF135)="x",$BI16*AF16,VALUE('Capacity summary'!AF135)),0),AF16*$BI16),AF16*$BI16),0)</f>
        <v>0</v>
      </c>
      <c r="CJ16" s="311">
        <f>IF($BI16&lt;&gt;"",IF('Capacity summary'!$D$14="Yes",IF(COUNTBLANK('Capacity summary'!$H135:$BG135)&lt;52,IF('Capacity summary'!AG135&lt;&gt;"",IF(LOWER('Capacity summary'!AG135)="x",$BI16*AG16,VALUE('Capacity summary'!AG135)),0),AG16*$BI16),AG16*$BI16),0)</f>
        <v>0</v>
      </c>
      <c r="CK16" s="311">
        <f>IF($BI16&lt;&gt;"",IF('Capacity summary'!$D$14="Yes",IF(COUNTBLANK('Capacity summary'!$H135:$BG135)&lt;52,IF('Capacity summary'!AH135&lt;&gt;"",IF(LOWER('Capacity summary'!AH135)="x",$BI16*AH16,VALUE('Capacity summary'!AH135)),0),AH16*$BI16),AH16*$BI16),0)</f>
        <v>0</v>
      </c>
      <c r="CL16" s="311">
        <f>IF($BI16&lt;&gt;"",IF('Capacity summary'!$D$14="Yes",IF(COUNTBLANK('Capacity summary'!$H135:$BG135)&lt;52,IF('Capacity summary'!AI135&lt;&gt;"",IF(LOWER('Capacity summary'!AI135)="x",$BI16*AI16,VALUE('Capacity summary'!AI135)),0),AI16*$BI16),AI16*$BI16),0)</f>
        <v>0</v>
      </c>
      <c r="CM16" s="311">
        <f>IF($BI16&lt;&gt;"",IF('Capacity summary'!$D$14="Yes",IF(COUNTBLANK('Capacity summary'!$H135:$BG135)&lt;52,IF('Capacity summary'!AJ135&lt;&gt;"",IF(LOWER('Capacity summary'!AJ135)="x",$BI16*AJ16,VALUE('Capacity summary'!AJ135)),0),AJ16*$BI16),AJ16*$BI16),0)</f>
        <v>0</v>
      </c>
      <c r="CN16" s="311">
        <f>IF($BI16&lt;&gt;"",IF('Capacity summary'!$D$14="Yes",IF(COUNTBLANK('Capacity summary'!$H135:$BG135)&lt;52,IF('Capacity summary'!AK135&lt;&gt;"",IF(LOWER('Capacity summary'!AK135)="x",$BI16*AK16,VALUE('Capacity summary'!AK135)),0),AK16*$BI16),AK16*$BI16),0)</f>
        <v>0</v>
      </c>
      <c r="CO16" s="311">
        <f>IF($BI16&lt;&gt;"",IF('Capacity summary'!$D$14="Yes",IF(COUNTBLANK('Capacity summary'!$H135:$BG135)&lt;52,IF('Capacity summary'!AL135&lt;&gt;"",IF(LOWER('Capacity summary'!AL135)="x",$BI16*AL16,VALUE('Capacity summary'!AL135)),0),AL16*$BI16),AL16*$BI16),0)</f>
        <v>0</v>
      </c>
      <c r="CP16" s="311">
        <f>IF($BI16&lt;&gt;"",IF('Capacity summary'!$D$14="Yes",IF(COUNTBLANK('Capacity summary'!$H135:$BG135)&lt;52,IF('Capacity summary'!AM135&lt;&gt;"",IF(LOWER('Capacity summary'!AM135)="x",$BI16*AM16,VALUE('Capacity summary'!AM135)),0),AM16*$BI16),AM16*$BI16),0)</f>
        <v>0</v>
      </c>
      <c r="CQ16" s="311">
        <f>IF($BI16&lt;&gt;"",IF('Capacity summary'!$D$14="Yes",IF(COUNTBLANK('Capacity summary'!$H135:$BG135)&lt;52,IF('Capacity summary'!AN135&lt;&gt;"",IF(LOWER('Capacity summary'!AN135)="x",$BI16*AN16,VALUE('Capacity summary'!AN135)),0),AN16*$BI16),AN16*$BI16),0)</f>
        <v>0</v>
      </c>
      <c r="CR16" s="311">
        <f>IF($BI16&lt;&gt;"",IF('Capacity summary'!$D$14="Yes",IF(COUNTBLANK('Capacity summary'!$H135:$BG135)&lt;52,IF('Capacity summary'!AO135&lt;&gt;"",IF(LOWER('Capacity summary'!AO135)="x",$BI16*AO16,VALUE('Capacity summary'!AO135)),0),AO16*$BI16),AO16*$BI16),0)</f>
        <v>0</v>
      </c>
      <c r="CS16" s="311">
        <f>IF($BI16&lt;&gt;"",IF('Capacity summary'!$D$14="Yes",IF(COUNTBLANK('Capacity summary'!$H135:$BG135)&lt;52,IF('Capacity summary'!AP135&lt;&gt;"",IF(LOWER('Capacity summary'!AP135)="x",$BI16*AP16,VALUE('Capacity summary'!AP135)),0),AP16*$BI16),AP16*$BI16),0)</f>
        <v>0</v>
      </c>
      <c r="CT16" s="311">
        <f>IF($BI16&lt;&gt;"",IF('Capacity summary'!$D$14="Yes",IF(COUNTBLANK('Capacity summary'!$H135:$BG135)&lt;52,IF('Capacity summary'!AQ135&lt;&gt;"",IF(LOWER('Capacity summary'!AQ135)="x",$BI16*AQ16,VALUE('Capacity summary'!AQ135)),0),AQ16*$BI16),AQ16*$BI16),0)</f>
        <v>0</v>
      </c>
      <c r="CU16" s="311">
        <f>IF($BI16&lt;&gt;"",IF('Capacity summary'!$D$14="Yes",IF(COUNTBLANK('Capacity summary'!$H135:$BG135)&lt;52,IF('Capacity summary'!AR135&lt;&gt;"",IF(LOWER('Capacity summary'!AR135)="x",$BI16*AR16,VALUE('Capacity summary'!AR135)),0),AR16*$BI16),AR16*$BI16),0)</f>
        <v>0</v>
      </c>
      <c r="CV16" s="311">
        <f>IF($BI16&lt;&gt;"",IF('Capacity summary'!$D$14="Yes",IF(COUNTBLANK('Capacity summary'!$H135:$BG135)&lt;52,IF('Capacity summary'!AS135&lt;&gt;"",IF(LOWER('Capacity summary'!AS135)="x",$BI16*AS16,VALUE('Capacity summary'!AS135)),0),AS16*$BI16),AS16*$BI16),0)</f>
        <v>0</v>
      </c>
      <c r="CW16" s="311">
        <f>IF($BI16&lt;&gt;"",IF('Capacity summary'!$D$14="Yes",IF(COUNTBLANK('Capacity summary'!$H135:$BG135)&lt;52,IF('Capacity summary'!AT135&lt;&gt;"",IF(LOWER('Capacity summary'!AT135)="x",$BI16*AT16,VALUE('Capacity summary'!AT135)),0),AT16*$BI16),AT16*$BI16),0)</f>
        <v>0</v>
      </c>
      <c r="CX16" s="311">
        <f>IF($BI16&lt;&gt;"",IF('Capacity summary'!$D$14="Yes",IF(COUNTBLANK('Capacity summary'!$H135:$BG135)&lt;52,IF('Capacity summary'!AU135&lt;&gt;"",IF(LOWER('Capacity summary'!AU135)="x",$BI16*AU16,VALUE('Capacity summary'!AU135)),0),AU16*$BI16),AU16*$BI16),0)</f>
        <v>0</v>
      </c>
      <c r="CY16" s="311">
        <f>IF($BI16&lt;&gt;"",IF('Capacity summary'!$D$14="Yes",IF(COUNTBLANK('Capacity summary'!$H135:$BG135)&lt;52,IF('Capacity summary'!AV135&lt;&gt;"",IF(LOWER('Capacity summary'!AV135)="x",$BI16*AV16,VALUE('Capacity summary'!AV135)),0),AV16*$BI16),AV16*$BI16),0)</f>
        <v>0</v>
      </c>
      <c r="CZ16" s="311">
        <f>IF($BI16&lt;&gt;"",IF('Capacity summary'!$D$14="Yes",IF(COUNTBLANK('Capacity summary'!$H135:$BG135)&lt;52,IF('Capacity summary'!AW135&lt;&gt;"",IF(LOWER('Capacity summary'!AW135)="x",$BI16*AW16,VALUE('Capacity summary'!AW135)),0),AW16*$BI16),AW16*$BI16),0)</f>
        <v>0</v>
      </c>
      <c r="DA16" s="311">
        <f>IF($BI16&lt;&gt;"",IF('Capacity summary'!$D$14="Yes",IF(COUNTBLANK('Capacity summary'!$H135:$BG135)&lt;52,IF('Capacity summary'!AX135&lt;&gt;"",IF(LOWER('Capacity summary'!AX135)="x",$BI16*AX16,VALUE('Capacity summary'!AX135)),0),AX16*$BI16),AX16*$BI16),0)</f>
        <v>0</v>
      </c>
      <c r="DB16" s="311">
        <f>IF($BI16&lt;&gt;"",IF('Capacity summary'!$D$14="Yes",IF(COUNTBLANK('Capacity summary'!$H135:$BG135)&lt;52,IF('Capacity summary'!AY135&lt;&gt;"",IF(LOWER('Capacity summary'!AY135)="x",$BI16*AY16,VALUE('Capacity summary'!AY135)),0),AY16*$BI16),AY16*$BI16),0)</f>
        <v>0</v>
      </c>
      <c r="DC16" s="311">
        <f>IF($BI16&lt;&gt;"",IF('Capacity summary'!$D$14="Yes",IF(COUNTBLANK('Capacity summary'!$H135:$BG135)&lt;52,IF('Capacity summary'!AZ135&lt;&gt;"",IF(LOWER('Capacity summary'!AZ135)="x",$BI16*AZ16,VALUE('Capacity summary'!AZ135)),0),AZ16*$BI16),AZ16*$BI16),0)</f>
        <v>0</v>
      </c>
      <c r="DD16" s="311">
        <f>IF($BI16&lt;&gt;"",IF('Capacity summary'!$D$14="Yes",IF(COUNTBLANK('Capacity summary'!$H135:$BG135)&lt;52,IF('Capacity summary'!BA135&lt;&gt;"",IF(LOWER('Capacity summary'!BA135)="x",$BI16*BA16,VALUE('Capacity summary'!BA135)),0),BA16*$BI16),BA16*$BI16),0)</f>
        <v>0</v>
      </c>
      <c r="DE16" s="311">
        <f>IF($BI16&lt;&gt;"",IF('Capacity summary'!$D$14="Yes",IF(COUNTBLANK('Capacity summary'!$H135:$BG135)&lt;52,IF('Capacity summary'!BB135&lt;&gt;"",IF(LOWER('Capacity summary'!BB135)="x",$BI16*BB16,VALUE('Capacity summary'!BB135)),0),BB16*$BI16),BB16*$BI16),0)</f>
        <v>0</v>
      </c>
      <c r="DF16" s="311">
        <f>IF($BI16&lt;&gt;"",IF('Capacity summary'!$D$14="Yes",IF(COUNTBLANK('Capacity summary'!$H135:$BG135)&lt;52,IF('Capacity summary'!BC135&lt;&gt;"",IF(LOWER('Capacity summary'!BC135)="x",$BI16*BC16,VALUE('Capacity summary'!BC135)),0),BC16*$BI16),BC16*$BI16),0)</f>
        <v>0</v>
      </c>
      <c r="DG16" s="311">
        <f>IF($BI16&lt;&gt;"",IF('Capacity summary'!$D$14="Yes",IF(COUNTBLANK('Capacity summary'!$H135:$BG135)&lt;52,IF('Capacity summary'!BD135&lt;&gt;"",IF(LOWER('Capacity summary'!BD135)="x",$BI16*BD16,VALUE('Capacity summary'!BD135)),0),BD16*$BI16),BD16*$BI16),0)</f>
        <v>0</v>
      </c>
      <c r="DH16" s="311">
        <f>IF($BI16&lt;&gt;"",IF('Capacity summary'!$D$14="Yes",IF(COUNTBLANK('Capacity summary'!$H135:$BG135)&lt;52,IF('Capacity summary'!BE135&lt;&gt;"",IF(LOWER('Capacity summary'!BE135)="x",$BI16*BE16,VALUE('Capacity summary'!BE135)),0),BE16*$BI16),BE16*$BI16),0)</f>
        <v>0</v>
      </c>
      <c r="DI16" s="311">
        <f>IF($BI16&lt;&gt;"",IF('Capacity summary'!$D$14="Yes",IF(COUNTBLANK('Capacity summary'!$H135:$BG135)&lt;52,IF('Capacity summary'!BF135&lt;&gt;"",IF(LOWER('Capacity summary'!BF135)="x",$BI16*BF16,VALUE('Capacity summary'!BF135)),0),BF16*$BI16),BF16*$BI16),0)</f>
        <v>0</v>
      </c>
      <c r="DJ16" s="311">
        <f>IF($BI16&lt;&gt;"",IF('Capacity summary'!$D$14="Yes",IF(COUNTBLANK('Capacity summary'!$H135:$BG135)&lt;52,IF('Capacity summary'!BG135&lt;&gt;"",IF(LOWER('Capacity summary'!BG135)="x",$BI16*BG16,VALUE('Capacity summary'!BG135)),0),BG16*$BI16),BG16*$BI16),0)</f>
        <v>0</v>
      </c>
      <c r="DK16" s="387">
        <f t="shared" si="2"/>
        <v>0</v>
      </c>
      <c r="DL16" s="136">
        <f t="shared" si="3"/>
        <v>0</v>
      </c>
      <c r="DM16" s="311" t="str">
        <f>Capacity!H28</f>
        <v/>
      </c>
      <c r="DQ16" s="5"/>
    </row>
    <row r="17" spans="1:121" x14ac:dyDescent="0.2">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1">
        <f>IF($BI17&lt;&gt;"",IF('Capacity summary'!$D$14="Yes",IF(COUNTBLANK('Capacity summary'!$H136:$BG136)&lt;52,IF('Capacity summary'!H136&lt;&gt;"",IF(LOWER('Capacity summary'!H136)="x",$BI17*H17,VALUE('Capacity summary'!H136)),0),H17*$BI17),H17*$BI17),0)</f>
        <v>0</v>
      </c>
      <c r="BL17" s="311">
        <f>IF($BI17&lt;&gt;"",IF('Capacity summary'!$D$14="Yes",IF(COUNTBLANK('Capacity summary'!$H136:$BG136)&lt;52,IF('Capacity summary'!I136&lt;&gt;"",IF(LOWER('Capacity summary'!I136)="x",$BI17*I17,VALUE('Capacity summary'!I136)),0),I17*$BI17),I17*$BI17),0)</f>
        <v>0</v>
      </c>
      <c r="BM17" s="311">
        <f>IF($BI17&lt;&gt;"",IF('Capacity summary'!$D$14="Yes",IF(COUNTBLANK('Capacity summary'!$H136:$BG136)&lt;52,IF('Capacity summary'!J136&lt;&gt;"",IF(LOWER('Capacity summary'!J136)="x",$BI17*J17,VALUE('Capacity summary'!J136)),0),J17*$BI17),J17*$BI17),0)</f>
        <v>0</v>
      </c>
      <c r="BN17" s="311">
        <f>IF($BI17&lt;&gt;"",IF('Capacity summary'!$D$14="Yes",IF(COUNTBLANK('Capacity summary'!$H136:$BG136)&lt;52,IF('Capacity summary'!K136&lt;&gt;"",IF(LOWER('Capacity summary'!K136)="x",$BI17*K17,VALUE('Capacity summary'!K136)),0),K17*$BI17),K17*$BI17),0)</f>
        <v>0</v>
      </c>
      <c r="BO17" s="311">
        <f>IF($BI17&lt;&gt;"",IF('Capacity summary'!$D$14="Yes",IF(COUNTBLANK('Capacity summary'!$H136:$BG136)&lt;52,IF('Capacity summary'!L136&lt;&gt;"",IF(LOWER('Capacity summary'!L136)="x",$BI17*L17,VALUE('Capacity summary'!L136)),0),L17*$BI17),L17*$BI17),0)</f>
        <v>0</v>
      </c>
      <c r="BP17" s="311">
        <f>IF($BI17&lt;&gt;"",IF('Capacity summary'!$D$14="Yes",IF(COUNTBLANK('Capacity summary'!$H136:$BG136)&lt;52,IF('Capacity summary'!M136&lt;&gt;"",IF(LOWER('Capacity summary'!M136)="x",$BI17*M17,VALUE('Capacity summary'!M136)),0),M17*$BI17),M17*$BI17),0)</f>
        <v>0</v>
      </c>
      <c r="BQ17" s="311">
        <f>IF($BI17&lt;&gt;"",IF('Capacity summary'!$D$14="Yes",IF(COUNTBLANK('Capacity summary'!$H136:$BG136)&lt;52,IF('Capacity summary'!N136&lt;&gt;"",IF(LOWER('Capacity summary'!N136)="x",$BI17*N17,VALUE('Capacity summary'!N136)),0),N17*$BI17),N17*$BI17),0)</f>
        <v>0</v>
      </c>
      <c r="BR17" s="311">
        <f>IF($BI17&lt;&gt;"",IF('Capacity summary'!$D$14="Yes",IF(COUNTBLANK('Capacity summary'!$H136:$BG136)&lt;52,IF('Capacity summary'!O136&lt;&gt;"",IF(LOWER('Capacity summary'!O136)="x",$BI17*O17,VALUE('Capacity summary'!O136)),0),O17*$BI17),O17*$BI17),0)</f>
        <v>0</v>
      </c>
      <c r="BS17" s="311">
        <f>IF($BI17&lt;&gt;"",IF('Capacity summary'!$D$14="Yes",IF(COUNTBLANK('Capacity summary'!$H136:$BG136)&lt;52,IF('Capacity summary'!P136&lt;&gt;"",IF(LOWER('Capacity summary'!P136)="x",$BI17*P17,VALUE('Capacity summary'!P136)),0),P17*$BI17),P17*$BI17),0)</f>
        <v>0</v>
      </c>
      <c r="BT17" s="311">
        <f>IF($BI17&lt;&gt;"",IF('Capacity summary'!$D$14="Yes",IF(COUNTBLANK('Capacity summary'!$H136:$BG136)&lt;52,IF('Capacity summary'!Q136&lt;&gt;"",IF(LOWER('Capacity summary'!Q136)="x",$BI17*Q17,VALUE('Capacity summary'!Q136)),0),Q17*$BI17),Q17*$BI17),0)</f>
        <v>0</v>
      </c>
      <c r="BU17" s="311">
        <f>IF($BI17&lt;&gt;"",IF('Capacity summary'!$D$14="Yes",IF(COUNTBLANK('Capacity summary'!$H136:$BG136)&lt;52,IF('Capacity summary'!R136&lt;&gt;"",IF(LOWER('Capacity summary'!R136)="x",$BI17*R17,VALUE('Capacity summary'!R136)),0),R17*$BI17),R17*$BI17),0)</f>
        <v>0</v>
      </c>
      <c r="BV17" s="311">
        <f>IF($BI17&lt;&gt;"",IF('Capacity summary'!$D$14="Yes",IF(COUNTBLANK('Capacity summary'!$H136:$BG136)&lt;52,IF('Capacity summary'!S136&lt;&gt;"",IF(LOWER('Capacity summary'!S136)="x",$BI17*S17,VALUE('Capacity summary'!S136)),0),S17*$BI17),S17*$BI17),0)</f>
        <v>0</v>
      </c>
      <c r="BW17" s="311">
        <f>IF($BI17&lt;&gt;"",IF('Capacity summary'!$D$14="Yes",IF(COUNTBLANK('Capacity summary'!$H136:$BG136)&lt;52,IF('Capacity summary'!T136&lt;&gt;"",IF(LOWER('Capacity summary'!T136)="x",$BI17*T17,VALUE('Capacity summary'!T136)),0),T17*$BI17),T17*$BI17),0)</f>
        <v>0</v>
      </c>
      <c r="BX17" s="311">
        <f>IF($BI17&lt;&gt;"",IF('Capacity summary'!$D$14="Yes",IF(COUNTBLANK('Capacity summary'!$H136:$BG136)&lt;52,IF('Capacity summary'!U136&lt;&gt;"",IF(LOWER('Capacity summary'!U136)="x",$BI17*U17,VALUE('Capacity summary'!U136)),0),U17*$BI17),U17*$BI17),0)</f>
        <v>0</v>
      </c>
      <c r="BY17" s="311">
        <f>IF($BI17&lt;&gt;"",IF('Capacity summary'!$D$14="Yes",IF(COUNTBLANK('Capacity summary'!$H136:$BG136)&lt;52,IF('Capacity summary'!V136&lt;&gt;"",IF(LOWER('Capacity summary'!V136)="x",$BI17*V17,VALUE('Capacity summary'!V136)),0),V17*$BI17),V17*$BI17),0)</f>
        <v>0</v>
      </c>
      <c r="BZ17" s="311">
        <f>IF($BI17&lt;&gt;"",IF('Capacity summary'!$D$14="Yes",IF(COUNTBLANK('Capacity summary'!$H136:$BG136)&lt;52,IF('Capacity summary'!W136&lt;&gt;"",IF(LOWER('Capacity summary'!W136)="x",$BI17*W17,VALUE('Capacity summary'!W136)),0),W17*$BI17),W17*$BI17),0)</f>
        <v>0</v>
      </c>
      <c r="CA17" s="311">
        <f>IF($BI17&lt;&gt;"",IF('Capacity summary'!$D$14="Yes",IF(COUNTBLANK('Capacity summary'!$H136:$BG136)&lt;52,IF('Capacity summary'!X136&lt;&gt;"",IF(LOWER('Capacity summary'!X136)="x",$BI17*X17,VALUE('Capacity summary'!X136)),0),X17*$BI17),X17*$BI17),0)</f>
        <v>0</v>
      </c>
      <c r="CB17" s="311">
        <f>IF($BI17&lt;&gt;"",IF('Capacity summary'!$D$14="Yes",IF(COUNTBLANK('Capacity summary'!$H136:$BG136)&lt;52,IF('Capacity summary'!Y136&lt;&gt;"",IF(LOWER('Capacity summary'!Y136)="x",$BI17*Y17,VALUE('Capacity summary'!Y136)),0),Y17*$BI17),Y17*$BI17),0)</f>
        <v>0</v>
      </c>
      <c r="CC17" s="311">
        <f>IF($BI17&lt;&gt;"",IF('Capacity summary'!$D$14="Yes",IF(COUNTBLANK('Capacity summary'!$H136:$BG136)&lt;52,IF('Capacity summary'!Z136&lt;&gt;"",IF(LOWER('Capacity summary'!Z136)="x",$BI17*Z17,VALUE('Capacity summary'!Z136)),0),Z17*$BI17),Z17*$BI17),0)</f>
        <v>0</v>
      </c>
      <c r="CD17" s="311">
        <f>IF($BI17&lt;&gt;"",IF('Capacity summary'!$D$14="Yes",IF(COUNTBLANK('Capacity summary'!$H136:$BG136)&lt;52,IF('Capacity summary'!AA136&lt;&gt;"",IF(LOWER('Capacity summary'!AA136)="x",$BI17*AA17,VALUE('Capacity summary'!AA136)),0),AA17*$BI17),AA17*$BI17),0)</f>
        <v>0</v>
      </c>
      <c r="CE17" s="311">
        <f>IF($BI17&lt;&gt;"",IF('Capacity summary'!$D$14="Yes",IF(COUNTBLANK('Capacity summary'!$H136:$BG136)&lt;52,IF('Capacity summary'!AB136&lt;&gt;"",IF(LOWER('Capacity summary'!AB136)="x",$BI17*AB17,VALUE('Capacity summary'!AB136)),0),AB17*$BI17),AB17*$BI17),0)</f>
        <v>0</v>
      </c>
      <c r="CF17" s="311">
        <f>IF($BI17&lt;&gt;"",IF('Capacity summary'!$D$14="Yes",IF(COUNTBLANK('Capacity summary'!$H136:$BG136)&lt;52,IF('Capacity summary'!AC136&lt;&gt;"",IF(LOWER('Capacity summary'!AC136)="x",$BI17*AC17,VALUE('Capacity summary'!AC136)),0),AC17*$BI17),AC17*$BI17),0)</f>
        <v>0</v>
      </c>
      <c r="CG17" s="311">
        <f>IF($BI17&lt;&gt;"",IF('Capacity summary'!$D$14="Yes",IF(COUNTBLANK('Capacity summary'!$H136:$BG136)&lt;52,IF('Capacity summary'!AD136&lt;&gt;"",IF(LOWER('Capacity summary'!AD136)="x",$BI17*AD17,VALUE('Capacity summary'!AD136)),0),AD17*$BI17),AD17*$BI17),0)</f>
        <v>0</v>
      </c>
      <c r="CH17" s="311">
        <f>IF($BI17&lt;&gt;"",IF('Capacity summary'!$D$14="Yes",IF(COUNTBLANK('Capacity summary'!$H136:$BG136)&lt;52,IF('Capacity summary'!AE136&lt;&gt;"",IF(LOWER('Capacity summary'!AE136)="x",$BI17*AE17,VALUE('Capacity summary'!AE136)),0),AE17*$BI17),AE17*$BI17),0)</f>
        <v>0</v>
      </c>
      <c r="CI17" s="311">
        <f>IF($BI17&lt;&gt;"",IF('Capacity summary'!$D$14="Yes",IF(COUNTBLANK('Capacity summary'!$H136:$BG136)&lt;52,IF('Capacity summary'!AF136&lt;&gt;"",IF(LOWER('Capacity summary'!AF136)="x",$BI17*AF17,VALUE('Capacity summary'!AF136)),0),AF17*$BI17),AF17*$BI17),0)</f>
        <v>0</v>
      </c>
      <c r="CJ17" s="311">
        <f>IF($BI17&lt;&gt;"",IF('Capacity summary'!$D$14="Yes",IF(COUNTBLANK('Capacity summary'!$H136:$BG136)&lt;52,IF('Capacity summary'!AG136&lt;&gt;"",IF(LOWER('Capacity summary'!AG136)="x",$BI17*AG17,VALUE('Capacity summary'!AG136)),0),AG17*$BI17),AG17*$BI17),0)</f>
        <v>0</v>
      </c>
      <c r="CK17" s="311">
        <f>IF($BI17&lt;&gt;"",IF('Capacity summary'!$D$14="Yes",IF(COUNTBLANK('Capacity summary'!$H136:$BG136)&lt;52,IF('Capacity summary'!AH136&lt;&gt;"",IF(LOWER('Capacity summary'!AH136)="x",$BI17*AH17,VALUE('Capacity summary'!AH136)),0),AH17*$BI17),AH17*$BI17),0)</f>
        <v>0</v>
      </c>
      <c r="CL17" s="311">
        <f>IF($BI17&lt;&gt;"",IF('Capacity summary'!$D$14="Yes",IF(COUNTBLANK('Capacity summary'!$H136:$BG136)&lt;52,IF('Capacity summary'!AI136&lt;&gt;"",IF(LOWER('Capacity summary'!AI136)="x",$BI17*AI17,VALUE('Capacity summary'!AI136)),0),AI17*$BI17),AI17*$BI17),0)</f>
        <v>0</v>
      </c>
      <c r="CM17" s="311">
        <f>IF($BI17&lt;&gt;"",IF('Capacity summary'!$D$14="Yes",IF(COUNTBLANK('Capacity summary'!$H136:$BG136)&lt;52,IF('Capacity summary'!AJ136&lt;&gt;"",IF(LOWER('Capacity summary'!AJ136)="x",$BI17*AJ17,VALUE('Capacity summary'!AJ136)),0),AJ17*$BI17),AJ17*$BI17),0)</f>
        <v>0</v>
      </c>
      <c r="CN17" s="311">
        <f>IF($BI17&lt;&gt;"",IF('Capacity summary'!$D$14="Yes",IF(COUNTBLANK('Capacity summary'!$H136:$BG136)&lt;52,IF('Capacity summary'!AK136&lt;&gt;"",IF(LOWER('Capacity summary'!AK136)="x",$BI17*AK17,VALUE('Capacity summary'!AK136)),0),AK17*$BI17),AK17*$BI17),0)</f>
        <v>0</v>
      </c>
      <c r="CO17" s="311">
        <f>IF($BI17&lt;&gt;"",IF('Capacity summary'!$D$14="Yes",IF(COUNTBLANK('Capacity summary'!$H136:$BG136)&lt;52,IF('Capacity summary'!AL136&lt;&gt;"",IF(LOWER('Capacity summary'!AL136)="x",$BI17*AL17,VALUE('Capacity summary'!AL136)),0),AL17*$BI17),AL17*$BI17),0)</f>
        <v>0</v>
      </c>
      <c r="CP17" s="311">
        <f>IF($BI17&lt;&gt;"",IF('Capacity summary'!$D$14="Yes",IF(COUNTBLANK('Capacity summary'!$H136:$BG136)&lt;52,IF('Capacity summary'!AM136&lt;&gt;"",IF(LOWER('Capacity summary'!AM136)="x",$BI17*AM17,VALUE('Capacity summary'!AM136)),0),AM17*$BI17),AM17*$BI17),0)</f>
        <v>0</v>
      </c>
      <c r="CQ17" s="311">
        <f>IF($BI17&lt;&gt;"",IF('Capacity summary'!$D$14="Yes",IF(COUNTBLANK('Capacity summary'!$H136:$BG136)&lt;52,IF('Capacity summary'!AN136&lt;&gt;"",IF(LOWER('Capacity summary'!AN136)="x",$BI17*AN17,VALUE('Capacity summary'!AN136)),0),AN17*$BI17),AN17*$BI17),0)</f>
        <v>0</v>
      </c>
      <c r="CR17" s="311">
        <f>IF($BI17&lt;&gt;"",IF('Capacity summary'!$D$14="Yes",IF(COUNTBLANK('Capacity summary'!$H136:$BG136)&lt;52,IF('Capacity summary'!AO136&lt;&gt;"",IF(LOWER('Capacity summary'!AO136)="x",$BI17*AO17,VALUE('Capacity summary'!AO136)),0),AO17*$BI17),AO17*$BI17),0)</f>
        <v>0</v>
      </c>
      <c r="CS17" s="311">
        <f>IF($BI17&lt;&gt;"",IF('Capacity summary'!$D$14="Yes",IF(COUNTBLANK('Capacity summary'!$H136:$BG136)&lt;52,IF('Capacity summary'!AP136&lt;&gt;"",IF(LOWER('Capacity summary'!AP136)="x",$BI17*AP17,VALUE('Capacity summary'!AP136)),0),AP17*$BI17),AP17*$BI17),0)</f>
        <v>0</v>
      </c>
      <c r="CT17" s="311">
        <f>IF($BI17&lt;&gt;"",IF('Capacity summary'!$D$14="Yes",IF(COUNTBLANK('Capacity summary'!$H136:$BG136)&lt;52,IF('Capacity summary'!AQ136&lt;&gt;"",IF(LOWER('Capacity summary'!AQ136)="x",$BI17*AQ17,VALUE('Capacity summary'!AQ136)),0),AQ17*$BI17),AQ17*$BI17),0)</f>
        <v>0</v>
      </c>
      <c r="CU17" s="311">
        <f>IF($BI17&lt;&gt;"",IF('Capacity summary'!$D$14="Yes",IF(COUNTBLANK('Capacity summary'!$H136:$BG136)&lt;52,IF('Capacity summary'!AR136&lt;&gt;"",IF(LOWER('Capacity summary'!AR136)="x",$BI17*AR17,VALUE('Capacity summary'!AR136)),0),AR17*$BI17),AR17*$BI17),0)</f>
        <v>0</v>
      </c>
      <c r="CV17" s="311">
        <f>IF($BI17&lt;&gt;"",IF('Capacity summary'!$D$14="Yes",IF(COUNTBLANK('Capacity summary'!$H136:$BG136)&lt;52,IF('Capacity summary'!AS136&lt;&gt;"",IF(LOWER('Capacity summary'!AS136)="x",$BI17*AS17,VALUE('Capacity summary'!AS136)),0),AS17*$BI17),AS17*$BI17),0)</f>
        <v>0</v>
      </c>
      <c r="CW17" s="311">
        <f>IF($BI17&lt;&gt;"",IF('Capacity summary'!$D$14="Yes",IF(COUNTBLANK('Capacity summary'!$H136:$BG136)&lt;52,IF('Capacity summary'!AT136&lt;&gt;"",IF(LOWER('Capacity summary'!AT136)="x",$BI17*AT17,VALUE('Capacity summary'!AT136)),0),AT17*$BI17),AT17*$BI17),0)</f>
        <v>0</v>
      </c>
      <c r="CX17" s="311">
        <f>IF($BI17&lt;&gt;"",IF('Capacity summary'!$D$14="Yes",IF(COUNTBLANK('Capacity summary'!$H136:$BG136)&lt;52,IF('Capacity summary'!AU136&lt;&gt;"",IF(LOWER('Capacity summary'!AU136)="x",$BI17*AU17,VALUE('Capacity summary'!AU136)),0),AU17*$BI17),AU17*$BI17),0)</f>
        <v>0</v>
      </c>
      <c r="CY17" s="311">
        <f>IF($BI17&lt;&gt;"",IF('Capacity summary'!$D$14="Yes",IF(COUNTBLANK('Capacity summary'!$H136:$BG136)&lt;52,IF('Capacity summary'!AV136&lt;&gt;"",IF(LOWER('Capacity summary'!AV136)="x",$BI17*AV17,VALUE('Capacity summary'!AV136)),0),AV17*$BI17),AV17*$BI17),0)</f>
        <v>0</v>
      </c>
      <c r="CZ17" s="311">
        <f>IF($BI17&lt;&gt;"",IF('Capacity summary'!$D$14="Yes",IF(COUNTBLANK('Capacity summary'!$H136:$BG136)&lt;52,IF('Capacity summary'!AW136&lt;&gt;"",IF(LOWER('Capacity summary'!AW136)="x",$BI17*AW17,VALUE('Capacity summary'!AW136)),0),AW17*$BI17),AW17*$BI17),0)</f>
        <v>0</v>
      </c>
      <c r="DA17" s="311">
        <f>IF($BI17&lt;&gt;"",IF('Capacity summary'!$D$14="Yes",IF(COUNTBLANK('Capacity summary'!$H136:$BG136)&lt;52,IF('Capacity summary'!AX136&lt;&gt;"",IF(LOWER('Capacity summary'!AX136)="x",$BI17*AX17,VALUE('Capacity summary'!AX136)),0),AX17*$BI17),AX17*$BI17),0)</f>
        <v>0</v>
      </c>
      <c r="DB17" s="311">
        <f>IF($BI17&lt;&gt;"",IF('Capacity summary'!$D$14="Yes",IF(COUNTBLANK('Capacity summary'!$H136:$BG136)&lt;52,IF('Capacity summary'!AY136&lt;&gt;"",IF(LOWER('Capacity summary'!AY136)="x",$BI17*AY17,VALUE('Capacity summary'!AY136)),0),AY17*$BI17),AY17*$BI17),0)</f>
        <v>0</v>
      </c>
      <c r="DC17" s="311">
        <f>IF($BI17&lt;&gt;"",IF('Capacity summary'!$D$14="Yes",IF(COUNTBLANK('Capacity summary'!$H136:$BG136)&lt;52,IF('Capacity summary'!AZ136&lt;&gt;"",IF(LOWER('Capacity summary'!AZ136)="x",$BI17*AZ17,VALUE('Capacity summary'!AZ136)),0),AZ17*$BI17),AZ17*$BI17),0)</f>
        <v>0</v>
      </c>
      <c r="DD17" s="311">
        <f>IF($BI17&lt;&gt;"",IF('Capacity summary'!$D$14="Yes",IF(COUNTBLANK('Capacity summary'!$H136:$BG136)&lt;52,IF('Capacity summary'!BA136&lt;&gt;"",IF(LOWER('Capacity summary'!BA136)="x",$BI17*BA17,VALUE('Capacity summary'!BA136)),0),BA17*$BI17),BA17*$BI17),0)</f>
        <v>0</v>
      </c>
      <c r="DE17" s="311">
        <f>IF($BI17&lt;&gt;"",IF('Capacity summary'!$D$14="Yes",IF(COUNTBLANK('Capacity summary'!$H136:$BG136)&lt;52,IF('Capacity summary'!BB136&lt;&gt;"",IF(LOWER('Capacity summary'!BB136)="x",$BI17*BB17,VALUE('Capacity summary'!BB136)),0),BB17*$BI17),BB17*$BI17),0)</f>
        <v>0</v>
      </c>
      <c r="DF17" s="311">
        <f>IF($BI17&lt;&gt;"",IF('Capacity summary'!$D$14="Yes",IF(COUNTBLANK('Capacity summary'!$H136:$BG136)&lt;52,IF('Capacity summary'!BC136&lt;&gt;"",IF(LOWER('Capacity summary'!BC136)="x",$BI17*BC17,VALUE('Capacity summary'!BC136)),0),BC17*$BI17),BC17*$BI17),0)</f>
        <v>0</v>
      </c>
      <c r="DG17" s="311">
        <f>IF($BI17&lt;&gt;"",IF('Capacity summary'!$D$14="Yes",IF(COUNTBLANK('Capacity summary'!$H136:$BG136)&lt;52,IF('Capacity summary'!BD136&lt;&gt;"",IF(LOWER('Capacity summary'!BD136)="x",$BI17*BD17,VALUE('Capacity summary'!BD136)),0),BD17*$BI17),BD17*$BI17),0)</f>
        <v>0</v>
      </c>
      <c r="DH17" s="311">
        <f>IF($BI17&lt;&gt;"",IF('Capacity summary'!$D$14="Yes",IF(COUNTBLANK('Capacity summary'!$H136:$BG136)&lt;52,IF('Capacity summary'!BE136&lt;&gt;"",IF(LOWER('Capacity summary'!BE136)="x",$BI17*BE17,VALUE('Capacity summary'!BE136)),0),BE17*$BI17),BE17*$BI17),0)</f>
        <v>0</v>
      </c>
      <c r="DI17" s="311">
        <f>IF($BI17&lt;&gt;"",IF('Capacity summary'!$D$14="Yes",IF(COUNTBLANK('Capacity summary'!$H136:$BG136)&lt;52,IF('Capacity summary'!BF136&lt;&gt;"",IF(LOWER('Capacity summary'!BF136)="x",$BI17*BF17,VALUE('Capacity summary'!BF136)),0),BF17*$BI17),BF17*$BI17),0)</f>
        <v>0</v>
      </c>
      <c r="DJ17" s="311">
        <f>IF($BI17&lt;&gt;"",IF('Capacity summary'!$D$14="Yes",IF(COUNTBLANK('Capacity summary'!$H136:$BG136)&lt;52,IF('Capacity summary'!BG136&lt;&gt;"",IF(LOWER('Capacity summary'!BG136)="x",$BI17*BG17,VALUE('Capacity summary'!BG136)),0),BG17*$BI17),BG17*$BI17),0)</f>
        <v>0</v>
      </c>
      <c r="DK17" s="387">
        <f t="shared" si="2"/>
        <v>0</v>
      </c>
      <c r="DL17" s="136">
        <f t="shared" si="3"/>
        <v>0</v>
      </c>
      <c r="DM17" s="311" t="str">
        <f>Capacity!H29</f>
        <v/>
      </c>
      <c r="DQ17" s="5"/>
    </row>
    <row r="18" spans="1:121" x14ac:dyDescent="0.2">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1">
        <f>IF($BI18&lt;&gt;"",IF('Capacity summary'!$D$14="Yes",IF(COUNTBLANK('Capacity summary'!$H137:$BG137)&lt;52,IF('Capacity summary'!H137&lt;&gt;"",IF(LOWER('Capacity summary'!H137)="x",$BI18*H18,VALUE('Capacity summary'!H137)),0),H18*$BI18),H18*$BI18),0)</f>
        <v>0</v>
      </c>
      <c r="BL18" s="311">
        <f>IF($BI18&lt;&gt;"",IF('Capacity summary'!$D$14="Yes",IF(COUNTBLANK('Capacity summary'!$H137:$BG137)&lt;52,IF('Capacity summary'!I137&lt;&gt;"",IF(LOWER('Capacity summary'!I137)="x",$BI18*I18,VALUE('Capacity summary'!I137)),0),I18*$BI18),I18*$BI18),0)</f>
        <v>0</v>
      </c>
      <c r="BM18" s="311">
        <f>IF($BI18&lt;&gt;"",IF('Capacity summary'!$D$14="Yes",IF(COUNTBLANK('Capacity summary'!$H137:$BG137)&lt;52,IF('Capacity summary'!J137&lt;&gt;"",IF(LOWER('Capacity summary'!J137)="x",$BI18*J18,VALUE('Capacity summary'!J137)),0),J18*$BI18),J18*$BI18),0)</f>
        <v>0</v>
      </c>
      <c r="BN18" s="311">
        <f>IF($BI18&lt;&gt;"",IF('Capacity summary'!$D$14="Yes",IF(COUNTBLANK('Capacity summary'!$H137:$BG137)&lt;52,IF('Capacity summary'!K137&lt;&gt;"",IF(LOWER('Capacity summary'!K137)="x",$BI18*K18,VALUE('Capacity summary'!K137)),0),K18*$BI18),K18*$BI18),0)</f>
        <v>0</v>
      </c>
      <c r="BO18" s="311">
        <f>IF($BI18&lt;&gt;"",IF('Capacity summary'!$D$14="Yes",IF(COUNTBLANK('Capacity summary'!$H137:$BG137)&lt;52,IF('Capacity summary'!L137&lt;&gt;"",IF(LOWER('Capacity summary'!L137)="x",$BI18*L18,VALUE('Capacity summary'!L137)),0),L18*$BI18),L18*$BI18),0)</f>
        <v>0</v>
      </c>
      <c r="BP18" s="311">
        <f>IF($BI18&lt;&gt;"",IF('Capacity summary'!$D$14="Yes",IF(COUNTBLANK('Capacity summary'!$H137:$BG137)&lt;52,IF('Capacity summary'!M137&lt;&gt;"",IF(LOWER('Capacity summary'!M137)="x",$BI18*M18,VALUE('Capacity summary'!M137)),0),M18*$BI18),M18*$BI18),0)</f>
        <v>0</v>
      </c>
      <c r="BQ18" s="311">
        <f>IF($BI18&lt;&gt;"",IF('Capacity summary'!$D$14="Yes",IF(COUNTBLANK('Capacity summary'!$H137:$BG137)&lt;52,IF('Capacity summary'!N137&lt;&gt;"",IF(LOWER('Capacity summary'!N137)="x",$BI18*N18,VALUE('Capacity summary'!N137)),0),N18*$BI18),N18*$BI18),0)</f>
        <v>0</v>
      </c>
      <c r="BR18" s="311">
        <f>IF($BI18&lt;&gt;"",IF('Capacity summary'!$D$14="Yes",IF(COUNTBLANK('Capacity summary'!$H137:$BG137)&lt;52,IF('Capacity summary'!O137&lt;&gt;"",IF(LOWER('Capacity summary'!O137)="x",$BI18*O18,VALUE('Capacity summary'!O137)),0),O18*$BI18),O18*$BI18),0)</f>
        <v>0</v>
      </c>
      <c r="BS18" s="311">
        <f>IF($BI18&lt;&gt;"",IF('Capacity summary'!$D$14="Yes",IF(COUNTBLANK('Capacity summary'!$H137:$BG137)&lt;52,IF('Capacity summary'!P137&lt;&gt;"",IF(LOWER('Capacity summary'!P137)="x",$BI18*P18,VALUE('Capacity summary'!P137)),0),P18*$BI18),P18*$BI18),0)</f>
        <v>0</v>
      </c>
      <c r="BT18" s="311">
        <f>IF($BI18&lt;&gt;"",IF('Capacity summary'!$D$14="Yes",IF(COUNTBLANK('Capacity summary'!$H137:$BG137)&lt;52,IF('Capacity summary'!Q137&lt;&gt;"",IF(LOWER('Capacity summary'!Q137)="x",$BI18*Q18,VALUE('Capacity summary'!Q137)),0),Q18*$BI18),Q18*$BI18),0)</f>
        <v>0</v>
      </c>
      <c r="BU18" s="311">
        <f>IF($BI18&lt;&gt;"",IF('Capacity summary'!$D$14="Yes",IF(COUNTBLANK('Capacity summary'!$H137:$BG137)&lt;52,IF('Capacity summary'!R137&lt;&gt;"",IF(LOWER('Capacity summary'!R137)="x",$BI18*R18,VALUE('Capacity summary'!R137)),0),R18*$BI18),R18*$BI18),0)</f>
        <v>0</v>
      </c>
      <c r="BV18" s="311">
        <f>IF($BI18&lt;&gt;"",IF('Capacity summary'!$D$14="Yes",IF(COUNTBLANK('Capacity summary'!$H137:$BG137)&lt;52,IF('Capacity summary'!S137&lt;&gt;"",IF(LOWER('Capacity summary'!S137)="x",$BI18*S18,VALUE('Capacity summary'!S137)),0),S18*$BI18),S18*$BI18),0)</f>
        <v>0</v>
      </c>
      <c r="BW18" s="311">
        <f>IF($BI18&lt;&gt;"",IF('Capacity summary'!$D$14="Yes",IF(COUNTBLANK('Capacity summary'!$H137:$BG137)&lt;52,IF('Capacity summary'!T137&lt;&gt;"",IF(LOWER('Capacity summary'!T137)="x",$BI18*T18,VALUE('Capacity summary'!T137)),0),T18*$BI18),T18*$BI18),0)</f>
        <v>0</v>
      </c>
      <c r="BX18" s="311">
        <f>IF($BI18&lt;&gt;"",IF('Capacity summary'!$D$14="Yes",IF(COUNTBLANK('Capacity summary'!$H137:$BG137)&lt;52,IF('Capacity summary'!U137&lt;&gt;"",IF(LOWER('Capacity summary'!U137)="x",$BI18*U18,VALUE('Capacity summary'!U137)),0),U18*$BI18),U18*$BI18),0)</f>
        <v>0</v>
      </c>
      <c r="BY18" s="311">
        <f>IF($BI18&lt;&gt;"",IF('Capacity summary'!$D$14="Yes",IF(COUNTBLANK('Capacity summary'!$H137:$BG137)&lt;52,IF('Capacity summary'!V137&lt;&gt;"",IF(LOWER('Capacity summary'!V137)="x",$BI18*V18,VALUE('Capacity summary'!V137)),0),V18*$BI18),V18*$BI18),0)</f>
        <v>0</v>
      </c>
      <c r="BZ18" s="311">
        <f>IF($BI18&lt;&gt;"",IF('Capacity summary'!$D$14="Yes",IF(COUNTBLANK('Capacity summary'!$H137:$BG137)&lt;52,IF('Capacity summary'!W137&lt;&gt;"",IF(LOWER('Capacity summary'!W137)="x",$BI18*W18,VALUE('Capacity summary'!W137)),0),W18*$BI18),W18*$BI18),0)</f>
        <v>0</v>
      </c>
      <c r="CA18" s="311">
        <f>IF($BI18&lt;&gt;"",IF('Capacity summary'!$D$14="Yes",IF(COUNTBLANK('Capacity summary'!$H137:$BG137)&lt;52,IF('Capacity summary'!X137&lt;&gt;"",IF(LOWER('Capacity summary'!X137)="x",$BI18*X18,VALUE('Capacity summary'!X137)),0),X18*$BI18),X18*$BI18),0)</f>
        <v>0</v>
      </c>
      <c r="CB18" s="311">
        <f>IF($BI18&lt;&gt;"",IF('Capacity summary'!$D$14="Yes",IF(COUNTBLANK('Capacity summary'!$H137:$BG137)&lt;52,IF('Capacity summary'!Y137&lt;&gt;"",IF(LOWER('Capacity summary'!Y137)="x",$BI18*Y18,VALUE('Capacity summary'!Y137)),0),Y18*$BI18),Y18*$BI18),0)</f>
        <v>0</v>
      </c>
      <c r="CC18" s="311">
        <f>IF($BI18&lt;&gt;"",IF('Capacity summary'!$D$14="Yes",IF(COUNTBLANK('Capacity summary'!$H137:$BG137)&lt;52,IF('Capacity summary'!Z137&lt;&gt;"",IF(LOWER('Capacity summary'!Z137)="x",$BI18*Z18,VALUE('Capacity summary'!Z137)),0),Z18*$BI18),Z18*$BI18),0)</f>
        <v>0</v>
      </c>
      <c r="CD18" s="311">
        <f>IF($BI18&lt;&gt;"",IF('Capacity summary'!$D$14="Yes",IF(COUNTBLANK('Capacity summary'!$H137:$BG137)&lt;52,IF('Capacity summary'!AA137&lt;&gt;"",IF(LOWER('Capacity summary'!AA137)="x",$BI18*AA18,VALUE('Capacity summary'!AA137)),0),AA18*$BI18),AA18*$BI18),0)</f>
        <v>0</v>
      </c>
      <c r="CE18" s="311">
        <f>IF($BI18&lt;&gt;"",IF('Capacity summary'!$D$14="Yes",IF(COUNTBLANK('Capacity summary'!$H137:$BG137)&lt;52,IF('Capacity summary'!AB137&lt;&gt;"",IF(LOWER('Capacity summary'!AB137)="x",$BI18*AB18,VALUE('Capacity summary'!AB137)),0),AB18*$BI18),AB18*$BI18),0)</f>
        <v>0</v>
      </c>
      <c r="CF18" s="311">
        <f>IF($BI18&lt;&gt;"",IF('Capacity summary'!$D$14="Yes",IF(COUNTBLANK('Capacity summary'!$H137:$BG137)&lt;52,IF('Capacity summary'!AC137&lt;&gt;"",IF(LOWER('Capacity summary'!AC137)="x",$BI18*AC18,VALUE('Capacity summary'!AC137)),0),AC18*$BI18),AC18*$BI18),0)</f>
        <v>0</v>
      </c>
      <c r="CG18" s="311">
        <f>IF($BI18&lt;&gt;"",IF('Capacity summary'!$D$14="Yes",IF(COUNTBLANK('Capacity summary'!$H137:$BG137)&lt;52,IF('Capacity summary'!AD137&lt;&gt;"",IF(LOWER('Capacity summary'!AD137)="x",$BI18*AD18,VALUE('Capacity summary'!AD137)),0),AD18*$BI18),AD18*$BI18),0)</f>
        <v>0</v>
      </c>
      <c r="CH18" s="311">
        <f>IF($BI18&lt;&gt;"",IF('Capacity summary'!$D$14="Yes",IF(COUNTBLANK('Capacity summary'!$H137:$BG137)&lt;52,IF('Capacity summary'!AE137&lt;&gt;"",IF(LOWER('Capacity summary'!AE137)="x",$BI18*AE18,VALUE('Capacity summary'!AE137)),0),AE18*$BI18),AE18*$BI18),0)</f>
        <v>0</v>
      </c>
      <c r="CI18" s="311">
        <f>IF($BI18&lt;&gt;"",IF('Capacity summary'!$D$14="Yes",IF(COUNTBLANK('Capacity summary'!$H137:$BG137)&lt;52,IF('Capacity summary'!AF137&lt;&gt;"",IF(LOWER('Capacity summary'!AF137)="x",$BI18*AF18,VALUE('Capacity summary'!AF137)),0),AF18*$BI18),AF18*$BI18),0)</f>
        <v>0</v>
      </c>
      <c r="CJ18" s="311">
        <f>IF($BI18&lt;&gt;"",IF('Capacity summary'!$D$14="Yes",IF(COUNTBLANK('Capacity summary'!$H137:$BG137)&lt;52,IF('Capacity summary'!AG137&lt;&gt;"",IF(LOWER('Capacity summary'!AG137)="x",$BI18*AG18,VALUE('Capacity summary'!AG137)),0),AG18*$BI18),AG18*$BI18),0)</f>
        <v>0</v>
      </c>
      <c r="CK18" s="311">
        <f>IF($BI18&lt;&gt;"",IF('Capacity summary'!$D$14="Yes",IF(COUNTBLANK('Capacity summary'!$H137:$BG137)&lt;52,IF('Capacity summary'!AH137&lt;&gt;"",IF(LOWER('Capacity summary'!AH137)="x",$BI18*AH18,VALUE('Capacity summary'!AH137)),0),AH18*$BI18),AH18*$BI18),0)</f>
        <v>0</v>
      </c>
      <c r="CL18" s="311">
        <f>IF($BI18&lt;&gt;"",IF('Capacity summary'!$D$14="Yes",IF(COUNTBLANK('Capacity summary'!$H137:$BG137)&lt;52,IF('Capacity summary'!AI137&lt;&gt;"",IF(LOWER('Capacity summary'!AI137)="x",$BI18*AI18,VALUE('Capacity summary'!AI137)),0),AI18*$BI18),AI18*$BI18),0)</f>
        <v>0</v>
      </c>
      <c r="CM18" s="311">
        <f>IF($BI18&lt;&gt;"",IF('Capacity summary'!$D$14="Yes",IF(COUNTBLANK('Capacity summary'!$H137:$BG137)&lt;52,IF('Capacity summary'!AJ137&lt;&gt;"",IF(LOWER('Capacity summary'!AJ137)="x",$BI18*AJ18,VALUE('Capacity summary'!AJ137)),0),AJ18*$BI18),AJ18*$BI18),0)</f>
        <v>0</v>
      </c>
      <c r="CN18" s="311">
        <f>IF($BI18&lt;&gt;"",IF('Capacity summary'!$D$14="Yes",IF(COUNTBLANK('Capacity summary'!$H137:$BG137)&lt;52,IF('Capacity summary'!AK137&lt;&gt;"",IF(LOWER('Capacity summary'!AK137)="x",$BI18*AK18,VALUE('Capacity summary'!AK137)),0),AK18*$BI18),AK18*$BI18),0)</f>
        <v>0</v>
      </c>
      <c r="CO18" s="311">
        <f>IF($BI18&lt;&gt;"",IF('Capacity summary'!$D$14="Yes",IF(COUNTBLANK('Capacity summary'!$H137:$BG137)&lt;52,IF('Capacity summary'!AL137&lt;&gt;"",IF(LOWER('Capacity summary'!AL137)="x",$BI18*AL18,VALUE('Capacity summary'!AL137)),0),AL18*$BI18),AL18*$BI18),0)</f>
        <v>0</v>
      </c>
      <c r="CP18" s="311">
        <f>IF($BI18&lt;&gt;"",IF('Capacity summary'!$D$14="Yes",IF(COUNTBLANK('Capacity summary'!$H137:$BG137)&lt;52,IF('Capacity summary'!AM137&lt;&gt;"",IF(LOWER('Capacity summary'!AM137)="x",$BI18*AM18,VALUE('Capacity summary'!AM137)),0),AM18*$BI18),AM18*$BI18),0)</f>
        <v>0</v>
      </c>
      <c r="CQ18" s="311">
        <f>IF($BI18&lt;&gt;"",IF('Capacity summary'!$D$14="Yes",IF(COUNTBLANK('Capacity summary'!$H137:$BG137)&lt;52,IF('Capacity summary'!AN137&lt;&gt;"",IF(LOWER('Capacity summary'!AN137)="x",$BI18*AN18,VALUE('Capacity summary'!AN137)),0),AN18*$BI18),AN18*$BI18),0)</f>
        <v>0</v>
      </c>
      <c r="CR18" s="311">
        <f>IF($BI18&lt;&gt;"",IF('Capacity summary'!$D$14="Yes",IF(COUNTBLANK('Capacity summary'!$H137:$BG137)&lt;52,IF('Capacity summary'!AO137&lt;&gt;"",IF(LOWER('Capacity summary'!AO137)="x",$BI18*AO18,VALUE('Capacity summary'!AO137)),0),AO18*$BI18),AO18*$BI18),0)</f>
        <v>0</v>
      </c>
      <c r="CS18" s="311">
        <f>IF($BI18&lt;&gt;"",IF('Capacity summary'!$D$14="Yes",IF(COUNTBLANK('Capacity summary'!$H137:$BG137)&lt;52,IF('Capacity summary'!AP137&lt;&gt;"",IF(LOWER('Capacity summary'!AP137)="x",$BI18*AP18,VALUE('Capacity summary'!AP137)),0),AP18*$BI18),AP18*$BI18),0)</f>
        <v>0</v>
      </c>
      <c r="CT18" s="311">
        <f>IF($BI18&lt;&gt;"",IF('Capacity summary'!$D$14="Yes",IF(COUNTBLANK('Capacity summary'!$H137:$BG137)&lt;52,IF('Capacity summary'!AQ137&lt;&gt;"",IF(LOWER('Capacity summary'!AQ137)="x",$BI18*AQ18,VALUE('Capacity summary'!AQ137)),0),AQ18*$BI18),AQ18*$BI18),0)</f>
        <v>0</v>
      </c>
      <c r="CU18" s="311">
        <f>IF($BI18&lt;&gt;"",IF('Capacity summary'!$D$14="Yes",IF(COUNTBLANK('Capacity summary'!$H137:$BG137)&lt;52,IF('Capacity summary'!AR137&lt;&gt;"",IF(LOWER('Capacity summary'!AR137)="x",$BI18*AR18,VALUE('Capacity summary'!AR137)),0),AR18*$BI18),AR18*$BI18),0)</f>
        <v>0</v>
      </c>
      <c r="CV18" s="311">
        <f>IF($BI18&lt;&gt;"",IF('Capacity summary'!$D$14="Yes",IF(COUNTBLANK('Capacity summary'!$H137:$BG137)&lt;52,IF('Capacity summary'!AS137&lt;&gt;"",IF(LOWER('Capacity summary'!AS137)="x",$BI18*AS18,VALUE('Capacity summary'!AS137)),0),AS18*$BI18),AS18*$BI18),0)</f>
        <v>0</v>
      </c>
      <c r="CW18" s="311">
        <f>IF($BI18&lt;&gt;"",IF('Capacity summary'!$D$14="Yes",IF(COUNTBLANK('Capacity summary'!$H137:$BG137)&lt;52,IF('Capacity summary'!AT137&lt;&gt;"",IF(LOWER('Capacity summary'!AT137)="x",$BI18*AT18,VALUE('Capacity summary'!AT137)),0),AT18*$BI18),AT18*$BI18),0)</f>
        <v>0</v>
      </c>
      <c r="CX18" s="311">
        <f>IF($BI18&lt;&gt;"",IF('Capacity summary'!$D$14="Yes",IF(COUNTBLANK('Capacity summary'!$H137:$BG137)&lt;52,IF('Capacity summary'!AU137&lt;&gt;"",IF(LOWER('Capacity summary'!AU137)="x",$BI18*AU18,VALUE('Capacity summary'!AU137)),0),AU18*$BI18),AU18*$BI18),0)</f>
        <v>0</v>
      </c>
      <c r="CY18" s="311">
        <f>IF($BI18&lt;&gt;"",IF('Capacity summary'!$D$14="Yes",IF(COUNTBLANK('Capacity summary'!$H137:$BG137)&lt;52,IF('Capacity summary'!AV137&lt;&gt;"",IF(LOWER('Capacity summary'!AV137)="x",$BI18*AV18,VALUE('Capacity summary'!AV137)),0),AV18*$BI18),AV18*$BI18),0)</f>
        <v>0</v>
      </c>
      <c r="CZ18" s="311">
        <f>IF($BI18&lt;&gt;"",IF('Capacity summary'!$D$14="Yes",IF(COUNTBLANK('Capacity summary'!$H137:$BG137)&lt;52,IF('Capacity summary'!AW137&lt;&gt;"",IF(LOWER('Capacity summary'!AW137)="x",$BI18*AW18,VALUE('Capacity summary'!AW137)),0),AW18*$BI18),AW18*$BI18),0)</f>
        <v>0</v>
      </c>
      <c r="DA18" s="311">
        <f>IF($BI18&lt;&gt;"",IF('Capacity summary'!$D$14="Yes",IF(COUNTBLANK('Capacity summary'!$H137:$BG137)&lt;52,IF('Capacity summary'!AX137&lt;&gt;"",IF(LOWER('Capacity summary'!AX137)="x",$BI18*AX18,VALUE('Capacity summary'!AX137)),0),AX18*$BI18),AX18*$BI18),0)</f>
        <v>0</v>
      </c>
      <c r="DB18" s="311">
        <f>IF($BI18&lt;&gt;"",IF('Capacity summary'!$D$14="Yes",IF(COUNTBLANK('Capacity summary'!$H137:$BG137)&lt;52,IF('Capacity summary'!AY137&lt;&gt;"",IF(LOWER('Capacity summary'!AY137)="x",$BI18*AY18,VALUE('Capacity summary'!AY137)),0),AY18*$BI18),AY18*$BI18),0)</f>
        <v>0</v>
      </c>
      <c r="DC18" s="311">
        <f>IF($BI18&lt;&gt;"",IF('Capacity summary'!$D$14="Yes",IF(COUNTBLANK('Capacity summary'!$H137:$BG137)&lt;52,IF('Capacity summary'!AZ137&lt;&gt;"",IF(LOWER('Capacity summary'!AZ137)="x",$BI18*AZ18,VALUE('Capacity summary'!AZ137)),0),AZ18*$BI18),AZ18*$BI18),0)</f>
        <v>0</v>
      </c>
      <c r="DD18" s="311">
        <f>IF($BI18&lt;&gt;"",IF('Capacity summary'!$D$14="Yes",IF(COUNTBLANK('Capacity summary'!$H137:$BG137)&lt;52,IF('Capacity summary'!BA137&lt;&gt;"",IF(LOWER('Capacity summary'!BA137)="x",$BI18*BA18,VALUE('Capacity summary'!BA137)),0),BA18*$BI18),BA18*$BI18),0)</f>
        <v>0</v>
      </c>
      <c r="DE18" s="311">
        <f>IF($BI18&lt;&gt;"",IF('Capacity summary'!$D$14="Yes",IF(COUNTBLANK('Capacity summary'!$H137:$BG137)&lt;52,IF('Capacity summary'!BB137&lt;&gt;"",IF(LOWER('Capacity summary'!BB137)="x",$BI18*BB18,VALUE('Capacity summary'!BB137)),0),BB18*$BI18),BB18*$BI18),0)</f>
        <v>0</v>
      </c>
      <c r="DF18" s="311">
        <f>IF($BI18&lt;&gt;"",IF('Capacity summary'!$D$14="Yes",IF(COUNTBLANK('Capacity summary'!$H137:$BG137)&lt;52,IF('Capacity summary'!BC137&lt;&gt;"",IF(LOWER('Capacity summary'!BC137)="x",$BI18*BC18,VALUE('Capacity summary'!BC137)),0),BC18*$BI18),BC18*$BI18),0)</f>
        <v>0</v>
      </c>
      <c r="DG18" s="311">
        <f>IF($BI18&lt;&gt;"",IF('Capacity summary'!$D$14="Yes",IF(COUNTBLANK('Capacity summary'!$H137:$BG137)&lt;52,IF('Capacity summary'!BD137&lt;&gt;"",IF(LOWER('Capacity summary'!BD137)="x",$BI18*BD18,VALUE('Capacity summary'!BD137)),0),BD18*$BI18),BD18*$BI18),0)</f>
        <v>0</v>
      </c>
      <c r="DH18" s="311">
        <f>IF($BI18&lt;&gt;"",IF('Capacity summary'!$D$14="Yes",IF(COUNTBLANK('Capacity summary'!$H137:$BG137)&lt;52,IF('Capacity summary'!BE137&lt;&gt;"",IF(LOWER('Capacity summary'!BE137)="x",$BI18*BE18,VALUE('Capacity summary'!BE137)),0),BE18*$BI18),BE18*$BI18),0)</f>
        <v>0</v>
      </c>
      <c r="DI18" s="311">
        <f>IF($BI18&lt;&gt;"",IF('Capacity summary'!$D$14="Yes",IF(COUNTBLANK('Capacity summary'!$H137:$BG137)&lt;52,IF('Capacity summary'!BF137&lt;&gt;"",IF(LOWER('Capacity summary'!BF137)="x",$BI18*BF18,VALUE('Capacity summary'!BF137)),0),BF18*$BI18),BF18*$BI18),0)</f>
        <v>0</v>
      </c>
      <c r="DJ18" s="311">
        <f>IF($BI18&lt;&gt;"",IF('Capacity summary'!$D$14="Yes",IF(COUNTBLANK('Capacity summary'!$H137:$BG137)&lt;52,IF('Capacity summary'!BG137&lt;&gt;"",IF(LOWER('Capacity summary'!BG137)="x",$BI18*BG18,VALUE('Capacity summary'!BG137)),0),BG18*$BI18),BG18*$BI18),0)</f>
        <v>0</v>
      </c>
      <c r="DK18" s="387">
        <f t="shared" si="2"/>
        <v>0</v>
      </c>
      <c r="DL18" s="136">
        <f t="shared" si="3"/>
        <v>0</v>
      </c>
      <c r="DM18" s="311" t="str">
        <f>Capacity!H30</f>
        <v/>
      </c>
      <c r="DQ18" s="5"/>
    </row>
    <row r="19" spans="1:121" x14ac:dyDescent="0.2">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1">
        <f>IF($BI19&lt;&gt;"",IF('Capacity summary'!$D$14="Yes",IF(COUNTBLANK('Capacity summary'!$H138:$BG138)&lt;52,IF('Capacity summary'!H138&lt;&gt;"",IF(LOWER('Capacity summary'!H138)="x",$BI19*H19,VALUE('Capacity summary'!H138)),0),H19*$BI19),H19*$BI19),0)</f>
        <v>0</v>
      </c>
      <c r="BL19" s="311">
        <f>IF($BI19&lt;&gt;"",IF('Capacity summary'!$D$14="Yes",IF(COUNTBLANK('Capacity summary'!$H138:$BG138)&lt;52,IF('Capacity summary'!I138&lt;&gt;"",IF(LOWER('Capacity summary'!I138)="x",$BI19*I19,VALUE('Capacity summary'!I138)),0),I19*$BI19),I19*$BI19),0)</f>
        <v>0</v>
      </c>
      <c r="BM19" s="311">
        <f>IF($BI19&lt;&gt;"",IF('Capacity summary'!$D$14="Yes",IF(COUNTBLANK('Capacity summary'!$H138:$BG138)&lt;52,IF('Capacity summary'!J138&lt;&gt;"",IF(LOWER('Capacity summary'!J138)="x",$BI19*J19,VALUE('Capacity summary'!J138)),0),J19*$BI19),J19*$BI19),0)</f>
        <v>0</v>
      </c>
      <c r="BN19" s="311">
        <f>IF($BI19&lt;&gt;"",IF('Capacity summary'!$D$14="Yes",IF(COUNTBLANK('Capacity summary'!$H138:$BG138)&lt;52,IF('Capacity summary'!K138&lt;&gt;"",IF(LOWER('Capacity summary'!K138)="x",$BI19*K19,VALUE('Capacity summary'!K138)),0),K19*$BI19),K19*$BI19),0)</f>
        <v>0</v>
      </c>
      <c r="BO19" s="311">
        <f>IF($BI19&lt;&gt;"",IF('Capacity summary'!$D$14="Yes",IF(COUNTBLANK('Capacity summary'!$H138:$BG138)&lt;52,IF('Capacity summary'!L138&lt;&gt;"",IF(LOWER('Capacity summary'!L138)="x",$BI19*L19,VALUE('Capacity summary'!L138)),0),L19*$BI19),L19*$BI19),0)</f>
        <v>0</v>
      </c>
      <c r="BP19" s="311">
        <f>IF($BI19&lt;&gt;"",IF('Capacity summary'!$D$14="Yes",IF(COUNTBLANK('Capacity summary'!$H138:$BG138)&lt;52,IF('Capacity summary'!M138&lt;&gt;"",IF(LOWER('Capacity summary'!M138)="x",$BI19*M19,VALUE('Capacity summary'!M138)),0),M19*$BI19),M19*$BI19),0)</f>
        <v>0</v>
      </c>
      <c r="BQ19" s="311">
        <f>IF($BI19&lt;&gt;"",IF('Capacity summary'!$D$14="Yes",IF(COUNTBLANK('Capacity summary'!$H138:$BG138)&lt;52,IF('Capacity summary'!N138&lt;&gt;"",IF(LOWER('Capacity summary'!N138)="x",$BI19*N19,VALUE('Capacity summary'!N138)),0),N19*$BI19),N19*$BI19),0)</f>
        <v>0</v>
      </c>
      <c r="BR19" s="311">
        <f>IF($BI19&lt;&gt;"",IF('Capacity summary'!$D$14="Yes",IF(COUNTBLANK('Capacity summary'!$H138:$BG138)&lt;52,IF('Capacity summary'!O138&lt;&gt;"",IF(LOWER('Capacity summary'!O138)="x",$BI19*O19,VALUE('Capacity summary'!O138)),0),O19*$BI19),O19*$BI19),0)</f>
        <v>0</v>
      </c>
      <c r="BS19" s="311">
        <f>IF($BI19&lt;&gt;"",IF('Capacity summary'!$D$14="Yes",IF(COUNTBLANK('Capacity summary'!$H138:$BG138)&lt;52,IF('Capacity summary'!P138&lt;&gt;"",IF(LOWER('Capacity summary'!P138)="x",$BI19*P19,VALUE('Capacity summary'!P138)),0),P19*$BI19),P19*$BI19),0)</f>
        <v>0</v>
      </c>
      <c r="BT19" s="311">
        <f>IF($BI19&lt;&gt;"",IF('Capacity summary'!$D$14="Yes",IF(COUNTBLANK('Capacity summary'!$H138:$BG138)&lt;52,IF('Capacity summary'!Q138&lt;&gt;"",IF(LOWER('Capacity summary'!Q138)="x",$BI19*Q19,VALUE('Capacity summary'!Q138)),0),Q19*$BI19),Q19*$BI19),0)</f>
        <v>0</v>
      </c>
      <c r="BU19" s="311">
        <f>IF($BI19&lt;&gt;"",IF('Capacity summary'!$D$14="Yes",IF(COUNTBLANK('Capacity summary'!$H138:$BG138)&lt;52,IF('Capacity summary'!R138&lt;&gt;"",IF(LOWER('Capacity summary'!R138)="x",$BI19*R19,VALUE('Capacity summary'!R138)),0),R19*$BI19),R19*$BI19),0)</f>
        <v>0</v>
      </c>
      <c r="BV19" s="311">
        <f>IF($BI19&lt;&gt;"",IF('Capacity summary'!$D$14="Yes",IF(COUNTBLANK('Capacity summary'!$H138:$BG138)&lt;52,IF('Capacity summary'!S138&lt;&gt;"",IF(LOWER('Capacity summary'!S138)="x",$BI19*S19,VALUE('Capacity summary'!S138)),0),S19*$BI19),S19*$BI19),0)</f>
        <v>0</v>
      </c>
      <c r="BW19" s="311">
        <f>IF($BI19&lt;&gt;"",IF('Capacity summary'!$D$14="Yes",IF(COUNTBLANK('Capacity summary'!$H138:$BG138)&lt;52,IF('Capacity summary'!T138&lt;&gt;"",IF(LOWER('Capacity summary'!T138)="x",$BI19*T19,VALUE('Capacity summary'!T138)),0),T19*$BI19),T19*$BI19),0)</f>
        <v>0</v>
      </c>
      <c r="BX19" s="311">
        <f>IF($BI19&lt;&gt;"",IF('Capacity summary'!$D$14="Yes",IF(COUNTBLANK('Capacity summary'!$H138:$BG138)&lt;52,IF('Capacity summary'!U138&lt;&gt;"",IF(LOWER('Capacity summary'!U138)="x",$BI19*U19,VALUE('Capacity summary'!U138)),0),U19*$BI19),U19*$BI19),0)</f>
        <v>0</v>
      </c>
      <c r="BY19" s="311">
        <f>IF($BI19&lt;&gt;"",IF('Capacity summary'!$D$14="Yes",IF(COUNTBLANK('Capacity summary'!$H138:$BG138)&lt;52,IF('Capacity summary'!V138&lt;&gt;"",IF(LOWER('Capacity summary'!V138)="x",$BI19*V19,VALUE('Capacity summary'!V138)),0),V19*$BI19),V19*$BI19),0)</f>
        <v>0</v>
      </c>
      <c r="BZ19" s="311">
        <f>IF($BI19&lt;&gt;"",IF('Capacity summary'!$D$14="Yes",IF(COUNTBLANK('Capacity summary'!$H138:$BG138)&lt;52,IF('Capacity summary'!W138&lt;&gt;"",IF(LOWER('Capacity summary'!W138)="x",$BI19*W19,VALUE('Capacity summary'!W138)),0),W19*$BI19),W19*$BI19),0)</f>
        <v>0</v>
      </c>
      <c r="CA19" s="311">
        <f>IF($BI19&lt;&gt;"",IF('Capacity summary'!$D$14="Yes",IF(COUNTBLANK('Capacity summary'!$H138:$BG138)&lt;52,IF('Capacity summary'!X138&lt;&gt;"",IF(LOWER('Capacity summary'!X138)="x",$BI19*X19,VALUE('Capacity summary'!X138)),0),X19*$BI19),X19*$BI19),0)</f>
        <v>0</v>
      </c>
      <c r="CB19" s="311">
        <f>IF($BI19&lt;&gt;"",IF('Capacity summary'!$D$14="Yes",IF(COUNTBLANK('Capacity summary'!$H138:$BG138)&lt;52,IF('Capacity summary'!Y138&lt;&gt;"",IF(LOWER('Capacity summary'!Y138)="x",$BI19*Y19,VALUE('Capacity summary'!Y138)),0),Y19*$BI19),Y19*$BI19),0)</f>
        <v>0</v>
      </c>
      <c r="CC19" s="311">
        <f>IF($BI19&lt;&gt;"",IF('Capacity summary'!$D$14="Yes",IF(COUNTBLANK('Capacity summary'!$H138:$BG138)&lt;52,IF('Capacity summary'!Z138&lt;&gt;"",IF(LOWER('Capacity summary'!Z138)="x",$BI19*Z19,VALUE('Capacity summary'!Z138)),0),Z19*$BI19),Z19*$BI19),0)</f>
        <v>0</v>
      </c>
      <c r="CD19" s="311">
        <f>IF($BI19&lt;&gt;"",IF('Capacity summary'!$D$14="Yes",IF(COUNTBLANK('Capacity summary'!$H138:$BG138)&lt;52,IF('Capacity summary'!AA138&lt;&gt;"",IF(LOWER('Capacity summary'!AA138)="x",$BI19*AA19,VALUE('Capacity summary'!AA138)),0),AA19*$BI19),AA19*$BI19),0)</f>
        <v>0</v>
      </c>
      <c r="CE19" s="311">
        <f>IF($BI19&lt;&gt;"",IF('Capacity summary'!$D$14="Yes",IF(COUNTBLANK('Capacity summary'!$H138:$BG138)&lt;52,IF('Capacity summary'!AB138&lt;&gt;"",IF(LOWER('Capacity summary'!AB138)="x",$BI19*AB19,VALUE('Capacity summary'!AB138)),0),AB19*$BI19),AB19*$BI19),0)</f>
        <v>0</v>
      </c>
      <c r="CF19" s="311">
        <f>IF($BI19&lt;&gt;"",IF('Capacity summary'!$D$14="Yes",IF(COUNTBLANK('Capacity summary'!$H138:$BG138)&lt;52,IF('Capacity summary'!AC138&lt;&gt;"",IF(LOWER('Capacity summary'!AC138)="x",$BI19*AC19,VALUE('Capacity summary'!AC138)),0),AC19*$BI19),AC19*$BI19),0)</f>
        <v>0</v>
      </c>
      <c r="CG19" s="311">
        <f>IF($BI19&lt;&gt;"",IF('Capacity summary'!$D$14="Yes",IF(COUNTBLANK('Capacity summary'!$H138:$BG138)&lt;52,IF('Capacity summary'!AD138&lt;&gt;"",IF(LOWER('Capacity summary'!AD138)="x",$BI19*AD19,VALUE('Capacity summary'!AD138)),0),AD19*$BI19),AD19*$BI19),0)</f>
        <v>0</v>
      </c>
      <c r="CH19" s="311">
        <f>IF($BI19&lt;&gt;"",IF('Capacity summary'!$D$14="Yes",IF(COUNTBLANK('Capacity summary'!$H138:$BG138)&lt;52,IF('Capacity summary'!AE138&lt;&gt;"",IF(LOWER('Capacity summary'!AE138)="x",$BI19*AE19,VALUE('Capacity summary'!AE138)),0),AE19*$BI19),AE19*$BI19),0)</f>
        <v>0</v>
      </c>
      <c r="CI19" s="311">
        <f>IF($BI19&lt;&gt;"",IF('Capacity summary'!$D$14="Yes",IF(COUNTBLANK('Capacity summary'!$H138:$BG138)&lt;52,IF('Capacity summary'!AF138&lt;&gt;"",IF(LOWER('Capacity summary'!AF138)="x",$BI19*AF19,VALUE('Capacity summary'!AF138)),0),AF19*$BI19),AF19*$BI19),0)</f>
        <v>0</v>
      </c>
      <c r="CJ19" s="311">
        <f>IF($BI19&lt;&gt;"",IF('Capacity summary'!$D$14="Yes",IF(COUNTBLANK('Capacity summary'!$H138:$BG138)&lt;52,IF('Capacity summary'!AG138&lt;&gt;"",IF(LOWER('Capacity summary'!AG138)="x",$BI19*AG19,VALUE('Capacity summary'!AG138)),0),AG19*$BI19),AG19*$BI19),0)</f>
        <v>0</v>
      </c>
      <c r="CK19" s="311">
        <f>IF($BI19&lt;&gt;"",IF('Capacity summary'!$D$14="Yes",IF(COUNTBLANK('Capacity summary'!$H138:$BG138)&lt;52,IF('Capacity summary'!AH138&lt;&gt;"",IF(LOWER('Capacity summary'!AH138)="x",$BI19*AH19,VALUE('Capacity summary'!AH138)),0),AH19*$BI19),AH19*$BI19),0)</f>
        <v>0</v>
      </c>
      <c r="CL19" s="311">
        <f>IF($BI19&lt;&gt;"",IF('Capacity summary'!$D$14="Yes",IF(COUNTBLANK('Capacity summary'!$H138:$BG138)&lt;52,IF('Capacity summary'!AI138&lt;&gt;"",IF(LOWER('Capacity summary'!AI138)="x",$BI19*AI19,VALUE('Capacity summary'!AI138)),0),AI19*$BI19),AI19*$BI19),0)</f>
        <v>0</v>
      </c>
      <c r="CM19" s="311">
        <f>IF($BI19&lt;&gt;"",IF('Capacity summary'!$D$14="Yes",IF(COUNTBLANK('Capacity summary'!$H138:$BG138)&lt;52,IF('Capacity summary'!AJ138&lt;&gt;"",IF(LOWER('Capacity summary'!AJ138)="x",$BI19*AJ19,VALUE('Capacity summary'!AJ138)),0),AJ19*$BI19),AJ19*$BI19),0)</f>
        <v>0</v>
      </c>
      <c r="CN19" s="311">
        <f>IF($BI19&lt;&gt;"",IF('Capacity summary'!$D$14="Yes",IF(COUNTBLANK('Capacity summary'!$H138:$BG138)&lt;52,IF('Capacity summary'!AK138&lt;&gt;"",IF(LOWER('Capacity summary'!AK138)="x",$BI19*AK19,VALUE('Capacity summary'!AK138)),0),AK19*$BI19),AK19*$BI19),0)</f>
        <v>0</v>
      </c>
      <c r="CO19" s="311">
        <f>IF($BI19&lt;&gt;"",IF('Capacity summary'!$D$14="Yes",IF(COUNTBLANK('Capacity summary'!$H138:$BG138)&lt;52,IF('Capacity summary'!AL138&lt;&gt;"",IF(LOWER('Capacity summary'!AL138)="x",$BI19*AL19,VALUE('Capacity summary'!AL138)),0),AL19*$BI19),AL19*$BI19),0)</f>
        <v>0</v>
      </c>
      <c r="CP19" s="311">
        <f>IF($BI19&lt;&gt;"",IF('Capacity summary'!$D$14="Yes",IF(COUNTBLANK('Capacity summary'!$H138:$BG138)&lt;52,IF('Capacity summary'!AM138&lt;&gt;"",IF(LOWER('Capacity summary'!AM138)="x",$BI19*AM19,VALUE('Capacity summary'!AM138)),0),AM19*$BI19),AM19*$BI19),0)</f>
        <v>0</v>
      </c>
      <c r="CQ19" s="311">
        <f>IF($BI19&lt;&gt;"",IF('Capacity summary'!$D$14="Yes",IF(COUNTBLANK('Capacity summary'!$H138:$BG138)&lt;52,IF('Capacity summary'!AN138&lt;&gt;"",IF(LOWER('Capacity summary'!AN138)="x",$BI19*AN19,VALUE('Capacity summary'!AN138)),0),AN19*$BI19),AN19*$BI19),0)</f>
        <v>0</v>
      </c>
      <c r="CR19" s="311">
        <f>IF($BI19&lt;&gt;"",IF('Capacity summary'!$D$14="Yes",IF(COUNTBLANK('Capacity summary'!$H138:$BG138)&lt;52,IF('Capacity summary'!AO138&lt;&gt;"",IF(LOWER('Capacity summary'!AO138)="x",$BI19*AO19,VALUE('Capacity summary'!AO138)),0),AO19*$BI19),AO19*$BI19),0)</f>
        <v>0</v>
      </c>
      <c r="CS19" s="311">
        <f>IF($BI19&lt;&gt;"",IF('Capacity summary'!$D$14="Yes",IF(COUNTBLANK('Capacity summary'!$H138:$BG138)&lt;52,IF('Capacity summary'!AP138&lt;&gt;"",IF(LOWER('Capacity summary'!AP138)="x",$BI19*AP19,VALUE('Capacity summary'!AP138)),0),AP19*$BI19),AP19*$BI19),0)</f>
        <v>0</v>
      </c>
      <c r="CT19" s="311">
        <f>IF($BI19&lt;&gt;"",IF('Capacity summary'!$D$14="Yes",IF(COUNTBLANK('Capacity summary'!$H138:$BG138)&lt;52,IF('Capacity summary'!AQ138&lt;&gt;"",IF(LOWER('Capacity summary'!AQ138)="x",$BI19*AQ19,VALUE('Capacity summary'!AQ138)),0),AQ19*$BI19),AQ19*$BI19),0)</f>
        <v>0</v>
      </c>
      <c r="CU19" s="311">
        <f>IF($BI19&lt;&gt;"",IF('Capacity summary'!$D$14="Yes",IF(COUNTBLANK('Capacity summary'!$H138:$BG138)&lt;52,IF('Capacity summary'!AR138&lt;&gt;"",IF(LOWER('Capacity summary'!AR138)="x",$BI19*AR19,VALUE('Capacity summary'!AR138)),0),AR19*$BI19),AR19*$BI19),0)</f>
        <v>0</v>
      </c>
      <c r="CV19" s="311">
        <f>IF($BI19&lt;&gt;"",IF('Capacity summary'!$D$14="Yes",IF(COUNTBLANK('Capacity summary'!$H138:$BG138)&lt;52,IF('Capacity summary'!AS138&lt;&gt;"",IF(LOWER('Capacity summary'!AS138)="x",$BI19*AS19,VALUE('Capacity summary'!AS138)),0),AS19*$BI19),AS19*$BI19),0)</f>
        <v>0</v>
      </c>
      <c r="CW19" s="311">
        <f>IF($BI19&lt;&gt;"",IF('Capacity summary'!$D$14="Yes",IF(COUNTBLANK('Capacity summary'!$H138:$BG138)&lt;52,IF('Capacity summary'!AT138&lt;&gt;"",IF(LOWER('Capacity summary'!AT138)="x",$BI19*AT19,VALUE('Capacity summary'!AT138)),0),AT19*$BI19),AT19*$BI19),0)</f>
        <v>0</v>
      </c>
      <c r="CX19" s="311">
        <f>IF($BI19&lt;&gt;"",IF('Capacity summary'!$D$14="Yes",IF(COUNTBLANK('Capacity summary'!$H138:$BG138)&lt;52,IF('Capacity summary'!AU138&lt;&gt;"",IF(LOWER('Capacity summary'!AU138)="x",$BI19*AU19,VALUE('Capacity summary'!AU138)),0),AU19*$BI19),AU19*$BI19),0)</f>
        <v>0</v>
      </c>
      <c r="CY19" s="311">
        <f>IF($BI19&lt;&gt;"",IF('Capacity summary'!$D$14="Yes",IF(COUNTBLANK('Capacity summary'!$H138:$BG138)&lt;52,IF('Capacity summary'!AV138&lt;&gt;"",IF(LOWER('Capacity summary'!AV138)="x",$BI19*AV19,VALUE('Capacity summary'!AV138)),0),AV19*$BI19),AV19*$BI19),0)</f>
        <v>0</v>
      </c>
      <c r="CZ19" s="311">
        <f>IF($BI19&lt;&gt;"",IF('Capacity summary'!$D$14="Yes",IF(COUNTBLANK('Capacity summary'!$H138:$BG138)&lt;52,IF('Capacity summary'!AW138&lt;&gt;"",IF(LOWER('Capacity summary'!AW138)="x",$BI19*AW19,VALUE('Capacity summary'!AW138)),0),AW19*$BI19),AW19*$BI19),0)</f>
        <v>0</v>
      </c>
      <c r="DA19" s="311">
        <f>IF($BI19&lt;&gt;"",IF('Capacity summary'!$D$14="Yes",IF(COUNTBLANK('Capacity summary'!$H138:$BG138)&lt;52,IF('Capacity summary'!AX138&lt;&gt;"",IF(LOWER('Capacity summary'!AX138)="x",$BI19*AX19,VALUE('Capacity summary'!AX138)),0),AX19*$BI19),AX19*$BI19),0)</f>
        <v>0</v>
      </c>
      <c r="DB19" s="311">
        <f>IF($BI19&lt;&gt;"",IF('Capacity summary'!$D$14="Yes",IF(COUNTBLANK('Capacity summary'!$H138:$BG138)&lt;52,IF('Capacity summary'!AY138&lt;&gt;"",IF(LOWER('Capacity summary'!AY138)="x",$BI19*AY19,VALUE('Capacity summary'!AY138)),0),AY19*$BI19),AY19*$BI19),0)</f>
        <v>0</v>
      </c>
      <c r="DC19" s="311">
        <f>IF($BI19&lt;&gt;"",IF('Capacity summary'!$D$14="Yes",IF(COUNTBLANK('Capacity summary'!$H138:$BG138)&lt;52,IF('Capacity summary'!AZ138&lt;&gt;"",IF(LOWER('Capacity summary'!AZ138)="x",$BI19*AZ19,VALUE('Capacity summary'!AZ138)),0),AZ19*$BI19),AZ19*$BI19),0)</f>
        <v>0</v>
      </c>
      <c r="DD19" s="311">
        <f>IF($BI19&lt;&gt;"",IF('Capacity summary'!$D$14="Yes",IF(COUNTBLANK('Capacity summary'!$H138:$BG138)&lt;52,IF('Capacity summary'!BA138&lt;&gt;"",IF(LOWER('Capacity summary'!BA138)="x",$BI19*BA19,VALUE('Capacity summary'!BA138)),0),BA19*$BI19),BA19*$BI19),0)</f>
        <v>0</v>
      </c>
      <c r="DE19" s="311">
        <f>IF($BI19&lt;&gt;"",IF('Capacity summary'!$D$14="Yes",IF(COUNTBLANK('Capacity summary'!$H138:$BG138)&lt;52,IF('Capacity summary'!BB138&lt;&gt;"",IF(LOWER('Capacity summary'!BB138)="x",$BI19*BB19,VALUE('Capacity summary'!BB138)),0),BB19*$BI19),BB19*$BI19),0)</f>
        <v>0</v>
      </c>
      <c r="DF19" s="311">
        <f>IF($BI19&lt;&gt;"",IF('Capacity summary'!$D$14="Yes",IF(COUNTBLANK('Capacity summary'!$H138:$BG138)&lt;52,IF('Capacity summary'!BC138&lt;&gt;"",IF(LOWER('Capacity summary'!BC138)="x",$BI19*BC19,VALUE('Capacity summary'!BC138)),0),BC19*$BI19),BC19*$BI19),0)</f>
        <v>0</v>
      </c>
      <c r="DG19" s="311">
        <f>IF($BI19&lt;&gt;"",IF('Capacity summary'!$D$14="Yes",IF(COUNTBLANK('Capacity summary'!$H138:$BG138)&lt;52,IF('Capacity summary'!BD138&lt;&gt;"",IF(LOWER('Capacity summary'!BD138)="x",$BI19*BD19,VALUE('Capacity summary'!BD138)),0),BD19*$BI19),BD19*$BI19),0)</f>
        <v>0</v>
      </c>
      <c r="DH19" s="311">
        <f>IF($BI19&lt;&gt;"",IF('Capacity summary'!$D$14="Yes",IF(COUNTBLANK('Capacity summary'!$H138:$BG138)&lt;52,IF('Capacity summary'!BE138&lt;&gt;"",IF(LOWER('Capacity summary'!BE138)="x",$BI19*BE19,VALUE('Capacity summary'!BE138)),0),BE19*$BI19),BE19*$BI19),0)</f>
        <v>0</v>
      </c>
      <c r="DI19" s="311">
        <f>IF($BI19&lt;&gt;"",IF('Capacity summary'!$D$14="Yes",IF(COUNTBLANK('Capacity summary'!$H138:$BG138)&lt;52,IF('Capacity summary'!BF138&lt;&gt;"",IF(LOWER('Capacity summary'!BF138)="x",$BI19*BF19,VALUE('Capacity summary'!BF138)),0),BF19*$BI19),BF19*$BI19),0)</f>
        <v>0</v>
      </c>
      <c r="DJ19" s="311">
        <f>IF($BI19&lt;&gt;"",IF('Capacity summary'!$D$14="Yes",IF(COUNTBLANK('Capacity summary'!$H138:$BG138)&lt;52,IF('Capacity summary'!BG138&lt;&gt;"",IF(LOWER('Capacity summary'!BG138)="x",$BI19*BG19,VALUE('Capacity summary'!BG138)),0),BG19*$BI19),BG19*$BI19),0)</f>
        <v>0</v>
      </c>
      <c r="DK19" s="387">
        <f t="shared" si="2"/>
        <v>0</v>
      </c>
      <c r="DL19" s="136">
        <f t="shared" si="3"/>
        <v>0</v>
      </c>
      <c r="DM19" s="311" t="str">
        <f>Capacity!H31</f>
        <v/>
      </c>
      <c r="DQ19" s="5"/>
    </row>
    <row r="20" spans="1:121" x14ac:dyDescent="0.2">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1">
        <f>IF($BI20&lt;&gt;"",IF('Capacity summary'!$D$14="Yes",IF(COUNTBLANK('Capacity summary'!$H139:$BG139)&lt;52,IF('Capacity summary'!H139&lt;&gt;"",IF(LOWER('Capacity summary'!H139)="x",$BI20*H20,VALUE('Capacity summary'!H139)),0),H20*$BI20),H20*$BI20),0)</f>
        <v>0</v>
      </c>
      <c r="BL20" s="311">
        <f>IF($BI20&lt;&gt;"",IF('Capacity summary'!$D$14="Yes",IF(COUNTBLANK('Capacity summary'!$H139:$BG139)&lt;52,IF('Capacity summary'!I139&lt;&gt;"",IF(LOWER('Capacity summary'!I139)="x",$BI20*I20,VALUE('Capacity summary'!I139)),0),I20*$BI20),I20*$BI20),0)</f>
        <v>0</v>
      </c>
      <c r="BM20" s="311">
        <f>IF($BI20&lt;&gt;"",IF('Capacity summary'!$D$14="Yes",IF(COUNTBLANK('Capacity summary'!$H139:$BG139)&lt;52,IF('Capacity summary'!J139&lt;&gt;"",IF(LOWER('Capacity summary'!J139)="x",$BI20*J20,VALUE('Capacity summary'!J139)),0),J20*$BI20),J20*$BI20),0)</f>
        <v>0</v>
      </c>
      <c r="BN20" s="311">
        <f>IF($BI20&lt;&gt;"",IF('Capacity summary'!$D$14="Yes",IF(COUNTBLANK('Capacity summary'!$H139:$BG139)&lt;52,IF('Capacity summary'!K139&lt;&gt;"",IF(LOWER('Capacity summary'!K139)="x",$BI20*K20,VALUE('Capacity summary'!K139)),0),K20*$BI20),K20*$BI20),0)</f>
        <v>0</v>
      </c>
      <c r="BO20" s="311">
        <f>IF($BI20&lt;&gt;"",IF('Capacity summary'!$D$14="Yes",IF(COUNTBLANK('Capacity summary'!$H139:$BG139)&lt;52,IF('Capacity summary'!L139&lt;&gt;"",IF(LOWER('Capacity summary'!L139)="x",$BI20*L20,VALUE('Capacity summary'!L139)),0),L20*$BI20),L20*$BI20),0)</f>
        <v>0</v>
      </c>
      <c r="BP20" s="311">
        <f>IF($BI20&lt;&gt;"",IF('Capacity summary'!$D$14="Yes",IF(COUNTBLANK('Capacity summary'!$H139:$BG139)&lt;52,IF('Capacity summary'!M139&lt;&gt;"",IF(LOWER('Capacity summary'!M139)="x",$BI20*M20,VALUE('Capacity summary'!M139)),0),M20*$BI20),M20*$BI20),0)</f>
        <v>0</v>
      </c>
      <c r="BQ20" s="311">
        <f>IF($BI20&lt;&gt;"",IF('Capacity summary'!$D$14="Yes",IF(COUNTBLANK('Capacity summary'!$H139:$BG139)&lt;52,IF('Capacity summary'!N139&lt;&gt;"",IF(LOWER('Capacity summary'!N139)="x",$BI20*N20,VALUE('Capacity summary'!N139)),0),N20*$BI20),N20*$BI20),0)</f>
        <v>0</v>
      </c>
      <c r="BR20" s="311">
        <f>IF($BI20&lt;&gt;"",IF('Capacity summary'!$D$14="Yes",IF(COUNTBLANK('Capacity summary'!$H139:$BG139)&lt;52,IF('Capacity summary'!O139&lt;&gt;"",IF(LOWER('Capacity summary'!O139)="x",$BI20*O20,VALUE('Capacity summary'!O139)),0),O20*$BI20),O20*$BI20),0)</f>
        <v>0</v>
      </c>
      <c r="BS20" s="311">
        <f>IF($BI20&lt;&gt;"",IF('Capacity summary'!$D$14="Yes",IF(COUNTBLANK('Capacity summary'!$H139:$BG139)&lt;52,IF('Capacity summary'!P139&lt;&gt;"",IF(LOWER('Capacity summary'!P139)="x",$BI20*P20,VALUE('Capacity summary'!P139)),0),P20*$BI20),P20*$BI20),0)</f>
        <v>0</v>
      </c>
      <c r="BT20" s="311">
        <f>IF($BI20&lt;&gt;"",IF('Capacity summary'!$D$14="Yes",IF(COUNTBLANK('Capacity summary'!$H139:$BG139)&lt;52,IF('Capacity summary'!Q139&lt;&gt;"",IF(LOWER('Capacity summary'!Q139)="x",$BI20*Q20,VALUE('Capacity summary'!Q139)),0),Q20*$BI20),Q20*$BI20),0)</f>
        <v>0</v>
      </c>
      <c r="BU20" s="311">
        <f>IF($BI20&lt;&gt;"",IF('Capacity summary'!$D$14="Yes",IF(COUNTBLANK('Capacity summary'!$H139:$BG139)&lt;52,IF('Capacity summary'!R139&lt;&gt;"",IF(LOWER('Capacity summary'!R139)="x",$BI20*R20,VALUE('Capacity summary'!R139)),0),R20*$BI20),R20*$BI20),0)</f>
        <v>0</v>
      </c>
      <c r="BV20" s="311">
        <f>IF($BI20&lt;&gt;"",IF('Capacity summary'!$D$14="Yes",IF(COUNTBLANK('Capacity summary'!$H139:$BG139)&lt;52,IF('Capacity summary'!S139&lt;&gt;"",IF(LOWER('Capacity summary'!S139)="x",$BI20*S20,VALUE('Capacity summary'!S139)),0),S20*$BI20),S20*$BI20),0)</f>
        <v>0</v>
      </c>
      <c r="BW20" s="311">
        <f>IF($BI20&lt;&gt;"",IF('Capacity summary'!$D$14="Yes",IF(COUNTBLANK('Capacity summary'!$H139:$BG139)&lt;52,IF('Capacity summary'!T139&lt;&gt;"",IF(LOWER('Capacity summary'!T139)="x",$BI20*T20,VALUE('Capacity summary'!T139)),0),T20*$BI20),T20*$BI20),0)</f>
        <v>0</v>
      </c>
      <c r="BX20" s="311">
        <f>IF($BI20&lt;&gt;"",IF('Capacity summary'!$D$14="Yes",IF(COUNTBLANK('Capacity summary'!$H139:$BG139)&lt;52,IF('Capacity summary'!U139&lt;&gt;"",IF(LOWER('Capacity summary'!U139)="x",$BI20*U20,VALUE('Capacity summary'!U139)),0),U20*$BI20),U20*$BI20),0)</f>
        <v>0</v>
      </c>
      <c r="BY20" s="311">
        <f>IF($BI20&lt;&gt;"",IF('Capacity summary'!$D$14="Yes",IF(COUNTBLANK('Capacity summary'!$H139:$BG139)&lt;52,IF('Capacity summary'!V139&lt;&gt;"",IF(LOWER('Capacity summary'!V139)="x",$BI20*V20,VALUE('Capacity summary'!V139)),0),V20*$BI20),V20*$BI20),0)</f>
        <v>0</v>
      </c>
      <c r="BZ20" s="311">
        <f>IF($BI20&lt;&gt;"",IF('Capacity summary'!$D$14="Yes",IF(COUNTBLANK('Capacity summary'!$H139:$BG139)&lt;52,IF('Capacity summary'!W139&lt;&gt;"",IF(LOWER('Capacity summary'!W139)="x",$BI20*W20,VALUE('Capacity summary'!W139)),0),W20*$BI20),W20*$BI20),0)</f>
        <v>0</v>
      </c>
      <c r="CA20" s="311">
        <f>IF($BI20&lt;&gt;"",IF('Capacity summary'!$D$14="Yes",IF(COUNTBLANK('Capacity summary'!$H139:$BG139)&lt;52,IF('Capacity summary'!X139&lt;&gt;"",IF(LOWER('Capacity summary'!X139)="x",$BI20*X20,VALUE('Capacity summary'!X139)),0),X20*$BI20),X20*$BI20),0)</f>
        <v>0</v>
      </c>
      <c r="CB20" s="311">
        <f>IF($BI20&lt;&gt;"",IF('Capacity summary'!$D$14="Yes",IF(COUNTBLANK('Capacity summary'!$H139:$BG139)&lt;52,IF('Capacity summary'!Y139&lt;&gt;"",IF(LOWER('Capacity summary'!Y139)="x",$BI20*Y20,VALUE('Capacity summary'!Y139)),0),Y20*$BI20),Y20*$BI20),0)</f>
        <v>0</v>
      </c>
      <c r="CC20" s="311">
        <f>IF($BI20&lt;&gt;"",IF('Capacity summary'!$D$14="Yes",IF(COUNTBLANK('Capacity summary'!$H139:$BG139)&lt;52,IF('Capacity summary'!Z139&lt;&gt;"",IF(LOWER('Capacity summary'!Z139)="x",$BI20*Z20,VALUE('Capacity summary'!Z139)),0),Z20*$BI20),Z20*$BI20),0)</f>
        <v>0</v>
      </c>
      <c r="CD20" s="311">
        <f>IF($BI20&lt;&gt;"",IF('Capacity summary'!$D$14="Yes",IF(COUNTBLANK('Capacity summary'!$H139:$BG139)&lt;52,IF('Capacity summary'!AA139&lt;&gt;"",IF(LOWER('Capacity summary'!AA139)="x",$BI20*AA20,VALUE('Capacity summary'!AA139)),0),AA20*$BI20),AA20*$BI20),0)</f>
        <v>0</v>
      </c>
      <c r="CE20" s="311">
        <f>IF($BI20&lt;&gt;"",IF('Capacity summary'!$D$14="Yes",IF(COUNTBLANK('Capacity summary'!$H139:$BG139)&lt;52,IF('Capacity summary'!AB139&lt;&gt;"",IF(LOWER('Capacity summary'!AB139)="x",$BI20*AB20,VALUE('Capacity summary'!AB139)),0),AB20*$BI20),AB20*$BI20),0)</f>
        <v>0</v>
      </c>
      <c r="CF20" s="311">
        <f>IF($BI20&lt;&gt;"",IF('Capacity summary'!$D$14="Yes",IF(COUNTBLANK('Capacity summary'!$H139:$BG139)&lt;52,IF('Capacity summary'!AC139&lt;&gt;"",IF(LOWER('Capacity summary'!AC139)="x",$BI20*AC20,VALUE('Capacity summary'!AC139)),0),AC20*$BI20),AC20*$BI20),0)</f>
        <v>0</v>
      </c>
      <c r="CG20" s="311">
        <f>IF($BI20&lt;&gt;"",IF('Capacity summary'!$D$14="Yes",IF(COUNTBLANK('Capacity summary'!$H139:$BG139)&lt;52,IF('Capacity summary'!AD139&lt;&gt;"",IF(LOWER('Capacity summary'!AD139)="x",$BI20*AD20,VALUE('Capacity summary'!AD139)),0),AD20*$BI20),AD20*$BI20),0)</f>
        <v>0</v>
      </c>
      <c r="CH20" s="311">
        <f>IF($BI20&lt;&gt;"",IF('Capacity summary'!$D$14="Yes",IF(COUNTBLANK('Capacity summary'!$H139:$BG139)&lt;52,IF('Capacity summary'!AE139&lt;&gt;"",IF(LOWER('Capacity summary'!AE139)="x",$BI20*AE20,VALUE('Capacity summary'!AE139)),0),AE20*$BI20),AE20*$BI20),0)</f>
        <v>0</v>
      </c>
      <c r="CI20" s="311">
        <f>IF($BI20&lt;&gt;"",IF('Capacity summary'!$D$14="Yes",IF(COUNTBLANK('Capacity summary'!$H139:$BG139)&lt;52,IF('Capacity summary'!AF139&lt;&gt;"",IF(LOWER('Capacity summary'!AF139)="x",$BI20*AF20,VALUE('Capacity summary'!AF139)),0),AF20*$BI20),AF20*$BI20),0)</f>
        <v>0</v>
      </c>
      <c r="CJ20" s="311">
        <f>IF($BI20&lt;&gt;"",IF('Capacity summary'!$D$14="Yes",IF(COUNTBLANK('Capacity summary'!$H139:$BG139)&lt;52,IF('Capacity summary'!AG139&lt;&gt;"",IF(LOWER('Capacity summary'!AG139)="x",$BI20*AG20,VALUE('Capacity summary'!AG139)),0),AG20*$BI20),AG20*$BI20),0)</f>
        <v>0</v>
      </c>
      <c r="CK20" s="311">
        <f>IF($BI20&lt;&gt;"",IF('Capacity summary'!$D$14="Yes",IF(COUNTBLANK('Capacity summary'!$H139:$BG139)&lt;52,IF('Capacity summary'!AH139&lt;&gt;"",IF(LOWER('Capacity summary'!AH139)="x",$BI20*AH20,VALUE('Capacity summary'!AH139)),0),AH20*$BI20),AH20*$BI20),0)</f>
        <v>0</v>
      </c>
      <c r="CL20" s="311">
        <f>IF($BI20&lt;&gt;"",IF('Capacity summary'!$D$14="Yes",IF(COUNTBLANK('Capacity summary'!$H139:$BG139)&lt;52,IF('Capacity summary'!AI139&lt;&gt;"",IF(LOWER('Capacity summary'!AI139)="x",$BI20*AI20,VALUE('Capacity summary'!AI139)),0),AI20*$BI20),AI20*$BI20),0)</f>
        <v>0</v>
      </c>
      <c r="CM20" s="311">
        <f>IF($BI20&lt;&gt;"",IF('Capacity summary'!$D$14="Yes",IF(COUNTBLANK('Capacity summary'!$H139:$BG139)&lt;52,IF('Capacity summary'!AJ139&lt;&gt;"",IF(LOWER('Capacity summary'!AJ139)="x",$BI20*AJ20,VALUE('Capacity summary'!AJ139)),0),AJ20*$BI20),AJ20*$BI20),0)</f>
        <v>0</v>
      </c>
      <c r="CN20" s="311">
        <f>IF($BI20&lt;&gt;"",IF('Capacity summary'!$D$14="Yes",IF(COUNTBLANK('Capacity summary'!$H139:$BG139)&lt;52,IF('Capacity summary'!AK139&lt;&gt;"",IF(LOWER('Capacity summary'!AK139)="x",$BI20*AK20,VALUE('Capacity summary'!AK139)),0),AK20*$BI20),AK20*$BI20),0)</f>
        <v>0</v>
      </c>
      <c r="CO20" s="311">
        <f>IF($BI20&lt;&gt;"",IF('Capacity summary'!$D$14="Yes",IF(COUNTBLANK('Capacity summary'!$H139:$BG139)&lt;52,IF('Capacity summary'!AL139&lt;&gt;"",IF(LOWER('Capacity summary'!AL139)="x",$BI20*AL20,VALUE('Capacity summary'!AL139)),0),AL20*$BI20),AL20*$BI20),0)</f>
        <v>0</v>
      </c>
      <c r="CP20" s="311">
        <f>IF($BI20&lt;&gt;"",IF('Capacity summary'!$D$14="Yes",IF(COUNTBLANK('Capacity summary'!$H139:$BG139)&lt;52,IF('Capacity summary'!AM139&lt;&gt;"",IF(LOWER('Capacity summary'!AM139)="x",$BI20*AM20,VALUE('Capacity summary'!AM139)),0),AM20*$BI20),AM20*$BI20),0)</f>
        <v>0</v>
      </c>
      <c r="CQ20" s="311">
        <f>IF($BI20&lt;&gt;"",IF('Capacity summary'!$D$14="Yes",IF(COUNTBLANK('Capacity summary'!$H139:$BG139)&lt;52,IF('Capacity summary'!AN139&lt;&gt;"",IF(LOWER('Capacity summary'!AN139)="x",$BI20*AN20,VALUE('Capacity summary'!AN139)),0),AN20*$BI20),AN20*$BI20),0)</f>
        <v>0</v>
      </c>
      <c r="CR20" s="311">
        <f>IF($BI20&lt;&gt;"",IF('Capacity summary'!$D$14="Yes",IF(COUNTBLANK('Capacity summary'!$H139:$BG139)&lt;52,IF('Capacity summary'!AO139&lt;&gt;"",IF(LOWER('Capacity summary'!AO139)="x",$BI20*AO20,VALUE('Capacity summary'!AO139)),0),AO20*$BI20),AO20*$BI20),0)</f>
        <v>0</v>
      </c>
      <c r="CS20" s="311">
        <f>IF($BI20&lt;&gt;"",IF('Capacity summary'!$D$14="Yes",IF(COUNTBLANK('Capacity summary'!$H139:$BG139)&lt;52,IF('Capacity summary'!AP139&lt;&gt;"",IF(LOWER('Capacity summary'!AP139)="x",$BI20*AP20,VALUE('Capacity summary'!AP139)),0),AP20*$BI20),AP20*$BI20),0)</f>
        <v>0</v>
      </c>
      <c r="CT20" s="311">
        <f>IF($BI20&lt;&gt;"",IF('Capacity summary'!$D$14="Yes",IF(COUNTBLANK('Capacity summary'!$H139:$BG139)&lt;52,IF('Capacity summary'!AQ139&lt;&gt;"",IF(LOWER('Capacity summary'!AQ139)="x",$BI20*AQ20,VALUE('Capacity summary'!AQ139)),0),AQ20*$BI20),AQ20*$BI20),0)</f>
        <v>0</v>
      </c>
      <c r="CU20" s="311">
        <f>IF($BI20&lt;&gt;"",IF('Capacity summary'!$D$14="Yes",IF(COUNTBLANK('Capacity summary'!$H139:$BG139)&lt;52,IF('Capacity summary'!AR139&lt;&gt;"",IF(LOWER('Capacity summary'!AR139)="x",$BI20*AR20,VALUE('Capacity summary'!AR139)),0),AR20*$BI20),AR20*$BI20),0)</f>
        <v>0</v>
      </c>
      <c r="CV20" s="311">
        <f>IF($BI20&lt;&gt;"",IF('Capacity summary'!$D$14="Yes",IF(COUNTBLANK('Capacity summary'!$H139:$BG139)&lt;52,IF('Capacity summary'!AS139&lt;&gt;"",IF(LOWER('Capacity summary'!AS139)="x",$BI20*AS20,VALUE('Capacity summary'!AS139)),0),AS20*$BI20),AS20*$BI20),0)</f>
        <v>0</v>
      </c>
      <c r="CW20" s="311">
        <f>IF($BI20&lt;&gt;"",IF('Capacity summary'!$D$14="Yes",IF(COUNTBLANK('Capacity summary'!$H139:$BG139)&lt;52,IF('Capacity summary'!AT139&lt;&gt;"",IF(LOWER('Capacity summary'!AT139)="x",$BI20*AT20,VALUE('Capacity summary'!AT139)),0),AT20*$BI20),AT20*$BI20),0)</f>
        <v>0</v>
      </c>
      <c r="CX20" s="311">
        <f>IF($BI20&lt;&gt;"",IF('Capacity summary'!$D$14="Yes",IF(COUNTBLANK('Capacity summary'!$H139:$BG139)&lt;52,IF('Capacity summary'!AU139&lt;&gt;"",IF(LOWER('Capacity summary'!AU139)="x",$BI20*AU20,VALUE('Capacity summary'!AU139)),0),AU20*$BI20),AU20*$BI20),0)</f>
        <v>0</v>
      </c>
      <c r="CY20" s="311">
        <f>IF($BI20&lt;&gt;"",IF('Capacity summary'!$D$14="Yes",IF(COUNTBLANK('Capacity summary'!$H139:$BG139)&lt;52,IF('Capacity summary'!AV139&lt;&gt;"",IF(LOWER('Capacity summary'!AV139)="x",$BI20*AV20,VALUE('Capacity summary'!AV139)),0),AV20*$BI20),AV20*$BI20),0)</f>
        <v>0</v>
      </c>
      <c r="CZ20" s="311">
        <f>IF($BI20&lt;&gt;"",IF('Capacity summary'!$D$14="Yes",IF(COUNTBLANK('Capacity summary'!$H139:$BG139)&lt;52,IF('Capacity summary'!AW139&lt;&gt;"",IF(LOWER('Capacity summary'!AW139)="x",$BI20*AW20,VALUE('Capacity summary'!AW139)),0),AW20*$BI20),AW20*$BI20),0)</f>
        <v>0</v>
      </c>
      <c r="DA20" s="311">
        <f>IF($BI20&lt;&gt;"",IF('Capacity summary'!$D$14="Yes",IF(COUNTBLANK('Capacity summary'!$H139:$BG139)&lt;52,IF('Capacity summary'!AX139&lt;&gt;"",IF(LOWER('Capacity summary'!AX139)="x",$BI20*AX20,VALUE('Capacity summary'!AX139)),0),AX20*$BI20),AX20*$BI20),0)</f>
        <v>0</v>
      </c>
      <c r="DB20" s="311">
        <f>IF($BI20&lt;&gt;"",IF('Capacity summary'!$D$14="Yes",IF(COUNTBLANK('Capacity summary'!$H139:$BG139)&lt;52,IF('Capacity summary'!AY139&lt;&gt;"",IF(LOWER('Capacity summary'!AY139)="x",$BI20*AY20,VALUE('Capacity summary'!AY139)),0),AY20*$BI20),AY20*$BI20),0)</f>
        <v>0</v>
      </c>
      <c r="DC20" s="311">
        <f>IF($BI20&lt;&gt;"",IF('Capacity summary'!$D$14="Yes",IF(COUNTBLANK('Capacity summary'!$H139:$BG139)&lt;52,IF('Capacity summary'!AZ139&lt;&gt;"",IF(LOWER('Capacity summary'!AZ139)="x",$BI20*AZ20,VALUE('Capacity summary'!AZ139)),0),AZ20*$BI20),AZ20*$BI20),0)</f>
        <v>0</v>
      </c>
      <c r="DD20" s="311">
        <f>IF($BI20&lt;&gt;"",IF('Capacity summary'!$D$14="Yes",IF(COUNTBLANK('Capacity summary'!$H139:$BG139)&lt;52,IF('Capacity summary'!BA139&lt;&gt;"",IF(LOWER('Capacity summary'!BA139)="x",$BI20*BA20,VALUE('Capacity summary'!BA139)),0),BA20*$BI20),BA20*$BI20),0)</f>
        <v>0</v>
      </c>
      <c r="DE20" s="311">
        <f>IF($BI20&lt;&gt;"",IF('Capacity summary'!$D$14="Yes",IF(COUNTBLANK('Capacity summary'!$H139:$BG139)&lt;52,IF('Capacity summary'!BB139&lt;&gt;"",IF(LOWER('Capacity summary'!BB139)="x",$BI20*BB20,VALUE('Capacity summary'!BB139)),0),BB20*$BI20),BB20*$BI20),0)</f>
        <v>0</v>
      </c>
      <c r="DF20" s="311">
        <f>IF($BI20&lt;&gt;"",IF('Capacity summary'!$D$14="Yes",IF(COUNTBLANK('Capacity summary'!$H139:$BG139)&lt;52,IF('Capacity summary'!BC139&lt;&gt;"",IF(LOWER('Capacity summary'!BC139)="x",$BI20*BC20,VALUE('Capacity summary'!BC139)),0),BC20*$BI20),BC20*$BI20),0)</f>
        <v>0</v>
      </c>
      <c r="DG20" s="311">
        <f>IF($BI20&lt;&gt;"",IF('Capacity summary'!$D$14="Yes",IF(COUNTBLANK('Capacity summary'!$H139:$BG139)&lt;52,IF('Capacity summary'!BD139&lt;&gt;"",IF(LOWER('Capacity summary'!BD139)="x",$BI20*BD20,VALUE('Capacity summary'!BD139)),0),BD20*$BI20),BD20*$BI20),0)</f>
        <v>0</v>
      </c>
      <c r="DH20" s="311">
        <f>IF($BI20&lt;&gt;"",IF('Capacity summary'!$D$14="Yes",IF(COUNTBLANK('Capacity summary'!$H139:$BG139)&lt;52,IF('Capacity summary'!BE139&lt;&gt;"",IF(LOWER('Capacity summary'!BE139)="x",$BI20*BE20,VALUE('Capacity summary'!BE139)),0),BE20*$BI20),BE20*$BI20),0)</f>
        <v>0</v>
      </c>
      <c r="DI20" s="311">
        <f>IF($BI20&lt;&gt;"",IF('Capacity summary'!$D$14="Yes",IF(COUNTBLANK('Capacity summary'!$H139:$BG139)&lt;52,IF('Capacity summary'!BF139&lt;&gt;"",IF(LOWER('Capacity summary'!BF139)="x",$BI20*BF20,VALUE('Capacity summary'!BF139)),0),BF20*$BI20),BF20*$BI20),0)</f>
        <v>0</v>
      </c>
      <c r="DJ20" s="311">
        <f>IF($BI20&lt;&gt;"",IF('Capacity summary'!$D$14="Yes",IF(COUNTBLANK('Capacity summary'!$H139:$BG139)&lt;52,IF('Capacity summary'!BG139&lt;&gt;"",IF(LOWER('Capacity summary'!BG139)="x",$BI20*BG20,VALUE('Capacity summary'!BG139)),0),BG20*$BI20),BG20*$BI20),0)</f>
        <v>0</v>
      </c>
      <c r="DK20" s="387">
        <f t="shared" si="2"/>
        <v>0</v>
      </c>
      <c r="DL20" s="136">
        <f t="shared" si="3"/>
        <v>0</v>
      </c>
      <c r="DM20" s="311" t="str">
        <f>Capacity!H32</f>
        <v/>
      </c>
      <c r="DQ20" s="5"/>
    </row>
    <row r="21" spans="1:121" x14ac:dyDescent="0.2">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1">
        <f>IF($BI21&lt;&gt;"",IF('Capacity summary'!$D$14="Yes",IF(COUNTBLANK('Capacity summary'!$H140:$BG140)&lt;52,IF('Capacity summary'!H140&lt;&gt;"",IF(LOWER('Capacity summary'!H140)="x",$BI21*H21,VALUE('Capacity summary'!H140)),0),H21*$BI21),H21*$BI21),0)</f>
        <v>0</v>
      </c>
      <c r="BL21" s="311">
        <f>IF($BI21&lt;&gt;"",IF('Capacity summary'!$D$14="Yes",IF(COUNTBLANK('Capacity summary'!$H140:$BG140)&lt;52,IF('Capacity summary'!I140&lt;&gt;"",IF(LOWER('Capacity summary'!I140)="x",$BI21*I21,VALUE('Capacity summary'!I140)),0),I21*$BI21),I21*$BI21),0)</f>
        <v>0</v>
      </c>
      <c r="BM21" s="311">
        <f>IF($BI21&lt;&gt;"",IF('Capacity summary'!$D$14="Yes",IF(COUNTBLANK('Capacity summary'!$H140:$BG140)&lt;52,IF('Capacity summary'!J140&lt;&gt;"",IF(LOWER('Capacity summary'!J140)="x",$BI21*J21,VALUE('Capacity summary'!J140)),0),J21*$BI21),J21*$BI21),0)</f>
        <v>0</v>
      </c>
      <c r="BN21" s="311">
        <f>IF($BI21&lt;&gt;"",IF('Capacity summary'!$D$14="Yes",IF(COUNTBLANK('Capacity summary'!$H140:$BG140)&lt;52,IF('Capacity summary'!K140&lt;&gt;"",IF(LOWER('Capacity summary'!K140)="x",$BI21*K21,VALUE('Capacity summary'!K140)),0),K21*$BI21),K21*$BI21),0)</f>
        <v>0</v>
      </c>
      <c r="BO21" s="311">
        <f>IF($BI21&lt;&gt;"",IF('Capacity summary'!$D$14="Yes",IF(COUNTBLANK('Capacity summary'!$H140:$BG140)&lt;52,IF('Capacity summary'!L140&lt;&gt;"",IF(LOWER('Capacity summary'!L140)="x",$BI21*L21,VALUE('Capacity summary'!L140)),0),L21*$BI21),L21*$BI21),0)</f>
        <v>0</v>
      </c>
      <c r="BP21" s="311">
        <f>IF($BI21&lt;&gt;"",IF('Capacity summary'!$D$14="Yes",IF(COUNTBLANK('Capacity summary'!$H140:$BG140)&lt;52,IF('Capacity summary'!M140&lt;&gt;"",IF(LOWER('Capacity summary'!M140)="x",$BI21*M21,VALUE('Capacity summary'!M140)),0),M21*$BI21),M21*$BI21),0)</f>
        <v>0</v>
      </c>
      <c r="BQ21" s="311">
        <f>IF($BI21&lt;&gt;"",IF('Capacity summary'!$D$14="Yes",IF(COUNTBLANK('Capacity summary'!$H140:$BG140)&lt;52,IF('Capacity summary'!N140&lt;&gt;"",IF(LOWER('Capacity summary'!N140)="x",$BI21*N21,VALUE('Capacity summary'!N140)),0),N21*$BI21),N21*$BI21),0)</f>
        <v>0</v>
      </c>
      <c r="BR21" s="311">
        <f>IF($BI21&lt;&gt;"",IF('Capacity summary'!$D$14="Yes",IF(COUNTBLANK('Capacity summary'!$H140:$BG140)&lt;52,IF('Capacity summary'!O140&lt;&gt;"",IF(LOWER('Capacity summary'!O140)="x",$BI21*O21,VALUE('Capacity summary'!O140)),0),O21*$BI21),O21*$BI21),0)</f>
        <v>0</v>
      </c>
      <c r="BS21" s="311">
        <f>IF($BI21&lt;&gt;"",IF('Capacity summary'!$D$14="Yes",IF(COUNTBLANK('Capacity summary'!$H140:$BG140)&lt;52,IF('Capacity summary'!P140&lt;&gt;"",IF(LOWER('Capacity summary'!P140)="x",$BI21*P21,VALUE('Capacity summary'!P140)),0),P21*$BI21),P21*$BI21),0)</f>
        <v>0</v>
      </c>
      <c r="BT21" s="311">
        <f>IF($BI21&lt;&gt;"",IF('Capacity summary'!$D$14="Yes",IF(COUNTBLANK('Capacity summary'!$H140:$BG140)&lt;52,IF('Capacity summary'!Q140&lt;&gt;"",IF(LOWER('Capacity summary'!Q140)="x",$BI21*Q21,VALUE('Capacity summary'!Q140)),0),Q21*$BI21),Q21*$BI21),0)</f>
        <v>0</v>
      </c>
      <c r="BU21" s="311">
        <f>IF($BI21&lt;&gt;"",IF('Capacity summary'!$D$14="Yes",IF(COUNTBLANK('Capacity summary'!$H140:$BG140)&lt;52,IF('Capacity summary'!R140&lt;&gt;"",IF(LOWER('Capacity summary'!R140)="x",$BI21*R21,VALUE('Capacity summary'!R140)),0),R21*$BI21),R21*$BI21),0)</f>
        <v>0</v>
      </c>
      <c r="BV21" s="311">
        <f>IF($BI21&lt;&gt;"",IF('Capacity summary'!$D$14="Yes",IF(COUNTBLANK('Capacity summary'!$H140:$BG140)&lt;52,IF('Capacity summary'!S140&lt;&gt;"",IF(LOWER('Capacity summary'!S140)="x",$BI21*S21,VALUE('Capacity summary'!S140)),0),S21*$BI21),S21*$BI21),0)</f>
        <v>0</v>
      </c>
      <c r="BW21" s="311">
        <f>IF($BI21&lt;&gt;"",IF('Capacity summary'!$D$14="Yes",IF(COUNTBLANK('Capacity summary'!$H140:$BG140)&lt;52,IF('Capacity summary'!T140&lt;&gt;"",IF(LOWER('Capacity summary'!T140)="x",$BI21*T21,VALUE('Capacity summary'!T140)),0),T21*$BI21),T21*$BI21),0)</f>
        <v>0</v>
      </c>
      <c r="BX21" s="311">
        <f>IF($BI21&lt;&gt;"",IF('Capacity summary'!$D$14="Yes",IF(COUNTBLANK('Capacity summary'!$H140:$BG140)&lt;52,IF('Capacity summary'!U140&lt;&gt;"",IF(LOWER('Capacity summary'!U140)="x",$BI21*U21,VALUE('Capacity summary'!U140)),0),U21*$BI21),U21*$BI21),0)</f>
        <v>0</v>
      </c>
      <c r="BY21" s="311">
        <f>IF($BI21&lt;&gt;"",IF('Capacity summary'!$D$14="Yes",IF(COUNTBLANK('Capacity summary'!$H140:$BG140)&lt;52,IF('Capacity summary'!V140&lt;&gt;"",IF(LOWER('Capacity summary'!V140)="x",$BI21*V21,VALUE('Capacity summary'!V140)),0),V21*$BI21),V21*$BI21),0)</f>
        <v>0</v>
      </c>
      <c r="BZ21" s="311">
        <f>IF($BI21&lt;&gt;"",IF('Capacity summary'!$D$14="Yes",IF(COUNTBLANK('Capacity summary'!$H140:$BG140)&lt;52,IF('Capacity summary'!W140&lt;&gt;"",IF(LOWER('Capacity summary'!W140)="x",$BI21*W21,VALUE('Capacity summary'!W140)),0),W21*$BI21),W21*$BI21),0)</f>
        <v>0</v>
      </c>
      <c r="CA21" s="311">
        <f>IF($BI21&lt;&gt;"",IF('Capacity summary'!$D$14="Yes",IF(COUNTBLANK('Capacity summary'!$H140:$BG140)&lt;52,IF('Capacity summary'!X140&lt;&gt;"",IF(LOWER('Capacity summary'!X140)="x",$BI21*X21,VALUE('Capacity summary'!X140)),0),X21*$BI21),X21*$BI21),0)</f>
        <v>0</v>
      </c>
      <c r="CB21" s="311">
        <f>IF($BI21&lt;&gt;"",IF('Capacity summary'!$D$14="Yes",IF(COUNTBLANK('Capacity summary'!$H140:$BG140)&lt;52,IF('Capacity summary'!Y140&lt;&gt;"",IF(LOWER('Capacity summary'!Y140)="x",$BI21*Y21,VALUE('Capacity summary'!Y140)),0),Y21*$BI21),Y21*$BI21),0)</f>
        <v>0</v>
      </c>
      <c r="CC21" s="311">
        <f>IF($BI21&lt;&gt;"",IF('Capacity summary'!$D$14="Yes",IF(COUNTBLANK('Capacity summary'!$H140:$BG140)&lt;52,IF('Capacity summary'!Z140&lt;&gt;"",IF(LOWER('Capacity summary'!Z140)="x",$BI21*Z21,VALUE('Capacity summary'!Z140)),0),Z21*$BI21),Z21*$BI21),0)</f>
        <v>0</v>
      </c>
      <c r="CD21" s="311">
        <f>IF($BI21&lt;&gt;"",IF('Capacity summary'!$D$14="Yes",IF(COUNTBLANK('Capacity summary'!$H140:$BG140)&lt;52,IF('Capacity summary'!AA140&lt;&gt;"",IF(LOWER('Capacity summary'!AA140)="x",$BI21*AA21,VALUE('Capacity summary'!AA140)),0),AA21*$BI21),AA21*$BI21),0)</f>
        <v>0</v>
      </c>
      <c r="CE21" s="311">
        <f>IF($BI21&lt;&gt;"",IF('Capacity summary'!$D$14="Yes",IF(COUNTBLANK('Capacity summary'!$H140:$BG140)&lt;52,IF('Capacity summary'!AB140&lt;&gt;"",IF(LOWER('Capacity summary'!AB140)="x",$BI21*AB21,VALUE('Capacity summary'!AB140)),0),AB21*$BI21),AB21*$BI21),0)</f>
        <v>0</v>
      </c>
      <c r="CF21" s="311">
        <f>IF($BI21&lt;&gt;"",IF('Capacity summary'!$D$14="Yes",IF(COUNTBLANK('Capacity summary'!$H140:$BG140)&lt;52,IF('Capacity summary'!AC140&lt;&gt;"",IF(LOWER('Capacity summary'!AC140)="x",$BI21*AC21,VALUE('Capacity summary'!AC140)),0),AC21*$BI21),AC21*$BI21),0)</f>
        <v>0</v>
      </c>
      <c r="CG21" s="311">
        <f>IF($BI21&lt;&gt;"",IF('Capacity summary'!$D$14="Yes",IF(COUNTBLANK('Capacity summary'!$H140:$BG140)&lt;52,IF('Capacity summary'!AD140&lt;&gt;"",IF(LOWER('Capacity summary'!AD140)="x",$BI21*AD21,VALUE('Capacity summary'!AD140)),0),AD21*$BI21),AD21*$BI21),0)</f>
        <v>0</v>
      </c>
      <c r="CH21" s="311">
        <f>IF($BI21&lt;&gt;"",IF('Capacity summary'!$D$14="Yes",IF(COUNTBLANK('Capacity summary'!$H140:$BG140)&lt;52,IF('Capacity summary'!AE140&lt;&gt;"",IF(LOWER('Capacity summary'!AE140)="x",$BI21*AE21,VALUE('Capacity summary'!AE140)),0),AE21*$BI21),AE21*$BI21),0)</f>
        <v>0</v>
      </c>
      <c r="CI21" s="311">
        <f>IF($BI21&lt;&gt;"",IF('Capacity summary'!$D$14="Yes",IF(COUNTBLANK('Capacity summary'!$H140:$BG140)&lt;52,IF('Capacity summary'!AF140&lt;&gt;"",IF(LOWER('Capacity summary'!AF140)="x",$BI21*AF21,VALUE('Capacity summary'!AF140)),0),AF21*$BI21),AF21*$BI21),0)</f>
        <v>0</v>
      </c>
      <c r="CJ21" s="311">
        <f>IF($BI21&lt;&gt;"",IF('Capacity summary'!$D$14="Yes",IF(COUNTBLANK('Capacity summary'!$H140:$BG140)&lt;52,IF('Capacity summary'!AG140&lt;&gt;"",IF(LOWER('Capacity summary'!AG140)="x",$BI21*AG21,VALUE('Capacity summary'!AG140)),0),AG21*$BI21),AG21*$BI21),0)</f>
        <v>0</v>
      </c>
      <c r="CK21" s="311">
        <f>IF($BI21&lt;&gt;"",IF('Capacity summary'!$D$14="Yes",IF(COUNTBLANK('Capacity summary'!$H140:$BG140)&lt;52,IF('Capacity summary'!AH140&lt;&gt;"",IF(LOWER('Capacity summary'!AH140)="x",$BI21*AH21,VALUE('Capacity summary'!AH140)),0),AH21*$BI21),AH21*$BI21),0)</f>
        <v>0</v>
      </c>
      <c r="CL21" s="311">
        <f>IF($BI21&lt;&gt;"",IF('Capacity summary'!$D$14="Yes",IF(COUNTBLANK('Capacity summary'!$H140:$BG140)&lt;52,IF('Capacity summary'!AI140&lt;&gt;"",IF(LOWER('Capacity summary'!AI140)="x",$BI21*AI21,VALUE('Capacity summary'!AI140)),0),AI21*$BI21),AI21*$BI21),0)</f>
        <v>0</v>
      </c>
      <c r="CM21" s="311">
        <f>IF($BI21&lt;&gt;"",IF('Capacity summary'!$D$14="Yes",IF(COUNTBLANK('Capacity summary'!$H140:$BG140)&lt;52,IF('Capacity summary'!AJ140&lt;&gt;"",IF(LOWER('Capacity summary'!AJ140)="x",$BI21*AJ21,VALUE('Capacity summary'!AJ140)),0),AJ21*$BI21),AJ21*$BI21),0)</f>
        <v>0</v>
      </c>
      <c r="CN21" s="311">
        <f>IF($BI21&lt;&gt;"",IF('Capacity summary'!$D$14="Yes",IF(COUNTBLANK('Capacity summary'!$H140:$BG140)&lt;52,IF('Capacity summary'!AK140&lt;&gt;"",IF(LOWER('Capacity summary'!AK140)="x",$BI21*AK21,VALUE('Capacity summary'!AK140)),0),AK21*$BI21),AK21*$BI21),0)</f>
        <v>0</v>
      </c>
      <c r="CO21" s="311">
        <f>IF($BI21&lt;&gt;"",IF('Capacity summary'!$D$14="Yes",IF(COUNTBLANK('Capacity summary'!$H140:$BG140)&lt;52,IF('Capacity summary'!AL140&lt;&gt;"",IF(LOWER('Capacity summary'!AL140)="x",$BI21*AL21,VALUE('Capacity summary'!AL140)),0),AL21*$BI21),AL21*$BI21),0)</f>
        <v>0</v>
      </c>
      <c r="CP21" s="311">
        <f>IF($BI21&lt;&gt;"",IF('Capacity summary'!$D$14="Yes",IF(COUNTBLANK('Capacity summary'!$H140:$BG140)&lt;52,IF('Capacity summary'!AM140&lt;&gt;"",IF(LOWER('Capacity summary'!AM140)="x",$BI21*AM21,VALUE('Capacity summary'!AM140)),0),AM21*$BI21),AM21*$BI21),0)</f>
        <v>0</v>
      </c>
      <c r="CQ21" s="311">
        <f>IF($BI21&lt;&gt;"",IF('Capacity summary'!$D$14="Yes",IF(COUNTBLANK('Capacity summary'!$H140:$BG140)&lt;52,IF('Capacity summary'!AN140&lt;&gt;"",IF(LOWER('Capacity summary'!AN140)="x",$BI21*AN21,VALUE('Capacity summary'!AN140)),0),AN21*$BI21),AN21*$BI21),0)</f>
        <v>0</v>
      </c>
      <c r="CR21" s="311">
        <f>IF($BI21&lt;&gt;"",IF('Capacity summary'!$D$14="Yes",IF(COUNTBLANK('Capacity summary'!$H140:$BG140)&lt;52,IF('Capacity summary'!AO140&lt;&gt;"",IF(LOWER('Capacity summary'!AO140)="x",$BI21*AO21,VALUE('Capacity summary'!AO140)),0),AO21*$BI21),AO21*$BI21),0)</f>
        <v>0</v>
      </c>
      <c r="CS21" s="311">
        <f>IF($BI21&lt;&gt;"",IF('Capacity summary'!$D$14="Yes",IF(COUNTBLANK('Capacity summary'!$H140:$BG140)&lt;52,IF('Capacity summary'!AP140&lt;&gt;"",IF(LOWER('Capacity summary'!AP140)="x",$BI21*AP21,VALUE('Capacity summary'!AP140)),0),AP21*$BI21),AP21*$BI21),0)</f>
        <v>0</v>
      </c>
      <c r="CT21" s="311">
        <f>IF($BI21&lt;&gt;"",IF('Capacity summary'!$D$14="Yes",IF(COUNTBLANK('Capacity summary'!$H140:$BG140)&lt;52,IF('Capacity summary'!AQ140&lt;&gt;"",IF(LOWER('Capacity summary'!AQ140)="x",$BI21*AQ21,VALUE('Capacity summary'!AQ140)),0),AQ21*$BI21),AQ21*$BI21),0)</f>
        <v>0</v>
      </c>
      <c r="CU21" s="311">
        <f>IF($BI21&lt;&gt;"",IF('Capacity summary'!$D$14="Yes",IF(COUNTBLANK('Capacity summary'!$H140:$BG140)&lt;52,IF('Capacity summary'!AR140&lt;&gt;"",IF(LOWER('Capacity summary'!AR140)="x",$BI21*AR21,VALUE('Capacity summary'!AR140)),0),AR21*$BI21),AR21*$BI21),0)</f>
        <v>0</v>
      </c>
      <c r="CV21" s="311">
        <f>IF($BI21&lt;&gt;"",IF('Capacity summary'!$D$14="Yes",IF(COUNTBLANK('Capacity summary'!$H140:$BG140)&lt;52,IF('Capacity summary'!AS140&lt;&gt;"",IF(LOWER('Capacity summary'!AS140)="x",$BI21*AS21,VALUE('Capacity summary'!AS140)),0),AS21*$BI21),AS21*$BI21),0)</f>
        <v>0</v>
      </c>
      <c r="CW21" s="311">
        <f>IF($BI21&lt;&gt;"",IF('Capacity summary'!$D$14="Yes",IF(COUNTBLANK('Capacity summary'!$H140:$BG140)&lt;52,IF('Capacity summary'!AT140&lt;&gt;"",IF(LOWER('Capacity summary'!AT140)="x",$BI21*AT21,VALUE('Capacity summary'!AT140)),0),AT21*$BI21),AT21*$BI21),0)</f>
        <v>0</v>
      </c>
      <c r="CX21" s="311">
        <f>IF($BI21&lt;&gt;"",IF('Capacity summary'!$D$14="Yes",IF(COUNTBLANK('Capacity summary'!$H140:$BG140)&lt;52,IF('Capacity summary'!AU140&lt;&gt;"",IF(LOWER('Capacity summary'!AU140)="x",$BI21*AU21,VALUE('Capacity summary'!AU140)),0),AU21*$BI21),AU21*$BI21),0)</f>
        <v>0</v>
      </c>
      <c r="CY21" s="311">
        <f>IF($BI21&lt;&gt;"",IF('Capacity summary'!$D$14="Yes",IF(COUNTBLANK('Capacity summary'!$H140:$BG140)&lt;52,IF('Capacity summary'!AV140&lt;&gt;"",IF(LOWER('Capacity summary'!AV140)="x",$BI21*AV21,VALUE('Capacity summary'!AV140)),0),AV21*$BI21),AV21*$BI21),0)</f>
        <v>0</v>
      </c>
      <c r="CZ21" s="311">
        <f>IF($BI21&lt;&gt;"",IF('Capacity summary'!$D$14="Yes",IF(COUNTBLANK('Capacity summary'!$H140:$BG140)&lt;52,IF('Capacity summary'!AW140&lt;&gt;"",IF(LOWER('Capacity summary'!AW140)="x",$BI21*AW21,VALUE('Capacity summary'!AW140)),0),AW21*$BI21),AW21*$BI21),0)</f>
        <v>0</v>
      </c>
      <c r="DA21" s="311">
        <f>IF($BI21&lt;&gt;"",IF('Capacity summary'!$D$14="Yes",IF(COUNTBLANK('Capacity summary'!$H140:$BG140)&lt;52,IF('Capacity summary'!AX140&lt;&gt;"",IF(LOWER('Capacity summary'!AX140)="x",$BI21*AX21,VALUE('Capacity summary'!AX140)),0),AX21*$BI21),AX21*$BI21),0)</f>
        <v>0</v>
      </c>
      <c r="DB21" s="311">
        <f>IF($BI21&lt;&gt;"",IF('Capacity summary'!$D$14="Yes",IF(COUNTBLANK('Capacity summary'!$H140:$BG140)&lt;52,IF('Capacity summary'!AY140&lt;&gt;"",IF(LOWER('Capacity summary'!AY140)="x",$BI21*AY21,VALUE('Capacity summary'!AY140)),0),AY21*$BI21),AY21*$BI21),0)</f>
        <v>0</v>
      </c>
      <c r="DC21" s="311">
        <f>IF($BI21&lt;&gt;"",IF('Capacity summary'!$D$14="Yes",IF(COUNTBLANK('Capacity summary'!$H140:$BG140)&lt;52,IF('Capacity summary'!AZ140&lt;&gt;"",IF(LOWER('Capacity summary'!AZ140)="x",$BI21*AZ21,VALUE('Capacity summary'!AZ140)),0),AZ21*$BI21),AZ21*$BI21),0)</f>
        <v>0</v>
      </c>
      <c r="DD21" s="311">
        <f>IF($BI21&lt;&gt;"",IF('Capacity summary'!$D$14="Yes",IF(COUNTBLANK('Capacity summary'!$H140:$BG140)&lt;52,IF('Capacity summary'!BA140&lt;&gt;"",IF(LOWER('Capacity summary'!BA140)="x",$BI21*BA21,VALUE('Capacity summary'!BA140)),0),BA21*$BI21),BA21*$BI21),0)</f>
        <v>0</v>
      </c>
      <c r="DE21" s="311">
        <f>IF($BI21&lt;&gt;"",IF('Capacity summary'!$D$14="Yes",IF(COUNTBLANK('Capacity summary'!$H140:$BG140)&lt;52,IF('Capacity summary'!BB140&lt;&gt;"",IF(LOWER('Capacity summary'!BB140)="x",$BI21*BB21,VALUE('Capacity summary'!BB140)),0),BB21*$BI21),BB21*$BI21),0)</f>
        <v>0</v>
      </c>
      <c r="DF21" s="311">
        <f>IF($BI21&lt;&gt;"",IF('Capacity summary'!$D$14="Yes",IF(COUNTBLANK('Capacity summary'!$H140:$BG140)&lt;52,IF('Capacity summary'!BC140&lt;&gt;"",IF(LOWER('Capacity summary'!BC140)="x",$BI21*BC21,VALUE('Capacity summary'!BC140)),0),BC21*$BI21),BC21*$BI21),0)</f>
        <v>0</v>
      </c>
      <c r="DG21" s="311">
        <f>IF($BI21&lt;&gt;"",IF('Capacity summary'!$D$14="Yes",IF(COUNTBLANK('Capacity summary'!$H140:$BG140)&lt;52,IF('Capacity summary'!BD140&lt;&gt;"",IF(LOWER('Capacity summary'!BD140)="x",$BI21*BD21,VALUE('Capacity summary'!BD140)),0),BD21*$BI21),BD21*$BI21),0)</f>
        <v>0</v>
      </c>
      <c r="DH21" s="311">
        <f>IF($BI21&lt;&gt;"",IF('Capacity summary'!$D$14="Yes",IF(COUNTBLANK('Capacity summary'!$H140:$BG140)&lt;52,IF('Capacity summary'!BE140&lt;&gt;"",IF(LOWER('Capacity summary'!BE140)="x",$BI21*BE21,VALUE('Capacity summary'!BE140)),0),BE21*$BI21),BE21*$BI21),0)</f>
        <v>0</v>
      </c>
      <c r="DI21" s="311">
        <f>IF($BI21&lt;&gt;"",IF('Capacity summary'!$D$14="Yes",IF(COUNTBLANK('Capacity summary'!$H140:$BG140)&lt;52,IF('Capacity summary'!BF140&lt;&gt;"",IF(LOWER('Capacity summary'!BF140)="x",$BI21*BF21,VALUE('Capacity summary'!BF140)),0),BF21*$BI21),BF21*$BI21),0)</f>
        <v>0</v>
      </c>
      <c r="DJ21" s="311">
        <f>IF($BI21&lt;&gt;"",IF('Capacity summary'!$D$14="Yes",IF(COUNTBLANK('Capacity summary'!$H140:$BG140)&lt;52,IF('Capacity summary'!BG140&lt;&gt;"",IF(LOWER('Capacity summary'!BG140)="x",$BI21*BG21,VALUE('Capacity summary'!BG140)),0),BG21*$BI21),BG21*$BI21),0)</f>
        <v>0</v>
      </c>
      <c r="DK21" s="387">
        <f t="shared" si="2"/>
        <v>0</v>
      </c>
      <c r="DL21" s="136">
        <f t="shared" si="3"/>
        <v>0</v>
      </c>
      <c r="DM21" s="311" t="str">
        <f>Capacity!H33</f>
        <v/>
      </c>
      <c r="DQ21" s="5"/>
    </row>
    <row r="22" spans="1:121" x14ac:dyDescent="0.2">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1">
        <f>IF($BI22&lt;&gt;"",IF('Capacity summary'!$D$14="Yes",IF(COUNTBLANK('Capacity summary'!$H141:$BG141)&lt;52,IF('Capacity summary'!H141&lt;&gt;"",IF(LOWER('Capacity summary'!H141)="x",$BI22*H22,VALUE('Capacity summary'!H141)),0),H22*$BI22),H22*$BI22),0)</f>
        <v>0</v>
      </c>
      <c r="BL22" s="311">
        <f>IF($BI22&lt;&gt;"",IF('Capacity summary'!$D$14="Yes",IF(COUNTBLANK('Capacity summary'!$H141:$BG141)&lt;52,IF('Capacity summary'!I141&lt;&gt;"",IF(LOWER('Capacity summary'!I141)="x",$BI22*I22,VALUE('Capacity summary'!I141)),0),I22*$BI22),I22*$BI22),0)</f>
        <v>0</v>
      </c>
      <c r="BM22" s="311">
        <f>IF($BI22&lt;&gt;"",IF('Capacity summary'!$D$14="Yes",IF(COUNTBLANK('Capacity summary'!$H141:$BG141)&lt;52,IF('Capacity summary'!J141&lt;&gt;"",IF(LOWER('Capacity summary'!J141)="x",$BI22*J22,VALUE('Capacity summary'!J141)),0),J22*$BI22),J22*$BI22),0)</f>
        <v>0</v>
      </c>
      <c r="BN22" s="311">
        <f>IF($BI22&lt;&gt;"",IF('Capacity summary'!$D$14="Yes",IF(COUNTBLANK('Capacity summary'!$H141:$BG141)&lt;52,IF('Capacity summary'!K141&lt;&gt;"",IF(LOWER('Capacity summary'!K141)="x",$BI22*K22,VALUE('Capacity summary'!K141)),0),K22*$BI22),K22*$BI22),0)</f>
        <v>0</v>
      </c>
      <c r="BO22" s="311">
        <f>IF($BI22&lt;&gt;"",IF('Capacity summary'!$D$14="Yes",IF(COUNTBLANK('Capacity summary'!$H141:$BG141)&lt;52,IF('Capacity summary'!L141&lt;&gt;"",IF(LOWER('Capacity summary'!L141)="x",$BI22*L22,VALUE('Capacity summary'!L141)),0),L22*$BI22),L22*$BI22),0)</f>
        <v>0</v>
      </c>
      <c r="BP22" s="311">
        <f>IF($BI22&lt;&gt;"",IF('Capacity summary'!$D$14="Yes",IF(COUNTBLANK('Capacity summary'!$H141:$BG141)&lt;52,IF('Capacity summary'!M141&lt;&gt;"",IF(LOWER('Capacity summary'!M141)="x",$BI22*M22,VALUE('Capacity summary'!M141)),0),M22*$BI22),M22*$BI22),0)</f>
        <v>0</v>
      </c>
      <c r="BQ22" s="311">
        <f>IF($BI22&lt;&gt;"",IF('Capacity summary'!$D$14="Yes",IF(COUNTBLANK('Capacity summary'!$H141:$BG141)&lt;52,IF('Capacity summary'!N141&lt;&gt;"",IF(LOWER('Capacity summary'!N141)="x",$BI22*N22,VALUE('Capacity summary'!N141)),0),N22*$BI22),N22*$BI22),0)</f>
        <v>0</v>
      </c>
      <c r="BR22" s="311">
        <f>IF($BI22&lt;&gt;"",IF('Capacity summary'!$D$14="Yes",IF(COUNTBLANK('Capacity summary'!$H141:$BG141)&lt;52,IF('Capacity summary'!O141&lt;&gt;"",IF(LOWER('Capacity summary'!O141)="x",$BI22*O22,VALUE('Capacity summary'!O141)),0),O22*$BI22),O22*$BI22),0)</f>
        <v>0</v>
      </c>
      <c r="BS22" s="311">
        <f>IF($BI22&lt;&gt;"",IF('Capacity summary'!$D$14="Yes",IF(COUNTBLANK('Capacity summary'!$H141:$BG141)&lt;52,IF('Capacity summary'!P141&lt;&gt;"",IF(LOWER('Capacity summary'!P141)="x",$BI22*P22,VALUE('Capacity summary'!P141)),0),P22*$BI22),P22*$BI22),0)</f>
        <v>0</v>
      </c>
      <c r="BT22" s="311">
        <f>IF($BI22&lt;&gt;"",IF('Capacity summary'!$D$14="Yes",IF(COUNTBLANK('Capacity summary'!$H141:$BG141)&lt;52,IF('Capacity summary'!Q141&lt;&gt;"",IF(LOWER('Capacity summary'!Q141)="x",$BI22*Q22,VALUE('Capacity summary'!Q141)),0),Q22*$BI22),Q22*$BI22),0)</f>
        <v>0</v>
      </c>
      <c r="BU22" s="311">
        <f>IF($BI22&lt;&gt;"",IF('Capacity summary'!$D$14="Yes",IF(COUNTBLANK('Capacity summary'!$H141:$BG141)&lt;52,IF('Capacity summary'!R141&lt;&gt;"",IF(LOWER('Capacity summary'!R141)="x",$BI22*R22,VALUE('Capacity summary'!R141)),0),R22*$BI22),R22*$BI22),0)</f>
        <v>0</v>
      </c>
      <c r="BV22" s="311">
        <f>IF($BI22&lt;&gt;"",IF('Capacity summary'!$D$14="Yes",IF(COUNTBLANK('Capacity summary'!$H141:$BG141)&lt;52,IF('Capacity summary'!S141&lt;&gt;"",IF(LOWER('Capacity summary'!S141)="x",$BI22*S22,VALUE('Capacity summary'!S141)),0),S22*$BI22),S22*$BI22),0)</f>
        <v>0</v>
      </c>
      <c r="BW22" s="311">
        <f>IF($BI22&lt;&gt;"",IF('Capacity summary'!$D$14="Yes",IF(COUNTBLANK('Capacity summary'!$H141:$BG141)&lt;52,IF('Capacity summary'!T141&lt;&gt;"",IF(LOWER('Capacity summary'!T141)="x",$BI22*T22,VALUE('Capacity summary'!T141)),0),T22*$BI22),T22*$BI22),0)</f>
        <v>0</v>
      </c>
      <c r="BX22" s="311">
        <f>IF($BI22&lt;&gt;"",IF('Capacity summary'!$D$14="Yes",IF(COUNTBLANK('Capacity summary'!$H141:$BG141)&lt;52,IF('Capacity summary'!U141&lt;&gt;"",IF(LOWER('Capacity summary'!U141)="x",$BI22*U22,VALUE('Capacity summary'!U141)),0),U22*$BI22),U22*$BI22),0)</f>
        <v>0</v>
      </c>
      <c r="BY22" s="311">
        <f>IF($BI22&lt;&gt;"",IF('Capacity summary'!$D$14="Yes",IF(COUNTBLANK('Capacity summary'!$H141:$BG141)&lt;52,IF('Capacity summary'!V141&lt;&gt;"",IF(LOWER('Capacity summary'!V141)="x",$BI22*V22,VALUE('Capacity summary'!V141)),0),V22*$BI22),V22*$BI22),0)</f>
        <v>0</v>
      </c>
      <c r="BZ22" s="311">
        <f>IF($BI22&lt;&gt;"",IF('Capacity summary'!$D$14="Yes",IF(COUNTBLANK('Capacity summary'!$H141:$BG141)&lt;52,IF('Capacity summary'!W141&lt;&gt;"",IF(LOWER('Capacity summary'!W141)="x",$BI22*W22,VALUE('Capacity summary'!W141)),0),W22*$BI22),W22*$BI22),0)</f>
        <v>0</v>
      </c>
      <c r="CA22" s="311">
        <f>IF($BI22&lt;&gt;"",IF('Capacity summary'!$D$14="Yes",IF(COUNTBLANK('Capacity summary'!$H141:$BG141)&lt;52,IF('Capacity summary'!X141&lt;&gt;"",IF(LOWER('Capacity summary'!X141)="x",$BI22*X22,VALUE('Capacity summary'!X141)),0),X22*$BI22),X22*$BI22),0)</f>
        <v>0</v>
      </c>
      <c r="CB22" s="311">
        <f>IF($BI22&lt;&gt;"",IF('Capacity summary'!$D$14="Yes",IF(COUNTBLANK('Capacity summary'!$H141:$BG141)&lt;52,IF('Capacity summary'!Y141&lt;&gt;"",IF(LOWER('Capacity summary'!Y141)="x",$BI22*Y22,VALUE('Capacity summary'!Y141)),0),Y22*$BI22),Y22*$BI22),0)</f>
        <v>0</v>
      </c>
      <c r="CC22" s="311">
        <f>IF($BI22&lt;&gt;"",IF('Capacity summary'!$D$14="Yes",IF(COUNTBLANK('Capacity summary'!$H141:$BG141)&lt;52,IF('Capacity summary'!Z141&lt;&gt;"",IF(LOWER('Capacity summary'!Z141)="x",$BI22*Z22,VALUE('Capacity summary'!Z141)),0),Z22*$BI22),Z22*$BI22),0)</f>
        <v>0</v>
      </c>
      <c r="CD22" s="311">
        <f>IF($BI22&lt;&gt;"",IF('Capacity summary'!$D$14="Yes",IF(COUNTBLANK('Capacity summary'!$H141:$BG141)&lt;52,IF('Capacity summary'!AA141&lt;&gt;"",IF(LOWER('Capacity summary'!AA141)="x",$BI22*AA22,VALUE('Capacity summary'!AA141)),0),AA22*$BI22),AA22*$BI22),0)</f>
        <v>0</v>
      </c>
      <c r="CE22" s="311">
        <f>IF($BI22&lt;&gt;"",IF('Capacity summary'!$D$14="Yes",IF(COUNTBLANK('Capacity summary'!$H141:$BG141)&lt;52,IF('Capacity summary'!AB141&lt;&gt;"",IF(LOWER('Capacity summary'!AB141)="x",$BI22*AB22,VALUE('Capacity summary'!AB141)),0),AB22*$BI22),AB22*$BI22),0)</f>
        <v>0</v>
      </c>
      <c r="CF22" s="311">
        <f>IF($BI22&lt;&gt;"",IF('Capacity summary'!$D$14="Yes",IF(COUNTBLANK('Capacity summary'!$H141:$BG141)&lt;52,IF('Capacity summary'!AC141&lt;&gt;"",IF(LOWER('Capacity summary'!AC141)="x",$BI22*AC22,VALUE('Capacity summary'!AC141)),0),AC22*$BI22),AC22*$BI22),0)</f>
        <v>0</v>
      </c>
      <c r="CG22" s="311">
        <f>IF($BI22&lt;&gt;"",IF('Capacity summary'!$D$14="Yes",IF(COUNTBLANK('Capacity summary'!$H141:$BG141)&lt;52,IF('Capacity summary'!AD141&lt;&gt;"",IF(LOWER('Capacity summary'!AD141)="x",$BI22*AD22,VALUE('Capacity summary'!AD141)),0),AD22*$BI22),AD22*$BI22),0)</f>
        <v>0</v>
      </c>
      <c r="CH22" s="311">
        <f>IF($BI22&lt;&gt;"",IF('Capacity summary'!$D$14="Yes",IF(COUNTBLANK('Capacity summary'!$H141:$BG141)&lt;52,IF('Capacity summary'!AE141&lt;&gt;"",IF(LOWER('Capacity summary'!AE141)="x",$BI22*AE22,VALUE('Capacity summary'!AE141)),0),AE22*$BI22),AE22*$BI22),0)</f>
        <v>0</v>
      </c>
      <c r="CI22" s="311">
        <f>IF($BI22&lt;&gt;"",IF('Capacity summary'!$D$14="Yes",IF(COUNTBLANK('Capacity summary'!$H141:$BG141)&lt;52,IF('Capacity summary'!AF141&lt;&gt;"",IF(LOWER('Capacity summary'!AF141)="x",$BI22*AF22,VALUE('Capacity summary'!AF141)),0),AF22*$BI22),AF22*$BI22),0)</f>
        <v>0</v>
      </c>
      <c r="CJ22" s="311">
        <f>IF($BI22&lt;&gt;"",IF('Capacity summary'!$D$14="Yes",IF(COUNTBLANK('Capacity summary'!$H141:$BG141)&lt;52,IF('Capacity summary'!AG141&lt;&gt;"",IF(LOWER('Capacity summary'!AG141)="x",$BI22*AG22,VALUE('Capacity summary'!AG141)),0),AG22*$BI22),AG22*$BI22),0)</f>
        <v>0</v>
      </c>
      <c r="CK22" s="311">
        <f>IF($BI22&lt;&gt;"",IF('Capacity summary'!$D$14="Yes",IF(COUNTBLANK('Capacity summary'!$H141:$BG141)&lt;52,IF('Capacity summary'!AH141&lt;&gt;"",IF(LOWER('Capacity summary'!AH141)="x",$BI22*AH22,VALUE('Capacity summary'!AH141)),0),AH22*$BI22),AH22*$BI22),0)</f>
        <v>0</v>
      </c>
      <c r="CL22" s="311">
        <f>IF($BI22&lt;&gt;"",IF('Capacity summary'!$D$14="Yes",IF(COUNTBLANK('Capacity summary'!$H141:$BG141)&lt;52,IF('Capacity summary'!AI141&lt;&gt;"",IF(LOWER('Capacity summary'!AI141)="x",$BI22*AI22,VALUE('Capacity summary'!AI141)),0),AI22*$BI22),AI22*$BI22),0)</f>
        <v>0</v>
      </c>
      <c r="CM22" s="311">
        <f>IF($BI22&lt;&gt;"",IF('Capacity summary'!$D$14="Yes",IF(COUNTBLANK('Capacity summary'!$H141:$BG141)&lt;52,IF('Capacity summary'!AJ141&lt;&gt;"",IF(LOWER('Capacity summary'!AJ141)="x",$BI22*AJ22,VALUE('Capacity summary'!AJ141)),0),AJ22*$BI22),AJ22*$BI22),0)</f>
        <v>0</v>
      </c>
      <c r="CN22" s="311">
        <f>IF($BI22&lt;&gt;"",IF('Capacity summary'!$D$14="Yes",IF(COUNTBLANK('Capacity summary'!$H141:$BG141)&lt;52,IF('Capacity summary'!AK141&lt;&gt;"",IF(LOWER('Capacity summary'!AK141)="x",$BI22*AK22,VALUE('Capacity summary'!AK141)),0),AK22*$BI22),AK22*$BI22),0)</f>
        <v>0</v>
      </c>
      <c r="CO22" s="311">
        <f>IF($BI22&lt;&gt;"",IF('Capacity summary'!$D$14="Yes",IF(COUNTBLANK('Capacity summary'!$H141:$BG141)&lt;52,IF('Capacity summary'!AL141&lt;&gt;"",IF(LOWER('Capacity summary'!AL141)="x",$BI22*AL22,VALUE('Capacity summary'!AL141)),0),AL22*$BI22),AL22*$BI22),0)</f>
        <v>0</v>
      </c>
      <c r="CP22" s="311">
        <f>IF($BI22&lt;&gt;"",IF('Capacity summary'!$D$14="Yes",IF(COUNTBLANK('Capacity summary'!$H141:$BG141)&lt;52,IF('Capacity summary'!AM141&lt;&gt;"",IF(LOWER('Capacity summary'!AM141)="x",$BI22*AM22,VALUE('Capacity summary'!AM141)),0),AM22*$BI22),AM22*$BI22),0)</f>
        <v>0</v>
      </c>
      <c r="CQ22" s="311">
        <f>IF($BI22&lt;&gt;"",IF('Capacity summary'!$D$14="Yes",IF(COUNTBLANK('Capacity summary'!$H141:$BG141)&lt;52,IF('Capacity summary'!AN141&lt;&gt;"",IF(LOWER('Capacity summary'!AN141)="x",$BI22*AN22,VALUE('Capacity summary'!AN141)),0),AN22*$BI22),AN22*$BI22),0)</f>
        <v>0</v>
      </c>
      <c r="CR22" s="311">
        <f>IF($BI22&lt;&gt;"",IF('Capacity summary'!$D$14="Yes",IF(COUNTBLANK('Capacity summary'!$H141:$BG141)&lt;52,IF('Capacity summary'!AO141&lt;&gt;"",IF(LOWER('Capacity summary'!AO141)="x",$BI22*AO22,VALUE('Capacity summary'!AO141)),0),AO22*$BI22),AO22*$BI22),0)</f>
        <v>0</v>
      </c>
      <c r="CS22" s="311">
        <f>IF($BI22&lt;&gt;"",IF('Capacity summary'!$D$14="Yes",IF(COUNTBLANK('Capacity summary'!$H141:$BG141)&lt;52,IF('Capacity summary'!AP141&lt;&gt;"",IF(LOWER('Capacity summary'!AP141)="x",$BI22*AP22,VALUE('Capacity summary'!AP141)),0),AP22*$BI22),AP22*$BI22),0)</f>
        <v>0</v>
      </c>
      <c r="CT22" s="311">
        <f>IF($BI22&lt;&gt;"",IF('Capacity summary'!$D$14="Yes",IF(COUNTBLANK('Capacity summary'!$H141:$BG141)&lt;52,IF('Capacity summary'!AQ141&lt;&gt;"",IF(LOWER('Capacity summary'!AQ141)="x",$BI22*AQ22,VALUE('Capacity summary'!AQ141)),0),AQ22*$BI22),AQ22*$BI22),0)</f>
        <v>0</v>
      </c>
      <c r="CU22" s="311">
        <f>IF($BI22&lt;&gt;"",IF('Capacity summary'!$D$14="Yes",IF(COUNTBLANK('Capacity summary'!$H141:$BG141)&lt;52,IF('Capacity summary'!AR141&lt;&gt;"",IF(LOWER('Capacity summary'!AR141)="x",$BI22*AR22,VALUE('Capacity summary'!AR141)),0),AR22*$BI22),AR22*$BI22),0)</f>
        <v>0</v>
      </c>
      <c r="CV22" s="311">
        <f>IF($BI22&lt;&gt;"",IF('Capacity summary'!$D$14="Yes",IF(COUNTBLANK('Capacity summary'!$H141:$BG141)&lt;52,IF('Capacity summary'!AS141&lt;&gt;"",IF(LOWER('Capacity summary'!AS141)="x",$BI22*AS22,VALUE('Capacity summary'!AS141)),0),AS22*$BI22),AS22*$BI22),0)</f>
        <v>0</v>
      </c>
      <c r="CW22" s="311">
        <f>IF($BI22&lt;&gt;"",IF('Capacity summary'!$D$14="Yes",IF(COUNTBLANK('Capacity summary'!$H141:$BG141)&lt;52,IF('Capacity summary'!AT141&lt;&gt;"",IF(LOWER('Capacity summary'!AT141)="x",$BI22*AT22,VALUE('Capacity summary'!AT141)),0),AT22*$BI22),AT22*$BI22),0)</f>
        <v>0</v>
      </c>
      <c r="CX22" s="311">
        <f>IF($BI22&lt;&gt;"",IF('Capacity summary'!$D$14="Yes",IF(COUNTBLANK('Capacity summary'!$H141:$BG141)&lt;52,IF('Capacity summary'!AU141&lt;&gt;"",IF(LOWER('Capacity summary'!AU141)="x",$BI22*AU22,VALUE('Capacity summary'!AU141)),0),AU22*$BI22),AU22*$BI22),0)</f>
        <v>0</v>
      </c>
      <c r="CY22" s="311">
        <f>IF($BI22&lt;&gt;"",IF('Capacity summary'!$D$14="Yes",IF(COUNTBLANK('Capacity summary'!$H141:$BG141)&lt;52,IF('Capacity summary'!AV141&lt;&gt;"",IF(LOWER('Capacity summary'!AV141)="x",$BI22*AV22,VALUE('Capacity summary'!AV141)),0),AV22*$BI22),AV22*$BI22),0)</f>
        <v>0</v>
      </c>
      <c r="CZ22" s="311">
        <f>IF($BI22&lt;&gt;"",IF('Capacity summary'!$D$14="Yes",IF(COUNTBLANK('Capacity summary'!$H141:$BG141)&lt;52,IF('Capacity summary'!AW141&lt;&gt;"",IF(LOWER('Capacity summary'!AW141)="x",$BI22*AW22,VALUE('Capacity summary'!AW141)),0),AW22*$BI22),AW22*$BI22),0)</f>
        <v>0</v>
      </c>
      <c r="DA22" s="311">
        <f>IF($BI22&lt;&gt;"",IF('Capacity summary'!$D$14="Yes",IF(COUNTBLANK('Capacity summary'!$H141:$BG141)&lt;52,IF('Capacity summary'!AX141&lt;&gt;"",IF(LOWER('Capacity summary'!AX141)="x",$BI22*AX22,VALUE('Capacity summary'!AX141)),0),AX22*$BI22),AX22*$BI22),0)</f>
        <v>0</v>
      </c>
      <c r="DB22" s="311">
        <f>IF($BI22&lt;&gt;"",IF('Capacity summary'!$D$14="Yes",IF(COUNTBLANK('Capacity summary'!$H141:$BG141)&lt;52,IF('Capacity summary'!AY141&lt;&gt;"",IF(LOWER('Capacity summary'!AY141)="x",$BI22*AY22,VALUE('Capacity summary'!AY141)),0),AY22*$BI22),AY22*$BI22),0)</f>
        <v>0</v>
      </c>
      <c r="DC22" s="311">
        <f>IF($BI22&lt;&gt;"",IF('Capacity summary'!$D$14="Yes",IF(COUNTBLANK('Capacity summary'!$H141:$BG141)&lt;52,IF('Capacity summary'!AZ141&lt;&gt;"",IF(LOWER('Capacity summary'!AZ141)="x",$BI22*AZ22,VALUE('Capacity summary'!AZ141)),0),AZ22*$BI22),AZ22*$BI22),0)</f>
        <v>0</v>
      </c>
      <c r="DD22" s="311">
        <f>IF($BI22&lt;&gt;"",IF('Capacity summary'!$D$14="Yes",IF(COUNTBLANK('Capacity summary'!$H141:$BG141)&lt;52,IF('Capacity summary'!BA141&lt;&gt;"",IF(LOWER('Capacity summary'!BA141)="x",$BI22*BA22,VALUE('Capacity summary'!BA141)),0),BA22*$BI22),BA22*$BI22),0)</f>
        <v>0</v>
      </c>
      <c r="DE22" s="311">
        <f>IF($BI22&lt;&gt;"",IF('Capacity summary'!$D$14="Yes",IF(COUNTBLANK('Capacity summary'!$H141:$BG141)&lt;52,IF('Capacity summary'!BB141&lt;&gt;"",IF(LOWER('Capacity summary'!BB141)="x",$BI22*BB22,VALUE('Capacity summary'!BB141)),0),BB22*$BI22),BB22*$BI22),0)</f>
        <v>0</v>
      </c>
      <c r="DF22" s="311">
        <f>IF($BI22&lt;&gt;"",IF('Capacity summary'!$D$14="Yes",IF(COUNTBLANK('Capacity summary'!$H141:$BG141)&lt;52,IF('Capacity summary'!BC141&lt;&gt;"",IF(LOWER('Capacity summary'!BC141)="x",$BI22*BC22,VALUE('Capacity summary'!BC141)),0),BC22*$BI22),BC22*$BI22),0)</f>
        <v>0</v>
      </c>
      <c r="DG22" s="311">
        <f>IF($BI22&lt;&gt;"",IF('Capacity summary'!$D$14="Yes",IF(COUNTBLANK('Capacity summary'!$H141:$BG141)&lt;52,IF('Capacity summary'!BD141&lt;&gt;"",IF(LOWER('Capacity summary'!BD141)="x",$BI22*BD22,VALUE('Capacity summary'!BD141)),0),BD22*$BI22),BD22*$BI22),0)</f>
        <v>0</v>
      </c>
      <c r="DH22" s="311">
        <f>IF($BI22&lt;&gt;"",IF('Capacity summary'!$D$14="Yes",IF(COUNTBLANK('Capacity summary'!$H141:$BG141)&lt;52,IF('Capacity summary'!BE141&lt;&gt;"",IF(LOWER('Capacity summary'!BE141)="x",$BI22*BE22,VALUE('Capacity summary'!BE141)),0),BE22*$BI22),BE22*$BI22),0)</f>
        <v>0</v>
      </c>
      <c r="DI22" s="311">
        <f>IF($BI22&lt;&gt;"",IF('Capacity summary'!$D$14="Yes",IF(COUNTBLANK('Capacity summary'!$H141:$BG141)&lt;52,IF('Capacity summary'!BF141&lt;&gt;"",IF(LOWER('Capacity summary'!BF141)="x",$BI22*BF22,VALUE('Capacity summary'!BF141)),0),BF22*$BI22),BF22*$BI22),0)</f>
        <v>0</v>
      </c>
      <c r="DJ22" s="311">
        <f>IF($BI22&lt;&gt;"",IF('Capacity summary'!$D$14="Yes",IF(COUNTBLANK('Capacity summary'!$H141:$BG141)&lt;52,IF('Capacity summary'!BG141&lt;&gt;"",IF(LOWER('Capacity summary'!BG141)="x",$BI22*BG22,VALUE('Capacity summary'!BG141)),0),BG22*$BI22),BG22*$BI22),0)</f>
        <v>0</v>
      </c>
      <c r="DK22" s="387">
        <f t="shared" si="2"/>
        <v>0</v>
      </c>
      <c r="DL22" s="136">
        <f t="shared" si="3"/>
        <v>0</v>
      </c>
      <c r="DM22" s="311" t="str">
        <f>Capacity!H34</f>
        <v/>
      </c>
      <c r="DQ22" s="5"/>
    </row>
    <row r="23" spans="1:121" x14ac:dyDescent="0.2">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1">
        <f>IF($BI23&lt;&gt;"",IF('Capacity summary'!$D$14="Yes",IF(COUNTBLANK('Capacity summary'!$H142:$BG142)&lt;52,IF('Capacity summary'!H142&lt;&gt;"",IF(LOWER('Capacity summary'!H142)="x",$BI23*H23,VALUE('Capacity summary'!H142)),0),H23*$BI23),H23*$BI23),0)</f>
        <v>0</v>
      </c>
      <c r="BL23" s="311">
        <f>IF($BI23&lt;&gt;"",IF('Capacity summary'!$D$14="Yes",IF(COUNTBLANK('Capacity summary'!$H142:$BG142)&lt;52,IF('Capacity summary'!I142&lt;&gt;"",IF(LOWER('Capacity summary'!I142)="x",$BI23*I23,VALUE('Capacity summary'!I142)),0),I23*$BI23),I23*$BI23),0)</f>
        <v>0</v>
      </c>
      <c r="BM23" s="311">
        <f>IF($BI23&lt;&gt;"",IF('Capacity summary'!$D$14="Yes",IF(COUNTBLANK('Capacity summary'!$H142:$BG142)&lt;52,IF('Capacity summary'!J142&lt;&gt;"",IF(LOWER('Capacity summary'!J142)="x",$BI23*J23,VALUE('Capacity summary'!J142)),0),J23*$BI23),J23*$BI23),0)</f>
        <v>0</v>
      </c>
      <c r="BN23" s="311">
        <f>IF($BI23&lt;&gt;"",IF('Capacity summary'!$D$14="Yes",IF(COUNTBLANK('Capacity summary'!$H142:$BG142)&lt;52,IF('Capacity summary'!K142&lt;&gt;"",IF(LOWER('Capacity summary'!K142)="x",$BI23*K23,VALUE('Capacity summary'!K142)),0),K23*$BI23),K23*$BI23),0)</f>
        <v>0</v>
      </c>
      <c r="BO23" s="311">
        <f>IF($BI23&lt;&gt;"",IF('Capacity summary'!$D$14="Yes",IF(COUNTBLANK('Capacity summary'!$H142:$BG142)&lt;52,IF('Capacity summary'!L142&lt;&gt;"",IF(LOWER('Capacity summary'!L142)="x",$BI23*L23,VALUE('Capacity summary'!L142)),0),L23*$BI23),L23*$BI23),0)</f>
        <v>0</v>
      </c>
      <c r="BP23" s="311">
        <f>IF($BI23&lt;&gt;"",IF('Capacity summary'!$D$14="Yes",IF(COUNTBLANK('Capacity summary'!$H142:$BG142)&lt;52,IF('Capacity summary'!M142&lt;&gt;"",IF(LOWER('Capacity summary'!M142)="x",$BI23*M23,VALUE('Capacity summary'!M142)),0),M23*$BI23),M23*$BI23),0)</f>
        <v>0</v>
      </c>
      <c r="BQ23" s="311">
        <f>IF($BI23&lt;&gt;"",IF('Capacity summary'!$D$14="Yes",IF(COUNTBLANK('Capacity summary'!$H142:$BG142)&lt;52,IF('Capacity summary'!N142&lt;&gt;"",IF(LOWER('Capacity summary'!N142)="x",$BI23*N23,VALUE('Capacity summary'!N142)),0),N23*$BI23),N23*$BI23),0)</f>
        <v>0</v>
      </c>
      <c r="BR23" s="311">
        <f>IF($BI23&lt;&gt;"",IF('Capacity summary'!$D$14="Yes",IF(COUNTBLANK('Capacity summary'!$H142:$BG142)&lt;52,IF('Capacity summary'!O142&lt;&gt;"",IF(LOWER('Capacity summary'!O142)="x",$BI23*O23,VALUE('Capacity summary'!O142)),0),O23*$BI23),O23*$BI23),0)</f>
        <v>0</v>
      </c>
      <c r="BS23" s="311">
        <f>IF($BI23&lt;&gt;"",IF('Capacity summary'!$D$14="Yes",IF(COUNTBLANK('Capacity summary'!$H142:$BG142)&lt;52,IF('Capacity summary'!P142&lt;&gt;"",IF(LOWER('Capacity summary'!P142)="x",$BI23*P23,VALUE('Capacity summary'!P142)),0),P23*$BI23),P23*$BI23),0)</f>
        <v>0</v>
      </c>
      <c r="BT23" s="311">
        <f>IF($BI23&lt;&gt;"",IF('Capacity summary'!$D$14="Yes",IF(COUNTBLANK('Capacity summary'!$H142:$BG142)&lt;52,IF('Capacity summary'!Q142&lt;&gt;"",IF(LOWER('Capacity summary'!Q142)="x",$BI23*Q23,VALUE('Capacity summary'!Q142)),0),Q23*$BI23),Q23*$BI23),0)</f>
        <v>0</v>
      </c>
      <c r="BU23" s="311">
        <f>IF($BI23&lt;&gt;"",IF('Capacity summary'!$D$14="Yes",IF(COUNTBLANK('Capacity summary'!$H142:$BG142)&lt;52,IF('Capacity summary'!R142&lt;&gt;"",IF(LOWER('Capacity summary'!R142)="x",$BI23*R23,VALUE('Capacity summary'!R142)),0),R23*$BI23),R23*$BI23),0)</f>
        <v>0</v>
      </c>
      <c r="BV23" s="311">
        <f>IF($BI23&lt;&gt;"",IF('Capacity summary'!$D$14="Yes",IF(COUNTBLANK('Capacity summary'!$H142:$BG142)&lt;52,IF('Capacity summary'!S142&lt;&gt;"",IF(LOWER('Capacity summary'!S142)="x",$BI23*S23,VALUE('Capacity summary'!S142)),0),S23*$BI23),S23*$BI23),0)</f>
        <v>0</v>
      </c>
      <c r="BW23" s="311">
        <f>IF($BI23&lt;&gt;"",IF('Capacity summary'!$D$14="Yes",IF(COUNTBLANK('Capacity summary'!$H142:$BG142)&lt;52,IF('Capacity summary'!T142&lt;&gt;"",IF(LOWER('Capacity summary'!T142)="x",$BI23*T23,VALUE('Capacity summary'!T142)),0),T23*$BI23),T23*$BI23),0)</f>
        <v>0</v>
      </c>
      <c r="BX23" s="311">
        <f>IF($BI23&lt;&gt;"",IF('Capacity summary'!$D$14="Yes",IF(COUNTBLANK('Capacity summary'!$H142:$BG142)&lt;52,IF('Capacity summary'!U142&lt;&gt;"",IF(LOWER('Capacity summary'!U142)="x",$BI23*U23,VALUE('Capacity summary'!U142)),0),U23*$BI23),U23*$BI23),0)</f>
        <v>0</v>
      </c>
      <c r="BY23" s="311">
        <f>IF($BI23&lt;&gt;"",IF('Capacity summary'!$D$14="Yes",IF(COUNTBLANK('Capacity summary'!$H142:$BG142)&lt;52,IF('Capacity summary'!V142&lt;&gt;"",IF(LOWER('Capacity summary'!V142)="x",$BI23*V23,VALUE('Capacity summary'!V142)),0),V23*$BI23),V23*$BI23),0)</f>
        <v>0</v>
      </c>
      <c r="BZ23" s="311">
        <f>IF($BI23&lt;&gt;"",IF('Capacity summary'!$D$14="Yes",IF(COUNTBLANK('Capacity summary'!$H142:$BG142)&lt;52,IF('Capacity summary'!W142&lt;&gt;"",IF(LOWER('Capacity summary'!W142)="x",$BI23*W23,VALUE('Capacity summary'!W142)),0),W23*$BI23),W23*$BI23),0)</f>
        <v>0</v>
      </c>
      <c r="CA23" s="311">
        <f>IF($BI23&lt;&gt;"",IF('Capacity summary'!$D$14="Yes",IF(COUNTBLANK('Capacity summary'!$H142:$BG142)&lt;52,IF('Capacity summary'!X142&lt;&gt;"",IF(LOWER('Capacity summary'!X142)="x",$BI23*X23,VALUE('Capacity summary'!X142)),0),X23*$BI23),X23*$BI23),0)</f>
        <v>0</v>
      </c>
      <c r="CB23" s="311">
        <f>IF($BI23&lt;&gt;"",IF('Capacity summary'!$D$14="Yes",IF(COUNTBLANK('Capacity summary'!$H142:$BG142)&lt;52,IF('Capacity summary'!Y142&lt;&gt;"",IF(LOWER('Capacity summary'!Y142)="x",$BI23*Y23,VALUE('Capacity summary'!Y142)),0),Y23*$BI23),Y23*$BI23),0)</f>
        <v>0</v>
      </c>
      <c r="CC23" s="311">
        <f>IF($BI23&lt;&gt;"",IF('Capacity summary'!$D$14="Yes",IF(COUNTBLANK('Capacity summary'!$H142:$BG142)&lt;52,IF('Capacity summary'!Z142&lt;&gt;"",IF(LOWER('Capacity summary'!Z142)="x",$BI23*Z23,VALUE('Capacity summary'!Z142)),0),Z23*$BI23),Z23*$BI23),0)</f>
        <v>0</v>
      </c>
      <c r="CD23" s="311">
        <f>IF($BI23&lt;&gt;"",IF('Capacity summary'!$D$14="Yes",IF(COUNTBLANK('Capacity summary'!$H142:$BG142)&lt;52,IF('Capacity summary'!AA142&lt;&gt;"",IF(LOWER('Capacity summary'!AA142)="x",$BI23*AA23,VALUE('Capacity summary'!AA142)),0),AA23*$BI23),AA23*$BI23),0)</f>
        <v>0</v>
      </c>
      <c r="CE23" s="311">
        <f>IF($BI23&lt;&gt;"",IF('Capacity summary'!$D$14="Yes",IF(COUNTBLANK('Capacity summary'!$H142:$BG142)&lt;52,IF('Capacity summary'!AB142&lt;&gt;"",IF(LOWER('Capacity summary'!AB142)="x",$BI23*AB23,VALUE('Capacity summary'!AB142)),0),AB23*$BI23),AB23*$BI23),0)</f>
        <v>0</v>
      </c>
      <c r="CF23" s="311">
        <f>IF($BI23&lt;&gt;"",IF('Capacity summary'!$D$14="Yes",IF(COUNTBLANK('Capacity summary'!$H142:$BG142)&lt;52,IF('Capacity summary'!AC142&lt;&gt;"",IF(LOWER('Capacity summary'!AC142)="x",$BI23*AC23,VALUE('Capacity summary'!AC142)),0),AC23*$BI23),AC23*$BI23),0)</f>
        <v>0</v>
      </c>
      <c r="CG23" s="311">
        <f>IF($BI23&lt;&gt;"",IF('Capacity summary'!$D$14="Yes",IF(COUNTBLANK('Capacity summary'!$H142:$BG142)&lt;52,IF('Capacity summary'!AD142&lt;&gt;"",IF(LOWER('Capacity summary'!AD142)="x",$BI23*AD23,VALUE('Capacity summary'!AD142)),0),AD23*$BI23),AD23*$BI23),0)</f>
        <v>0</v>
      </c>
      <c r="CH23" s="311">
        <f>IF($BI23&lt;&gt;"",IF('Capacity summary'!$D$14="Yes",IF(COUNTBLANK('Capacity summary'!$H142:$BG142)&lt;52,IF('Capacity summary'!AE142&lt;&gt;"",IF(LOWER('Capacity summary'!AE142)="x",$BI23*AE23,VALUE('Capacity summary'!AE142)),0),AE23*$BI23),AE23*$BI23),0)</f>
        <v>0</v>
      </c>
      <c r="CI23" s="311">
        <f>IF($BI23&lt;&gt;"",IF('Capacity summary'!$D$14="Yes",IF(COUNTBLANK('Capacity summary'!$H142:$BG142)&lt;52,IF('Capacity summary'!AF142&lt;&gt;"",IF(LOWER('Capacity summary'!AF142)="x",$BI23*AF23,VALUE('Capacity summary'!AF142)),0),AF23*$BI23),AF23*$BI23),0)</f>
        <v>0</v>
      </c>
      <c r="CJ23" s="311">
        <f>IF($BI23&lt;&gt;"",IF('Capacity summary'!$D$14="Yes",IF(COUNTBLANK('Capacity summary'!$H142:$BG142)&lt;52,IF('Capacity summary'!AG142&lt;&gt;"",IF(LOWER('Capacity summary'!AG142)="x",$BI23*AG23,VALUE('Capacity summary'!AG142)),0),AG23*$BI23),AG23*$BI23),0)</f>
        <v>0</v>
      </c>
      <c r="CK23" s="311">
        <f>IF($BI23&lt;&gt;"",IF('Capacity summary'!$D$14="Yes",IF(COUNTBLANK('Capacity summary'!$H142:$BG142)&lt;52,IF('Capacity summary'!AH142&lt;&gt;"",IF(LOWER('Capacity summary'!AH142)="x",$BI23*AH23,VALUE('Capacity summary'!AH142)),0),AH23*$BI23),AH23*$BI23),0)</f>
        <v>0</v>
      </c>
      <c r="CL23" s="311">
        <f>IF($BI23&lt;&gt;"",IF('Capacity summary'!$D$14="Yes",IF(COUNTBLANK('Capacity summary'!$H142:$BG142)&lt;52,IF('Capacity summary'!AI142&lt;&gt;"",IF(LOWER('Capacity summary'!AI142)="x",$BI23*AI23,VALUE('Capacity summary'!AI142)),0),AI23*$BI23),AI23*$BI23),0)</f>
        <v>0</v>
      </c>
      <c r="CM23" s="311">
        <f>IF($BI23&lt;&gt;"",IF('Capacity summary'!$D$14="Yes",IF(COUNTBLANK('Capacity summary'!$H142:$BG142)&lt;52,IF('Capacity summary'!AJ142&lt;&gt;"",IF(LOWER('Capacity summary'!AJ142)="x",$BI23*AJ23,VALUE('Capacity summary'!AJ142)),0),AJ23*$BI23),AJ23*$BI23),0)</f>
        <v>0</v>
      </c>
      <c r="CN23" s="311">
        <f>IF($BI23&lt;&gt;"",IF('Capacity summary'!$D$14="Yes",IF(COUNTBLANK('Capacity summary'!$H142:$BG142)&lt;52,IF('Capacity summary'!AK142&lt;&gt;"",IF(LOWER('Capacity summary'!AK142)="x",$BI23*AK23,VALUE('Capacity summary'!AK142)),0),AK23*$BI23),AK23*$BI23),0)</f>
        <v>0</v>
      </c>
      <c r="CO23" s="311">
        <f>IF($BI23&lt;&gt;"",IF('Capacity summary'!$D$14="Yes",IF(COUNTBLANK('Capacity summary'!$H142:$BG142)&lt;52,IF('Capacity summary'!AL142&lt;&gt;"",IF(LOWER('Capacity summary'!AL142)="x",$BI23*AL23,VALUE('Capacity summary'!AL142)),0),AL23*$BI23),AL23*$BI23),0)</f>
        <v>0</v>
      </c>
      <c r="CP23" s="311">
        <f>IF($BI23&lt;&gt;"",IF('Capacity summary'!$D$14="Yes",IF(COUNTBLANK('Capacity summary'!$H142:$BG142)&lt;52,IF('Capacity summary'!AM142&lt;&gt;"",IF(LOWER('Capacity summary'!AM142)="x",$BI23*AM23,VALUE('Capacity summary'!AM142)),0),AM23*$BI23),AM23*$BI23),0)</f>
        <v>0</v>
      </c>
      <c r="CQ23" s="311">
        <f>IF($BI23&lt;&gt;"",IF('Capacity summary'!$D$14="Yes",IF(COUNTBLANK('Capacity summary'!$H142:$BG142)&lt;52,IF('Capacity summary'!AN142&lt;&gt;"",IF(LOWER('Capacity summary'!AN142)="x",$BI23*AN23,VALUE('Capacity summary'!AN142)),0),AN23*$BI23),AN23*$BI23),0)</f>
        <v>0</v>
      </c>
      <c r="CR23" s="311">
        <f>IF($BI23&lt;&gt;"",IF('Capacity summary'!$D$14="Yes",IF(COUNTBLANK('Capacity summary'!$H142:$BG142)&lt;52,IF('Capacity summary'!AO142&lt;&gt;"",IF(LOWER('Capacity summary'!AO142)="x",$BI23*AO23,VALUE('Capacity summary'!AO142)),0),AO23*$BI23),AO23*$BI23),0)</f>
        <v>0</v>
      </c>
      <c r="CS23" s="311">
        <f>IF($BI23&lt;&gt;"",IF('Capacity summary'!$D$14="Yes",IF(COUNTBLANK('Capacity summary'!$H142:$BG142)&lt;52,IF('Capacity summary'!AP142&lt;&gt;"",IF(LOWER('Capacity summary'!AP142)="x",$BI23*AP23,VALUE('Capacity summary'!AP142)),0),AP23*$BI23),AP23*$BI23),0)</f>
        <v>0</v>
      </c>
      <c r="CT23" s="311">
        <f>IF($BI23&lt;&gt;"",IF('Capacity summary'!$D$14="Yes",IF(COUNTBLANK('Capacity summary'!$H142:$BG142)&lt;52,IF('Capacity summary'!AQ142&lt;&gt;"",IF(LOWER('Capacity summary'!AQ142)="x",$BI23*AQ23,VALUE('Capacity summary'!AQ142)),0),AQ23*$BI23),AQ23*$BI23),0)</f>
        <v>0</v>
      </c>
      <c r="CU23" s="311">
        <f>IF($BI23&lt;&gt;"",IF('Capacity summary'!$D$14="Yes",IF(COUNTBLANK('Capacity summary'!$H142:$BG142)&lt;52,IF('Capacity summary'!AR142&lt;&gt;"",IF(LOWER('Capacity summary'!AR142)="x",$BI23*AR23,VALUE('Capacity summary'!AR142)),0),AR23*$BI23),AR23*$BI23),0)</f>
        <v>0</v>
      </c>
      <c r="CV23" s="311">
        <f>IF($BI23&lt;&gt;"",IF('Capacity summary'!$D$14="Yes",IF(COUNTBLANK('Capacity summary'!$H142:$BG142)&lt;52,IF('Capacity summary'!AS142&lt;&gt;"",IF(LOWER('Capacity summary'!AS142)="x",$BI23*AS23,VALUE('Capacity summary'!AS142)),0),AS23*$BI23),AS23*$BI23),0)</f>
        <v>0</v>
      </c>
      <c r="CW23" s="311">
        <f>IF($BI23&lt;&gt;"",IF('Capacity summary'!$D$14="Yes",IF(COUNTBLANK('Capacity summary'!$H142:$BG142)&lt;52,IF('Capacity summary'!AT142&lt;&gt;"",IF(LOWER('Capacity summary'!AT142)="x",$BI23*AT23,VALUE('Capacity summary'!AT142)),0),AT23*$BI23),AT23*$BI23),0)</f>
        <v>0</v>
      </c>
      <c r="CX23" s="311">
        <f>IF($BI23&lt;&gt;"",IF('Capacity summary'!$D$14="Yes",IF(COUNTBLANK('Capacity summary'!$H142:$BG142)&lt;52,IF('Capacity summary'!AU142&lt;&gt;"",IF(LOWER('Capacity summary'!AU142)="x",$BI23*AU23,VALUE('Capacity summary'!AU142)),0),AU23*$BI23),AU23*$BI23),0)</f>
        <v>0</v>
      </c>
      <c r="CY23" s="311">
        <f>IF($BI23&lt;&gt;"",IF('Capacity summary'!$D$14="Yes",IF(COUNTBLANK('Capacity summary'!$H142:$BG142)&lt;52,IF('Capacity summary'!AV142&lt;&gt;"",IF(LOWER('Capacity summary'!AV142)="x",$BI23*AV23,VALUE('Capacity summary'!AV142)),0),AV23*$BI23),AV23*$BI23),0)</f>
        <v>0</v>
      </c>
      <c r="CZ23" s="311">
        <f>IF($BI23&lt;&gt;"",IF('Capacity summary'!$D$14="Yes",IF(COUNTBLANK('Capacity summary'!$H142:$BG142)&lt;52,IF('Capacity summary'!AW142&lt;&gt;"",IF(LOWER('Capacity summary'!AW142)="x",$BI23*AW23,VALUE('Capacity summary'!AW142)),0),AW23*$BI23),AW23*$BI23),0)</f>
        <v>0</v>
      </c>
      <c r="DA23" s="311">
        <f>IF($BI23&lt;&gt;"",IF('Capacity summary'!$D$14="Yes",IF(COUNTBLANK('Capacity summary'!$H142:$BG142)&lt;52,IF('Capacity summary'!AX142&lt;&gt;"",IF(LOWER('Capacity summary'!AX142)="x",$BI23*AX23,VALUE('Capacity summary'!AX142)),0),AX23*$BI23),AX23*$BI23),0)</f>
        <v>0</v>
      </c>
      <c r="DB23" s="311">
        <f>IF($BI23&lt;&gt;"",IF('Capacity summary'!$D$14="Yes",IF(COUNTBLANK('Capacity summary'!$H142:$BG142)&lt;52,IF('Capacity summary'!AY142&lt;&gt;"",IF(LOWER('Capacity summary'!AY142)="x",$BI23*AY23,VALUE('Capacity summary'!AY142)),0),AY23*$BI23),AY23*$BI23),0)</f>
        <v>0</v>
      </c>
      <c r="DC23" s="311">
        <f>IF($BI23&lt;&gt;"",IF('Capacity summary'!$D$14="Yes",IF(COUNTBLANK('Capacity summary'!$H142:$BG142)&lt;52,IF('Capacity summary'!AZ142&lt;&gt;"",IF(LOWER('Capacity summary'!AZ142)="x",$BI23*AZ23,VALUE('Capacity summary'!AZ142)),0),AZ23*$BI23),AZ23*$BI23),0)</f>
        <v>0</v>
      </c>
      <c r="DD23" s="311">
        <f>IF($BI23&lt;&gt;"",IF('Capacity summary'!$D$14="Yes",IF(COUNTBLANK('Capacity summary'!$H142:$BG142)&lt;52,IF('Capacity summary'!BA142&lt;&gt;"",IF(LOWER('Capacity summary'!BA142)="x",$BI23*BA23,VALUE('Capacity summary'!BA142)),0),BA23*$BI23),BA23*$BI23),0)</f>
        <v>0</v>
      </c>
      <c r="DE23" s="311">
        <f>IF($BI23&lt;&gt;"",IF('Capacity summary'!$D$14="Yes",IF(COUNTBLANK('Capacity summary'!$H142:$BG142)&lt;52,IF('Capacity summary'!BB142&lt;&gt;"",IF(LOWER('Capacity summary'!BB142)="x",$BI23*BB23,VALUE('Capacity summary'!BB142)),0),BB23*$BI23),BB23*$BI23),0)</f>
        <v>0</v>
      </c>
      <c r="DF23" s="311">
        <f>IF($BI23&lt;&gt;"",IF('Capacity summary'!$D$14="Yes",IF(COUNTBLANK('Capacity summary'!$H142:$BG142)&lt;52,IF('Capacity summary'!BC142&lt;&gt;"",IF(LOWER('Capacity summary'!BC142)="x",$BI23*BC23,VALUE('Capacity summary'!BC142)),0),BC23*$BI23),BC23*$BI23),0)</f>
        <v>0</v>
      </c>
      <c r="DG23" s="311">
        <f>IF($BI23&lt;&gt;"",IF('Capacity summary'!$D$14="Yes",IF(COUNTBLANK('Capacity summary'!$H142:$BG142)&lt;52,IF('Capacity summary'!BD142&lt;&gt;"",IF(LOWER('Capacity summary'!BD142)="x",$BI23*BD23,VALUE('Capacity summary'!BD142)),0),BD23*$BI23),BD23*$BI23),0)</f>
        <v>0</v>
      </c>
      <c r="DH23" s="311">
        <f>IF($BI23&lt;&gt;"",IF('Capacity summary'!$D$14="Yes",IF(COUNTBLANK('Capacity summary'!$H142:$BG142)&lt;52,IF('Capacity summary'!BE142&lt;&gt;"",IF(LOWER('Capacity summary'!BE142)="x",$BI23*BE23,VALUE('Capacity summary'!BE142)),0),BE23*$BI23),BE23*$BI23),0)</f>
        <v>0</v>
      </c>
      <c r="DI23" s="311">
        <f>IF($BI23&lt;&gt;"",IF('Capacity summary'!$D$14="Yes",IF(COUNTBLANK('Capacity summary'!$H142:$BG142)&lt;52,IF('Capacity summary'!BF142&lt;&gt;"",IF(LOWER('Capacity summary'!BF142)="x",$BI23*BF23,VALUE('Capacity summary'!BF142)),0),BF23*$BI23),BF23*$BI23),0)</f>
        <v>0</v>
      </c>
      <c r="DJ23" s="311">
        <f>IF($BI23&lt;&gt;"",IF('Capacity summary'!$D$14="Yes",IF(COUNTBLANK('Capacity summary'!$H142:$BG142)&lt;52,IF('Capacity summary'!BG142&lt;&gt;"",IF(LOWER('Capacity summary'!BG142)="x",$BI23*BG23,VALUE('Capacity summary'!BG142)),0),BG23*$BI23),BG23*$BI23),0)</f>
        <v>0</v>
      </c>
      <c r="DK23" s="387">
        <f t="shared" si="2"/>
        <v>0</v>
      </c>
      <c r="DL23" s="136">
        <f t="shared" si="3"/>
        <v>0</v>
      </c>
      <c r="DM23" s="311" t="str">
        <f>Capacity!H35</f>
        <v/>
      </c>
      <c r="DQ23" s="5"/>
    </row>
    <row r="24" spans="1:121" x14ac:dyDescent="0.2">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1">
        <f>IF($BI24&lt;&gt;"",IF('Capacity summary'!$D$14="Yes",IF(COUNTBLANK('Capacity summary'!$H143:$BG143)&lt;52,IF('Capacity summary'!H143&lt;&gt;"",IF(LOWER('Capacity summary'!H143)="x",$BI24*H24,VALUE('Capacity summary'!H143)),0),H24*$BI24),H24*$BI24),0)</f>
        <v>0</v>
      </c>
      <c r="BL24" s="311">
        <f>IF($BI24&lt;&gt;"",IF('Capacity summary'!$D$14="Yes",IF(COUNTBLANK('Capacity summary'!$H143:$BG143)&lt;52,IF('Capacity summary'!I143&lt;&gt;"",IF(LOWER('Capacity summary'!I143)="x",$BI24*I24,VALUE('Capacity summary'!I143)),0),I24*$BI24),I24*$BI24),0)</f>
        <v>0</v>
      </c>
      <c r="BM24" s="311">
        <f>IF($BI24&lt;&gt;"",IF('Capacity summary'!$D$14="Yes",IF(COUNTBLANK('Capacity summary'!$H143:$BG143)&lt;52,IF('Capacity summary'!J143&lt;&gt;"",IF(LOWER('Capacity summary'!J143)="x",$BI24*J24,VALUE('Capacity summary'!J143)),0),J24*$BI24),J24*$BI24),0)</f>
        <v>0</v>
      </c>
      <c r="BN24" s="311">
        <f>IF($BI24&lt;&gt;"",IF('Capacity summary'!$D$14="Yes",IF(COUNTBLANK('Capacity summary'!$H143:$BG143)&lt;52,IF('Capacity summary'!K143&lt;&gt;"",IF(LOWER('Capacity summary'!K143)="x",$BI24*K24,VALUE('Capacity summary'!K143)),0),K24*$BI24),K24*$BI24),0)</f>
        <v>0</v>
      </c>
      <c r="BO24" s="311">
        <f>IF($BI24&lt;&gt;"",IF('Capacity summary'!$D$14="Yes",IF(COUNTBLANK('Capacity summary'!$H143:$BG143)&lt;52,IF('Capacity summary'!L143&lt;&gt;"",IF(LOWER('Capacity summary'!L143)="x",$BI24*L24,VALUE('Capacity summary'!L143)),0),L24*$BI24),L24*$BI24),0)</f>
        <v>0</v>
      </c>
      <c r="BP24" s="311">
        <f>IF($BI24&lt;&gt;"",IF('Capacity summary'!$D$14="Yes",IF(COUNTBLANK('Capacity summary'!$H143:$BG143)&lt;52,IF('Capacity summary'!M143&lt;&gt;"",IF(LOWER('Capacity summary'!M143)="x",$BI24*M24,VALUE('Capacity summary'!M143)),0),M24*$BI24),M24*$BI24),0)</f>
        <v>0</v>
      </c>
      <c r="BQ24" s="311">
        <f>IF($BI24&lt;&gt;"",IF('Capacity summary'!$D$14="Yes",IF(COUNTBLANK('Capacity summary'!$H143:$BG143)&lt;52,IF('Capacity summary'!N143&lt;&gt;"",IF(LOWER('Capacity summary'!N143)="x",$BI24*N24,VALUE('Capacity summary'!N143)),0),N24*$BI24),N24*$BI24),0)</f>
        <v>0</v>
      </c>
      <c r="BR24" s="311">
        <f>IF($BI24&lt;&gt;"",IF('Capacity summary'!$D$14="Yes",IF(COUNTBLANK('Capacity summary'!$H143:$BG143)&lt;52,IF('Capacity summary'!O143&lt;&gt;"",IF(LOWER('Capacity summary'!O143)="x",$BI24*O24,VALUE('Capacity summary'!O143)),0),O24*$BI24),O24*$BI24),0)</f>
        <v>0</v>
      </c>
      <c r="BS24" s="311">
        <f>IF($BI24&lt;&gt;"",IF('Capacity summary'!$D$14="Yes",IF(COUNTBLANK('Capacity summary'!$H143:$BG143)&lt;52,IF('Capacity summary'!P143&lt;&gt;"",IF(LOWER('Capacity summary'!P143)="x",$BI24*P24,VALUE('Capacity summary'!P143)),0),P24*$BI24),P24*$BI24),0)</f>
        <v>0</v>
      </c>
      <c r="BT24" s="311">
        <f>IF($BI24&lt;&gt;"",IF('Capacity summary'!$D$14="Yes",IF(COUNTBLANK('Capacity summary'!$H143:$BG143)&lt;52,IF('Capacity summary'!Q143&lt;&gt;"",IF(LOWER('Capacity summary'!Q143)="x",$BI24*Q24,VALUE('Capacity summary'!Q143)),0),Q24*$BI24),Q24*$BI24),0)</f>
        <v>0</v>
      </c>
      <c r="BU24" s="311">
        <f>IF($BI24&lt;&gt;"",IF('Capacity summary'!$D$14="Yes",IF(COUNTBLANK('Capacity summary'!$H143:$BG143)&lt;52,IF('Capacity summary'!R143&lt;&gt;"",IF(LOWER('Capacity summary'!R143)="x",$BI24*R24,VALUE('Capacity summary'!R143)),0),R24*$BI24),R24*$BI24),0)</f>
        <v>0</v>
      </c>
      <c r="BV24" s="311">
        <f>IF($BI24&lt;&gt;"",IF('Capacity summary'!$D$14="Yes",IF(COUNTBLANK('Capacity summary'!$H143:$BG143)&lt;52,IF('Capacity summary'!S143&lt;&gt;"",IF(LOWER('Capacity summary'!S143)="x",$BI24*S24,VALUE('Capacity summary'!S143)),0),S24*$BI24),S24*$BI24),0)</f>
        <v>0</v>
      </c>
      <c r="BW24" s="311">
        <f>IF($BI24&lt;&gt;"",IF('Capacity summary'!$D$14="Yes",IF(COUNTBLANK('Capacity summary'!$H143:$BG143)&lt;52,IF('Capacity summary'!T143&lt;&gt;"",IF(LOWER('Capacity summary'!T143)="x",$BI24*T24,VALUE('Capacity summary'!T143)),0),T24*$BI24),T24*$BI24),0)</f>
        <v>0</v>
      </c>
      <c r="BX24" s="311">
        <f>IF($BI24&lt;&gt;"",IF('Capacity summary'!$D$14="Yes",IF(COUNTBLANK('Capacity summary'!$H143:$BG143)&lt;52,IF('Capacity summary'!U143&lt;&gt;"",IF(LOWER('Capacity summary'!U143)="x",$BI24*U24,VALUE('Capacity summary'!U143)),0),U24*$BI24),U24*$BI24),0)</f>
        <v>0</v>
      </c>
      <c r="BY24" s="311">
        <f>IF($BI24&lt;&gt;"",IF('Capacity summary'!$D$14="Yes",IF(COUNTBLANK('Capacity summary'!$H143:$BG143)&lt;52,IF('Capacity summary'!V143&lt;&gt;"",IF(LOWER('Capacity summary'!V143)="x",$BI24*V24,VALUE('Capacity summary'!V143)),0),V24*$BI24),V24*$BI24),0)</f>
        <v>0</v>
      </c>
      <c r="BZ24" s="311">
        <f>IF($BI24&lt;&gt;"",IF('Capacity summary'!$D$14="Yes",IF(COUNTBLANK('Capacity summary'!$H143:$BG143)&lt;52,IF('Capacity summary'!W143&lt;&gt;"",IF(LOWER('Capacity summary'!W143)="x",$BI24*W24,VALUE('Capacity summary'!W143)),0),W24*$BI24),W24*$BI24),0)</f>
        <v>0</v>
      </c>
      <c r="CA24" s="311">
        <f>IF($BI24&lt;&gt;"",IF('Capacity summary'!$D$14="Yes",IF(COUNTBLANK('Capacity summary'!$H143:$BG143)&lt;52,IF('Capacity summary'!X143&lt;&gt;"",IF(LOWER('Capacity summary'!X143)="x",$BI24*X24,VALUE('Capacity summary'!X143)),0),X24*$BI24),X24*$BI24),0)</f>
        <v>0</v>
      </c>
      <c r="CB24" s="311">
        <f>IF($BI24&lt;&gt;"",IF('Capacity summary'!$D$14="Yes",IF(COUNTBLANK('Capacity summary'!$H143:$BG143)&lt;52,IF('Capacity summary'!Y143&lt;&gt;"",IF(LOWER('Capacity summary'!Y143)="x",$BI24*Y24,VALUE('Capacity summary'!Y143)),0),Y24*$BI24),Y24*$BI24),0)</f>
        <v>0</v>
      </c>
      <c r="CC24" s="311">
        <f>IF($BI24&lt;&gt;"",IF('Capacity summary'!$D$14="Yes",IF(COUNTBLANK('Capacity summary'!$H143:$BG143)&lt;52,IF('Capacity summary'!Z143&lt;&gt;"",IF(LOWER('Capacity summary'!Z143)="x",$BI24*Z24,VALUE('Capacity summary'!Z143)),0),Z24*$BI24),Z24*$BI24),0)</f>
        <v>0</v>
      </c>
      <c r="CD24" s="311">
        <f>IF($BI24&lt;&gt;"",IF('Capacity summary'!$D$14="Yes",IF(COUNTBLANK('Capacity summary'!$H143:$BG143)&lt;52,IF('Capacity summary'!AA143&lt;&gt;"",IF(LOWER('Capacity summary'!AA143)="x",$BI24*AA24,VALUE('Capacity summary'!AA143)),0),AA24*$BI24),AA24*$BI24),0)</f>
        <v>0</v>
      </c>
      <c r="CE24" s="311">
        <f>IF($BI24&lt;&gt;"",IF('Capacity summary'!$D$14="Yes",IF(COUNTBLANK('Capacity summary'!$H143:$BG143)&lt;52,IF('Capacity summary'!AB143&lt;&gt;"",IF(LOWER('Capacity summary'!AB143)="x",$BI24*AB24,VALUE('Capacity summary'!AB143)),0),AB24*$BI24),AB24*$BI24),0)</f>
        <v>0</v>
      </c>
      <c r="CF24" s="311">
        <f>IF($BI24&lt;&gt;"",IF('Capacity summary'!$D$14="Yes",IF(COUNTBLANK('Capacity summary'!$H143:$BG143)&lt;52,IF('Capacity summary'!AC143&lt;&gt;"",IF(LOWER('Capacity summary'!AC143)="x",$BI24*AC24,VALUE('Capacity summary'!AC143)),0),AC24*$BI24),AC24*$BI24),0)</f>
        <v>0</v>
      </c>
      <c r="CG24" s="311">
        <f>IF($BI24&lt;&gt;"",IF('Capacity summary'!$D$14="Yes",IF(COUNTBLANK('Capacity summary'!$H143:$BG143)&lt;52,IF('Capacity summary'!AD143&lt;&gt;"",IF(LOWER('Capacity summary'!AD143)="x",$BI24*AD24,VALUE('Capacity summary'!AD143)),0),AD24*$BI24),AD24*$BI24),0)</f>
        <v>0</v>
      </c>
      <c r="CH24" s="311">
        <f>IF($BI24&lt;&gt;"",IF('Capacity summary'!$D$14="Yes",IF(COUNTBLANK('Capacity summary'!$H143:$BG143)&lt;52,IF('Capacity summary'!AE143&lt;&gt;"",IF(LOWER('Capacity summary'!AE143)="x",$BI24*AE24,VALUE('Capacity summary'!AE143)),0),AE24*$BI24),AE24*$BI24),0)</f>
        <v>0</v>
      </c>
      <c r="CI24" s="311">
        <f>IF($BI24&lt;&gt;"",IF('Capacity summary'!$D$14="Yes",IF(COUNTBLANK('Capacity summary'!$H143:$BG143)&lt;52,IF('Capacity summary'!AF143&lt;&gt;"",IF(LOWER('Capacity summary'!AF143)="x",$BI24*AF24,VALUE('Capacity summary'!AF143)),0),AF24*$BI24),AF24*$BI24),0)</f>
        <v>0</v>
      </c>
      <c r="CJ24" s="311">
        <f>IF($BI24&lt;&gt;"",IF('Capacity summary'!$D$14="Yes",IF(COUNTBLANK('Capacity summary'!$H143:$BG143)&lt;52,IF('Capacity summary'!AG143&lt;&gt;"",IF(LOWER('Capacity summary'!AG143)="x",$BI24*AG24,VALUE('Capacity summary'!AG143)),0),AG24*$BI24),AG24*$BI24),0)</f>
        <v>0</v>
      </c>
      <c r="CK24" s="311">
        <f>IF($BI24&lt;&gt;"",IF('Capacity summary'!$D$14="Yes",IF(COUNTBLANK('Capacity summary'!$H143:$BG143)&lt;52,IF('Capacity summary'!AH143&lt;&gt;"",IF(LOWER('Capacity summary'!AH143)="x",$BI24*AH24,VALUE('Capacity summary'!AH143)),0),AH24*$BI24),AH24*$BI24),0)</f>
        <v>0</v>
      </c>
      <c r="CL24" s="311">
        <f>IF($BI24&lt;&gt;"",IF('Capacity summary'!$D$14="Yes",IF(COUNTBLANK('Capacity summary'!$H143:$BG143)&lt;52,IF('Capacity summary'!AI143&lt;&gt;"",IF(LOWER('Capacity summary'!AI143)="x",$BI24*AI24,VALUE('Capacity summary'!AI143)),0),AI24*$BI24),AI24*$BI24),0)</f>
        <v>0</v>
      </c>
      <c r="CM24" s="311">
        <f>IF($BI24&lt;&gt;"",IF('Capacity summary'!$D$14="Yes",IF(COUNTBLANK('Capacity summary'!$H143:$BG143)&lt;52,IF('Capacity summary'!AJ143&lt;&gt;"",IF(LOWER('Capacity summary'!AJ143)="x",$BI24*AJ24,VALUE('Capacity summary'!AJ143)),0),AJ24*$BI24),AJ24*$BI24),0)</f>
        <v>0</v>
      </c>
      <c r="CN24" s="311">
        <f>IF($BI24&lt;&gt;"",IF('Capacity summary'!$D$14="Yes",IF(COUNTBLANK('Capacity summary'!$H143:$BG143)&lt;52,IF('Capacity summary'!AK143&lt;&gt;"",IF(LOWER('Capacity summary'!AK143)="x",$BI24*AK24,VALUE('Capacity summary'!AK143)),0),AK24*$BI24),AK24*$BI24),0)</f>
        <v>0</v>
      </c>
      <c r="CO24" s="311">
        <f>IF($BI24&lt;&gt;"",IF('Capacity summary'!$D$14="Yes",IF(COUNTBLANK('Capacity summary'!$H143:$BG143)&lt;52,IF('Capacity summary'!AL143&lt;&gt;"",IF(LOWER('Capacity summary'!AL143)="x",$BI24*AL24,VALUE('Capacity summary'!AL143)),0),AL24*$BI24),AL24*$BI24),0)</f>
        <v>0</v>
      </c>
      <c r="CP24" s="311">
        <f>IF($BI24&lt;&gt;"",IF('Capacity summary'!$D$14="Yes",IF(COUNTBLANK('Capacity summary'!$H143:$BG143)&lt;52,IF('Capacity summary'!AM143&lt;&gt;"",IF(LOWER('Capacity summary'!AM143)="x",$BI24*AM24,VALUE('Capacity summary'!AM143)),0),AM24*$BI24),AM24*$BI24),0)</f>
        <v>0</v>
      </c>
      <c r="CQ24" s="311">
        <f>IF($BI24&lt;&gt;"",IF('Capacity summary'!$D$14="Yes",IF(COUNTBLANK('Capacity summary'!$H143:$BG143)&lt;52,IF('Capacity summary'!AN143&lt;&gt;"",IF(LOWER('Capacity summary'!AN143)="x",$BI24*AN24,VALUE('Capacity summary'!AN143)),0),AN24*$BI24),AN24*$BI24),0)</f>
        <v>0</v>
      </c>
      <c r="CR24" s="311">
        <f>IF($BI24&lt;&gt;"",IF('Capacity summary'!$D$14="Yes",IF(COUNTBLANK('Capacity summary'!$H143:$BG143)&lt;52,IF('Capacity summary'!AO143&lt;&gt;"",IF(LOWER('Capacity summary'!AO143)="x",$BI24*AO24,VALUE('Capacity summary'!AO143)),0),AO24*$BI24),AO24*$BI24),0)</f>
        <v>0</v>
      </c>
      <c r="CS24" s="311">
        <f>IF($BI24&lt;&gt;"",IF('Capacity summary'!$D$14="Yes",IF(COUNTBLANK('Capacity summary'!$H143:$BG143)&lt;52,IF('Capacity summary'!AP143&lt;&gt;"",IF(LOWER('Capacity summary'!AP143)="x",$BI24*AP24,VALUE('Capacity summary'!AP143)),0),AP24*$BI24),AP24*$BI24),0)</f>
        <v>0</v>
      </c>
      <c r="CT24" s="311">
        <f>IF($BI24&lt;&gt;"",IF('Capacity summary'!$D$14="Yes",IF(COUNTBLANK('Capacity summary'!$H143:$BG143)&lt;52,IF('Capacity summary'!AQ143&lt;&gt;"",IF(LOWER('Capacity summary'!AQ143)="x",$BI24*AQ24,VALUE('Capacity summary'!AQ143)),0),AQ24*$BI24),AQ24*$BI24),0)</f>
        <v>0</v>
      </c>
      <c r="CU24" s="311">
        <f>IF($BI24&lt;&gt;"",IF('Capacity summary'!$D$14="Yes",IF(COUNTBLANK('Capacity summary'!$H143:$BG143)&lt;52,IF('Capacity summary'!AR143&lt;&gt;"",IF(LOWER('Capacity summary'!AR143)="x",$BI24*AR24,VALUE('Capacity summary'!AR143)),0),AR24*$BI24),AR24*$BI24),0)</f>
        <v>0</v>
      </c>
      <c r="CV24" s="311">
        <f>IF($BI24&lt;&gt;"",IF('Capacity summary'!$D$14="Yes",IF(COUNTBLANK('Capacity summary'!$H143:$BG143)&lt;52,IF('Capacity summary'!AS143&lt;&gt;"",IF(LOWER('Capacity summary'!AS143)="x",$BI24*AS24,VALUE('Capacity summary'!AS143)),0),AS24*$BI24),AS24*$BI24),0)</f>
        <v>0</v>
      </c>
      <c r="CW24" s="311">
        <f>IF($BI24&lt;&gt;"",IF('Capacity summary'!$D$14="Yes",IF(COUNTBLANK('Capacity summary'!$H143:$BG143)&lt;52,IF('Capacity summary'!AT143&lt;&gt;"",IF(LOWER('Capacity summary'!AT143)="x",$BI24*AT24,VALUE('Capacity summary'!AT143)),0),AT24*$BI24),AT24*$BI24),0)</f>
        <v>0</v>
      </c>
      <c r="CX24" s="311">
        <f>IF($BI24&lt;&gt;"",IF('Capacity summary'!$D$14="Yes",IF(COUNTBLANK('Capacity summary'!$H143:$BG143)&lt;52,IF('Capacity summary'!AU143&lt;&gt;"",IF(LOWER('Capacity summary'!AU143)="x",$BI24*AU24,VALUE('Capacity summary'!AU143)),0),AU24*$BI24),AU24*$BI24),0)</f>
        <v>0</v>
      </c>
      <c r="CY24" s="311">
        <f>IF($BI24&lt;&gt;"",IF('Capacity summary'!$D$14="Yes",IF(COUNTBLANK('Capacity summary'!$H143:$BG143)&lt;52,IF('Capacity summary'!AV143&lt;&gt;"",IF(LOWER('Capacity summary'!AV143)="x",$BI24*AV24,VALUE('Capacity summary'!AV143)),0),AV24*$BI24),AV24*$BI24),0)</f>
        <v>0</v>
      </c>
      <c r="CZ24" s="311">
        <f>IF($BI24&lt;&gt;"",IF('Capacity summary'!$D$14="Yes",IF(COUNTBLANK('Capacity summary'!$H143:$BG143)&lt;52,IF('Capacity summary'!AW143&lt;&gt;"",IF(LOWER('Capacity summary'!AW143)="x",$BI24*AW24,VALUE('Capacity summary'!AW143)),0),AW24*$BI24),AW24*$BI24),0)</f>
        <v>0</v>
      </c>
      <c r="DA24" s="311">
        <f>IF($BI24&lt;&gt;"",IF('Capacity summary'!$D$14="Yes",IF(COUNTBLANK('Capacity summary'!$H143:$BG143)&lt;52,IF('Capacity summary'!AX143&lt;&gt;"",IF(LOWER('Capacity summary'!AX143)="x",$BI24*AX24,VALUE('Capacity summary'!AX143)),0),AX24*$BI24),AX24*$BI24),0)</f>
        <v>0</v>
      </c>
      <c r="DB24" s="311">
        <f>IF($BI24&lt;&gt;"",IF('Capacity summary'!$D$14="Yes",IF(COUNTBLANK('Capacity summary'!$H143:$BG143)&lt;52,IF('Capacity summary'!AY143&lt;&gt;"",IF(LOWER('Capacity summary'!AY143)="x",$BI24*AY24,VALUE('Capacity summary'!AY143)),0),AY24*$BI24),AY24*$BI24),0)</f>
        <v>0</v>
      </c>
      <c r="DC24" s="311">
        <f>IF($BI24&lt;&gt;"",IF('Capacity summary'!$D$14="Yes",IF(COUNTBLANK('Capacity summary'!$H143:$BG143)&lt;52,IF('Capacity summary'!AZ143&lt;&gt;"",IF(LOWER('Capacity summary'!AZ143)="x",$BI24*AZ24,VALUE('Capacity summary'!AZ143)),0),AZ24*$BI24),AZ24*$BI24),0)</f>
        <v>0</v>
      </c>
      <c r="DD24" s="311">
        <f>IF($BI24&lt;&gt;"",IF('Capacity summary'!$D$14="Yes",IF(COUNTBLANK('Capacity summary'!$H143:$BG143)&lt;52,IF('Capacity summary'!BA143&lt;&gt;"",IF(LOWER('Capacity summary'!BA143)="x",$BI24*BA24,VALUE('Capacity summary'!BA143)),0),BA24*$BI24),BA24*$BI24),0)</f>
        <v>0</v>
      </c>
      <c r="DE24" s="311">
        <f>IF($BI24&lt;&gt;"",IF('Capacity summary'!$D$14="Yes",IF(COUNTBLANK('Capacity summary'!$H143:$BG143)&lt;52,IF('Capacity summary'!BB143&lt;&gt;"",IF(LOWER('Capacity summary'!BB143)="x",$BI24*BB24,VALUE('Capacity summary'!BB143)),0),BB24*$BI24),BB24*$BI24),0)</f>
        <v>0</v>
      </c>
      <c r="DF24" s="311">
        <f>IF($BI24&lt;&gt;"",IF('Capacity summary'!$D$14="Yes",IF(COUNTBLANK('Capacity summary'!$H143:$BG143)&lt;52,IF('Capacity summary'!BC143&lt;&gt;"",IF(LOWER('Capacity summary'!BC143)="x",$BI24*BC24,VALUE('Capacity summary'!BC143)),0),BC24*$BI24),BC24*$BI24),0)</f>
        <v>0</v>
      </c>
      <c r="DG24" s="311">
        <f>IF($BI24&lt;&gt;"",IF('Capacity summary'!$D$14="Yes",IF(COUNTBLANK('Capacity summary'!$H143:$BG143)&lt;52,IF('Capacity summary'!BD143&lt;&gt;"",IF(LOWER('Capacity summary'!BD143)="x",$BI24*BD24,VALUE('Capacity summary'!BD143)),0),BD24*$BI24),BD24*$BI24),0)</f>
        <v>0</v>
      </c>
      <c r="DH24" s="311">
        <f>IF($BI24&lt;&gt;"",IF('Capacity summary'!$D$14="Yes",IF(COUNTBLANK('Capacity summary'!$H143:$BG143)&lt;52,IF('Capacity summary'!BE143&lt;&gt;"",IF(LOWER('Capacity summary'!BE143)="x",$BI24*BE24,VALUE('Capacity summary'!BE143)),0),BE24*$BI24),BE24*$BI24),0)</f>
        <v>0</v>
      </c>
      <c r="DI24" s="311">
        <f>IF($BI24&lt;&gt;"",IF('Capacity summary'!$D$14="Yes",IF(COUNTBLANK('Capacity summary'!$H143:$BG143)&lt;52,IF('Capacity summary'!BF143&lt;&gt;"",IF(LOWER('Capacity summary'!BF143)="x",$BI24*BF24,VALUE('Capacity summary'!BF143)),0),BF24*$BI24),BF24*$BI24),0)</f>
        <v>0</v>
      </c>
      <c r="DJ24" s="311">
        <f>IF($BI24&lt;&gt;"",IF('Capacity summary'!$D$14="Yes",IF(COUNTBLANK('Capacity summary'!$H143:$BG143)&lt;52,IF('Capacity summary'!BG143&lt;&gt;"",IF(LOWER('Capacity summary'!BG143)="x",$BI24*BG24,VALUE('Capacity summary'!BG143)),0),BG24*$BI24),BG24*$BI24),0)</f>
        <v>0</v>
      </c>
      <c r="DK24" s="387">
        <f t="shared" si="2"/>
        <v>0</v>
      </c>
      <c r="DL24" s="136">
        <f t="shared" si="3"/>
        <v>0</v>
      </c>
      <c r="DM24" s="311" t="str">
        <f>Capacity!H36</f>
        <v/>
      </c>
      <c r="DQ24" s="5"/>
    </row>
    <row r="25" spans="1:121" x14ac:dyDescent="0.2">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1">
        <f>IF($BI25&lt;&gt;"",IF('Capacity summary'!$D$14="Yes",IF(COUNTBLANK('Capacity summary'!$H144:$BG144)&lt;52,IF('Capacity summary'!H144&lt;&gt;"",IF(LOWER('Capacity summary'!H144)="x",$BI25*H25,VALUE('Capacity summary'!H144)),0),H25*$BI25),H25*$BI25),0)</f>
        <v>0</v>
      </c>
      <c r="BL25" s="311">
        <f>IF($BI25&lt;&gt;"",IF('Capacity summary'!$D$14="Yes",IF(COUNTBLANK('Capacity summary'!$H144:$BG144)&lt;52,IF('Capacity summary'!I144&lt;&gt;"",IF(LOWER('Capacity summary'!I144)="x",$BI25*I25,VALUE('Capacity summary'!I144)),0),I25*$BI25),I25*$BI25),0)</f>
        <v>0</v>
      </c>
      <c r="BM25" s="311">
        <f>IF($BI25&lt;&gt;"",IF('Capacity summary'!$D$14="Yes",IF(COUNTBLANK('Capacity summary'!$H144:$BG144)&lt;52,IF('Capacity summary'!J144&lt;&gt;"",IF(LOWER('Capacity summary'!J144)="x",$BI25*J25,VALUE('Capacity summary'!J144)),0),J25*$BI25),J25*$BI25),0)</f>
        <v>0</v>
      </c>
      <c r="BN25" s="311">
        <f>IF($BI25&lt;&gt;"",IF('Capacity summary'!$D$14="Yes",IF(COUNTBLANK('Capacity summary'!$H144:$BG144)&lt;52,IF('Capacity summary'!K144&lt;&gt;"",IF(LOWER('Capacity summary'!K144)="x",$BI25*K25,VALUE('Capacity summary'!K144)),0),K25*$BI25),K25*$BI25),0)</f>
        <v>0</v>
      </c>
      <c r="BO25" s="311">
        <f>IF($BI25&lt;&gt;"",IF('Capacity summary'!$D$14="Yes",IF(COUNTBLANK('Capacity summary'!$H144:$BG144)&lt;52,IF('Capacity summary'!L144&lt;&gt;"",IF(LOWER('Capacity summary'!L144)="x",$BI25*L25,VALUE('Capacity summary'!L144)),0),L25*$BI25),L25*$BI25),0)</f>
        <v>0</v>
      </c>
      <c r="BP25" s="311">
        <f>IF($BI25&lt;&gt;"",IF('Capacity summary'!$D$14="Yes",IF(COUNTBLANK('Capacity summary'!$H144:$BG144)&lt;52,IF('Capacity summary'!M144&lt;&gt;"",IF(LOWER('Capacity summary'!M144)="x",$BI25*M25,VALUE('Capacity summary'!M144)),0),M25*$BI25),M25*$BI25),0)</f>
        <v>0</v>
      </c>
      <c r="BQ25" s="311">
        <f>IF($BI25&lt;&gt;"",IF('Capacity summary'!$D$14="Yes",IF(COUNTBLANK('Capacity summary'!$H144:$BG144)&lt;52,IF('Capacity summary'!N144&lt;&gt;"",IF(LOWER('Capacity summary'!N144)="x",$BI25*N25,VALUE('Capacity summary'!N144)),0),N25*$BI25),N25*$BI25),0)</f>
        <v>0</v>
      </c>
      <c r="BR25" s="311">
        <f>IF($BI25&lt;&gt;"",IF('Capacity summary'!$D$14="Yes",IF(COUNTBLANK('Capacity summary'!$H144:$BG144)&lt;52,IF('Capacity summary'!O144&lt;&gt;"",IF(LOWER('Capacity summary'!O144)="x",$BI25*O25,VALUE('Capacity summary'!O144)),0),O25*$BI25),O25*$BI25),0)</f>
        <v>0</v>
      </c>
      <c r="BS25" s="311">
        <f>IF($BI25&lt;&gt;"",IF('Capacity summary'!$D$14="Yes",IF(COUNTBLANK('Capacity summary'!$H144:$BG144)&lt;52,IF('Capacity summary'!P144&lt;&gt;"",IF(LOWER('Capacity summary'!P144)="x",$BI25*P25,VALUE('Capacity summary'!P144)),0),P25*$BI25),P25*$BI25),0)</f>
        <v>0</v>
      </c>
      <c r="BT25" s="311">
        <f>IF($BI25&lt;&gt;"",IF('Capacity summary'!$D$14="Yes",IF(COUNTBLANK('Capacity summary'!$H144:$BG144)&lt;52,IF('Capacity summary'!Q144&lt;&gt;"",IF(LOWER('Capacity summary'!Q144)="x",$BI25*Q25,VALUE('Capacity summary'!Q144)),0),Q25*$BI25),Q25*$BI25),0)</f>
        <v>0</v>
      </c>
      <c r="BU25" s="311">
        <f>IF($BI25&lt;&gt;"",IF('Capacity summary'!$D$14="Yes",IF(COUNTBLANK('Capacity summary'!$H144:$BG144)&lt;52,IF('Capacity summary'!R144&lt;&gt;"",IF(LOWER('Capacity summary'!R144)="x",$BI25*R25,VALUE('Capacity summary'!R144)),0),R25*$BI25),R25*$BI25),0)</f>
        <v>0</v>
      </c>
      <c r="BV25" s="311">
        <f>IF($BI25&lt;&gt;"",IF('Capacity summary'!$D$14="Yes",IF(COUNTBLANK('Capacity summary'!$H144:$BG144)&lt;52,IF('Capacity summary'!S144&lt;&gt;"",IF(LOWER('Capacity summary'!S144)="x",$BI25*S25,VALUE('Capacity summary'!S144)),0),S25*$BI25),S25*$BI25),0)</f>
        <v>0</v>
      </c>
      <c r="BW25" s="311">
        <f>IF($BI25&lt;&gt;"",IF('Capacity summary'!$D$14="Yes",IF(COUNTBLANK('Capacity summary'!$H144:$BG144)&lt;52,IF('Capacity summary'!T144&lt;&gt;"",IF(LOWER('Capacity summary'!T144)="x",$BI25*T25,VALUE('Capacity summary'!T144)),0),T25*$BI25),T25*$BI25),0)</f>
        <v>0</v>
      </c>
      <c r="BX25" s="311">
        <f>IF($BI25&lt;&gt;"",IF('Capacity summary'!$D$14="Yes",IF(COUNTBLANK('Capacity summary'!$H144:$BG144)&lt;52,IF('Capacity summary'!U144&lt;&gt;"",IF(LOWER('Capacity summary'!U144)="x",$BI25*U25,VALUE('Capacity summary'!U144)),0),U25*$BI25),U25*$BI25),0)</f>
        <v>0</v>
      </c>
      <c r="BY25" s="311">
        <f>IF($BI25&lt;&gt;"",IF('Capacity summary'!$D$14="Yes",IF(COUNTBLANK('Capacity summary'!$H144:$BG144)&lt;52,IF('Capacity summary'!V144&lt;&gt;"",IF(LOWER('Capacity summary'!V144)="x",$BI25*V25,VALUE('Capacity summary'!V144)),0),V25*$BI25),V25*$BI25),0)</f>
        <v>0</v>
      </c>
      <c r="BZ25" s="311">
        <f>IF($BI25&lt;&gt;"",IF('Capacity summary'!$D$14="Yes",IF(COUNTBLANK('Capacity summary'!$H144:$BG144)&lt;52,IF('Capacity summary'!W144&lt;&gt;"",IF(LOWER('Capacity summary'!W144)="x",$BI25*W25,VALUE('Capacity summary'!W144)),0),W25*$BI25),W25*$BI25),0)</f>
        <v>0</v>
      </c>
      <c r="CA25" s="311">
        <f>IF($BI25&lt;&gt;"",IF('Capacity summary'!$D$14="Yes",IF(COUNTBLANK('Capacity summary'!$H144:$BG144)&lt;52,IF('Capacity summary'!X144&lt;&gt;"",IF(LOWER('Capacity summary'!X144)="x",$BI25*X25,VALUE('Capacity summary'!X144)),0),X25*$BI25),X25*$BI25),0)</f>
        <v>0</v>
      </c>
      <c r="CB25" s="311">
        <f>IF($BI25&lt;&gt;"",IF('Capacity summary'!$D$14="Yes",IF(COUNTBLANK('Capacity summary'!$H144:$BG144)&lt;52,IF('Capacity summary'!Y144&lt;&gt;"",IF(LOWER('Capacity summary'!Y144)="x",$BI25*Y25,VALUE('Capacity summary'!Y144)),0),Y25*$BI25),Y25*$BI25),0)</f>
        <v>0</v>
      </c>
      <c r="CC25" s="311">
        <f>IF($BI25&lt;&gt;"",IF('Capacity summary'!$D$14="Yes",IF(COUNTBLANK('Capacity summary'!$H144:$BG144)&lt;52,IF('Capacity summary'!Z144&lt;&gt;"",IF(LOWER('Capacity summary'!Z144)="x",$BI25*Z25,VALUE('Capacity summary'!Z144)),0),Z25*$BI25),Z25*$BI25),0)</f>
        <v>0</v>
      </c>
      <c r="CD25" s="311">
        <f>IF($BI25&lt;&gt;"",IF('Capacity summary'!$D$14="Yes",IF(COUNTBLANK('Capacity summary'!$H144:$BG144)&lt;52,IF('Capacity summary'!AA144&lt;&gt;"",IF(LOWER('Capacity summary'!AA144)="x",$BI25*AA25,VALUE('Capacity summary'!AA144)),0),AA25*$BI25),AA25*$BI25),0)</f>
        <v>0</v>
      </c>
      <c r="CE25" s="311">
        <f>IF($BI25&lt;&gt;"",IF('Capacity summary'!$D$14="Yes",IF(COUNTBLANK('Capacity summary'!$H144:$BG144)&lt;52,IF('Capacity summary'!AB144&lt;&gt;"",IF(LOWER('Capacity summary'!AB144)="x",$BI25*AB25,VALUE('Capacity summary'!AB144)),0),AB25*$BI25),AB25*$BI25),0)</f>
        <v>0</v>
      </c>
      <c r="CF25" s="311">
        <f>IF($BI25&lt;&gt;"",IF('Capacity summary'!$D$14="Yes",IF(COUNTBLANK('Capacity summary'!$H144:$BG144)&lt;52,IF('Capacity summary'!AC144&lt;&gt;"",IF(LOWER('Capacity summary'!AC144)="x",$BI25*AC25,VALUE('Capacity summary'!AC144)),0),AC25*$BI25),AC25*$BI25),0)</f>
        <v>0</v>
      </c>
      <c r="CG25" s="311">
        <f>IF($BI25&lt;&gt;"",IF('Capacity summary'!$D$14="Yes",IF(COUNTBLANK('Capacity summary'!$H144:$BG144)&lt;52,IF('Capacity summary'!AD144&lt;&gt;"",IF(LOWER('Capacity summary'!AD144)="x",$BI25*AD25,VALUE('Capacity summary'!AD144)),0),AD25*$BI25),AD25*$BI25),0)</f>
        <v>0</v>
      </c>
      <c r="CH25" s="311">
        <f>IF($BI25&lt;&gt;"",IF('Capacity summary'!$D$14="Yes",IF(COUNTBLANK('Capacity summary'!$H144:$BG144)&lt;52,IF('Capacity summary'!AE144&lt;&gt;"",IF(LOWER('Capacity summary'!AE144)="x",$BI25*AE25,VALUE('Capacity summary'!AE144)),0),AE25*$BI25),AE25*$BI25),0)</f>
        <v>0</v>
      </c>
      <c r="CI25" s="311">
        <f>IF($BI25&lt;&gt;"",IF('Capacity summary'!$D$14="Yes",IF(COUNTBLANK('Capacity summary'!$H144:$BG144)&lt;52,IF('Capacity summary'!AF144&lt;&gt;"",IF(LOWER('Capacity summary'!AF144)="x",$BI25*AF25,VALUE('Capacity summary'!AF144)),0),AF25*$BI25),AF25*$BI25),0)</f>
        <v>0</v>
      </c>
      <c r="CJ25" s="311">
        <f>IF($BI25&lt;&gt;"",IF('Capacity summary'!$D$14="Yes",IF(COUNTBLANK('Capacity summary'!$H144:$BG144)&lt;52,IF('Capacity summary'!AG144&lt;&gt;"",IF(LOWER('Capacity summary'!AG144)="x",$BI25*AG25,VALUE('Capacity summary'!AG144)),0),AG25*$BI25),AG25*$BI25),0)</f>
        <v>0</v>
      </c>
      <c r="CK25" s="311">
        <f>IF($BI25&lt;&gt;"",IF('Capacity summary'!$D$14="Yes",IF(COUNTBLANK('Capacity summary'!$H144:$BG144)&lt;52,IF('Capacity summary'!AH144&lt;&gt;"",IF(LOWER('Capacity summary'!AH144)="x",$BI25*AH25,VALUE('Capacity summary'!AH144)),0),AH25*$BI25),AH25*$BI25),0)</f>
        <v>0</v>
      </c>
      <c r="CL25" s="311">
        <f>IF($BI25&lt;&gt;"",IF('Capacity summary'!$D$14="Yes",IF(COUNTBLANK('Capacity summary'!$H144:$BG144)&lt;52,IF('Capacity summary'!AI144&lt;&gt;"",IF(LOWER('Capacity summary'!AI144)="x",$BI25*AI25,VALUE('Capacity summary'!AI144)),0),AI25*$BI25),AI25*$BI25),0)</f>
        <v>0</v>
      </c>
      <c r="CM25" s="311">
        <f>IF($BI25&lt;&gt;"",IF('Capacity summary'!$D$14="Yes",IF(COUNTBLANK('Capacity summary'!$H144:$BG144)&lt;52,IF('Capacity summary'!AJ144&lt;&gt;"",IF(LOWER('Capacity summary'!AJ144)="x",$BI25*AJ25,VALUE('Capacity summary'!AJ144)),0),AJ25*$BI25),AJ25*$BI25),0)</f>
        <v>0</v>
      </c>
      <c r="CN25" s="311">
        <f>IF($BI25&lt;&gt;"",IF('Capacity summary'!$D$14="Yes",IF(COUNTBLANK('Capacity summary'!$H144:$BG144)&lt;52,IF('Capacity summary'!AK144&lt;&gt;"",IF(LOWER('Capacity summary'!AK144)="x",$BI25*AK25,VALUE('Capacity summary'!AK144)),0),AK25*$BI25),AK25*$BI25),0)</f>
        <v>0</v>
      </c>
      <c r="CO25" s="311">
        <f>IF($BI25&lt;&gt;"",IF('Capacity summary'!$D$14="Yes",IF(COUNTBLANK('Capacity summary'!$H144:$BG144)&lt;52,IF('Capacity summary'!AL144&lt;&gt;"",IF(LOWER('Capacity summary'!AL144)="x",$BI25*AL25,VALUE('Capacity summary'!AL144)),0),AL25*$BI25),AL25*$BI25),0)</f>
        <v>0</v>
      </c>
      <c r="CP25" s="311">
        <f>IF($BI25&lt;&gt;"",IF('Capacity summary'!$D$14="Yes",IF(COUNTBLANK('Capacity summary'!$H144:$BG144)&lt;52,IF('Capacity summary'!AM144&lt;&gt;"",IF(LOWER('Capacity summary'!AM144)="x",$BI25*AM25,VALUE('Capacity summary'!AM144)),0),AM25*$BI25),AM25*$BI25),0)</f>
        <v>0</v>
      </c>
      <c r="CQ25" s="311">
        <f>IF($BI25&lt;&gt;"",IF('Capacity summary'!$D$14="Yes",IF(COUNTBLANK('Capacity summary'!$H144:$BG144)&lt;52,IF('Capacity summary'!AN144&lt;&gt;"",IF(LOWER('Capacity summary'!AN144)="x",$BI25*AN25,VALUE('Capacity summary'!AN144)),0),AN25*$BI25),AN25*$BI25),0)</f>
        <v>0</v>
      </c>
      <c r="CR25" s="311">
        <f>IF($BI25&lt;&gt;"",IF('Capacity summary'!$D$14="Yes",IF(COUNTBLANK('Capacity summary'!$H144:$BG144)&lt;52,IF('Capacity summary'!AO144&lt;&gt;"",IF(LOWER('Capacity summary'!AO144)="x",$BI25*AO25,VALUE('Capacity summary'!AO144)),0),AO25*$BI25),AO25*$BI25),0)</f>
        <v>0</v>
      </c>
      <c r="CS25" s="311">
        <f>IF($BI25&lt;&gt;"",IF('Capacity summary'!$D$14="Yes",IF(COUNTBLANK('Capacity summary'!$H144:$BG144)&lt;52,IF('Capacity summary'!AP144&lt;&gt;"",IF(LOWER('Capacity summary'!AP144)="x",$BI25*AP25,VALUE('Capacity summary'!AP144)),0),AP25*$BI25),AP25*$BI25),0)</f>
        <v>0</v>
      </c>
      <c r="CT25" s="311">
        <f>IF($BI25&lt;&gt;"",IF('Capacity summary'!$D$14="Yes",IF(COUNTBLANK('Capacity summary'!$H144:$BG144)&lt;52,IF('Capacity summary'!AQ144&lt;&gt;"",IF(LOWER('Capacity summary'!AQ144)="x",$BI25*AQ25,VALUE('Capacity summary'!AQ144)),0),AQ25*$BI25),AQ25*$BI25),0)</f>
        <v>0</v>
      </c>
      <c r="CU25" s="311">
        <f>IF($BI25&lt;&gt;"",IF('Capacity summary'!$D$14="Yes",IF(COUNTBLANK('Capacity summary'!$H144:$BG144)&lt;52,IF('Capacity summary'!AR144&lt;&gt;"",IF(LOWER('Capacity summary'!AR144)="x",$BI25*AR25,VALUE('Capacity summary'!AR144)),0),AR25*$BI25),AR25*$BI25),0)</f>
        <v>0</v>
      </c>
      <c r="CV25" s="311">
        <f>IF($BI25&lt;&gt;"",IF('Capacity summary'!$D$14="Yes",IF(COUNTBLANK('Capacity summary'!$H144:$BG144)&lt;52,IF('Capacity summary'!AS144&lt;&gt;"",IF(LOWER('Capacity summary'!AS144)="x",$BI25*AS25,VALUE('Capacity summary'!AS144)),0),AS25*$BI25),AS25*$BI25),0)</f>
        <v>0</v>
      </c>
      <c r="CW25" s="311">
        <f>IF($BI25&lt;&gt;"",IF('Capacity summary'!$D$14="Yes",IF(COUNTBLANK('Capacity summary'!$H144:$BG144)&lt;52,IF('Capacity summary'!AT144&lt;&gt;"",IF(LOWER('Capacity summary'!AT144)="x",$BI25*AT25,VALUE('Capacity summary'!AT144)),0),AT25*$BI25),AT25*$BI25),0)</f>
        <v>0</v>
      </c>
      <c r="CX25" s="311">
        <f>IF($BI25&lt;&gt;"",IF('Capacity summary'!$D$14="Yes",IF(COUNTBLANK('Capacity summary'!$H144:$BG144)&lt;52,IF('Capacity summary'!AU144&lt;&gt;"",IF(LOWER('Capacity summary'!AU144)="x",$BI25*AU25,VALUE('Capacity summary'!AU144)),0),AU25*$BI25),AU25*$BI25),0)</f>
        <v>0</v>
      </c>
      <c r="CY25" s="311">
        <f>IF($BI25&lt;&gt;"",IF('Capacity summary'!$D$14="Yes",IF(COUNTBLANK('Capacity summary'!$H144:$BG144)&lt;52,IF('Capacity summary'!AV144&lt;&gt;"",IF(LOWER('Capacity summary'!AV144)="x",$BI25*AV25,VALUE('Capacity summary'!AV144)),0),AV25*$BI25),AV25*$BI25),0)</f>
        <v>0</v>
      </c>
      <c r="CZ25" s="311">
        <f>IF($BI25&lt;&gt;"",IF('Capacity summary'!$D$14="Yes",IF(COUNTBLANK('Capacity summary'!$H144:$BG144)&lt;52,IF('Capacity summary'!AW144&lt;&gt;"",IF(LOWER('Capacity summary'!AW144)="x",$BI25*AW25,VALUE('Capacity summary'!AW144)),0),AW25*$BI25),AW25*$BI25),0)</f>
        <v>0</v>
      </c>
      <c r="DA25" s="311">
        <f>IF($BI25&lt;&gt;"",IF('Capacity summary'!$D$14="Yes",IF(COUNTBLANK('Capacity summary'!$H144:$BG144)&lt;52,IF('Capacity summary'!AX144&lt;&gt;"",IF(LOWER('Capacity summary'!AX144)="x",$BI25*AX25,VALUE('Capacity summary'!AX144)),0),AX25*$BI25),AX25*$BI25),0)</f>
        <v>0</v>
      </c>
      <c r="DB25" s="311">
        <f>IF($BI25&lt;&gt;"",IF('Capacity summary'!$D$14="Yes",IF(COUNTBLANK('Capacity summary'!$H144:$BG144)&lt;52,IF('Capacity summary'!AY144&lt;&gt;"",IF(LOWER('Capacity summary'!AY144)="x",$BI25*AY25,VALUE('Capacity summary'!AY144)),0),AY25*$BI25),AY25*$BI25),0)</f>
        <v>0</v>
      </c>
      <c r="DC25" s="311">
        <f>IF($BI25&lt;&gt;"",IF('Capacity summary'!$D$14="Yes",IF(COUNTBLANK('Capacity summary'!$H144:$BG144)&lt;52,IF('Capacity summary'!AZ144&lt;&gt;"",IF(LOWER('Capacity summary'!AZ144)="x",$BI25*AZ25,VALUE('Capacity summary'!AZ144)),0),AZ25*$BI25),AZ25*$BI25),0)</f>
        <v>0</v>
      </c>
      <c r="DD25" s="311">
        <f>IF($BI25&lt;&gt;"",IF('Capacity summary'!$D$14="Yes",IF(COUNTBLANK('Capacity summary'!$H144:$BG144)&lt;52,IF('Capacity summary'!BA144&lt;&gt;"",IF(LOWER('Capacity summary'!BA144)="x",$BI25*BA25,VALUE('Capacity summary'!BA144)),0),BA25*$BI25),BA25*$BI25),0)</f>
        <v>0</v>
      </c>
      <c r="DE25" s="311">
        <f>IF($BI25&lt;&gt;"",IF('Capacity summary'!$D$14="Yes",IF(COUNTBLANK('Capacity summary'!$H144:$BG144)&lt;52,IF('Capacity summary'!BB144&lt;&gt;"",IF(LOWER('Capacity summary'!BB144)="x",$BI25*BB25,VALUE('Capacity summary'!BB144)),0),BB25*$BI25),BB25*$BI25),0)</f>
        <v>0</v>
      </c>
      <c r="DF25" s="311">
        <f>IF($BI25&lt;&gt;"",IF('Capacity summary'!$D$14="Yes",IF(COUNTBLANK('Capacity summary'!$H144:$BG144)&lt;52,IF('Capacity summary'!BC144&lt;&gt;"",IF(LOWER('Capacity summary'!BC144)="x",$BI25*BC25,VALUE('Capacity summary'!BC144)),0),BC25*$BI25),BC25*$BI25),0)</f>
        <v>0</v>
      </c>
      <c r="DG25" s="311">
        <f>IF($BI25&lt;&gt;"",IF('Capacity summary'!$D$14="Yes",IF(COUNTBLANK('Capacity summary'!$H144:$BG144)&lt;52,IF('Capacity summary'!BD144&lt;&gt;"",IF(LOWER('Capacity summary'!BD144)="x",$BI25*BD25,VALUE('Capacity summary'!BD144)),0),BD25*$BI25),BD25*$BI25),0)</f>
        <v>0</v>
      </c>
      <c r="DH25" s="311">
        <f>IF($BI25&lt;&gt;"",IF('Capacity summary'!$D$14="Yes",IF(COUNTBLANK('Capacity summary'!$H144:$BG144)&lt;52,IF('Capacity summary'!BE144&lt;&gt;"",IF(LOWER('Capacity summary'!BE144)="x",$BI25*BE25,VALUE('Capacity summary'!BE144)),0),BE25*$BI25),BE25*$BI25),0)</f>
        <v>0</v>
      </c>
      <c r="DI25" s="311">
        <f>IF($BI25&lt;&gt;"",IF('Capacity summary'!$D$14="Yes",IF(COUNTBLANK('Capacity summary'!$H144:$BG144)&lt;52,IF('Capacity summary'!BF144&lt;&gt;"",IF(LOWER('Capacity summary'!BF144)="x",$BI25*BF25,VALUE('Capacity summary'!BF144)),0),BF25*$BI25),BF25*$BI25),0)</f>
        <v>0</v>
      </c>
      <c r="DJ25" s="311">
        <f>IF($BI25&lt;&gt;"",IF('Capacity summary'!$D$14="Yes",IF(COUNTBLANK('Capacity summary'!$H144:$BG144)&lt;52,IF('Capacity summary'!BG144&lt;&gt;"",IF(LOWER('Capacity summary'!BG144)="x",$BI25*BG25,VALUE('Capacity summary'!BG144)),0),BG25*$BI25),BG25*$BI25),0)</f>
        <v>0</v>
      </c>
      <c r="DK25" s="387">
        <f t="shared" si="2"/>
        <v>0</v>
      </c>
      <c r="DL25" s="136">
        <f t="shared" si="3"/>
        <v>0</v>
      </c>
      <c r="DM25" s="311" t="str">
        <f>Capacity!H37</f>
        <v/>
      </c>
      <c r="DQ25" s="5"/>
    </row>
    <row r="26" spans="1:121" x14ac:dyDescent="0.2">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1">
        <f>IF($BI26&lt;&gt;"",IF('Capacity summary'!$D$14="Yes",IF(COUNTBLANK('Capacity summary'!$H145:$BG145)&lt;52,IF('Capacity summary'!H145&lt;&gt;"",IF(LOWER('Capacity summary'!H145)="x",$BI26*H26,VALUE('Capacity summary'!H145)),0),H26*$BI26),H26*$BI26),0)</f>
        <v>0</v>
      </c>
      <c r="BL26" s="311">
        <f>IF($BI26&lt;&gt;"",IF('Capacity summary'!$D$14="Yes",IF(COUNTBLANK('Capacity summary'!$H145:$BG145)&lt;52,IF('Capacity summary'!I145&lt;&gt;"",IF(LOWER('Capacity summary'!I145)="x",$BI26*I26,VALUE('Capacity summary'!I145)),0),I26*$BI26),I26*$BI26),0)</f>
        <v>0</v>
      </c>
      <c r="BM26" s="311">
        <f>IF($BI26&lt;&gt;"",IF('Capacity summary'!$D$14="Yes",IF(COUNTBLANK('Capacity summary'!$H145:$BG145)&lt;52,IF('Capacity summary'!J145&lt;&gt;"",IF(LOWER('Capacity summary'!J145)="x",$BI26*J26,VALUE('Capacity summary'!J145)),0),J26*$BI26),J26*$BI26),0)</f>
        <v>0</v>
      </c>
      <c r="BN26" s="311">
        <f>IF($BI26&lt;&gt;"",IF('Capacity summary'!$D$14="Yes",IF(COUNTBLANK('Capacity summary'!$H145:$BG145)&lt;52,IF('Capacity summary'!K145&lt;&gt;"",IF(LOWER('Capacity summary'!K145)="x",$BI26*K26,VALUE('Capacity summary'!K145)),0),K26*$BI26),K26*$BI26),0)</f>
        <v>0</v>
      </c>
      <c r="BO26" s="311">
        <f>IF($BI26&lt;&gt;"",IF('Capacity summary'!$D$14="Yes",IF(COUNTBLANK('Capacity summary'!$H145:$BG145)&lt;52,IF('Capacity summary'!L145&lt;&gt;"",IF(LOWER('Capacity summary'!L145)="x",$BI26*L26,VALUE('Capacity summary'!L145)),0),L26*$BI26),L26*$BI26),0)</f>
        <v>0</v>
      </c>
      <c r="BP26" s="311">
        <f>IF($BI26&lt;&gt;"",IF('Capacity summary'!$D$14="Yes",IF(COUNTBLANK('Capacity summary'!$H145:$BG145)&lt;52,IF('Capacity summary'!M145&lt;&gt;"",IF(LOWER('Capacity summary'!M145)="x",$BI26*M26,VALUE('Capacity summary'!M145)),0),M26*$BI26),M26*$BI26),0)</f>
        <v>0</v>
      </c>
      <c r="BQ26" s="311">
        <f>IF($BI26&lt;&gt;"",IF('Capacity summary'!$D$14="Yes",IF(COUNTBLANK('Capacity summary'!$H145:$BG145)&lt;52,IF('Capacity summary'!N145&lt;&gt;"",IF(LOWER('Capacity summary'!N145)="x",$BI26*N26,VALUE('Capacity summary'!N145)),0),N26*$BI26),N26*$BI26),0)</f>
        <v>0</v>
      </c>
      <c r="BR26" s="311">
        <f>IF($BI26&lt;&gt;"",IF('Capacity summary'!$D$14="Yes",IF(COUNTBLANK('Capacity summary'!$H145:$BG145)&lt;52,IF('Capacity summary'!O145&lt;&gt;"",IF(LOWER('Capacity summary'!O145)="x",$BI26*O26,VALUE('Capacity summary'!O145)),0),O26*$BI26),O26*$BI26),0)</f>
        <v>0</v>
      </c>
      <c r="BS26" s="311">
        <f>IF($BI26&lt;&gt;"",IF('Capacity summary'!$D$14="Yes",IF(COUNTBLANK('Capacity summary'!$H145:$BG145)&lt;52,IF('Capacity summary'!P145&lt;&gt;"",IF(LOWER('Capacity summary'!P145)="x",$BI26*P26,VALUE('Capacity summary'!P145)),0),P26*$BI26),P26*$BI26),0)</f>
        <v>0</v>
      </c>
      <c r="BT26" s="311">
        <f>IF($BI26&lt;&gt;"",IF('Capacity summary'!$D$14="Yes",IF(COUNTBLANK('Capacity summary'!$H145:$BG145)&lt;52,IF('Capacity summary'!Q145&lt;&gt;"",IF(LOWER('Capacity summary'!Q145)="x",$BI26*Q26,VALUE('Capacity summary'!Q145)),0),Q26*$BI26),Q26*$BI26),0)</f>
        <v>0</v>
      </c>
      <c r="BU26" s="311">
        <f>IF($BI26&lt;&gt;"",IF('Capacity summary'!$D$14="Yes",IF(COUNTBLANK('Capacity summary'!$H145:$BG145)&lt;52,IF('Capacity summary'!R145&lt;&gt;"",IF(LOWER('Capacity summary'!R145)="x",$BI26*R26,VALUE('Capacity summary'!R145)),0),R26*$BI26),R26*$BI26),0)</f>
        <v>0</v>
      </c>
      <c r="BV26" s="311">
        <f>IF($BI26&lt;&gt;"",IF('Capacity summary'!$D$14="Yes",IF(COUNTBLANK('Capacity summary'!$H145:$BG145)&lt;52,IF('Capacity summary'!S145&lt;&gt;"",IF(LOWER('Capacity summary'!S145)="x",$BI26*S26,VALUE('Capacity summary'!S145)),0),S26*$BI26),S26*$BI26),0)</f>
        <v>0</v>
      </c>
      <c r="BW26" s="311">
        <f>IF($BI26&lt;&gt;"",IF('Capacity summary'!$D$14="Yes",IF(COUNTBLANK('Capacity summary'!$H145:$BG145)&lt;52,IF('Capacity summary'!T145&lt;&gt;"",IF(LOWER('Capacity summary'!T145)="x",$BI26*T26,VALUE('Capacity summary'!T145)),0),T26*$BI26),T26*$BI26),0)</f>
        <v>0</v>
      </c>
      <c r="BX26" s="311">
        <f>IF($BI26&lt;&gt;"",IF('Capacity summary'!$D$14="Yes",IF(COUNTBLANK('Capacity summary'!$H145:$BG145)&lt;52,IF('Capacity summary'!U145&lt;&gt;"",IF(LOWER('Capacity summary'!U145)="x",$BI26*U26,VALUE('Capacity summary'!U145)),0),U26*$BI26),U26*$BI26),0)</f>
        <v>0</v>
      </c>
      <c r="BY26" s="311">
        <f>IF($BI26&lt;&gt;"",IF('Capacity summary'!$D$14="Yes",IF(COUNTBLANK('Capacity summary'!$H145:$BG145)&lt;52,IF('Capacity summary'!V145&lt;&gt;"",IF(LOWER('Capacity summary'!V145)="x",$BI26*V26,VALUE('Capacity summary'!V145)),0),V26*$BI26),V26*$BI26),0)</f>
        <v>0</v>
      </c>
      <c r="BZ26" s="311">
        <f>IF($BI26&lt;&gt;"",IF('Capacity summary'!$D$14="Yes",IF(COUNTBLANK('Capacity summary'!$H145:$BG145)&lt;52,IF('Capacity summary'!W145&lt;&gt;"",IF(LOWER('Capacity summary'!W145)="x",$BI26*W26,VALUE('Capacity summary'!W145)),0),W26*$BI26),W26*$BI26),0)</f>
        <v>0</v>
      </c>
      <c r="CA26" s="311">
        <f>IF($BI26&lt;&gt;"",IF('Capacity summary'!$D$14="Yes",IF(COUNTBLANK('Capacity summary'!$H145:$BG145)&lt;52,IF('Capacity summary'!X145&lt;&gt;"",IF(LOWER('Capacity summary'!X145)="x",$BI26*X26,VALUE('Capacity summary'!X145)),0),X26*$BI26),X26*$BI26),0)</f>
        <v>0</v>
      </c>
      <c r="CB26" s="311">
        <f>IF($BI26&lt;&gt;"",IF('Capacity summary'!$D$14="Yes",IF(COUNTBLANK('Capacity summary'!$H145:$BG145)&lt;52,IF('Capacity summary'!Y145&lt;&gt;"",IF(LOWER('Capacity summary'!Y145)="x",$BI26*Y26,VALUE('Capacity summary'!Y145)),0),Y26*$BI26),Y26*$BI26),0)</f>
        <v>0</v>
      </c>
      <c r="CC26" s="311">
        <f>IF($BI26&lt;&gt;"",IF('Capacity summary'!$D$14="Yes",IF(COUNTBLANK('Capacity summary'!$H145:$BG145)&lt;52,IF('Capacity summary'!Z145&lt;&gt;"",IF(LOWER('Capacity summary'!Z145)="x",$BI26*Z26,VALUE('Capacity summary'!Z145)),0),Z26*$BI26),Z26*$BI26),0)</f>
        <v>0</v>
      </c>
      <c r="CD26" s="311">
        <f>IF($BI26&lt;&gt;"",IF('Capacity summary'!$D$14="Yes",IF(COUNTBLANK('Capacity summary'!$H145:$BG145)&lt;52,IF('Capacity summary'!AA145&lt;&gt;"",IF(LOWER('Capacity summary'!AA145)="x",$BI26*AA26,VALUE('Capacity summary'!AA145)),0),AA26*$BI26),AA26*$BI26),0)</f>
        <v>0</v>
      </c>
      <c r="CE26" s="311">
        <f>IF($BI26&lt;&gt;"",IF('Capacity summary'!$D$14="Yes",IF(COUNTBLANK('Capacity summary'!$H145:$BG145)&lt;52,IF('Capacity summary'!AB145&lt;&gt;"",IF(LOWER('Capacity summary'!AB145)="x",$BI26*AB26,VALUE('Capacity summary'!AB145)),0),AB26*$BI26),AB26*$BI26),0)</f>
        <v>0</v>
      </c>
      <c r="CF26" s="311">
        <f>IF($BI26&lt;&gt;"",IF('Capacity summary'!$D$14="Yes",IF(COUNTBLANK('Capacity summary'!$H145:$BG145)&lt;52,IF('Capacity summary'!AC145&lt;&gt;"",IF(LOWER('Capacity summary'!AC145)="x",$BI26*AC26,VALUE('Capacity summary'!AC145)),0),AC26*$BI26),AC26*$BI26),0)</f>
        <v>0</v>
      </c>
      <c r="CG26" s="311">
        <f>IF($BI26&lt;&gt;"",IF('Capacity summary'!$D$14="Yes",IF(COUNTBLANK('Capacity summary'!$H145:$BG145)&lt;52,IF('Capacity summary'!AD145&lt;&gt;"",IF(LOWER('Capacity summary'!AD145)="x",$BI26*AD26,VALUE('Capacity summary'!AD145)),0),AD26*$BI26),AD26*$BI26),0)</f>
        <v>0</v>
      </c>
      <c r="CH26" s="311">
        <f>IF($BI26&lt;&gt;"",IF('Capacity summary'!$D$14="Yes",IF(COUNTBLANK('Capacity summary'!$H145:$BG145)&lt;52,IF('Capacity summary'!AE145&lt;&gt;"",IF(LOWER('Capacity summary'!AE145)="x",$BI26*AE26,VALUE('Capacity summary'!AE145)),0),AE26*$BI26),AE26*$BI26),0)</f>
        <v>0</v>
      </c>
      <c r="CI26" s="311">
        <f>IF($BI26&lt;&gt;"",IF('Capacity summary'!$D$14="Yes",IF(COUNTBLANK('Capacity summary'!$H145:$BG145)&lt;52,IF('Capacity summary'!AF145&lt;&gt;"",IF(LOWER('Capacity summary'!AF145)="x",$BI26*AF26,VALUE('Capacity summary'!AF145)),0),AF26*$BI26),AF26*$BI26),0)</f>
        <v>0</v>
      </c>
      <c r="CJ26" s="311">
        <f>IF($BI26&lt;&gt;"",IF('Capacity summary'!$D$14="Yes",IF(COUNTBLANK('Capacity summary'!$H145:$BG145)&lt;52,IF('Capacity summary'!AG145&lt;&gt;"",IF(LOWER('Capacity summary'!AG145)="x",$BI26*AG26,VALUE('Capacity summary'!AG145)),0),AG26*$BI26),AG26*$BI26),0)</f>
        <v>0</v>
      </c>
      <c r="CK26" s="311">
        <f>IF($BI26&lt;&gt;"",IF('Capacity summary'!$D$14="Yes",IF(COUNTBLANK('Capacity summary'!$H145:$BG145)&lt;52,IF('Capacity summary'!AH145&lt;&gt;"",IF(LOWER('Capacity summary'!AH145)="x",$BI26*AH26,VALUE('Capacity summary'!AH145)),0),AH26*$BI26),AH26*$BI26),0)</f>
        <v>0</v>
      </c>
      <c r="CL26" s="311">
        <f>IF($BI26&lt;&gt;"",IF('Capacity summary'!$D$14="Yes",IF(COUNTBLANK('Capacity summary'!$H145:$BG145)&lt;52,IF('Capacity summary'!AI145&lt;&gt;"",IF(LOWER('Capacity summary'!AI145)="x",$BI26*AI26,VALUE('Capacity summary'!AI145)),0),AI26*$BI26),AI26*$BI26),0)</f>
        <v>0</v>
      </c>
      <c r="CM26" s="311">
        <f>IF($BI26&lt;&gt;"",IF('Capacity summary'!$D$14="Yes",IF(COUNTBLANK('Capacity summary'!$H145:$BG145)&lt;52,IF('Capacity summary'!AJ145&lt;&gt;"",IF(LOWER('Capacity summary'!AJ145)="x",$BI26*AJ26,VALUE('Capacity summary'!AJ145)),0),AJ26*$BI26),AJ26*$BI26),0)</f>
        <v>0</v>
      </c>
      <c r="CN26" s="311">
        <f>IF($BI26&lt;&gt;"",IF('Capacity summary'!$D$14="Yes",IF(COUNTBLANK('Capacity summary'!$H145:$BG145)&lt;52,IF('Capacity summary'!AK145&lt;&gt;"",IF(LOWER('Capacity summary'!AK145)="x",$BI26*AK26,VALUE('Capacity summary'!AK145)),0),AK26*$BI26),AK26*$BI26),0)</f>
        <v>0</v>
      </c>
      <c r="CO26" s="311">
        <f>IF($BI26&lt;&gt;"",IF('Capacity summary'!$D$14="Yes",IF(COUNTBLANK('Capacity summary'!$H145:$BG145)&lt;52,IF('Capacity summary'!AL145&lt;&gt;"",IF(LOWER('Capacity summary'!AL145)="x",$BI26*AL26,VALUE('Capacity summary'!AL145)),0),AL26*$BI26),AL26*$BI26),0)</f>
        <v>0</v>
      </c>
      <c r="CP26" s="311">
        <f>IF($BI26&lt;&gt;"",IF('Capacity summary'!$D$14="Yes",IF(COUNTBLANK('Capacity summary'!$H145:$BG145)&lt;52,IF('Capacity summary'!AM145&lt;&gt;"",IF(LOWER('Capacity summary'!AM145)="x",$BI26*AM26,VALUE('Capacity summary'!AM145)),0),AM26*$BI26),AM26*$BI26),0)</f>
        <v>0</v>
      </c>
      <c r="CQ26" s="311">
        <f>IF($BI26&lt;&gt;"",IF('Capacity summary'!$D$14="Yes",IF(COUNTBLANK('Capacity summary'!$H145:$BG145)&lt;52,IF('Capacity summary'!AN145&lt;&gt;"",IF(LOWER('Capacity summary'!AN145)="x",$BI26*AN26,VALUE('Capacity summary'!AN145)),0),AN26*$BI26),AN26*$BI26),0)</f>
        <v>0</v>
      </c>
      <c r="CR26" s="311">
        <f>IF($BI26&lt;&gt;"",IF('Capacity summary'!$D$14="Yes",IF(COUNTBLANK('Capacity summary'!$H145:$BG145)&lt;52,IF('Capacity summary'!AO145&lt;&gt;"",IF(LOWER('Capacity summary'!AO145)="x",$BI26*AO26,VALUE('Capacity summary'!AO145)),0),AO26*$BI26),AO26*$BI26),0)</f>
        <v>0</v>
      </c>
      <c r="CS26" s="311">
        <f>IF($BI26&lt;&gt;"",IF('Capacity summary'!$D$14="Yes",IF(COUNTBLANK('Capacity summary'!$H145:$BG145)&lt;52,IF('Capacity summary'!AP145&lt;&gt;"",IF(LOWER('Capacity summary'!AP145)="x",$BI26*AP26,VALUE('Capacity summary'!AP145)),0),AP26*$BI26),AP26*$BI26),0)</f>
        <v>0</v>
      </c>
      <c r="CT26" s="311">
        <f>IF($BI26&lt;&gt;"",IF('Capacity summary'!$D$14="Yes",IF(COUNTBLANK('Capacity summary'!$H145:$BG145)&lt;52,IF('Capacity summary'!AQ145&lt;&gt;"",IF(LOWER('Capacity summary'!AQ145)="x",$BI26*AQ26,VALUE('Capacity summary'!AQ145)),0),AQ26*$BI26),AQ26*$BI26),0)</f>
        <v>0</v>
      </c>
      <c r="CU26" s="311">
        <f>IF($BI26&lt;&gt;"",IF('Capacity summary'!$D$14="Yes",IF(COUNTBLANK('Capacity summary'!$H145:$BG145)&lt;52,IF('Capacity summary'!AR145&lt;&gt;"",IF(LOWER('Capacity summary'!AR145)="x",$BI26*AR26,VALUE('Capacity summary'!AR145)),0),AR26*$BI26),AR26*$BI26),0)</f>
        <v>0</v>
      </c>
      <c r="CV26" s="311">
        <f>IF($BI26&lt;&gt;"",IF('Capacity summary'!$D$14="Yes",IF(COUNTBLANK('Capacity summary'!$H145:$BG145)&lt;52,IF('Capacity summary'!AS145&lt;&gt;"",IF(LOWER('Capacity summary'!AS145)="x",$BI26*AS26,VALUE('Capacity summary'!AS145)),0),AS26*$BI26),AS26*$BI26),0)</f>
        <v>0</v>
      </c>
      <c r="CW26" s="311">
        <f>IF($BI26&lt;&gt;"",IF('Capacity summary'!$D$14="Yes",IF(COUNTBLANK('Capacity summary'!$H145:$BG145)&lt;52,IF('Capacity summary'!AT145&lt;&gt;"",IF(LOWER('Capacity summary'!AT145)="x",$BI26*AT26,VALUE('Capacity summary'!AT145)),0),AT26*$BI26),AT26*$BI26),0)</f>
        <v>0</v>
      </c>
      <c r="CX26" s="311">
        <f>IF($BI26&lt;&gt;"",IF('Capacity summary'!$D$14="Yes",IF(COUNTBLANK('Capacity summary'!$H145:$BG145)&lt;52,IF('Capacity summary'!AU145&lt;&gt;"",IF(LOWER('Capacity summary'!AU145)="x",$BI26*AU26,VALUE('Capacity summary'!AU145)),0),AU26*$BI26),AU26*$BI26),0)</f>
        <v>0</v>
      </c>
      <c r="CY26" s="311">
        <f>IF($BI26&lt;&gt;"",IF('Capacity summary'!$D$14="Yes",IF(COUNTBLANK('Capacity summary'!$H145:$BG145)&lt;52,IF('Capacity summary'!AV145&lt;&gt;"",IF(LOWER('Capacity summary'!AV145)="x",$BI26*AV26,VALUE('Capacity summary'!AV145)),0),AV26*$BI26),AV26*$BI26),0)</f>
        <v>0</v>
      </c>
      <c r="CZ26" s="311">
        <f>IF($BI26&lt;&gt;"",IF('Capacity summary'!$D$14="Yes",IF(COUNTBLANK('Capacity summary'!$H145:$BG145)&lt;52,IF('Capacity summary'!AW145&lt;&gt;"",IF(LOWER('Capacity summary'!AW145)="x",$BI26*AW26,VALUE('Capacity summary'!AW145)),0),AW26*$BI26),AW26*$BI26),0)</f>
        <v>0</v>
      </c>
      <c r="DA26" s="311">
        <f>IF($BI26&lt;&gt;"",IF('Capacity summary'!$D$14="Yes",IF(COUNTBLANK('Capacity summary'!$H145:$BG145)&lt;52,IF('Capacity summary'!AX145&lt;&gt;"",IF(LOWER('Capacity summary'!AX145)="x",$BI26*AX26,VALUE('Capacity summary'!AX145)),0),AX26*$BI26),AX26*$BI26),0)</f>
        <v>0</v>
      </c>
      <c r="DB26" s="311">
        <f>IF($BI26&lt;&gt;"",IF('Capacity summary'!$D$14="Yes",IF(COUNTBLANK('Capacity summary'!$H145:$BG145)&lt;52,IF('Capacity summary'!AY145&lt;&gt;"",IF(LOWER('Capacity summary'!AY145)="x",$BI26*AY26,VALUE('Capacity summary'!AY145)),0),AY26*$BI26),AY26*$BI26),0)</f>
        <v>0</v>
      </c>
      <c r="DC26" s="311">
        <f>IF($BI26&lt;&gt;"",IF('Capacity summary'!$D$14="Yes",IF(COUNTBLANK('Capacity summary'!$H145:$BG145)&lt;52,IF('Capacity summary'!AZ145&lt;&gt;"",IF(LOWER('Capacity summary'!AZ145)="x",$BI26*AZ26,VALUE('Capacity summary'!AZ145)),0),AZ26*$BI26),AZ26*$BI26),0)</f>
        <v>0</v>
      </c>
      <c r="DD26" s="311">
        <f>IF($BI26&lt;&gt;"",IF('Capacity summary'!$D$14="Yes",IF(COUNTBLANK('Capacity summary'!$H145:$BG145)&lt;52,IF('Capacity summary'!BA145&lt;&gt;"",IF(LOWER('Capacity summary'!BA145)="x",$BI26*BA26,VALUE('Capacity summary'!BA145)),0),BA26*$BI26),BA26*$BI26),0)</f>
        <v>0</v>
      </c>
      <c r="DE26" s="311">
        <f>IF($BI26&lt;&gt;"",IF('Capacity summary'!$D$14="Yes",IF(COUNTBLANK('Capacity summary'!$H145:$BG145)&lt;52,IF('Capacity summary'!BB145&lt;&gt;"",IF(LOWER('Capacity summary'!BB145)="x",$BI26*BB26,VALUE('Capacity summary'!BB145)),0),BB26*$BI26),BB26*$BI26),0)</f>
        <v>0</v>
      </c>
      <c r="DF26" s="311">
        <f>IF($BI26&lt;&gt;"",IF('Capacity summary'!$D$14="Yes",IF(COUNTBLANK('Capacity summary'!$H145:$BG145)&lt;52,IF('Capacity summary'!BC145&lt;&gt;"",IF(LOWER('Capacity summary'!BC145)="x",$BI26*BC26,VALUE('Capacity summary'!BC145)),0),BC26*$BI26),BC26*$BI26),0)</f>
        <v>0</v>
      </c>
      <c r="DG26" s="311">
        <f>IF($BI26&lt;&gt;"",IF('Capacity summary'!$D$14="Yes",IF(COUNTBLANK('Capacity summary'!$H145:$BG145)&lt;52,IF('Capacity summary'!BD145&lt;&gt;"",IF(LOWER('Capacity summary'!BD145)="x",$BI26*BD26,VALUE('Capacity summary'!BD145)),0),BD26*$BI26),BD26*$BI26),0)</f>
        <v>0</v>
      </c>
      <c r="DH26" s="311">
        <f>IF($BI26&lt;&gt;"",IF('Capacity summary'!$D$14="Yes",IF(COUNTBLANK('Capacity summary'!$H145:$BG145)&lt;52,IF('Capacity summary'!BE145&lt;&gt;"",IF(LOWER('Capacity summary'!BE145)="x",$BI26*BE26,VALUE('Capacity summary'!BE145)),0),BE26*$BI26),BE26*$BI26),0)</f>
        <v>0</v>
      </c>
      <c r="DI26" s="311">
        <f>IF($BI26&lt;&gt;"",IF('Capacity summary'!$D$14="Yes",IF(COUNTBLANK('Capacity summary'!$H145:$BG145)&lt;52,IF('Capacity summary'!BF145&lt;&gt;"",IF(LOWER('Capacity summary'!BF145)="x",$BI26*BF26,VALUE('Capacity summary'!BF145)),0),BF26*$BI26),BF26*$BI26),0)</f>
        <v>0</v>
      </c>
      <c r="DJ26" s="311">
        <f>IF($BI26&lt;&gt;"",IF('Capacity summary'!$D$14="Yes",IF(COUNTBLANK('Capacity summary'!$H145:$BG145)&lt;52,IF('Capacity summary'!BG145&lt;&gt;"",IF(LOWER('Capacity summary'!BG145)="x",$BI26*BG26,VALUE('Capacity summary'!BG145)),0),BG26*$BI26),BG26*$BI26),0)</f>
        <v>0</v>
      </c>
      <c r="DK26" s="387">
        <f t="shared" si="2"/>
        <v>0</v>
      </c>
      <c r="DL26" s="136">
        <f t="shared" si="3"/>
        <v>0</v>
      </c>
      <c r="DM26" s="311" t="str">
        <f>Capacity!H38</f>
        <v/>
      </c>
      <c r="DQ26" s="5"/>
    </row>
    <row r="27" spans="1:121" x14ac:dyDescent="0.2">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1">
        <f>IF($BI27&lt;&gt;"",IF('Capacity summary'!$D$14="Yes",IF(COUNTBLANK('Capacity summary'!$H146:$BG146)&lt;52,IF('Capacity summary'!H146&lt;&gt;"",IF(LOWER('Capacity summary'!H146)="x",$BI27*H27,VALUE('Capacity summary'!H146)),0),H27*$BI27),H27*$BI27),0)</f>
        <v>0</v>
      </c>
      <c r="BL27" s="311">
        <f>IF($BI27&lt;&gt;"",IF('Capacity summary'!$D$14="Yes",IF(COUNTBLANK('Capacity summary'!$H146:$BG146)&lt;52,IF('Capacity summary'!I146&lt;&gt;"",IF(LOWER('Capacity summary'!I146)="x",$BI27*I27,VALUE('Capacity summary'!I146)),0),I27*$BI27),I27*$BI27),0)</f>
        <v>0</v>
      </c>
      <c r="BM27" s="311">
        <f>IF($BI27&lt;&gt;"",IF('Capacity summary'!$D$14="Yes",IF(COUNTBLANK('Capacity summary'!$H146:$BG146)&lt;52,IF('Capacity summary'!J146&lt;&gt;"",IF(LOWER('Capacity summary'!J146)="x",$BI27*J27,VALUE('Capacity summary'!J146)),0),J27*$BI27),J27*$BI27),0)</f>
        <v>0</v>
      </c>
      <c r="BN27" s="311">
        <f>IF($BI27&lt;&gt;"",IF('Capacity summary'!$D$14="Yes",IF(COUNTBLANK('Capacity summary'!$H146:$BG146)&lt;52,IF('Capacity summary'!K146&lt;&gt;"",IF(LOWER('Capacity summary'!K146)="x",$BI27*K27,VALUE('Capacity summary'!K146)),0),K27*$BI27),K27*$BI27),0)</f>
        <v>0</v>
      </c>
      <c r="BO27" s="311">
        <f>IF($BI27&lt;&gt;"",IF('Capacity summary'!$D$14="Yes",IF(COUNTBLANK('Capacity summary'!$H146:$BG146)&lt;52,IF('Capacity summary'!L146&lt;&gt;"",IF(LOWER('Capacity summary'!L146)="x",$BI27*L27,VALUE('Capacity summary'!L146)),0),L27*$BI27),L27*$BI27),0)</f>
        <v>0</v>
      </c>
      <c r="BP27" s="311">
        <f>IF($BI27&lt;&gt;"",IF('Capacity summary'!$D$14="Yes",IF(COUNTBLANK('Capacity summary'!$H146:$BG146)&lt;52,IF('Capacity summary'!M146&lt;&gt;"",IF(LOWER('Capacity summary'!M146)="x",$BI27*M27,VALUE('Capacity summary'!M146)),0),M27*$BI27),M27*$BI27),0)</f>
        <v>0</v>
      </c>
      <c r="BQ27" s="311">
        <f>IF($BI27&lt;&gt;"",IF('Capacity summary'!$D$14="Yes",IF(COUNTBLANK('Capacity summary'!$H146:$BG146)&lt;52,IF('Capacity summary'!N146&lt;&gt;"",IF(LOWER('Capacity summary'!N146)="x",$BI27*N27,VALUE('Capacity summary'!N146)),0),N27*$BI27),N27*$BI27),0)</f>
        <v>0</v>
      </c>
      <c r="BR27" s="311">
        <f>IF($BI27&lt;&gt;"",IF('Capacity summary'!$D$14="Yes",IF(COUNTBLANK('Capacity summary'!$H146:$BG146)&lt;52,IF('Capacity summary'!O146&lt;&gt;"",IF(LOWER('Capacity summary'!O146)="x",$BI27*O27,VALUE('Capacity summary'!O146)),0),O27*$BI27),O27*$BI27),0)</f>
        <v>0</v>
      </c>
      <c r="BS27" s="311">
        <f>IF($BI27&lt;&gt;"",IF('Capacity summary'!$D$14="Yes",IF(COUNTBLANK('Capacity summary'!$H146:$BG146)&lt;52,IF('Capacity summary'!P146&lt;&gt;"",IF(LOWER('Capacity summary'!P146)="x",$BI27*P27,VALUE('Capacity summary'!P146)),0),P27*$BI27),P27*$BI27),0)</f>
        <v>0</v>
      </c>
      <c r="BT27" s="311">
        <f>IF($BI27&lt;&gt;"",IF('Capacity summary'!$D$14="Yes",IF(COUNTBLANK('Capacity summary'!$H146:$BG146)&lt;52,IF('Capacity summary'!Q146&lt;&gt;"",IF(LOWER('Capacity summary'!Q146)="x",$BI27*Q27,VALUE('Capacity summary'!Q146)),0),Q27*$BI27),Q27*$BI27),0)</f>
        <v>0</v>
      </c>
      <c r="BU27" s="311">
        <f>IF($BI27&lt;&gt;"",IF('Capacity summary'!$D$14="Yes",IF(COUNTBLANK('Capacity summary'!$H146:$BG146)&lt;52,IF('Capacity summary'!R146&lt;&gt;"",IF(LOWER('Capacity summary'!R146)="x",$BI27*R27,VALUE('Capacity summary'!R146)),0),R27*$BI27),R27*$BI27),0)</f>
        <v>0</v>
      </c>
      <c r="BV27" s="311">
        <f>IF($BI27&lt;&gt;"",IF('Capacity summary'!$D$14="Yes",IF(COUNTBLANK('Capacity summary'!$H146:$BG146)&lt;52,IF('Capacity summary'!S146&lt;&gt;"",IF(LOWER('Capacity summary'!S146)="x",$BI27*S27,VALUE('Capacity summary'!S146)),0),S27*$BI27),S27*$BI27),0)</f>
        <v>0</v>
      </c>
      <c r="BW27" s="311">
        <f>IF($BI27&lt;&gt;"",IF('Capacity summary'!$D$14="Yes",IF(COUNTBLANK('Capacity summary'!$H146:$BG146)&lt;52,IF('Capacity summary'!T146&lt;&gt;"",IF(LOWER('Capacity summary'!T146)="x",$BI27*T27,VALUE('Capacity summary'!T146)),0),T27*$BI27),T27*$BI27),0)</f>
        <v>0</v>
      </c>
      <c r="BX27" s="311">
        <f>IF($BI27&lt;&gt;"",IF('Capacity summary'!$D$14="Yes",IF(COUNTBLANK('Capacity summary'!$H146:$BG146)&lt;52,IF('Capacity summary'!U146&lt;&gt;"",IF(LOWER('Capacity summary'!U146)="x",$BI27*U27,VALUE('Capacity summary'!U146)),0),U27*$BI27),U27*$BI27),0)</f>
        <v>0</v>
      </c>
      <c r="BY27" s="311">
        <f>IF($BI27&lt;&gt;"",IF('Capacity summary'!$D$14="Yes",IF(COUNTBLANK('Capacity summary'!$H146:$BG146)&lt;52,IF('Capacity summary'!V146&lt;&gt;"",IF(LOWER('Capacity summary'!V146)="x",$BI27*V27,VALUE('Capacity summary'!V146)),0),V27*$BI27),V27*$BI27),0)</f>
        <v>0</v>
      </c>
      <c r="BZ27" s="311">
        <f>IF($BI27&lt;&gt;"",IF('Capacity summary'!$D$14="Yes",IF(COUNTBLANK('Capacity summary'!$H146:$BG146)&lt;52,IF('Capacity summary'!W146&lt;&gt;"",IF(LOWER('Capacity summary'!W146)="x",$BI27*W27,VALUE('Capacity summary'!W146)),0),W27*$BI27),W27*$BI27),0)</f>
        <v>0</v>
      </c>
      <c r="CA27" s="311">
        <f>IF($BI27&lt;&gt;"",IF('Capacity summary'!$D$14="Yes",IF(COUNTBLANK('Capacity summary'!$H146:$BG146)&lt;52,IF('Capacity summary'!X146&lt;&gt;"",IF(LOWER('Capacity summary'!X146)="x",$BI27*X27,VALUE('Capacity summary'!X146)),0),X27*$BI27),X27*$BI27),0)</f>
        <v>0</v>
      </c>
      <c r="CB27" s="311">
        <f>IF($BI27&lt;&gt;"",IF('Capacity summary'!$D$14="Yes",IF(COUNTBLANK('Capacity summary'!$H146:$BG146)&lt;52,IF('Capacity summary'!Y146&lt;&gt;"",IF(LOWER('Capacity summary'!Y146)="x",$BI27*Y27,VALUE('Capacity summary'!Y146)),0),Y27*$BI27),Y27*$BI27),0)</f>
        <v>0</v>
      </c>
      <c r="CC27" s="311">
        <f>IF($BI27&lt;&gt;"",IF('Capacity summary'!$D$14="Yes",IF(COUNTBLANK('Capacity summary'!$H146:$BG146)&lt;52,IF('Capacity summary'!Z146&lt;&gt;"",IF(LOWER('Capacity summary'!Z146)="x",$BI27*Z27,VALUE('Capacity summary'!Z146)),0),Z27*$BI27),Z27*$BI27),0)</f>
        <v>0</v>
      </c>
      <c r="CD27" s="311">
        <f>IF($BI27&lt;&gt;"",IF('Capacity summary'!$D$14="Yes",IF(COUNTBLANK('Capacity summary'!$H146:$BG146)&lt;52,IF('Capacity summary'!AA146&lt;&gt;"",IF(LOWER('Capacity summary'!AA146)="x",$BI27*AA27,VALUE('Capacity summary'!AA146)),0),AA27*$BI27),AA27*$BI27),0)</f>
        <v>0</v>
      </c>
      <c r="CE27" s="311">
        <f>IF($BI27&lt;&gt;"",IF('Capacity summary'!$D$14="Yes",IF(COUNTBLANK('Capacity summary'!$H146:$BG146)&lt;52,IF('Capacity summary'!AB146&lt;&gt;"",IF(LOWER('Capacity summary'!AB146)="x",$BI27*AB27,VALUE('Capacity summary'!AB146)),0),AB27*$BI27),AB27*$BI27),0)</f>
        <v>0</v>
      </c>
      <c r="CF27" s="311">
        <f>IF($BI27&lt;&gt;"",IF('Capacity summary'!$D$14="Yes",IF(COUNTBLANK('Capacity summary'!$H146:$BG146)&lt;52,IF('Capacity summary'!AC146&lt;&gt;"",IF(LOWER('Capacity summary'!AC146)="x",$BI27*AC27,VALUE('Capacity summary'!AC146)),0),AC27*$BI27),AC27*$BI27),0)</f>
        <v>0</v>
      </c>
      <c r="CG27" s="311">
        <f>IF($BI27&lt;&gt;"",IF('Capacity summary'!$D$14="Yes",IF(COUNTBLANK('Capacity summary'!$H146:$BG146)&lt;52,IF('Capacity summary'!AD146&lt;&gt;"",IF(LOWER('Capacity summary'!AD146)="x",$BI27*AD27,VALUE('Capacity summary'!AD146)),0),AD27*$BI27),AD27*$BI27),0)</f>
        <v>0</v>
      </c>
      <c r="CH27" s="311">
        <f>IF($BI27&lt;&gt;"",IF('Capacity summary'!$D$14="Yes",IF(COUNTBLANK('Capacity summary'!$H146:$BG146)&lt;52,IF('Capacity summary'!AE146&lt;&gt;"",IF(LOWER('Capacity summary'!AE146)="x",$BI27*AE27,VALUE('Capacity summary'!AE146)),0),AE27*$BI27),AE27*$BI27),0)</f>
        <v>0</v>
      </c>
      <c r="CI27" s="311">
        <f>IF($BI27&lt;&gt;"",IF('Capacity summary'!$D$14="Yes",IF(COUNTBLANK('Capacity summary'!$H146:$BG146)&lt;52,IF('Capacity summary'!AF146&lt;&gt;"",IF(LOWER('Capacity summary'!AF146)="x",$BI27*AF27,VALUE('Capacity summary'!AF146)),0),AF27*$BI27),AF27*$BI27),0)</f>
        <v>0</v>
      </c>
      <c r="CJ27" s="311">
        <f>IF($BI27&lt;&gt;"",IF('Capacity summary'!$D$14="Yes",IF(COUNTBLANK('Capacity summary'!$H146:$BG146)&lt;52,IF('Capacity summary'!AG146&lt;&gt;"",IF(LOWER('Capacity summary'!AG146)="x",$BI27*AG27,VALUE('Capacity summary'!AG146)),0),AG27*$BI27),AG27*$BI27),0)</f>
        <v>0</v>
      </c>
      <c r="CK27" s="311">
        <f>IF($BI27&lt;&gt;"",IF('Capacity summary'!$D$14="Yes",IF(COUNTBLANK('Capacity summary'!$H146:$BG146)&lt;52,IF('Capacity summary'!AH146&lt;&gt;"",IF(LOWER('Capacity summary'!AH146)="x",$BI27*AH27,VALUE('Capacity summary'!AH146)),0),AH27*$BI27),AH27*$BI27),0)</f>
        <v>0</v>
      </c>
      <c r="CL27" s="311">
        <f>IF($BI27&lt;&gt;"",IF('Capacity summary'!$D$14="Yes",IF(COUNTBLANK('Capacity summary'!$H146:$BG146)&lt;52,IF('Capacity summary'!AI146&lt;&gt;"",IF(LOWER('Capacity summary'!AI146)="x",$BI27*AI27,VALUE('Capacity summary'!AI146)),0),AI27*$BI27),AI27*$BI27),0)</f>
        <v>0</v>
      </c>
      <c r="CM27" s="311">
        <f>IF($BI27&lt;&gt;"",IF('Capacity summary'!$D$14="Yes",IF(COUNTBLANK('Capacity summary'!$H146:$BG146)&lt;52,IF('Capacity summary'!AJ146&lt;&gt;"",IF(LOWER('Capacity summary'!AJ146)="x",$BI27*AJ27,VALUE('Capacity summary'!AJ146)),0),AJ27*$BI27),AJ27*$BI27),0)</f>
        <v>0</v>
      </c>
      <c r="CN27" s="311">
        <f>IF($BI27&lt;&gt;"",IF('Capacity summary'!$D$14="Yes",IF(COUNTBLANK('Capacity summary'!$H146:$BG146)&lt;52,IF('Capacity summary'!AK146&lt;&gt;"",IF(LOWER('Capacity summary'!AK146)="x",$BI27*AK27,VALUE('Capacity summary'!AK146)),0),AK27*$BI27),AK27*$BI27),0)</f>
        <v>0</v>
      </c>
      <c r="CO27" s="311">
        <f>IF($BI27&lt;&gt;"",IF('Capacity summary'!$D$14="Yes",IF(COUNTBLANK('Capacity summary'!$H146:$BG146)&lt;52,IF('Capacity summary'!AL146&lt;&gt;"",IF(LOWER('Capacity summary'!AL146)="x",$BI27*AL27,VALUE('Capacity summary'!AL146)),0),AL27*$BI27),AL27*$BI27),0)</f>
        <v>0</v>
      </c>
      <c r="CP27" s="311">
        <f>IF($BI27&lt;&gt;"",IF('Capacity summary'!$D$14="Yes",IF(COUNTBLANK('Capacity summary'!$H146:$BG146)&lt;52,IF('Capacity summary'!AM146&lt;&gt;"",IF(LOWER('Capacity summary'!AM146)="x",$BI27*AM27,VALUE('Capacity summary'!AM146)),0),AM27*$BI27),AM27*$BI27),0)</f>
        <v>0</v>
      </c>
      <c r="CQ27" s="311">
        <f>IF($BI27&lt;&gt;"",IF('Capacity summary'!$D$14="Yes",IF(COUNTBLANK('Capacity summary'!$H146:$BG146)&lt;52,IF('Capacity summary'!AN146&lt;&gt;"",IF(LOWER('Capacity summary'!AN146)="x",$BI27*AN27,VALUE('Capacity summary'!AN146)),0),AN27*$BI27),AN27*$BI27),0)</f>
        <v>0</v>
      </c>
      <c r="CR27" s="311">
        <f>IF($BI27&lt;&gt;"",IF('Capacity summary'!$D$14="Yes",IF(COUNTBLANK('Capacity summary'!$H146:$BG146)&lt;52,IF('Capacity summary'!AO146&lt;&gt;"",IF(LOWER('Capacity summary'!AO146)="x",$BI27*AO27,VALUE('Capacity summary'!AO146)),0),AO27*$BI27),AO27*$BI27),0)</f>
        <v>0</v>
      </c>
      <c r="CS27" s="311">
        <f>IF($BI27&lt;&gt;"",IF('Capacity summary'!$D$14="Yes",IF(COUNTBLANK('Capacity summary'!$H146:$BG146)&lt;52,IF('Capacity summary'!AP146&lt;&gt;"",IF(LOWER('Capacity summary'!AP146)="x",$BI27*AP27,VALUE('Capacity summary'!AP146)),0),AP27*$BI27),AP27*$BI27),0)</f>
        <v>0</v>
      </c>
      <c r="CT27" s="311">
        <f>IF($BI27&lt;&gt;"",IF('Capacity summary'!$D$14="Yes",IF(COUNTBLANK('Capacity summary'!$H146:$BG146)&lt;52,IF('Capacity summary'!AQ146&lt;&gt;"",IF(LOWER('Capacity summary'!AQ146)="x",$BI27*AQ27,VALUE('Capacity summary'!AQ146)),0),AQ27*$BI27),AQ27*$BI27),0)</f>
        <v>0</v>
      </c>
      <c r="CU27" s="311">
        <f>IF($BI27&lt;&gt;"",IF('Capacity summary'!$D$14="Yes",IF(COUNTBLANK('Capacity summary'!$H146:$BG146)&lt;52,IF('Capacity summary'!AR146&lt;&gt;"",IF(LOWER('Capacity summary'!AR146)="x",$BI27*AR27,VALUE('Capacity summary'!AR146)),0),AR27*$BI27),AR27*$BI27),0)</f>
        <v>0</v>
      </c>
      <c r="CV27" s="311">
        <f>IF($BI27&lt;&gt;"",IF('Capacity summary'!$D$14="Yes",IF(COUNTBLANK('Capacity summary'!$H146:$BG146)&lt;52,IF('Capacity summary'!AS146&lt;&gt;"",IF(LOWER('Capacity summary'!AS146)="x",$BI27*AS27,VALUE('Capacity summary'!AS146)),0),AS27*$BI27),AS27*$BI27),0)</f>
        <v>0</v>
      </c>
      <c r="CW27" s="311">
        <f>IF($BI27&lt;&gt;"",IF('Capacity summary'!$D$14="Yes",IF(COUNTBLANK('Capacity summary'!$H146:$BG146)&lt;52,IF('Capacity summary'!AT146&lt;&gt;"",IF(LOWER('Capacity summary'!AT146)="x",$BI27*AT27,VALUE('Capacity summary'!AT146)),0),AT27*$BI27),AT27*$BI27),0)</f>
        <v>0</v>
      </c>
      <c r="CX27" s="311">
        <f>IF($BI27&lt;&gt;"",IF('Capacity summary'!$D$14="Yes",IF(COUNTBLANK('Capacity summary'!$H146:$BG146)&lt;52,IF('Capacity summary'!AU146&lt;&gt;"",IF(LOWER('Capacity summary'!AU146)="x",$BI27*AU27,VALUE('Capacity summary'!AU146)),0),AU27*$BI27),AU27*$BI27),0)</f>
        <v>0</v>
      </c>
      <c r="CY27" s="311">
        <f>IF($BI27&lt;&gt;"",IF('Capacity summary'!$D$14="Yes",IF(COUNTBLANK('Capacity summary'!$H146:$BG146)&lt;52,IF('Capacity summary'!AV146&lt;&gt;"",IF(LOWER('Capacity summary'!AV146)="x",$BI27*AV27,VALUE('Capacity summary'!AV146)),0),AV27*$BI27),AV27*$BI27),0)</f>
        <v>0</v>
      </c>
      <c r="CZ27" s="311">
        <f>IF($BI27&lt;&gt;"",IF('Capacity summary'!$D$14="Yes",IF(COUNTBLANK('Capacity summary'!$H146:$BG146)&lt;52,IF('Capacity summary'!AW146&lt;&gt;"",IF(LOWER('Capacity summary'!AW146)="x",$BI27*AW27,VALUE('Capacity summary'!AW146)),0),AW27*$BI27),AW27*$BI27),0)</f>
        <v>0</v>
      </c>
      <c r="DA27" s="311">
        <f>IF($BI27&lt;&gt;"",IF('Capacity summary'!$D$14="Yes",IF(COUNTBLANK('Capacity summary'!$H146:$BG146)&lt;52,IF('Capacity summary'!AX146&lt;&gt;"",IF(LOWER('Capacity summary'!AX146)="x",$BI27*AX27,VALUE('Capacity summary'!AX146)),0),AX27*$BI27),AX27*$BI27),0)</f>
        <v>0</v>
      </c>
      <c r="DB27" s="311">
        <f>IF($BI27&lt;&gt;"",IF('Capacity summary'!$D$14="Yes",IF(COUNTBLANK('Capacity summary'!$H146:$BG146)&lt;52,IF('Capacity summary'!AY146&lt;&gt;"",IF(LOWER('Capacity summary'!AY146)="x",$BI27*AY27,VALUE('Capacity summary'!AY146)),0),AY27*$BI27),AY27*$BI27),0)</f>
        <v>0</v>
      </c>
      <c r="DC27" s="311">
        <f>IF($BI27&lt;&gt;"",IF('Capacity summary'!$D$14="Yes",IF(COUNTBLANK('Capacity summary'!$H146:$BG146)&lt;52,IF('Capacity summary'!AZ146&lt;&gt;"",IF(LOWER('Capacity summary'!AZ146)="x",$BI27*AZ27,VALUE('Capacity summary'!AZ146)),0),AZ27*$BI27),AZ27*$BI27),0)</f>
        <v>0</v>
      </c>
      <c r="DD27" s="311">
        <f>IF($BI27&lt;&gt;"",IF('Capacity summary'!$D$14="Yes",IF(COUNTBLANK('Capacity summary'!$H146:$BG146)&lt;52,IF('Capacity summary'!BA146&lt;&gt;"",IF(LOWER('Capacity summary'!BA146)="x",$BI27*BA27,VALUE('Capacity summary'!BA146)),0),BA27*$BI27),BA27*$BI27),0)</f>
        <v>0</v>
      </c>
      <c r="DE27" s="311">
        <f>IF($BI27&lt;&gt;"",IF('Capacity summary'!$D$14="Yes",IF(COUNTBLANK('Capacity summary'!$H146:$BG146)&lt;52,IF('Capacity summary'!BB146&lt;&gt;"",IF(LOWER('Capacity summary'!BB146)="x",$BI27*BB27,VALUE('Capacity summary'!BB146)),0),BB27*$BI27),BB27*$BI27),0)</f>
        <v>0</v>
      </c>
      <c r="DF27" s="311">
        <f>IF($BI27&lt;&gt;"",IF('Capacity summary'!$D$14="Yes",IF(COUNTBLANK('Capacity summary'!$H146:$BG146)&lt;52,IF('Capacity summary'!BC146&lt;&gt;"",IF(LOWER('Capacity summary'!BC146)="x",$BI27*BC27,VALUE('Capacity summary'!BC146)),0),BC27*$BI27),BC27*$BI27),0)</f>
        <v>0</v>
      </c>
      <c r="DG27" s="311">
        <f>IF($BI27&lt;&gt;"",IF('Capacity summary'!$D$14="Yes",IF(COUNTBLANK('Capacity summary'!$H146:$BG146)&lt;52,IF('Capacity summary'!BD146&lt;&gt;"",IF(LOWER('Capacity summary'!BD146)="x",$BI27*BD27,VALUE('Capacity summary'!BD146)),0),BD27*$BI27),BD27*$BI27),0)</f>
        <v>0</v>
      </c>
      <c r="DH27" s="311">
        <f>IF($BI27&lt;&gt;"",IF('Capacity summary'!$D$14="Yes",IF(COUNTBLANK('Capacity summary'!$H146:$BG146)&lt;52,IF('Capacity summary'!BE146&lt;&gt;"",IF(LOWER('Capacity summary'!BE146)="x",$BI27*BE27,VALUE('Capacity summary'!BE146)),0),BE27*$BI27),BE27*$BI27),0)</f>
        <v>0</v>
      </c>
      <c r="DI27" s="311">
        <f>IF($BI27&lt;&gt;"",IF('Capacity summary'!$D$14="Yes",IF(COUNTBLANK('Capacity summary'!$H146:$BG146)&lt;52,IF('Capacity summary'!BF146&lt;&gt;"",IF(LOWER('Capacity summary'!BF146)="x",$BI27*BF27,VALUE('Capacity summary'!BF146)),0),BF27*$BI27),BF27*$BI27),0)</f>
        <v>0</v>
      </c>
      <c r="DJ27" s="311">
        <f>IF($BI27&lt;&gt;"",IF('Capacity summary'!$D$14="Yes",IF(COUNTBLANK('Capacity summary'!$H146:$BG146)&lt;52,IF('Capacity summary'!BG146&lt;&gt;"",IF(LOWER('Capacity summary'!BG146)="x",$BI27*BG27,VALUE('Capacity summary'!BG146)),0),BG27*$BI27),BG27*$BI27),0)</f>
        <v>0</v>
      </c>
      <c r="DK27" s="387">
        <f t="shared" si="2"/>
        <v>0</v>
      </c>
      <c r="DL27" s="136">
        <f t="shared" si="3"/>
        <v>0</v>
      </c>
      <c r="DM27" s="311" t="str">
        <f>Capacity!H39</f>
        <v/>
      </c>
      <c r="DQ27" s="5"/>
    </row>
    <row r="28" spans="1:121" x14ac:dyDescent="0.2">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1">
        <f>IF($BI28&lt;&gt;"",IF('Capacity summary'!$D$14="Yes",IF(COUNTBLANK('Capacity summary'!$H147:$BG147)&lt;52,IF('Capacity summary'!H147&lt;&gt;"",IF(LOWER('Capacity summary'!H147)="x",$BI28*H28,VALUE('Capacity summary'!H147)),0),H28*$BI28),H28*$BI28),0)</f>
        <v>0</v>
      </c>
      <c r="BL28" s="311">
        <f>IF($BI28&lt;&gt;"",IF('Capacity summary'!$D$14="Yes",IF(COUNTBLANK('Capacity summary'!$H147:$BG147)&lt;52,IF('Capacity summary'!I147&lt;&gt;"",IF(LOWER('Capacity summary'!I147)="x",$BI28*I28,VALUE('Capacity summary'!I147)),0),I28*$BI28),I28*$BI28),0)</f>
        <v>0</v>
      </c>
      <c r="BM28" s="311">
        <f>IF($BI28&lt;&gt;"",IF('Capacity summary'!$D$14="Yes",IF(COUNTBLANK('Capacity summary'!$H147:$BG147)&lt;52,IF('Capacity summary'!J147&lt;&gt;"",IF(LOWER('Capacity summary'!J147)="x",$BI28*J28,VALUE('Capacity summary'!J147)),0),J28*$BI28),J28*$BI28),0)</f>
        <v>0</v>
      </c>
      <c r="BN28" s="311">
        <f>IF($BI28&lt;&gt;"",IF('Capacity summary'!$D$14="Yes",IF(COUNTBLANK('Capacity summary'!$H147:$BG147)&lt;52,IF('Capacity summary'!K147&lt;&gt;"",IF(LOWER('Capacity summary'!K147)="x",$BI28*K28,VALUE('Capacity summary'!K147)),0),K28*$BI28),K28*$BI28),0)</f>
        <v>0</v>
      </c>
      <c r="BO28" s="311">
        <f>IF($BI28&lt;&gt;"",IF('Capacity summary'!$D$14="Yes",IF(COUNTBLANK('Capacity summary'!$H147:$BG147)&lt;52,IF('Capacity summary'!L147&lt;&gt;"",IF(LOWER('Capacity summary'!L147)="x",$BI28*L28,VALUE('Capacity summary'!L147)),0),L28*$BI28),L28*$BI28),0)</f>
        <v>0</v>
      </c>
      <c r="BP28" s="311">
        <f>IF($BI28&lt;&gt;"",IF('Capacity summary'!$D$14="Yes",IF(COUNTBLANK('Capacity summary'!$H147:$BG147)&lt;52,IF('Capacity summary'!M147&lt;&gt;"",IF(LOWER('Capacity summary'!M147)="x",$BI28*M28,VALUE('Capacity summary'!M147)),0),M28*$BI28),M28*$BI28),0)</f>
        <v>0</v>
      </c>
      <c r="BQ28" s="311">
        <f>IF($BI28&lt;&gt;"",IF('Capacity summary'!$D$14="Yes",IF(COUNTBLANK('Capacity summary'!$H147:$BG147)&lt;52,IF('Capacity summary'!N147&lt;&gt;"",IF(LOWER('Capacity summary'!N147)="x",$BI28*N28,VALUE('Capacity summary'!N147)),0),N28*$BI28),N28*$BI28),0)</f>
        <v>0</v>
      </c>
      <c r="BR28" s="311">
        <f>IF($BI28&lt;&gt;"",IF('Capacity summary'!$D$14="Yes",IF(COUNTBLANK('Capacity summary'!$H147:$BG147)&lt;52,IF('Capacity summary'!O147&lt;&gt;"",IF(LOWER('Capacity summary'!O147)="x",$BI28*O28,VALUE('Capacity summary'!O147)),0),O28*$BI28),O28*$BI28),0)</f>
        <v>0</v>
      </c>
      <c r="BS28" s="311">
        <f>IF($BI28&lt;&gt;"",IF('Capacity summary'!$D$14="Yes",IF(COUNTBLANK('Capacity summary'!$H147:$BG147)&lt;52,IF('Capacity summary'!P147&lt;&gt;"",IF(LOWER('Capacity summary'!P147)="x",$BI28*P28,VALUE('Capacity summary'!P147)),0),P28*$BI28),P28*$BI28),0)</f>
        <v>0</v>
      </c>
      <c r="BT28" s="311">
        <f>IF($BI28&lt;&gt;"",IF('Capacity summary'!$D$14="Yes",IF(COUNTBLANK('Capacity summary'!$H147:$BG147)&lt;52,IF('Capacity summary'!Q147&lt;&gt;"",IF(LOWER('Capacity summary'!Q147)="x",$BI28*Q28,VALUE('Capacity summary'!Q147)),0),Q28*$BI28),Q28*$BI28),0)</f>
        <v>0</v>
      </c>
      <c r="BU28" s="311">
        <f>IF($BI28&lt;&gt;"",IF('Capacity summary'!$D$14="Yes",IF(COUNTBLANK('Capacity summary'!$H147:$BG147)&lt;52,IF('Capacity summary'!R147&lt;&gt;"",IF(LOWER('Capacity summary'!R147)="x",$BI28*R28,VALUE('Capacity summary'!R147)),0),R28*$BI28),R28*$BI28),0)</f>
        <v>0</v>
      </c>
      <c r="BV28" s="311">
        <f>IF($BI28&lt;&gt;"",IF('Capacity summary'!$D$14="Yes",IF(COUNTBLANK('Capacity summary'!$H147:$BG147)&lt;52,IF('Capacity summary'!S147&lt;&gt;"",IF(LOWER('Capacity summary'!S147)="x",$BI28*S28,VALUE('Capacity summary'!S147)),0),S28*$BI28),S28*$BI28),0)</f>
        <v>0</v>
      </c>
      <c r="BW28" s="311">
        <f>IF($BI28&lt;&gt;"",IF('Capacity summary'!$D$14="Yes",IF(COUNTBLANK('Capacity summary'!$H147:$BG147)&lt;52,IF('Capacity summary'!T147&lt;&gt;"",IF(LOWER('Capacity summary'!T147)="x",$BI28*T28,VALUE('Capacity summary'!T147)),0),T28*$BI28),T28*$BI28),0)</f>
        <v>0</v>
      </c>
      <c r="BX28" s="311">
        <f>IF($BI28&lt;&gt;"",IF('Capacity summary'!$D$14="Yes",IF(COUNTBLANK('Capacity summary'!$H147:$BG147)&lt;52,IF('Capacity summary'!U147&lt;&gt;"",IF(LOWER('Capacity summary'!U147)="x",$BI28*U28,VALUE('Capacity summary'!U147)),0),U28*$BI28),U28*$BI28),0)</f>
        <v>0</v>
      </c>
      <c r="BY28" s="311">
        <f>IF($BI28&lt;&gt;"",IF('Capacity summary'!$D$14="Yes",IF(COUNTBLANK('Capacity summary'!$H147:$BG147)&lt;52,IF('Capacity summary'!V147&lt;&gt;"",IF(LOWER('Capacity summary'!V147)="x",$BI28*V28,VALUE('Capacity summary'!V147)),0),V28*$BI28),V28*$BI28),0)</f>
        <v>0</v>
      </c>
      <c r="BZ28" s="311">
        <f>IF($BI28&lt;&gt;"",IF('Capacity summary'!$D$14="Yes",IF(COUNTBLANK('Capacity summary'!$H147:$BG147)&lt;52,IF('Capacity summary'!W147&lt;&gt;"",IF(LOWER('Capacity summary'!W147)="x",$BI28*W28,VALUE('Capacity summary'!W147)),0),W28*$BI28),W28*$BI28),0)</f>
        <v>0</v>
      </c>
      <c r="CA28" s="311">
        <f>IF($BI28&lt;&gt;"",IF('Capacity summary'!$D$14="Yes",IF(COUNTBLANK('Capacity summary'!$H147:$BG147)&lt;52,IF('Capacity summary'!X147&lt;&gt;"",IF(LOWER('Capacity summary'!X147)="x",$BI28*X28,VALUE('Capacity summary'!X147)),0),X28*$BI28),X28*$BI28),0)</f>
        <v>0</v>
      </c>
      <c r="CB28" s="311">
        <f>IF($BI28&lt;&gt;"",IF('Capacity summary'!$D$14="Yes",IF(COUNTBLANK('Capacity summary'!$H147:$BG147)&lt;52,IF('Capacity summary'!Y147&lt;&gt;"",IF(LOWER('Capacity summary'!Y147)="x",$BI28*Y28,VALUE('Capacity summary'!Y147)),0),Y28*$BI28),Y28*$BI28),0)</f>
        <v>0</v>
      </c>
      <c r="CC28" s="311">
        <f>IF($BI28&lt;&gt;"",IF('Capacity summary'!$D$14="Yes",IF(COUNTBLANK('Capacity summary'!$H147:$BG147)&lt;52,IF('Capacity summary'!Z147&lt;&gt;"",IF(LOWER('Capacity summary'!Z147)="x",$BI28*Z28,VALUE('Capacity summary'!Z147)),0),Z28*$BI28),Z28*$BI28),0)</f>
        <v>0</v>
      </c>
      <c r="CD28" s="311">
        <f>IF($BI28&lt;&gt;"",IF('Capacity summary'!$D$14="Yes",IF(COUNTBLANK('Capacity summary'!$H147:$BG147)&lt;52,IF('Capacity summary'!AA147&lt;&gt;"",IF(LOWER('Capacity summary'!AA147)="x",$BI28*AA28,VALUE('Capacity summary'!AA147)),0),AA28*$BI28),AA28*$BI28),0)</f>
        <v>0</v>
      </c>
      <c r="CE28" s="311">
        <f>IF($BI28&lt;&gt;"",IF('Capacity summary'!$D$14="Yes",IF(COUNTBLANK('Capacity summary'!$H147:$BG147)&lt;52,IF('Capacity summary'!AB147&lt;&gt;"",IF(LOWER('Capacity summary'!AB147)="x",$BI28*AB28,VALUE('Capacity summary'!AB147)),0),AB28*$BI28),AB28*$BI28),0)</f>
        <v>0</v>
      </c>
      <c r="CF28" s="311">
        <f>IF($BI28&lt;&gt;"",IF('Capacity summary'!$D$14="Yes",IF(COUNTBLANK('Capacity summary'!$H147:$BG147)&lt;52,IF('Capacity summary'!AC147&lt;&gt;"",IF(LOWER('Capacity summary'!AC147)="x",$BI28*AC28,VALUE('Capacity summary'!AC147)),0),AC28*$BI28),AC28*$BI28),0)</f>
        <v>0</v>
      </c>
      <c r="CG28" s="311">
        <f>IF($BI28&lt;&gt;"",IF('Capacity summary'!$D$14="Yes",IF(COUNTBLANK('Capacity summary'!$H147:$BG147)&lt;52,IF('Capacity summary'!AD147&lt;&gt;"",IF(LOWER('Capacity summary'!AD147)="x",$BI28*AD28,VALUE('Capacity summary'!AD147)),0),AD28*$BI28),AD28*$BI28),0)</f>
        <v>0</v>
      </c>
      <c r="CH28" s="311">
        <f>IF($BI28&lt;&gt;"",IF('Capacity summary'!$D$14="Yes",IF(COUNTBLANK('Capacity summary'!$H147:$BG147)&lt;52,IF('Capacity summary'!AE147&lt;&gt;"",IF(LOWER('Capacity summary'!AE147)="x",$BI28*AE28,VALUE('Capacity summary'!AE147)),0),AE28*$BI28),AE28*$BI28),0)</f>
        <v>0</v>
      </c>
      <c r="CI28" s="311">
        <f>IF($BI28&lt;&gt;"",IF('Capacity summary'!$D$14="Yes",IF(COUNTBLANK('Capacity summary'!$H147:$BG147)&lt;52,IF('Capacity summary'!AF147&lt;&gt;"",IF(LOWER('Capacity summary'!AF147)="x",$BI28*AF28,VALUE('Capacity summary'!AF147)),0),AF28*$BI28),AF28*$BI28),0)</f>
        <v>0</v>
      </c>
      <c r="CJ28" s="311">
        <f>IF($BI28&lt;&gt;"",IF('Capacity summary'!$D$14="Yes",IF(COUNTBLANK('Capacity summary'!$H147:$BG147)&lt;52,IF('Capacity summary'!AG147&lt;&gt;"",IF(LOWER('Capacity summary'!AG147)="x",$BI28*AG28,VALUE('Capacity summary'!AG147)),0),AG28*$BI28),AG28*$BI28),0)</f>
        <v>0</v>
      </c>
      <c r="CK28" s="311">
        <f>IF($BI28&lt;&gt;"",IF('Capacity summary'!$D$14="Yes",IF(COUNTBLANK('Capacity summary'!$H147:$BG147)&lt;52,IF('Capacity summary'!AH147&lt;&gt;"",IF(LOWER('Capacity summary'!AH147)="x",$BI28*AH28,VALUE('Capacity summary'!AH147)),0),AH28*$BI28),AH28*$BI28),0)</f>
        <v>0</v>
      </c>
      <c r="CL28" s="311">
        <f>IF($BI28&lt;&gt;"",IF('Capacity summary'!$D$14="Yes",IF(COUNTBLANK('Capacity summary'!$H147:$BG147)&lt;52,IF('Capacity summary'!AI147&lt;&gt;"",IF(LOWER('Capacity summary'!AI147)="x",$BI28*AI28,VALUE('Capacity summary'!AI147)),0),AI28*$BI28),AI28*$BI28),0)</f>
        <v>0</v>
      </c>
      <c r="CM28" s="311">
        <f>IF($BI28&lt;&gt;"",IF('Capacity summary'!$D$14="Yes",IF(COUNTBLANK('Capacity summary'!$H147:$BG147)&lt;52,IF('Capacity summary'!AJ147&lt;&gt;"",IF(LOWER('Capacity summary'!AJ147)="x",$BI28*AJ28,VALUE('Capacity summary'!AJ147)),0),AJ28*$BI28),AJ28*$BI28),0)</f>
        <v>0</v>
      </c>
      <c r="CN28" s="311">
        <f>IF($BI28&lt;&gt;"",IF('Capacity summary'!$D$14="Yes",IF(COUNTBLANK('Capacity summary'!$H147:$BG147)&lt;52,IF('Capacity summary'!AK147&lt;&gt;"",IF(LOWER('Capacity summary'!AK147)="x",$BI28*AK28,VALUE('Capacity summary'!AK147)),0),AK28*$BI28),AK28*$BI28),0)</f>
        <v>0</v>
      </c>
      <c r="CO28" s="311">
        <f>IF($BI28&lt;&gt;"",IF('Capacity summary'!$D$14="Yes",IF(COUNTBLANK('Capacity summary'!$H147:$BG147)&lt;52,IF('Capacity summary'!AL147&lt;&gt;"",IF(LOWER('Capacity summary'!AL147)="x",$BI28*AL28,VALUE('Capacity summary'!AL147)),0),AL28*$BI28),AL28*$BI28),0)</f>
        <v>0</v>
      </c>
      <c r="CP28" s="311">
        <f>IF($BI28&lt;&gt;"",IF('Capacity summary'!$D$14="Yes",IF(COUNTBLANK('Capacity summary'!$H147:$BG147)&lt;52,IF('Capacity summary'!AM147&lt;&gt;"",IF(LOWER('Capacity summary'!AM147)="x",$BI28*AM28,VALUE('Capacity summary'!AM147)),0),AM28*$BI28),AM28*$BI28),0)</f>
        <v>0</v>
      </c>
      <c r="CQ28" s="311">
        <f>IF($BI28&lt;&gt;"",IF('Capacity summary'!$D$14="Yes",IF(COUNTBLANK('Capacity summary'!$H147:$BG147)&lt;52,IF('Capacity summary'!AN147&lt;&gt;"",IF(LOWER('Capacity summary'!AN147)="x",$BI28*AN28,VALUE('Capacity summary'!AN147)),0),AN28*$BI28),AN28*$BI28),0)</f>
        <v>0</v>
      </c>
      <c r="CR28" s="311">
        <f>IF($BI28&lt;&gt;"",IF('Capacity summary'!$D$14="Yes",IF(COUNTBLANK('Capacity summary'!$H147:$BG147)&lt;52,IF('Capacity summary'!AO147&lt;&gt;"",IF(LOWER('Capacity summary'!AO147)="x",$BI28*AO28,VALUE('Capacity summary'!AO147)),0),AO28*$BI28),AO28*$BI28),0)</f>
        <v>0</v>
      </c>
      <c r="CS28" s="311">
        <f>IF($BI28&lt;&gt;"",IF('Capacity summary'!$D$14="Yes",IF(COUNTBLANK('Capacity summary'!$H147:$BG147)&lt;52,IF('Capacity summary'!AP147&lt;&gt;"",IF(LOWER('Capacity summary'!AP147)="x",$BI28*AP28,VALUE('Capacity summary'!AP147)),0),AP28*$BI28),AP28*$BI28),0)</f>
        <v>0</v>
      </c>
      <c r="CT28" s="311">
        <f>IF($BI28&lt;&gt;"",IF('Capacity summary'!$D$14="Yes",IF(COUNTBLANK('Capacity summary'!$H147:$BG147)&lt;52,IF('Capacity summary'!AQ147&lt;&gt;"",IF(LOWER('Capacity summary'!AQ147)="x",$BI28*AQ28,VALUE('Capacity summary'!AQ147)),0),AQ28*$BI28),AQ28*$BI28),0)</f>
        <v>0</v>
      </c>
      <c r="CU28" s="311">
        <f>IF($BI28&lt;&gt;"",IF('Capacity summary'!$D$14="Yes",IF(COUNTBLANK('Capacity summary'!$H147:$BG147)&lt;52,IF('Capacity summary'!AR147&lt;&gt;"",IF(LOWER('Capacity summary'!AR147)="x",$BI28*AR28,VALUE('Capacity summary'!AR147)),0),AR28*$BI28),AR28*$BI28),0)</f>
        <v>0</v>
      </c>
      <c r="CV28" s="311">
        <f>IF($BI28&lt;&gt;"",IF('Capacity summary'!$D$14="Yes",IF(COUNTBLANK('Capacity summary'!$H147:$BG147)&lt;52,IF('Capacity summary'!AS147&lt;&gt;"",IF(LOWER('Capacity summary'!AS147)="x",$BI28*AS28,VALUE('Capacity summary'!AS147)),0),AS28*$BI28),AS28*$BI28),0)</f>
        <v>0</v>
      </c>
      <c r="CW28" s="311">
        <f>IF($BI28&lt;&gt;"",IF('Capacity summary'!$D$14="Yes",IF(COUNTBLANK('Capacity summary'!$H147:$BG147)&lt;52,IF('Capacity summary'!AT147&lt;&gt;"",IF(LOWER('Capacity summary'!AT147)="x",$BI28*AT28,VALUE('Capacity summary'!AT147)),0),AT28*$BI28),AT28*$BI28),0)</f>
        <v>0</v>
      </c>
      <c r="CX28" s="311">
        <f>IF($BI28&lt;&gt;"",IF('Capacity summary'!$D$14="Yes",IF(COUNTBLANK('Capacity summary'!$H147:$BG147)&lt;52,IF('Capacity summary'!AU147&lt;&gt;"",IF(LOWER('Capacity summary'!AU147)="x",$BI28*AU28,VALUE('Capacity summary'!AU147)),0),AU28*$BI28),AU28*$BI28),0)</f>
        <v>0</v>
      </c>
      <c r="CY28" s="311">
        <f>IF($BI28&lt;&gt;"",IF('Capacity summary'!$D$14="Yes",IF(COUNTBLANK('Capacity summary'!$H147:$BG147)&lt;52,IF('Capacity summary'!AV147&lt;&gt;"",IF(LOWER('Capacity summary'!AV147)="x",$BI28*AV28,VALUE('Capacity summary'!AV147)),0),AV28*$BI28),AV28*$BI28),0)</f>
        <v>0</v>
      </c>
      <c r="CZ28" s="311">
        <f>IF($BI28&lt;&gt;"",IF('Capacity summary'!$D$14="Yes",IF(COUNTBLANK('Capacity summary'!$H147:$BG147)&lt;52,IF('Capacity summary'!AW147&lt;&gt;"",IF(LOWER('Capacity summary'!AW147)="x",$BI28*AW28,VALUE('Capacity summary'!AW147)),0),AW28*$BI28),AW28*$BI28),0)</f>
        <v>0</v>
      </c>
      <c r="DA28" s="311">
        <f>IF($BI28&lt;&gt;"",IF('Capacity summary'!$D$14="Yes",IF(COUNTBLANK('Capacity summary'!$H147:$BG147)&lt;52,IF('Capacity summary'!AX147&lt;&gt;"",IF(LOWER('Capacity summary'!AX147)="x",$BI28*AX28,VALUE('Capacity summary'!AX147)),0),AX28*$BI28),AX28*$BI28),0)</f>
        <v>0</v>
      </c>
      <c r="DB28" s="311">
        <f>IF($BI28&lt;&gt;"",IF('Capacity summary'!$D$14="Yes",IF(COUNTBLANK('Capacity summary'!$H147:$BG147)&lt;52,IF('Capacity summary'!AY147&lt;&gt;"",IF(LOWER('Capacity summary'!AY147)="x",$BI28*AY28,VALUE('Capacity summary'!AY147)),0),AY28*$BI28),AY28*$BI28),0)</f>
        <v>0</v>
      </c>
      <c r="DC28" s="311">
        <f>IF($BI28&lt;&gt;"",IF('Capacity summary'!$D$14="Yes",IF(COUNTBLANK('Capacity summary'!$H147:$BG147)&lt;52,IF('Capacity summary'!AZ147&lt;&gt;"",IF(LOWER('Capacity summary'!AZ147)="x",$BI28*AZ28,VALUE('Capacity summary'!AZ147)),0),AZ28*$BI28),AZ28*$BI28),0)</f>
        <v>0</v>
      </c>
      <c r="DD28" s="311">
        <f>IF($BI28&lt;&gt;"",IF('Capacity summary'!$D$14="Yes",IF(COUNTBLANK('Capacity summary'!$H147:$BG147)&lt;52,IF('Capacity summary'!BA147&lt;&gt;"",IF(LOWER('Capacity summary'!BA147)="x",$BI28*BA28,VALUE('Capacity summary'!BA147)),0),BA28*$BI28),BA28*$BI28),0)</f>
        <v>0</v>
      </c>
      <c r="DE28" s="311">
        <f>IF($BI28&lt;&gt;"",IF('Capacity summary'!$D$14="Yes",IF(COUNTBLANK('Capacity summary'!$H147:$BG147)&lt;52,IF('Capacity summary'!BB147&lt;&gt;"",IF(LOWER('Capacity summary'!BB147)="x",$BI28*BB28,VALUE('Capacity summary'!BB147)),0),BB28*$BI28),BB28*$BI28),0)</f>
        <v>0</v>
      </c>
      <c r="DF28" s="311">
        <f>IF($BI28&lt;&gt;"",IF('Capacity summary'!$D$14="Yes",IF(COUNTBLANK('Capacity summary'!$H147:$BG147)&lt;52,IF('Capacity summary'!BC147&lt;&gt;"",IF(LOWER('Capacity summary'!BC147)="x",$BI28*BC28,VALUE('Capacity summary'!BC147)),0),BC28*$BI28),BC28*$BI28),0)</f>
        <v>0</v>
      </c>
      <c r="DG28" s="311">
        <f>IF($BI28&lt;&gt;"",IF('Capacity summary'!$D$14="Yes",IF(COUNTBLANK('Capacity summary'!$H147:$BG147)&lt;52,IF('Capacity summary'!BD147&lt;&gt;"",IF(LOWER('Capacity summary'!BD147)="x",$BI28*BD28,VALUE('Capacity summary'!BD147)),0),BD28*$BI28),BD28*$BI28),0)</f>
        <v>0</v>
      </c>
      <c r="DH28" s="311">
        <f>IF($BI28&lt;&gt;"",IF('Capacity summary'!$D$14="Yes",IF(COUNTBLANK('Capacity summary'!$H147:$BG147)&lt;52,IF('Capacity summary'!BE147&lt;&gt;"",IF(LOWER('Capacity summary'!BE147)="x",$BI28*BE28,VALUE('Capacity summary'!BE147)),0),BE28*$BI28),BE28*$BI28),0)</f>
        <v>0</v>
      </c>
      <c r="DI28" s="311">
        <f>IF($BI28&lt;&gt;"",IF('Capacity summary'!$D$14="Yes",IF(COUNTBLANK('Capacity summary'!$H147:$BG147)&lt;52,IF('Capacity summary'!BF147&lt;&gt;"",IF(LOWER('Capacity summary'!BF147)="x",$BI28*BF28,VALUE('Capacity summary'!BF147)),0),BF28*$BI28),BF28*$BI28),0)</f>
        <v>0</v>
      </c>
      <c r="DJ28" s="311">
        <f>IF($BI28&lt;&gt;"",IF('Capacity summary'!$D$14="Yes",IF(COUNTBLANK('Capacity summary'!$H147:$BG147)&lt;52,IF('Capacity summary'!BG147&lt;&gt;"",IF(LOWER('Capacity summary'!BG147)="x",$BI28*BG28,VALUE('Capacity summary'!BG147)),0),BG28*$BI28),BG28*$BI28),0)</f>
        <v>0</v>
      </c>
      <c r="DK28" s="387">
        <f t="shared" si="2"/>
        <v>0</v>
      </c>
      <c r="DL28" s="136">
        <f t="shared" si="3"/>
        <v>0</v>
      </c>
      <c r="DM28" s="311" t="str">
        <f>Capacity!H40</f>
        <v/>
      </c>
      <c r="DQ28" s="5"/>
    </row>
    <row r="29" spans="1:121" x14ac:dyDescent="0.2">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1">
        <f>IF($BI29&lt;&gt;"",IF('Capacity summary'!$D$14="Yes",IF(COUNTBLANK('Capacity summary'!$H148:$BG148)&lt;52,IF('Capacity summary'!H148&lt;&gt;"",IF(LOWER('Capacity summary'!H148)="x",$BI29*H29,VALUE('Capacity summary'!H148)),0),H29*$BI29),H29*$BI29),0)</f>
        <v>0</v>
      </c>
      <c r="BL29" s="311">
        <f>IF($BI29&lt;&gt;"",IF('Capacity summary'!$D$14="Yes",IF(COUNTBLANK('Capacity summary'!$H148:$BG148)&lt;52,IF('Capacity summary'!I148&lt;&gt;"",IF(LOWER('Capacity summary'!I148)="x",$BI29*I29,VALUE('Capacity summary'!I148)),0),I29*$BI29),I29*$BI29),0)</f>
        <v>0</v>
      </c>
      <c r="BM29" s="311">
        <f>IF($BI29&lt;&gt;"",IF('Capacity summary'!$D$14="Yes",IF(COUNTBLANK('Capacity summary'!$H148:$BG148)&lt;52,IF('Capacity summary'!J148&lt;&gt;"",IF(LOWER('Capacity summary'!J148)="x",$BI29*J29,VALUE('Capacity summary'!J148)),0),J29*$BI29),J29*$BI29),0)</f>
        <v>0</v>
      </c>
      <c r="BN29" s="311">
        <f>IF($BI29&lt;&gt;"",IF('Capacity summary'!$D$14="Yes",IF(COUNTBLANK('Capacity summary'!$H148:$BG148)&lt;52,IF('Capacity summary'!K148&lt;&gt;"",IF(LOWER('Capacity summary'!K148)="x",$BI29*K29,VALUE('Capacity summary'!K148)),0),K29*$BI29),K29*$BI29),0)</f>
        <v>0</v>
      </c>
      <c r="BO29" s="311">
        <f>IF($BI29&lt;&gt;"",IF('Capacity summary'!$D$14="Yes",IF(COUNTBLANK('Capacity summary'!$H148:$BG148)&lt;52,IF('Capacity summary'!L148&lt;&gt;"",IF(LOWER('Capacity summary'!L148)="x",$BI29*L29,VALUE('Capacity summary'!L148)),0),L29*$BI29),L29*$BI29),0)</f>
        <v>0</v>
      </c>
      <c r="BP29" s="311">
        <f>IF($BI29&lt;&gt;"",IF('Capacity summary'!$D$14="Yes",IF(COUNTBLANK('Capacity summary'!$H148:$BG148)&lt;52,IF('Capacity summary'!M148&lt;&gt;"",IF(LOWER('Capacity summary'!M148)="x",$BI29*M29,VALUE('Capacity summary'!M148)),0),M29*$BI29),M29*$BI29),0)</f>
        <v>0</v>
      </c>
      <c r="BQ29" s="311">
        <f>IF($BI29&lt;&gt;"",IF('Capacity summary'!$D$14="Yes",IF(COUNTBLANK('Capacity summary'!$H148:$BG148)&lt;52,IF('Capacity summary'!N148&lt;&gt;"",IF(LOWER('Capacity summary'!N148)="x",$BI29*N29,VALUE('Capacity summary'!N148)),0),N29*$BI29),N29*$BI29),0)</f>
        <v>0</v>
      </c>
      <c r="BR29" s="311">
        <f>IF($BI29&lt;&gt;"",IF('Capacity summary'!$D$14="Yes",IF(COUNTBLANK('Capacity summary'!$H148:$BG148)&lt;52,IF('Capacity summary'!O148&lt;&gt;"",IF(LOWER('Capacity summary'!O148)="x",$BI29*O29,VALUE('Capacity summary'!O148)),0),O29*$BI29),O29*$BI29),0)</f>
        <v>0</v>
      </c>
      <c r="BS29" s="311">
        <f>IF($BI29&lt;&gt;"",IF('Capacity summary'!$D$14="Yes",IF(COUNTBLANK('Capacity summary'!$H148:$BG148)&lt;52,IF('Capacity summary'!P148&lt;&gt;"",IF(LOWER('Capacity summary'!P148)="x",$BI29*P29,VALUE('Capacity summary'!P148)),0),P29*$BI29),P29*$BI29),0)</f>
        <v>0</v>
      </c>
      <c r="BT29" s="311">
        <f>IF($BI29&lt;&gt;"",IF('Capacity summary'!$D$14="Yes",IF(COUNTBLANK('Capacity summary'!$H148:$BG148)&lt;52,IF('Capacity summary'!Q148&lt;&gt;"",IF(LOWER('Capacity summary'!Q148)="x",$BI29*Q29,VALUE('Capacity summary'!Q148)),0),Q29*$BI29),Q29*$BI29),0)</f>
        <v>0</v>
      </c>
      <c r="BU29" s="311">
        <f>IF($BI29&lt;&gt;"",IF('Capacity summary'!$D$14="Yes",IF(COUNTBLANK('Capacity summary'!$H148:$BG148)&lt;52,IF('Capacity summary'!R148&lt;&gt;"",IF(LOWER('Capacity summary'!R148)="x",$BI29*R29,VALUE('Capacity summary'!R148)),0),R29*$BI29),R29*$BI29),0)</f>
        <v>0</v>
      </c>
      <c r="BV29" s="311">
        <f>IF($BI29&lt;&gt;"",IF('Capacity summary'!$D$14="Yes",IF(COUNTBLANK('Capacity summary'!$H148:$BG148)&lt;52,IF('Capacity summary'!S148&lt;&gt;"",IF(LOWER('Capacity summary'!S148)="x",$BI29*S29,VALUE('Capacity summary'!S148)),0),S29*$BI29),S29*$BI29),0)</f>
        <v>0</v>
      </c>
      <c r="BW29" s="311">
        <f>IF($BI29&lt;&gt;"",IF('Capacity summary'!$D$14="Yes",IF(COUNTBLANK('Capacity summary'!$H148:$BG148)&lt;52,IF('Capacity summary'!T148&lt;&gt;"",IF(LOWER('Capacity summary'!T148)="x",$BI29*T29,VALUE('Capacity summary'!T148)),0),T29*$BI29),T29*$BI29),0)</f>
        <v>0</v>
      </c>
      <c r="BX29" s="311">
        <f>IF($BI29&lt;&gt;"",IF('Capacity summary'!$D$14="Yes",IF(COUNTBLANK('Capacity summary'!$H148:$BG148)&lt;52,IF('Capacity summary'!U148&lt;&gt;"",IF(LOWER('Capacity summary'!U148)="x",$BI29*U29,VALUE('Capacity summary'!U148)),0),U29*$BI29),U29*$BI29),0)</f>
        <v>0</v>
      </c>
      <c r="BY29" s="311">
        <f>IF($BI29&lt;&gt;"",IF('Capacity summary'!$D$14="Yes",IF(COUNTBLANK('Capacity summary'!$H148:$BG148)&lt;52,IF('Capacity summary'!V148&lt;&gt;"",IF(LOWER('Capacity summary'!V148)="x",$BI29*V29,VALUE('Capacity summary'!V148)),0),V29*$BI29),V29*$BI29),0)</f>
        <v>0</v>
      </c>
      <c r="BZ29" s="311">
        <f>IF($BI29&lt;&gt;"",IF('Capacity summary'!$D$14="Yes",IF(COUNTBLANK('Capacity summary'!$H148:$BG148)&lt;52,IF('Capacity summary'!W148&lt;&gt;"",IF(LOWER('Capacity summary'!W148)="x",$BI29*W29,VALUE('Capacity summary'!W148)),0),W29*$BI29),W29*$BI29),0)</f>
        <v>0</v>
      </c>
      <c r="CA29" s="311">
        <f>IF($BI29&lt;&gt;"",IF('Capacity summary'!$D$14="Yes",IF(COUNTBLANK('Capacity summary'!$H148:$BG148)&lt;52,IF('Capacity summary'!X148&lt;&gt;"",IF(LOWER('Capacity summary'!X148)="x",$BI29*X29,VALUE('Capacity summary'!X148)),0),X29*$BI29),X29*$BI29),0)</f>
        <v>0</v>
      </c>
      <c r="CB29" s="311">
        <f>IF($BI29&lt;&gt;"",IF('Capacity summary'!$D$14="Yes",IF(COUNTBLANK('Capacity summary'!$H148:$BG148)&lt;52,IF('Capacity summary'!Y148&lt;&gt;"",IF(LOWER('Capacity summary'!Y148)="x",$BI29*Y29,VALUE('Capacity summary'!Y148)),0),Y29*$BI29),Y29*$BI29),0)</f>
        <v>0</v>
      </c>
      <c r="CC29" s="311">
        <f>IF($BI29&lt;&gt;"",IF('Capacity summary'!$D$14="Yes",IF(COUNTBLANK('Capacity summary'!$H148:$BG148)&lt;52,IF('Capacity summary'!Z148&lt;&gt;"",IF(LOWER('Capacity summary'!Z148)="x",$BI29*Z29,VALUE('Capacity summary'!Z148)),0),Z29*$BI29),Z29*$BI29),0)</f>
        <v>0</v>
      </c>
      <c r="CD29" s="311">
        <f>IF($BI29&lt;&gt;"",IF('Capacity summary'!$D$14="Yes",IF(COUNTBLANK('Capacity summary'!$H148:$BG148)&lt;52,IF('Capacity summary'!AA148&lt;&gt;"",IF(LOWER('Capacity summary'!AA148)="x",$BI29*AA29,VALUE('Capacity summary'!AA148)),0),AA29*$BI29),AA29*$BI29),0)</f>
        <v>0</v>
      </c>
      <c r="CE29" s="311">
        <f>IF($BI29&lt;&gt;"",IF('Capacity summary'!$D$14="Yes",IF(COUNTBLANK('Capacity summary'!$H148:$BG148)&lt;52,IF('Capacity summary'!AB148&lt;&gt;"",IF(LOWER('Capacity summary'!AB148)="x",$BI29*AB29,VALUE('Capacity summary'!AB148)),0),AB29*$BI29),AB29*$BI29),0)</f>
        <v>0</v>
      </c>
      <c r="CF29" s="311">
        <f>IF($BI29&lt;&gt;"",IF('Capacity summary'!$D$14="Yes",IF(COUNTBLANK('Capacity summary'!$H148:$BG148)&lt;52,IF('Capacity summary'!AC148&lt;&gt;"",IF(LOWER('Capacity summary'!AC148)="x",$BI29*AC29,VALUE('Capacity summary'!AC148)),0),AC29*$BI29),AC29*$BI29),0)</f>
        <v>0</v>
      </c>
      <c r="CG29" s="311">
        <f>IF($BI29&lt;&gt;"",IF('Capacity summary'!$D$14="Yes",IF(COUNTBLANK('Capacity summary'!$H148:$BG148)&lt;52,IF('Capacity summary'!AD148&lt;&gt;"",IF(LOWER('Capacity summary'!AD148)="x",$BI29*AD29,VALUE('Capacity summary'!AD148)),0),AD29*$BI29),AD29*$BI29),0)</f>
        <v>0</v>
      </c>
      <c r="CH29" s="311">
        <f>IF($BI29&lt;&gt;"",IF('Capacity summary'!$D$14="Yes",IF(COUNTBLANK('Capacity summary'!$H148:$BG148)&lt;52,IF('Capacity summary'!AE148&lt;&gt;"",IF(LOWER('Capacity summary'!AE148)="x",$BI29*AE29,VALUE('Capacity summary'!AE148)),0),AE29*$BI29),AE29*$BI29),0)</f>
        <v>0</v>
      </c>
      <c r="CI29" s="311">
        <f>IF($BI29&lt;&gt;"",IF('Capacity summary'!$D$14="Yes",IF(COUNTBLANK('Capacity summary'!$H148:$BG148)&lt;52,IF('Capacity summary'!AF148&lt;&gt;"",IF(LOWER('Capacity summary'!AF148)="x",$BI29*AF29,VALUE('Capacity summary'!AF148)),0),AF29*$BI29),AF29*$BI29),0)</f>
        <v>0</v>
      </c>
      <c r="CJ29" s="311">
        <f>IF($BI29&lt;&gt;"",IF('Capacity summary'!$D$14="Yes",IF(COUNTBLANK('Capacity summary'!$H148:$BG148)&lt;52,IF('Capacity summary'!AG148&lt;&gt;"",IF(LOWER('Capacity summary'!AG148)="x",$BI29*AG29,VALUE('Capacity summary'!AG148)),0),AG29*$BI29),AG29*$BI29),0)</f>
        <v>0</v>
      </c>
      <c r="CK29" s="311">
        <f>IF($BI29&lt;&gt;"",IF('Capacity summary'!$D$14="Yes",IF(COUNTBLANK('Capacity summary'!$H148:$BG148)&lt;52,IF('Capacity summary'!AH148&lt;&gt;"",IF(LOWER('Capacity summary'!AH148)="x",$BI29*AH29,VALUE('Capacity summary'!AH148)),0),AH29*$BI29),AH29*$BI29),0)</f>
        <v>0</v>
      </c>
      <c r="CL29" s="311">
        <f>IF($BI29&lt;&gt;"",IF('Capacity summary'!$D$14="Yes",IF(COUNTBLANK('Capacity summary'!$H148:$BG148)&lt;52,IF('Capacity summary'!AI148&lt;&gt;"",IF(LOWER('Capacity summary'!AI148)="x",$BI29*AI29,VALUE('Capacity summary'!AI148)),0),AI29*$BI29),AI29*$BI29),0)</f>
        <v>0</v>
      </c>
      <c r="CM29" s="311">
        <f>IF($BI29&lt;&gt;"",IF('Capacity summary'!$D$14="Yes",IF(COUNTBLANK('Capacity summary'!$H148:$BG148)&lt;52,IF('Capacity summary'!AJ148&lt;&gt;"",IF(LOWER('Capacity summary'!AJ148)="x",$BI29*AJ29,VALUE('Capacity summary'!AJ148)),0),AJ29*$BI29),AJ29*$BI29),0)</f>
        <v>0</v>
      </c>
      <c r="CN29" s="311">
        <f>IF($BI29&lt;&gt;"",IF('Capacity summary'!$D$14="Yes",IF(COUNTBLANK('Capacity summary'!$H148:$BG148)&lt;52,IF('Capacity summary'!AK148&lt;&gt;"",IF(LOWER('Capacity summary'!AK148)="x",$BI29*AK29,VALUE('Capacity summary'!AK148)),0),AK29*$BI29),AK29*$BI29),0)</f>
        <v>0</v>
      </c>
      <c r="CO29" s="311">
        <f>IF($BI29&lt;&gt;"",IF('Capacity summary'!$D$14="Yes",IF(COUNTBLANK('Capacity summary'!$H148:$BG148)&lt;52,IF('Capacity summary'!AL148&lt;&gt;"",IF(LOWER('Capacity summary'!AL148)="x",$BI29*AL29,VALUE('Capacity summary'!AL148)),0),AL29*$BI29),AL29*$BI29),0)</f>
        <v>0</v>
      </c>
      <c r="CP29" s="311">
        <f>IF($BI29&lt;&gt;"",IF('Capacity summary'!$D$14="Yes",IF(COUNTBLANK('Capacity summary'!$H148:$BG148)&lt;52,IF('Capacity summary'!AM148&lt;&gt;"",IF(LOWER('Capacity summary'!AM148)="x",$BI29*AM29,VALUE('Capacity summary'!AM148)),0),AM29*$BI29),AM29*$BI29),0)</f>
        <v>0</v>
      </c>
      <c r="CQ29" s="311">
        <f>IF($BI29&lt;&gt;"",IF('Capacity summary'!$D$14="Yes",IF(COUNTBLANK('Capacity summary'!$H148:$BG148)&lt;52,IF('Capacity summary'!AN148&lt;&gt;"",IF(LOWER('Capacity summary'!AN148)="x",$BI29*AN29,VALUE('Capacity summary'!AN148)),0),AN29*$BI29),AN29*$BI29),0)</f>
        <v>0</v>
      </c>
      <c r="CR29" s="311">
        <f>IF($BI29&lt;&gt;"",IF('Capacity summary'!$D$14="Yes",IF(COUNTBLANK('Capacity summary'!$H148:$BG148)&lt;52,IF('Capacity summary'!AO148&lt;&gt;"",IF(LOWER('Capacity summary'!AO148)="x",$BI29*AO29,VALUE('Capacity summary'!AO148)),0),AO29*$BI29),AO29*$BI29),0)</f>
        <v>0</v>
      </c>
      <c r="CS29" s="311">
        <f>IF($BI29&lt;&gt;"",IF('Capacity summary'!$D$14="Yes",IF(COUNTBLANK('Capacity summary'!$H148:$BG148)&lt;52,IF('Capacity summary'!AP148&lt;&gt;"",IF(LOWER('Capacity summary'!AP148)="x",$BI29*AP29,VALUE('Capacity summary'!AP148)),0),AP29*$BI29),AP29*$BI29),0)</f>
        <v>0</v>
      </c>
      <c r="CT29" s="311">
        <f>IF($BI29&lt;&gt;"",IF('Capacity summary'!$D$14="Yes",IF(COUNTBLANK('Capacity summary'!$H148:$BG148)&lt;52,IF('Capacity summary'!AQ148&lt;&gt;"",IF(LOWER('Capacity summary'!AQ148)="x",$BI29*AQ29,VALUE('Capacity summary'!AQ148)),0),AQ29*$BI29),AQ29*$BI29),0)</f>
        <v>0</v>
      </c>
      <c r="CU29" s="311">
        <f>IF($BI29&lt;&gt;"",IF('Capacity summary'!$D$14="Yes",IF(COUNTBLANK('Capacity summary'!$H148:$BG148)&lt;52,IF('Capacity summary'!AR148&lt;&gt;"",IF(LOWER('Capacity summary'!AR148)="x",$BI29*AR29,VALUE('Capacity summary'!AR148)),0),AR29*$BI29),AR29*$BI29),0)</f>
        <v>0</v>
      </c>
      <c r="CV29" s="311">
        <f>IF($BI29&lt;&gt;"",IF('Capacity summary'!$D$14="Yes",IF(COUNTBLANK('Capacity summary'!$H148:$BG148)&lt;52,IF('Capacity summary'!AS148&lt;&gt;"",IF(LOWER('Capacity summary'!AS148)="x",$BI29*AS29,VALUE('Capacity summary'!AS148)),0),AS29*$BI29),AS29*$BI29),0)</f>
        <v>0</v>
      </c>
      <c r="CW29" s="311">
        <f>IF($BI29&lt;&gt;"",IF('Capacity summary'!$D$14="Yes",IF(COUNTBLANK('Capacity summary'!$H148:$BG148)&lt;52,IF('Capacity summary'!AT148&lt;&gt;"",IF(LOWER('Capacity summary'!AT148)="x",$BI29*AT29,VALUE('Capacity summary'!AT148)),0),AT29*$BI29),AT29*$BI29),0)</f>
        <v>0</v>
      </c>
      <c r="CX29" s="311">
        <f>IF($BI29&lt;&gt;"",IF('Capacity summary'!$D$14="Yes",IF(COUNTBLANK('Capacity summary'!$H148:$BG148)&lt;52,IF('Capacity summary'!AU148&lt;&gt;"",IF(LOWER('Capacity summary'!AU148)="x",$BI29*AU29,VALUE('Capacity summary'!AU148)),0),AU29*$BI29),AU29*$BI29),0)</f>
        <v>0</v>
      </c>
      <c r="CY29" s="311">
        <f>IF($BI29&lt;&gt;"",IF('Capacity summary'!$D$14="Yes",IF(COUNTBLANK('Capacity summary'!$H148:$BG148)&lt;52,IF('Capacity summary'!AV148&lt;&gt;"",IF(LOWER('Capacity summary'!AV148)="x",$BI29*AV29,VALUE('Capacity summary'!AV148)),0),AV29*$BI29),AV29*$BI29),0)</f>
        <v>0</v>
      </c>
      <c r="CZ29" s="311">
        <f>IF($BI29&lt;&gt;"",IF('Capacity summary'!$D$14="Yes",IF(COUNTBLANK('Capacity summary'!$H148:$BG148)&lt;52,IF('Capacity summary'!AW148&lt;&gt;"",IF(LOWER('Capacity summary'!AW148)="x",$BI29*AW29,VALUE('Capacity summary'!AW148)),0),AW29*$BI29),AW29*$BI29),0)</f>
        <v>0</v>
      </c>
      <c r="DA29" s="311">
        <f>IF($BI29&lt;&gt;"",IF('Capacity summary'!$D$14="Yes",IF(COUNTBLANK('Capacity summary'!$H148:$BG148)&lt;52,IF('Capacity summary'!AX148&lt;&gt;"",IF(LOWER('Capacity summary'!AX148)="x",$BI29*AX29,VALUE('Capacity summary'!AX148)),0),AX29*$BI29),AX29*$BI29),0)</f>
        <v>0</v>
      </c>
      <c r="DB29" s="311">
        <f>IF($BI29&lt;&gt;"",IF('Capacity summary'!$D$14="Yes",IF(COUNTBLANK('Capacity summary'!$H148:$BG148)&lt;52,IF('Capacity summary'!AY148&lt;&gt;"",IF(LOWER('Capacity summary'!AY148)="x",$BI29*AY29,VALUE('Capacity summary'!AY148)),0),AY29*$BI29),AY29*$BI29),0)</f>
        <v>0</v>
      </c>
      <c r="DC29" s="311">
        <f>IF($BI29&lt;&gt;"",IF('Capacity summary'!$D$14="Yes",IF(COUNTBLANK('Capacity summary'!$H148:$BG148)&lt;52,IF('Capacity summary'!AZ148&lt;&gt;"",IF(LOWER('Capacity summary'!AZ148)="x",$BI29*AZ29,VALUE('Capacity summary'!AZ148)),0),AZ29*$BI29),AZ29*$BI29),0)</f>
        <v>0</v>
      </c>
      <c r="DD29" s="311">
        <f>IF($BI29&lt;&gt;"",IF('Capacity summary'!$D$14="Yes",IF(COUNTBLANK('Capacity summary'!$H148:$BG148)&lt;52,IF('Capacity summary'!BA148&lt;&gt;"",IF(LOWER('Capacity summary'!BA148)="x",$BI29*BA29,VALUE('Capacity summary'!BA148)),0),BA29*$BI29),BA29*$BI29),0)</f>
        <v>0</v>
      </c>
      <c r="DE29" s="311">
        <f>IF($BI29&lt;&gt;"",IF('Capacity summary'!$D$14="Yes",IF(COUNTBLANK('Capacity summary'!$H148:$BG148)&lt;52,IF('Capacity summary'!BB148&lt;&gt;"",IF(LOWER('Capacity summary'!BB148)="x",$BI29*BB29,VALUE('Capacity summary'!BB148)),0),BB29*$BI29),BB29*$BI29),0)</f>
        <v>0</v>
      </c>
      <c r="DF29" s="311">
        <f>IF($BI29&lt;&gt;"",IF('Capacity summary'!$D$14="Yes",IF(COUNTBLANK('Capacity summary'!$H148:$BG148)&lt;52,IF('Capacity summary'!BC148&lt;&gt;"",IF(LOWER('Capacity summary'!BC148)="x",$BI29*BC29,VALUE('Capacity summary'!BC148)),0),BC29*$BI29),BC29*$BI29),0)</f>
        <v>0</v>
      </c>
      <c r="DG29" s="311">
        <f>IF($BI29&lt;&gt;"",IF('Capacity summary'!$D$14="Yes",IF(COUNTBLANK('Capacity summary'!$H148:$BG148)&lt;52,IF('Capacity summary'!BD148&lt;&gt;"",IF(LOWER('Capacity summary'!BD148)="x",$BI29*BD29,VALUE('Capacity summary'!BD148)),0),BD29*$BI29),BD29*$BI29),0)</f>
        <v>0</v>
      </c>
      <c r="DH29" s="311">
        <f>IF($BI29&lt;&gt;"",IF('Capacity summary'!$D$14="Yes",IF(COUNTBLANK('Capacity summary'!$H148:$BG148)&lt;52,IF('Capacity summary'!BE148&lt;&gt;"",IF(LOWER('Capacity summary'!BE148)="x",$BI29*BE29,VALUE('Capacity summary'!BE148)),0),BE29*$BI29),BE29*$BI29),0)</f>
        <v>0</v>
      </c>
      <c r="DI29" s="311">
        <f>IF($BI29&lt;&gt;"",IF('Capacity summary'!$D$14="Yes",IF(COUNTBLANK('Capacity summary'!$H148:$BG148)&lt;52,IF('Capacity summary'!BF148&lt;&gt;"",IF(LOWER('Capacity summary'!BF148)="x",$BI29*BF29,VALUE('Capacity summary'!BF148)),0),BF29*$BI29),BF29*$BI29),0)</f>
        <v>0</v>
      </c>
      <c r="DJ29" s="311">
        <f>IF($BI29&lt;&gt;"",IF('Capacity summary'!$D$14="Yes",IF(COUNTBLANK('Capacity summary'!$H148:$BG148)&lt;52,IF('Capacity summary'!BG148&lt;&gt;"",IF(LOWER('Capacity summary'!BG148)="x",$BI29*BG29,VALUE('Capacity summary'!BG148)),0),BG29*$BI29),BG29*$BI29),0)</f>
        <v>0</v>
      </c>
      <c r="DK29" s="387">
        <f t="shared" si="2"/>
        <v>0</v>
      </c>
      <c r="DL29" s="136">
        <f t="shared" si="3"/>
        <v>0</v>
      </c>
      <c r="DM29" s="311" t="str">
        <f>Capacity!H41</f>
        <v/>
      </c>
      <c r="DQ29" s="5"/>
    </row>
    <row r="30" spans="1:121" x14ac:dyDescent="0.2">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1">
        <f>IF($BI30&lt;&gt;"",IF('Capacity summary'!$D$14="Yes",IF(COUNTBLANK('Capacity summary'!$H149:$BG149)&lt;52,IF('Capacity summary'!H149&lt;&gt;"",IF(LOWER('Capacity summary'!H149)="x",$BI30*H30,VALUE('Capacity summary'!H149)),0),H30*$BI30),H30*$BI30),0)</f>
        <v>0</v>
      </c>
      <c r="BL30" s="311">
        <f>IF($BI30&lt;&gt;"",IF('Capacity summary'!$D$14="Yes",IF(COUNTBLANK('Capacity summary'!$H149:$BG149)&lt;52,IF('Capacity summary'!I149&lt;&gt;"",IF(LOWER('Capacity summary'!I149)="x",$BI30*I30,VALUE('Capacity summary'!I149)),0),I30*$BI30),I30*$BI30),0)</f>
        <v>0</v>
      </c>
      <c r="BM30" s="311">
        <f>IF($BI30&lt;&gt;"",IF('Capacity summary'!$D$14="Yes",IF(COUNTBLANK('Capacity summary'!$H149:$BG149)&lt;52,IF('Capacity summary'!J149&lt;&gt;"",IF(LOWER('Capacity summary'!J149)="x",$BI30*J30,VALUE('Capacity summary'!J149)),0),J30*$BI30),J30*$BI30),0)</f>
        <v>0</v>
      </c>
      <c r="BN30" s="311">
        <f>IF($BI30&lt;&gt;"",IF('Capacity summary'!$D$14="Yes",IF(COUNTBLANK('Capacity summary'!$H149:$BG149)&lt;52,IF('Capacity summary'!K149&lt;&gt;"",IF(LOWER('Capacity summary'!K149)="x",$BI30*K30,VALUE('Capacity summary'!K149)),0),K30*$BI30),K30*$BI30),0)</f>
        <v>0</v>
      </c>
      <c r="BO30" s="311">
        <f>IF($BI30&lt;&gt;"",IF('Capacity summary'!$D$14="Yes",IF(COUNTBLANK('Capacity summary'!$H149:$BG149)&lt;52,IF('Capacity summary'!L149&lt;&gt;"",IF(LOWER('Capacity summary'!L149)="x",$BI30*L30,VALUE('Capacity summary'!L149)),0),L30*$BI30),L30*$BI30),0)</f>
        <v>0</v>
      </c>
      <c r="BP30" s="311">
        <f>IF($BI30&lt;&gt;"",IF('Capacity summary'!$D$14="Yes",IF(COUNTBLANK('Capacity summary'!$H149:$BG149)&lt;52,IF('Capacity summary'!M149&lt;&gt;"",IF(LOWER('Capacity summary'!M149)="x",$BI30*M30,VALUE('Capacity summary'!M149)),0),M30*$BI30),M30*$BI30),0)</f>
        <v>0</v>
      </c>
      <c r="BQ30" s="311">
        <f>IF($BI30&lt;&gt;"",IF('Capacity summary'!$D$14="Yes",IF(COUNTBLANK('Capacity summary'!$H149:$BG149)&lt;52,IF('Capacity summary'!N149&lt;&gt;"",IF(LOWER('Capacity summary'!N149)="x",$BI30*N30,VALUE('Capacity summary'!N149)),0),N30*$BI30),N30*$BI30),0)</f>
        <v>0</v>
      </c>
      <c r="BR30" s="311">
        <f>IF($BI30&lt;&gt;"",IF('Capacity summary'!$D$14="Yes",IF(COUNTBLANK('Capacity summary'!$H149:$BG149)&lt;52,IF('Capacity summary'!O149&lt;&gt;"",IF(LOWER('Capacity summary'!O149)="x",$BI30*O30,VALUE('Capacity summary'!O149)),0),O30*$BI30),O30*$BI30),0)</f>
        <v>0</v>
      </c>
      <c r="BS30" s="311">
        <f>IF($BI30&lt;&gt;"",IF('Capacity summary'!$D$14="Yes",IF(COUNTBLANK('Capacity summary'!$H149:$BG149)&lt;52,IF('Capacity summary'!P149&lt;&gt;"",IF(LOWER('Capacity summary'!P149)="x",$BI30*P30,VALUE('Capacity summary'!P149)),0),P30*$BI30),P30*$BI30),0)</f>
        <v>0</v>
      </c>
      <c r="BT30" s="311">
        <f>IF($BI30&lt;&gt;"",IF('Capacity summary'!$D$14="Yes",IF(COUNTBLANK('Capacity summary'!$H149:$BG149)&lt;52,IF('Capacity summary'!Q149&lt;&gt;"",IF(LOWER('Capacity summary'!Q149)="x",$BI30*Q30,VALUE('Capacity summary'!Q149)),0),Q30*$BI30),Q30*$BI30),0)</f>
        <v>0</v>
      </c>
      <c r="BU30" s="311">
        <f>IF($BI30&lt;&gt;"",IF('Capacity summary'!$D$14="Yes",IF(COUNTBLANK('Capacity summary'!$H149:$BG149)&lt;52,IF('Capacity summary'!R149&lt;&gt;"",IF(LOWER('Capacity summary'!R149)="x",$BI30*R30,VALUE('Capacity summary'!R149)),0),R30*$BI30),R30*$BI30),0)</f>
        <v>0</v>
      </c>
      <c r="BV30" s="311">
        <f>IF($BI30&lt;&gt;"",IF('Capacity summary'!$D$14="Yes",IF(COUNTBLANK('Capacity summary'!$H149:$BG149)&lt;52,IF('Capacity summary'!S149&lt;&gt;"",IF(LOWER('Capacity summary'!S149)="x",$BI30*S30,VALUE('Capacity summary'!S149)),0),S30*$BI30),S30*$BI30),0)</f>
        <v>0</v>
      </c>
      <c r="BW30" s="311">
        <f>IF($BI30&lt;&gt;"",IF('Capacity summary'!$D$14="Yes",IF(COUNTBLANK('Capacity summary'!$H149:$BG149)&lt;52,IF('Capacity summary'!T149&lt;&gt;"",IF(LOWER('Capacity summary'!T149)="x",$BI30*T30,VALUE('Capacity summary'!T149)),0),T30*$BI30),T30*$BI30),0)</f>
        <v>0</v>
      </c>
      <c r="BX30" s="311">
        <f>IF($BI30&lt;&gt;"",IF('Capacity summary'!$D$14="Yes",IF(COUNTBLANK('Capacity summary'!$H149:$BG149)&lt;52,IF('Capacity summary'!U149&lt;&gt;"",IF(LOWER('Capacity summary'!U149)="x",$BI30*U30,VALUE('Capacity summary'!U149)),0),U30*$BI30),U30*$BI30),0)</f>
        <v>0</v>
      </c>
      <c r="BY30" s="311">
        <f>IF($BI30&lt;&gt;"",IF('Capacity summary'!$D$14="Yes",IF(COUNTBLANK('Capacity summary'!$H149:$BG149)&lt;52,IF('Capacity summary'!V149&lt;&gt;"",IF(LOWER('Capacity summary'!V149)="x",$BI30*V30,VALUE('Capacity summary'!V149)),0),V30*$BI30),V30*$BI30),0)</f>
        <v>0</v>
      </c>
      <c r="BZ30" s="311">
        <f>IF($BI30&lt;&gt;"",IF('Capacity summary'!$D$14="Yes",IF(COUNTBLANK('Capacity summary'!$H149:$BG149)&lt;52,IF('Capacity summary'!W149&lt;&gt;"",IF(LOWER('Capacity summary'!W149)="x",$BI30*W30,VALUE('Capacity summary'!W149)),0),W30*$BI30),W30*$BI30),0)</f>
        <v>0</v>
      </c>
      <c r="CA30" s="311">
        <f>IF($BI30&lt;&gt;"",IF('Capacity summary'!$D$14="Yes",IF(COUNTBLANK('Capacity summary'!$H149:$BG149)&lt;52,IF('Capacity summary'!X149&lt;&gt;"",IF(LOWER('Capacity summary'!X149)="x",$BI30*X30,VALUE('Capacity summary'!X149)),0),X30*$BI30),X30*$BI30),0)</f>
        <v>0</v>
      </c>
      <c r="CB30" s="311">
        <f>IF($BI30&lt;&gt;"",IF('Capacity summary'!$D$14="Yes",IF(COUNTBLANK('Capacity summary'!$H149:$BG149)&lt;52,IF('Capacity summary'!Y149&lt;&gt;"",IF(LOWER('Capacity summary'!Y149)="x",$BI30*Y30,VALUE('Capacity summary'!Y149)),0),Y30*$BI30),Y30*$BI30),0)</f>
        <v>0</v>
      </c>
      <c r="CC30" s="311">
        <f>IF($BI30&lt;&gt;"",IF('Capacity summary'!$D$14="Yes",IF(COUNTBLANK('Capacity summary'!$H149:$BG149)&lt;52,IF('Capacity summary'!Z149&lt;&gt;"",IF(LOWER('Capacity summary'!Z149)="x",$BI30*Z30,VALUE('Capacity summary'!Z149)),0),Z30*$BI30),Z30*$BI30),0)</f>
        <v>0</v>
      </c>
      <c r="CD30" s="311">
        <f>IF($BI30&lt;&gt;"",IF('Capacity summary'!$D$14="Yes",IF(COUNTBLANK('Capacity summary'!$H149:$BG149)&lt;52,IF('Capacity summary'!AA149&lt;&gt;"",IF(LOWER('Capacity summary'!AA149)="x",$BI30*AA30,VALUE('Capacity summary'!AA149)),0),AA30*$BI30),AA30*$BI30),0)</f>
        <v>0</v>
      </c>
      <c r="CE30" s="311">
        <f>IF($BI30&lt;&gt;"",IF('Capacity summary'!$D$14="Yes",IF(COUNTBLANK('Capacity summary'!$H149:$BG149)&lt;52,IF('Capacity summary'!AB149&lt;&gt;"",IF(LOWER('Capacity summary'!AB149)="x",$BI30*AB30,VALUE('Capacity summary'!AB149)),0),AB30*$BI30),AB30*$BI30),0)</f>
        <v>0</v>
      </c>
      <c r="CF30" s="311">
        <f>IF($BI30&lt;&gt;"",IF('Capacity summary'!$D$14="Yes",IF(COUNTBLANK('Capacity summary'!$H149:$BG149)&lt;52,IF('Capacity summary'!AC149&lt;&gt;"",IF(LOWER('Capacity summary'!AC149)="x",$BI30*AC30,VALUE('Capacity summary'!AC149)),0),AC30*$BI30),AC30*$BI30),0)</f>
        <v>0</v>
      </c>
      <c r="CG30" s="311">
        <f>IF($BI30&lt;&gt;"",IF('Capacity summary'!$D$14="Yes",IF(COUNTBLANK('Capacity summary'!$H149:$BG149)&lt;52,IF('Capacity summary'!AD149&lt;&gt;"",IF(LOWER('Capacity summary'!AD149)="x",$BI30*AD30,VALUE('Capacity summary'!AD149)),0),AD30*$BI30),AD30*$BI30),0)</f>
        <v>0</v>
      </c>
      <c r="CH30" s="311">
        <f>IF($BI30&lt;&gt;"",IF('Capacity summary'!$D$14="Yes",IF(COUNTBLANK('Capacity summary'!$H149:$BG149)&lt;52,IF('Capacity summary'!AE149&lt;&gt;"",IF(LOWER('Capacity summary'!AE149)="x",$BI30*AE30,VALUE('Capacity summary'!AE149)),0),AE30*$BI30),AE30*$BI30),0)</f>
        <v>0</v>
      </c>
      <c r="CI30" s="311">
        <f>IF($BI30&lt;&gt;"",IF('Capacity summary'!$D$14="Yes",IF(COUNTBLANK('Capacity summary'!$H149:$BG149)&lt;52,IF('Capacity summary'!AF149&lt;&gt;"",IF(LOWER('Capacity summary'!AF149)="x",$BI30*AF30,VALUE('Capacity summary'!AF149)),0),AF30*$BI30),AF30*$BI30),0)</f>
        <v>0</v>
      </c>
      <c r="CJ30" s="311">
        <f>IF($BI30&lt;&gt;"",IF('Capacity summary'!$D$14="Yes",IF(COUNTBLANK('Capacity summary'!$H149:$BG149)&lt;52,IF('Capacity summary'!AG149&lt;&gt;"",IF(LOWER('Capacity summary'!AG149)="x",$BI30*AG30,VALUE('Capacity summary'!AG149)),0),AG30*$BI30),AG30*$BI30),0)</f>
        <v>0</v>
      </c>
      <c r="CK30" s="311">
        <f>IF($BI30&lt;&gt;"",IF('Capacity summary'!$D$14="Yes",IF(COUNTBLANK('Capacity summary'!$H149:$BG149)&lt;52,IF('Capacity summary'!AH149&lt;&gt;"",IF(LOWER('Capacity summary'!AH149)="x",$BI30*AH30,VALUE('Capacity summary'!AH149)),0),AH30*$BI30),AH30*$BI30),0)</f>
        <v>0</v>
      </c>
      <c r="CL30" s="311">
        <f>IF($BI30&lt;&gt;"",IF('Capacity summary'!$D$14="Yes",IF(COUNTBLANK('Capacity summary'!$H149:$BG149)&lt;52,IF('Capacity summary'!AI149&lt;&gt;"",IF(LOWER('Capacity summary'!AI149)="x",$BI30*AI30,VALUE('Capacity summary'!AI149)),0),AI30*$BI30),AI30*$BI30),0)</f>
        <v>0</v>
      </c>
      <c r="CM30" s="311">
        <f>IF($BI30&lt;&gt;"",IF('Capacity summary'!$D$14="Yes",IF(COUNTBLANK('Capacity summary'!$H149:$BG149)&lt;52,IF('Capacity summary'!AJ149&lt;&gt;"",IF(LOWER('Capacity summary'!AJ149)="x",$BI30*AJ30,VALUE('Capacity summary'!AJ149)),0),AJ30*$BI30),AJ30*$BI30),0)</f>
        <v>0</v>
      </c>
      <c r="CN30" s="311">
        <f>IF($BI30&lt;&gt;"",IF('Capacity summary'!$D$14="Yes",IF(COUNTBLANK('Capacity summary'!$H149:$BG149)&lt;52,IF('Capacity summary'!AK149&lt;&gt;"",IF(LOWER('Capacity summary'!AK149)="x",$BI30*AK30,VALUE('Capacity summary'!AK149)),0),AK30*$BI30),AK30*$BI30),0)</f>
        <v>0</v>
      </c>
      <c r="CO30" s="311">
        <f>IF($BI30&lt;&gt;"",IF('Capacity summary'!$D$14="Yes",IF(COUNTBLANK('Capacity summary'!$H149:$BG149)&lt;52,IF('Capacity summary'!AL149&lt;&gt;"",IF(LOWER('Capacity summary'!AL149)="x",$BI30*AL30,VALUE('Capacity summary'!AL149)),0),AL30*$BI30),AL30*$BI30),0)</f>
        <v>0</v>
      </c>
      <c r="CP30" s="311">
        <f>IF($BI30&lt;&gt;"",IF('Capacity summary'!$D$14="Yes",IF(COUNTBLANK('Capacity summary'!$H149:$BG149)&lt;52,IF('Capacity summary'!AM149&lt;&gt;"",IF(LOWER('Capacity summary'!AM149)="x",$BI30*AM30,VALUE('Capacity summary'!AM149)),0),AM30*$BI30),AM30*$BI30),0)</f>
        <v>0</v>
      </c>
      <c r="CQ30" s="311">
        <f>IF($BI30&lt;&gt;"",IF('Capacity summary'!$D$14="Yes",IF(COUNTBLANK('Capacity summary'!$H149:$BG149)&lt;52,IF('Capacity summary'!AN149&lt;&gt;"",IF(LOWER('Capacity summary'!AN149)="x",$BI30*AN30,VALUE('Capacity summary'!AN149)),0),AN30*$BI30),AN30*$BI30),0)</f>
        <v>0</v>
      </c>
      <c r="CR30" s="311">
        <f>IF($BI30&lt;&gt;"",IF('Capacity summary'!$D$14="Yes",IF(COUNTBLANK('Capacity summary'!$H149:$BG149)&lt;52,IF('Capacity summary'!AO149&lt;&gt;"",IF(LOWER('Capacity summary'!AO149)="x",$BI30*AO30,VALUE('Capacity summary'!AO149)),0),AO30*$BI30),AO30*$BI30),0)</f>
        <v>0</v>
      </c>
      <c r="CS30" s="311">
        <f>IF($BI30&lt;&gt;"",IF('Capacity summary'!$D$14="Yes",IF(COUNTBLANK('Capacity summary'!$H149:$BG149)&lt;52,IF('Capacity summary'!AP149&lt;&gt;"",IF(LOWER('Capacity summary'!AP149)="x",$BI30*AP30,VALUE('Capacity summary'!AP149)),0),AP30*$BI30),AP30*$BI30),0)</f>
        <v>0</v>
      </c>
      <c r="CT30" s="311">
        <f>IF($BI30&lt;&gt;"",IF('Capacity summary'!$D$14="Yes",IF(COUNTBLANK('Capacity summary'!$H149:$BG149)&lt;52,IF('Capacity summary'!AQ149&lt;&gt;"",IF(LOWER('Capacity summary'!AQ149)="x",$BI30*AQ30,VALUE('Capacity summary'!AQ149)),0),AQ30*$BI30),AQ30*$BI30),0)</f>
        <v>0</v>
      </c>
      <c r="CU30" s="311">
        <f>IF($BI30&lt;&gt;"",IF('Capacity summary'!$D$14="Yes",IF(COUNTBLANK('Capacity summary'!$H149:$BG149)&lt;52,IF('Capacity summary'!AR149&lt;&gt;"",IF(LOWER('Capacity summary'!AR149)="x",$BI30*AR30,VALUE('Capacity summary'!AR149)),0),AR30*$BI30),AR30*$BI30),0)</f>
        <v>0</v>
      </c>
      <c r="CV30" s="311">
        <f>IF($BI30&lt;&gt;"",IF('Capacity summary'!$D$14="Yes",IF(COUNTBLANK('Capacity summary'!$H149:$BG149)&lt;52,IF('Capacity summary'!AS149&lt;&gt;"",IF(LOWER('Capacity summary'!AS149)="x",$BI30*AS30,VALUE('Capacity summary'!AS149)),0),AS30*$BI30),AS30*$BI30),0)</f>
        <v>0</v>
      </c>
      <c r="CW30" s="311">
        <f>IF($BI30&lt;&gt;"",IF('Capacity summary'!$D$14="Yes",IF(COUNTBLANK('Capacity summary'!$H149:$BG149)&lt;52,IF('Capacity summary'!AT149&lt;&gt;"",IF(LOWER('Capacity summary'!AT149)="x",$BI30*AT30,VALUE('Capacity summary'!AT149)),0),AT30*$BI30),AT30*$BI30),0)</f>
        <v>0</v>
      </c>
      <c r="CX30" s="311">
        <f>IF($BI30&lt;&gt;"",IF('Capacity summary'!$D$14="Yes",IF(COUNTBLANK('Capacity summary'!$H149:$BG149)&lt;52,IF('Capacity summary'!AU149&lt;&gt;"",IF(LOWER('Capacity summary'!AU149)="x",$BI30*AU30,VALUE('Capacity summary'!AU149)),0),AU30*$BI30),AU30*$BI30),0)</f>
        <v>0</v>
      </c>
      <c r="CY30" s="311">
        <f>IF($BI30&lt;&gt;"",IF('Capacity summary'!$D$14="Yes",IF(COUNTBLANK('Capacity summary'!$H149:$BG149)&lt;52,IF('Capacity summary'!AV149&lt;&gt;"",IF(LOWER('Capacity summary'!AV149)="x",$BI30*AV30,VALUE('Capacity summary'!AV149)),0),AV30*$BI30),AV30*$BI30),0)</f>
        <v>0</v>
      </c>
      <c r="CZ30" s="311">
        <f>IF($BI30&lt;&gt;"",IF('Capacity summary'!$D$14="Yes",IF(COUNTBLANK('Capacity summary'!$H149:$BG149)&lt;52,IF('Capacity summary'!AW149&lt;&gt;"",IF(LOWER('Capacity summary'!AW149)="x",$BI30*AW30,VALUE('Capacity summary'!AW149)),0),AW30*$BI30),AW30*$BI30),0)</f>
        <v>0</v>
      </c>
      <c r="DA30" s="311">
        <f>IF($BI30&lt;&gt;"",IF('Capacity summary'!$D$14="Yes",IF(COUNTBLANK('Capacity summary'!$H149:$BG149)&lt;52,IF('Capacity summary'!AX149&lt;&gt;"",IF(LOWER('Capacity summary'!AX149)="x",$BI30*AX30,VALUE('Capacity summary'!AX149)),0),AX30*$BI30),AX30*$BI30),0)</f>
        <v>0</v>
      </c>
      <c r="DB30" s="311">
        <f>IF($BI30&lt;&gt;"",IF('Capacity summary'!$D$14="Yes",IF(COUNTBLANK('Capacity summary'!$H149:$BG149)&lt;52,IF('Capacity summary'!AY149&lt;&gt;"",IF(LOWER('Capacity summary'!AY149)="x",$BI30*AY30,VALUE('Capacity summary'!AY149)),0),AY30*$BI30),AY30*$BI30),0)</f>
        <v>0</v>
      </c>
      <c r="DC30" s="311">
        <f>IF($BI30&lt;&gt;"",IF('Capacity summary'!$D$14="Yes",IF(COUNTBLANK('Capacity summary'!$H149:$BG149)&lt;52,IF('Capacity summary'!AZ149&lt;&gt;"",IF(LOWER('Capacity summary'!AZ149)="x",$BI30*AZ30,VALUE('Capacity summary'!AZ149)),0),AZ30*$BI30),AZ30*$BI30),0)</f>
        <v>0</v>
      </c>
      <c r="DD30" s="311">
        <f>IF($BI30&lt;&gt;"",IF('Capacity summary'!$D$14="Yes",IF(COUNTBLANK('Capacity summary'!$H149:$BG149)&lt;52,IF('Capacity summary'!BA149&lt;&gt;"",IF(LOWER('Capacity summary'!BA149)="x",$BI30*BA30,VALUE('Capacity summary'!BA149)),0),BA30*$BI30),BA30*$BI30),0)</f>
        <v>0</v>
      </c>
      <c r="DE30" s="311">
        <f>IF($BI30&lt;&gt;"",IF('Capacity summary'!$D$14="Yes",IF(COUNTBLANK('Capacity summary'!$H149:$BG149)&lt;52,IF('Capacity summary'!BB149&lt;&gt;"",IF(LOWER('Capacity summary'!BB149)="x",$BI30*BB30,VALUE('Capacity summary'!BB149)),0),BB30*$BI30),BB30*$BI30),0)</f>
        <v>0</v>
      </c>
      <c r="DF30" s="311">
        <f>IF($BI30&lt;&gt;"",IF('Capacity summary'!$D$14="Yes",IF(COUNTBLANK('Capacity summary'!$H149:$BG149)&lt;52,IF('Capacity summary'!BC149&lt;&gt;"",IF(LOWER('Capacity summary'!BC149)="x",$BI30*BC30,VALUE('Capacity summary'!BC149)),0),BC30*$BI30),BC30*$BI30),0)</f>
        <v>0</v>
      </c>
      <c r="DG30" s="311">
        <f>IF($BI30&lt;&gt;"",IF('Capacity summary'!$D$14="Yes",IF(COUNTBLANK('Capacity summary'!$H149:$BG149)&lt;52,IF('Capacity summary'!BD149&lt;&gt;"",IF(LOWER('Capacity summary'!BD149)="x",$BI30*BD30,VALUE('Capacity summary'!BD149)),0),BD30*$BI30),BD30*$BI30),0)</f>
        <v>0</v>
      </c>
      <c r="DH30" s="311">
        <f>IF($BI30&lt;&gt;"",IF('Capacity summary'!$D$14="Yes",IF(COUNTBLANK('Capacity summary'!$H149:$BG149)&lt;52,IF('Capacity summary'!BE149&lt;&gt;"",IF(LOWER('Capacity summary'!BE149)="x",$BI30*BE30,VALUE('Capacity summary'!BE149)),0),BE30*$BI30),BE30*$BI30),0)</f>
        <v>0</v>
      </c>
      <c r="DI30" s="311">
        <f>IF($BI30&lt;&gt;"",IF('Capacity summary'!$D$14="Yes",IF(COUNTBLANK('Capacity summary'!$H149:$BG149)&lt;52,IF('Capacity summary'!BF149&lt;&gt;"",IF(LOWER('Capacity summary'!BF149)="x",$BI30*BF30,VALUE('Capacity summary'!BF149)),0),BF30*$BI30),BF30*$BI30),0)</f>
        <v>0</v>
      </c>
      <c r="DJ30" s="311">
        <f>IF($BI30&lt;&gt;"",IF('Capacity summary'!$D$14="Yes",IF(COUNTBLANK('Capacity summary'!$H149:$BG149)&lt;52,IF('Capacity summary'!BG149&lt;&gt;"",IF(LOWER('Capacity summary'!BG149)="x",$BI30*BG30,VALUE('Capacity summary'!BG149)),0),BG30*$BI30),BG30*$BI30),0)</f>
        <v>0</v>
      </c>
      <c r="DK30" s="387">
        <f t="shared" si="2"/>
        <v>0</v>
      </c>
      <c r="DL30" s="136">
        <f t="shared" si="3"/>
        <v>0</v>
      </c>
      <c r="DM30" s="311" t="str">
        <f>Capacity!H42</f>
        <v/>
      </c>
      <c r="DQ30" s="5"/>
    </row>
    <row r="31" spans="1:121" x14ac:dyDescent="0.2">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1">
        <f>IF($BI31&lt;&gt;"",IF('Capacity summary'!$D$14="Yes",IF(COUNTBLANK('Capacity summary'!$H150:$BG150)&lt;52,IF('Capacity summary'!H150&lt;&gt;"",IF(LOWER('Capacity summary'!H150)="x",$BI31*H31,VALUE('Capacity summary'!H150)),0),H31*$BI31),H31*$BI31),0)</f>
        <v>0</v>
      </c>
      <c r="BL31" s="311">
        <f>IF($BI31&lt;&gt;"",IF('Capacity summary'!$D$14="Yes",IF(COUNTBLANK('Capacity summary'!$H150:$BG150)&lt;52,IF('Capacity summary'!I150&lt;&gt;"",IF(LOWER('Capacity summary'!I150)="x",$BI31*I31,VALUE('Capacity summary'!I150)),0),I31*$BI31),I31*$BI31),0)</f>
        <v>0</v>
      </c>
      <c r="BM31" s="311">
        <f>IF($BI31&lt;&gt;"",IF('Capacity summary'!$D$14="Yes",IF(COUNTBLANK('Capacity summary'!$H150:$BG150)&lt;52,IF('Capacity summary'!J150&lt;&gt;"",IF(LOWER('Capacity summary'!J150)="x",$BI31*J31,VALUE('Capacity summary'!J150)),0),J31*$BI31),J31*$BI31),0)</f>
        <v>0</v>
      </c>
      <c r="BN31" s="311">
        <f>IF($BI31&lt;&gt;"",IF('Capacity summary'!$D$14="Yes",IF(COUNTBLANK('Capacity summary'!$H150:$BG150)&lt;52,IF('Capacity summary'!K150&lt;&gt;"",IF(LOWER('Capacity summary'!K150)="x",$BI31*K31,VALUE('Capacity summary'!K150)),0),K31*$BI31),K31*$BI31),0)</f>
        <v>0</v>
      </c>
      <c r="BO31" s="311">
        <f>IF($BI31&lt;&gt;"",IF('Capacity summary'!$D$14="Yes",IF(COUNTBLANK('Capacity summary'!$H150:$BG150)&lt;52,IF('Capacity summary'!L150&lt;&gt;"",IF(LOWER('Capacity summary'!L150)="x",$BI31*L31,VALUE('Capacity summary'!L150)),0),L31*$BI31),L31*$BI31),0)</f>
        <v>0</v>
      </c>
      <c r="BP31" s="311">
        <f>IF($BI31&lt;&gt;"",IF('Capacity summary'!$D$14="Yes",IF(COUNTBLANK('Capacity summary'!$H150:$BG150)&lt;52,IF('Capacity summary'!M150&lt;&gt;"",IF(LOWER('Capacity summary'!M150)="x",$BI31*M31,VALUE('Capacity summary'!M150)),0),M31*$BI31),M31*$BI31),0)</f>
        <v>0</v>
      </c>
      <c r="BQ31" s="311">
        <f>IF($BI31&lt;&gt;"",IF('Capacity summary'!$D$14="Yes",IF(COUNTBLANK('Capacity summary'!$H150:$BG150)&lt;52,IF('Capacity summary'!N150&lt;&gt;"",IF(LOWER('Capacity summary'!N150)="x",$BI31*N31,VALUE('Capacity summary'!N150)),0),N31*$BI31),N31*$BI31),0)</f>
        <v>0</v>
      </c>
      <c r="BR31" s="311">
        <f>IF($BI31&lt;&gt;"",IF('Capacity summary'!$D$14="Yes",IF(COUNTBLANK('Capacity summary'!$H150:$BG150)&lt;52,IF('Capacity summary'!O150&lt;&gt;"",IF(LOWER('Capacity summary'!O150)="x",$BI31*O31,VALUE('Capacity summary'!O150)),0),O31*$BI31),O31*$BI31),0)</f>
        <v>0</v>
      </c>
      <c r="BS31" s="311">
        <f>IF($BI31&lt;&gt;"",IF('Capacity summary'!$D$14="Yes",IF(COUNTBLANK('Capacity summary'!$H150:$BG150)&lt;52,IF('Capacity summary'!P150&lt;&gt;"",IF(LOWER('Capacity summary'!P150)="x",$BI31*P31,VALUE('Capacity summary'!P150)),0),P31*$BI31),P31*$BI31),0)</f>
        <v>0</v>
      </c>
      <c r="BT31" s="311">
        <f>IF($BI31&lt;&gt;"",IF('Capacity summary'!$D$14="Yes",IF(COUNTBLANK('Capacity summary'!$H150:$BG150)&lt;52,IF('Capacity summary'!Q150&lt;&gt;"",IF(LOWER('Capacity summary'!Q150)="x",$BI31*Q31,VALUE('Capacity summary'!Q150)),0),Q31*$BI31),Q31*$BI31),0)</f>
        <v>0</v>
      </c>
      <c r="BU31" s="311">
        <f>IF($BI31&lt;&gt;"",IF('Capacity summary'!$D$14="Yes",IF(COUNTBLANK('Capacity summary'!$H150:$BG150)&lt;52,IF('Capacity summary'!R150&lt;&gt;"",IF(LOWER('Capacity summary'!R150)="x",$BI31*R31,VALUE('Capacity summary'!R150)),0),R31*$BI31),R31*$BI31),0)</f>
        <v>0</v>
      </c>
      <c r="BV31" s="311">
        <f>IF($BI31&lt;&gt;"",IF('Capacity summary'!$D$14="Yes",IF(COUNTBLANK('Capacity summary'!$H150:$BG150)&lt;52,IF('Capacity summary'!S150&lt;&gt;"",IF(LOWER('Capacity summary'!S150)="x",$BI31*S31,VALUE('Capacity summary'!S150)),0),S31*$BI31),S31*$BI31),0)</f>
        <v>0</v>
      </c>
      <c r="BW31" s="311">
        <f>IF($BI31&lt;&gt;"",IF('Capacity summary'!$D$14="Yes",IF(COUNTBLANK('Capacity summary'!$H150:$BG150)&lt;52,IF('Capacity summary'!T150&lt;&gt;"",IF(LOWER('Capacity summary'!T150)="x",$BI31*T31,VALUE('Capacity summary'!T150)),0),T31*$BI31),T31*$BI31),0)</f>
        <v>0</v>
      </c>
      <c r="BX31" s="311">
        <f>IF($BI31&lt;&gt;"",IF('Capacity summary'!$D$14="Yes",IF(COUNTBLANK('Capacity summary'!$H150:$BG150)&lt;52,IF('Capacity summary'!U150&lt;&gt;"",IF(LOWER('Capacity summary'!U150)="x",$BI31*U31,VALUE('Capacity summary'!U150)),0),U31*$BI31),U31*$BI31),0)</f>
        <v>0</v>
      </c>
      <c r="BY31" s="311">
        <f>IF($BI31&lt;&gt;"",IF('Capacity summary'!$D$14="Yes",IF(COUNTBLANK('Capacity summary'!$H150:$BG150)&lt;52,IF('Capacity summary'!V150&lt;&gt;"",IF(LOWER('Capacity summary'!V150)="x",$BI31*V31,VALUE('Capacity summary'!V150)),0),V31*$BI31),V31*$BI31),0)</f>
        <v>0</v>
      </c>
      <c r="BZ31" s="311">
        <f>IF($BI31&lt;&gt;"",IF('Capacity summary'!$D$14="Yes",IF(COUNTBLANK('Capacity summary'!$H150:$BG150)&lt;52,IF('Capacity summary'!W150&lt;&gt;"",IF(LOWER('Capacity summary'!W150)="x",$BI31*W31,VALUE('Capacity summary'!W150)),0),W31*$BI31),W31*$BI31),0)</f>
        <v>0</v>
      </c>
      <c r="CA31" s="311">
        <f>IF($BI31&lt;&gt;"",IF('Capacity summary'!$D$14="Yes",IF(COUNTBLANK('Capacity summary'!$H150:$BG150)&lt;52,IF('Capacity summary'!X150&lt;&gt;"",IF(LOWER('Capacity summary'!X150)="x",$BI31*X31,VALUE('Capacity summary'!X150)),0),X31*$BI31),X31*$BI31),0)</f>
        <v>0</v>
      </c>
      <c r="CB31" s="311">
        <f>IF($BI31&lt;&gt;"",IF('Capacity summary'!$D$14="Yes",IF(COUNTBLANK('Capacity summary'!$H150:$BG150)&lt;52,IF('Capacity summary'!Y150&lt;&gt;"",IF(LOWER('Capacity summary'!Y150)="x",$BI31*Y31,VALUE('Capacity summary'!Y150)),0),Y31*$BI31),Y31*$BI31),0)</f>
        <v>0</v>
      </c>
      <c r="CC31" s="311">
        <f>IF($BI31&lt;&gt;"",IF('Capacity summary'!$D$14="Yes",IF(COUNTBLANK('Capacity summary'!$H150:$BG150)&lt;52,IF('Capacity summary'!Z150&lt;&gt;"",IF(LOWER('Capacity summary'!Z150)="x",$BI31*Z31,VALUE('Capacity summary'!Z150)),0),Z31*$BI31),Z31*$BI31),0)</f>
        <v>0</v>
      </c>
      <c r="CD31" s="311">
        <f>IF($BI31&lt;&gt;"",IF('Capacity summary'!$D$14="Yes",IF(COUNTBLANK('Capacity summary'!$H150:$BG150)&lt;52,IF('Capacity summary'!AA150&lt;&gt;"",IF(LOWER('Capacity summary'!AA150)="x",$BI31*AA31,VALUE('Capacity summary'!AA150)),0),AA31*$BI31),AA31*$BI31),0)</f>
        <v>0</v>
      </c>
      <c r="CE31" s="311">
        <f>IF($BI31&lt;&gt;"",IF('Capacity summary'!$D$14="Yes",IF(COUNTBLANK('Capacity summary'!$H150:$BG150)&lt;52,IF('Capacity summary'!AB150&lt;&gt;"",IF(LOWER('Capacity summary'!AB150)="x",$BI31*AB31,VALUE('Capacity summary'!AB150)),0),AB31*$BI31),AB31*$BI31),0)</f>
        <v>0</v>
      </c>
      <c r="CF31" s="311">
        <f>IF($BI31&lt;&gt;"",IF('Capacity summary'!$D$14="Yes",IF(COUNTBLANK('Capacity summary'!$H150:$BG150)&lt;52,IF('Capacity summary'!AC150&lt;&gt;"",IF(LOWER('Capacity summary'!AC150)="x",$BI31*AC31,VALUE('Capacity summary'!AC150)),0),AC31*$BI31),AC31*$BI31),0)</f>
        <v>0</v>
      </c>
      <c r="CG31" s="311">
        <f>IF($BI31&lt;&gt;"",IF('Capacity summary'!$D$14="Yes",IF(COUNTBLANK('Capacity summary'!$H150:$BG150)&lt;52,IF('Capacity summary'!AD150&lt;&gt;"",IF(LOWER('Capacity summary'!AD150)="x",$BI31*AD31,VALUE('Capacity summary'!AD150)),0),AD31*$BI31),AD31*$BI31),0)</f>
        <v>0</v>
      </c>
      <c r="CH31" s="311">
        <f>IF($BI31&lt;&gt;"",IF('Capacity summary'!$D$14="Yes",IF(COUNTBLANK('Capacity summary'!$H150:$BG150)&lt;52,IF('Capacity summary'!AE150&lt;&gt;"",IF(LOWER('Capacity summary'!AE150)="x",$BI31*AE31,VALUE('Capacity summary'!AE150)),0),AE31*$BI31),AE31*$BI31),0)</f>
        <v>0</v>
      </c>
      <c r="CI31" s="311">
        <f>IF($BI31&lt;&gt;"",IF('Capacity summary'!$D$14="Yes",IF(COUNTBLANK('Capacity summary'!$H150:$BG150)&lt;52,IF('Capacity summary'!AF150&lt;&gt;"",IF(LOWER('Capacity summary'!AF150)="x",$BI31*AF31,VALUE('Capacity summary'!AF150)),0),AF31*$BI31),AF31*$BI31),0)</f>
        <v>0</v>
      </c>
      <c r="CJ31" s="311">
        <f>IF($BI31&lt;&gt;"",IF('Capacity summary'!$D$14="Yes",IF(COUNTBLANK('Capacity summary'!$H150:$BG150)&lt;52,IF('Capacity summary'!AG150&lt;&gt;"",IF(LOWER('Capacity summary'!AG150)="x",$BI31*AG31,VALUE('Capacity summary'!AG150)),0),AG31*$BI31),AG31*$BI31),0)</f>
        <v>0</v>
      </c>
      <c r="CK31" s="311">
        <f>IF($BI31&lt;&gt;"",IF('Capacity summary'!$D$14="Yes",IF(COUNTBLANK('Capacity summary'!$H150:$BG150)&lt;52,IF('Capacity summary'!AH150&lt;&gt;"",IF(LOWER('Capacity summary'!AH150)="x",$BI31*AH31,VALUE('Capacity summary'!AH150)),0),AH31*$BI31),AH31*$BI31),0)</f>
        <v>0</v>
      </c>
      <c r="CL31" s="311">
        <f>IF($BI31&lt;&gt;"",IF('Capacity summary'!$D$14="Yes",IF(COUNTBLANK('Capacity summary'!$H150:$BG150)&lt;52,IF('Capacity summary'!AI150&lt;&gt;"",IF(LOWER('Capacity summary'!AI150)="x",$BI31*AI31,VALUE('Capacity summary'!AI150)),0),AI31*$BI31),AI31*$BI31),0)</f>
        <v>0</v>
      </c>
      <c r="CM31" s="311">
        <f>IF($BI31&lt;&gt;"",IF('Capacity summary'!$D$14="Yes",IF(COUNTBLANK('Capacity summary'!$H150:$BG150)&lt;52,IF('Capacity summary'!AJ150&lt;&gt;"",IF(LOWER('Capacity summary'!AJ150)="x",$BI31*AJ31,VALUE('Capacity summary'!AJ150)),0),AJ31*$BI31),AJ31*$BI31),0)</f>
        <v>0</v>
      </c>
      <c r="CN31" s="311">
        <f>IF($BI31&lt;&gt;"",IF('Capacity summary'!$D$14="Yes",IF(COUNTBLANK('Capacity summary'!$H150:$BG150)&lt;52,IF('Capacity summary'!AK150&lt;&gt;"",IF(LOWER('Capacity summary'!AK150)="x",$BI31*AK31,VALUE('Capacity summary'!AK150)),0),AK31*$BI31),AK31*$BI31),0)</f>
        <v>0</v>
      </c>
      <c r="CO31" s="311">
        <f>IF($BI31&lt;&gt;"",IF('Capacity summary'!$D$14="Yes",IF(COUNTBLANK('Capacity summary'!$H150:$BG150)&lt;52,IF('Capacity summary'!AL150&lt;&gt;"",IF(LOWER('Capacity summary'!AL150)="x",$BI31*AL31,VALUE('Capacity summary'!AL150)),0),AL31*$BI31),AL31*$BI31),0)</f>
        <v>0</v>
      </c>
      <c r="CP31" s="311">
        <f>IF($BI31&lt;&gt;"",IF('Capacity summary'!$D$14="Yes",IF(COUNTBLANK('Capacity summary'!$H150:$BG150)&lt;52,IF('Capacity summary'!AM150&lt;&gt;"",IF(LOWER('Capacity summary'!AM150)="x",$BI31*AM31,VALUE('Capacity summary'!AM150)),0),AM31*$BI31),AM31*$BI31),0)</f>
        <v>0</v>
      </c>
      <c r="CQ31" s="311">
        <f>IF($BI31&lt;&gt;"",IF('Capacity summary'!$D$14="Yes",IF(COUNTBLANK('Capacity summary'!$H150:$BG150)&lt;52,IF('Capacity summary'!AN150&lt;&gt;"",IF(LOWER('Capacity summary'!AN150)="x",$BI31*AN31,VALUE('Capacity summary'!AN150)),0),AN31*$BI31),AN31*$BI31),0)</f>
        <v>0</v>
      </c>
      <c r="CR31" s="311">
        <f>IF($BI31&lt;&gt;"",IF('Capacity summary'!$D$14="Yes",IF(COUNTBLANK('Capacity summary'!$H150:$BG150)&lt;52,IF('Capacity summary'!AO150&lt;&gt;"",IF(LOWER('Capacity summary'!AO150)="x",$BI31*AO31,VALUE('Capacity summary'!AO150)),0),AO31*$BI31),AO31*$BI31),0)</f>
        <v>0</v>
      </c>
      <c r="CS31" s="311">
        <f>IF($BI31&lt;&gt;"",IF('Capacity summary'!$D$14="Yes",IF(COUNTBLANK('Capacity summary'!$H150:$BG150)&lt;52,IF('Capacity summary'!AP150&lt;&gt;"",IF(LOWER('Capacity summary'!AP150)="x",$BI31*AP31,VALUE('Capacity summary'!AP150)),0),AP31*$BI31),AP31*$BI31),0)</f>
        <v>0</v>
      </c>
      <c r="CT31" s="311">
        <f>IF($BI31&lt;&gt;"",IF('Capacity summary'!$D$14="Yes",IF(COUNTBLANK('Capacity summary'!$H150:$BG150)&lt;52,IF('Capacity summary'!AQ150&lt;&gt;"",IF(LOWER('Capacity summary'!AQ150)="x",$BI31*AQ31,VALUE('Capacity summary'!AQ150)),0),AQ31*$BI31),AQ31*$BI31),0)</f>
        <v>0</v>
      </c>
      <c r="CU31" s="311">
        <f>IF($BI31&lt;&gt;"",IF('Capacity summary'!$D$14="Yes",IF(COUNTBLANK('Capacity summary'!$H150:$BG150)&lt;52,IF('Capacity summary'!AR150&lt;&gt;"",IF(LOWER('Capacity summary'!AR150)="x",$BI31*AR31,VALUE('Capacity summary'!AR150)),0),AR31*$BI31),AR31*$BI31),0)</f>
        <v>0</v>
      </c>
      <c r="CV31" s="311">
        <f>IF($BI31&lt;&gt;"",IF('Capacity summary'!$D$14="Yes",IF(COUNTBLANK('Capacity summary'!$H150:$BG150)&lt;52,IF('Capacity summary'!AS150&lt;&gt;"",IF(LOWER('Capacity summary'!AS150)="x",$BI31*AS31,VALUE('Capacity summary'!AS150)),0),AS31*$BI31),AS31*$BI31),0)</f>
        <v>0</v>
      </c>
      <c r="CW31" s="311">
        <f>IF($BI31&lt;&gt;"",IF('Capacity summary'!$D$14="Yes",IF(COUNTBLANK('Capacity summary'!$H150:$BG150)&lt;52,IF('Capacity summary'!AT150&lt;&gt;"",IF(LOWER('Capacity summary'!AT150)="x",$BI31*AT31,VALUE('Capacity summary'!AT150)),0),AT31*$BI31),AT31*$BI31),0)</f>
        <v>0</v>
      </c>
      <c r="CX31" s="311">
        <f>IF($BI31&lt;&gt;"",IF('Capacity summary'!$D$14="Yes",IF(COUNTBLANK('Capacity summary'!$H150:$BG150)&lt;52,IF('Capacity summary'!AU150&lt;&gt;"",IF(LOWER('Capacity summary'!AU150)="x",$BI31*AU31,VALUE('Capacity summary'!AU150)),0),AU31*$BI31),AU31*$BI31),0)</f>
        <v>0</v>
      </c>
      <c r="CY31" s="311">
        <f>IF($BI31&lt;&gt;"",IF('Capacity summary'!$D$14="Yes",IF(COUNTBLANK('Capacity summary'!$H150:$BG150)&lt;52,IF('Capacity summary'!AV150&lt;&gt;"",IF(LOWER('Capacity summary'!AV150)="x",$BI31*AV31,VALUE('Capacity summary'!AV150)),0),AV31*$BI31),AV31*$BI31),0)</f>
        <v>0</v>
      </c>
      <c r="CZ31" s="311">
        <f>IF($BI31&lt;&gt;"",IF('Capacity summary'!$D$14="Yes",IF(COUNTBLANK('Capacity summary'!$H150:$BG150)&lt;52,IF('Capacity summary'!AW150&lt;&gt;"",IF(LOWER('Capacity summary'!AW150)="x",$BI31*AW31,VALUE('Capacity summary'!AW150)),0),AW31*$BI31),AW31*$BI31),0)</f>
        <v>0</v>
      </c>
      <c r="DA31" s="311">
        <f>IF($BI31&lt;&gt;"",IF('Capacity summary'!$D$14="Yes",IF(COUNTBLANK('Capacity summary'!$H150:$BG150)&lt;52,IF('Capacity summary'!AX150&lt;&gt;"",IF(LOWER('Capacity summary'!AX150)="x",$BI31*AX31,VALUE('Capacity summary'!AX150)),0),AX31*$BI31),AX31*$BI31),0)</f>
        <v>0</v>
      </c>
      <c r="DB31" s="311">
        <f>IF($BI31&lt;&gt;"",IF('Capacity summary'!$D$14="Yes",IF(COUNTBLANK('Capacity summary'!$H150:$BG150)&lt;52,IF('Capacity summary'!AY150&lt;&gt;"",IF(LOWER('Capacity summary'!AY150)="x",$BI31*AY31,VALUE('Capacity summary'!AY150)),0),AY31*$BI31),AY31*$BI31),0)</f>
        <v>0</v>
      </c>
      <c r="DC31" s="311">
        <f>IF($BI31&lt;&gt;"",IF('Capacity summary'!$D$14="Yes",IF(COUNTBLANK('Capacity summary'!$H150:$BG150)&lt;52,IF('Capacity summary'!AZ150&lt;&gt;"",IF(LOWER('Capacity summary'!AZ150)="x",$BI31*AZ31,VALUE('Capacity summary'!AZ150)),0),AZ31*$BI31),AZ31*$BI31),0)</f>
        <v>0</v>
      </c>
      <c r="DD31" s="311">
        <f>IF($BI31&lt;&gt;"",IF('Capacity summary'!$D$14="Yes",IF(COUNTBLANK('Capacity summary'!$H150:$BG150)&lt;52,IF('Capacity summary'!BA150&lt;&gt;"",IF(LOWER('Capacity summary'!BA150)="x",$BI31*BA31,VALUE('Capacity summary'!BA150)),0),BA31*$BI31),BA31*$BI31),0)</f>
        <v>0</v>
      </c>
      <c r="DE31" s="311">
        <f>IF($BI31&lt;&gt;"",IF('Capacity summary'!$D$14="Yes",IF(COUNTBLANK('Capacity summary'!$H150:$BG150)&lt;52,IF('Capacity summary'!BB150&lt;&gt;"",IF(LOWER('Capacity summary'!BB150)="x",$BI31*BB31,VALUE('Capacity summary'!BB150)),0),BB31*$BI31),BB31*$BI31),0)</f>
        <v>0</v>
      </c>
      <c r="DF31" s="311">
        <f>IF($BI31&lt;&gt;"",IF('Capacity summary'!$D$14="Yes",IF(COUNTBLANK('Capacity summary'!$H150:$BG150)&lt;52,IF('Capacity summary'!BC150&lt;&gt;"",IF(LOWER('Capacity summary'!BC150)="x",$BI31*BC31,VALUE('Capacity summary'!BC150)),0),BC31*$BI31),BC31*$BI31),0)</f>
        <v>0</v>
      </c>
      <c r="DG31" s="311">
        <f>IF($BI31&lt;&gt;"",IF('Capacity summary'!$D$14="Yes",IF(COUNTBLANK('Capacity summary'!$H150:$BG150)&lt;52,IF('Capacity summary'!BD150&lt;&gt;"",IF(LOWER('Capacity summary'!BD150)="x",$BI31*BD31,VALUE('Capacity summary'!BD150)),0),BD31*$BI31),BD31*$BI31),0)</f>
        <v>0</v>
      </c>
      <c r="DH31" s="311">
        <f>IF($BI31&lt;&gt;"",IF('Capacity summary'!$D$14="Yes",IF(COUNTBLANK('Capacity summary'!$H150:$BG150)&lt;52,IF('Capacity summary'!BE150&lt;&gt;"",IF(LOWER('Capacity summary'!BE150)="x",$BI31*BE31,VALUE('Capacity summary'!BE150)),0),BE31*$BI31),BE31*$BI31),0)</f>
        <v>0</v>
      </c>
      <c r="DI31" s="311">
        <f>IF($BI31&lt;&gt;"",IF('Capacity summary'!$D$14="Yes",IF(COUNTBLANK('Capacity summary'!$H150:$BG150)&lt;52,IF('Capacity summary'!BF150&lt;&gt;"",IF(LOWER('Capacity summary'!BF150)="x",$BI31*BF31,VALUE('Capacity summary'!BF150)),0),BF31*$BI31),BF31*$BI31),0)</f>
        <v>0</v>
      </c>
      <c r="DJ31" s="311">
        <f>IF($BI31&lt;&gt;"",IF('Capacity summary'!$D$14="Yes",IF(COUNTBLANK('Capacity summary'!$H150:$BG150)&lt;52,IF('Capacity summary'!BG150&lt;&gt;"",IF(LOWER('Capacity summary'!BG150)="x",$BI31*BG31,VALUE('Capacity summary'!BG150)),0),BG31*$BI31),BG31*$BI31),0)</f>
        <v>0</v>
      </c>
      <c r="DK31" s="387">
        <f t="shared" si="2"/>
        <v>0</v>
      </c>
      <c r="DL31" s="136">
        <f t="shared" si="3"/>
        <v>0</v>
      </c>
      <c r="DM31" s="311" t="str">
        <f>Capacity!H43</f>
        <v/>
      </c>
      <c r="DQ31" s="5"/>
    </row>
    <row r="32" spans="1:121" x14ac:dyDescent="0.2">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1">
        <f>IF($BI32&lt;&gt;"",IF('Capacity summary'!$D$14="Yes",IF(COUNTBLANK('Capacity summary'!$H151:$BG151)&lt;52,IF('Capacity summary'!H151&lt;&gt;"",IF(LOWER('Capacity summary'!H151)="x",$BI32*H32,VALUE('Capacity summary'!H151)),0),H32*$BI32),H32*$BI32),0)</f>
        <v>0</v>
      </c>
      <c r="BL32" s="311">
        <f>IF($BI32&lt;&gt;"",IF('Capacity summary'!$D$14="Yes",IF(COUNTBLANK('Capacity summary'!$H151:$BG151)&lt;52,IF('Capacity summary'!I151&lt;&gt;"",IF(LOWER('Capacity summary'!I151)="x",$BI32*I32,VALUE('Capacity summary'!I151)),0),I32*$BI32),I32*$BI32),0)</f>
        <v>0</v>
      </c>
      <c r="BM32" s="311">
        <f>IF($BI32&lt;&gt;"",IF('Capacity summary'!$D$14="Yes",IF(COUNTBLANK('Capacity summary'!$H151:$BG151)&lt;52,IF('Capacity summary'!J151&lt;&gt;"",IF(LOWER('Capacity summary'!J151)="x",$BI32*J32,VALUE('Capacity summary'!J151)),0),J32*$BI32),J32*$BI32),0)</f>
        <v>0</v>
      </c>
      <c r="BN32" s="311">
        <f>IF($BI32&lt;&gt;"",IF('Capacity summary'!$D$14="Yes",IF(COUNTBLANK('Capacity summary'!$H151:$BG151)&lt;52,IF('Capacity summary'!K151&lt;&gt;"",IF(LOWER('Capacity summary'!K151)="x",$BI32*K32,VALUE('Capacity summary'!K151)),0),K32*$BI32),K32*$BI32),0)</f>
        <v>0</v>
      </c>
      <c r="BO32" s="311">
        <f>IF($BI32&lt;&gt;"",IF('Capacity summary'!$D$14="Yes",IF(COUNTBLANK('Capacity summary'!$H151:$BG151)&lt;52,IF('Capacity summary'!L151&lt;&gt;"",IF(LOWER('Capacity summary'!L151)="x",$BI32*L32,VALUE('Capacity summary'!L151)),0),L32*$BI32),L32*$BI32),0)</f>
        <v>0</v>
      </c>
      <c r="BP32" s="311">
        <f>IF($BI32&lt;&gt;"",IF('Capacity summary'!$D$14="Yes",IF(COUNTBLANK('Capacity summary'!$H151:$BG151)&lt;52,IF('Capacity summary'!M151&lt;&gt;"",IF(LOWER('Capacity summary'!M151)="x",$BI32*M32,VALUE('Capacity summary'!M151)),0),M32*$BI32),M32*$BI32),0)</f>
        <v>0</v>
      </c>
      <c r="BQ32" s="311">
        <f>IF($BI32&lt;&gt;"",IF('Capacity summary'!$D$14="Yes",IF(COUNTBLANK('Capacity summary'!$H151:$BG151)&lt;52,IF('Capacity summary'!N151&lt;&gt;"",IF(LOWER('Capacity summary'!N151)="x",$BI32*N32,VALUE('Capacity summary'!N151)),0),N32*$BI32),N32*$BI32),0)</f>
        <v>0</v>
      </c>
      <c r="BR32" s="311">
        <f>IF($BI32&lt;&gt;"",IF('Capacity summary'!$D$14="Yes",IF(COUNTBLANK('Capacity summary'!$H151:$BG151)&lt;52,IF('Capacity summary'!O151&lt;&gt;"",IF(LOWER('Capacity summary'!O151)="x",$BI32*O32,VALUE('Capacity summary'!O151)),0),O32*$BI32),O32*$BI32),0)</f>
        <v>0</v>
      </c>
      <c r="BS32" s="311">
        <f>IF($BI32&lt;&gt;"",IF('Capacity summary'!$D$14="Yes",IF(COUNTBLANK('Capacity summary'!$H151:$BG151)&lt;52,IF('Capacity summary'!P151&lt;&gt;"",IF(LOWER('Capacity summary'!P151)="x",$BI32*P32,VALUE('Capacity summary'!P151)),0),P32*$BI32),P32*$BI32),0)</f>
        <v>0</v>
      </c>
      <c r="BT32" s="311">
        <f>IF($BI32&lt;&gt;"",IF('Capacity summary'!$D$14="Yes",IF(COUNTBLANK('Capacity summary'!$H151:$BG151)&lt;52,IF('Capacity summary'!Q151&lt;&gt;"",IF(LOWER('Capacity summary'!Q151)="x",$BI32*Q32,VALUE('Capacity summary'!Q151)),0),Q32*$BI32),Q32*$BI32),0)</f>
        <v>0</v>
      </c>
      <c r="BU32" s="311">
        <f>IF($BI32&lt;&gt;"",IF('Capacity summary'!$D$14="Yes",IF(COUNTBLANK('Capacity summary'!$H151:$BG151)&lt;52,IF('Capacity summary'!R151&lt;&gt;"",IF(LOWER('Capacity summary'!R151)="x",$BI32*R32,VALUE('Capacity summary'!R151)),0),R32*$BI32),R32*$BI32),0)</f>
        <v>0</v>
      </c>
      <c r="BV32" s="311">
        <f>IF($BI32&lt;&gt;"",IF('Capacity summary'!$D$14="Yes",IF(COUNTBLANK('Capacity summary'!$H151:$BG151)&lt;52,IF('Capacity summary'!S151&lt;&gt;"",IF(LOWER('Capacity summary'!S151)="x",$BI32*S32,VALUE('Capacity summary'!S151)),0),S32*$BI32),S32*$BI32),0)</f>
        <v>0</v>
      </c>
      <c r="BW32" s="311">
        <f>IF($BI32&lt;&gt;"",IF('Capacity summary'!$D$14="Yes",IF(COUNTBLANK('Capacity summary'!$H151:$BG151)&lt;52,IF('Capacity summary'!T151&lt;&gt;"",IF(LOWER('Capacity summary'!T151)="x",$BI32*T32,VALUE('Capacity summary'!T151)),0),T32*$BI32),T32*$BI32),0)</f>
        <v>0</v>
      </c>
      <c r="BX32" s="311">
        <f>IF($BI32&lt;&gt;"",IF('Capacity summary'!$D$14="Yes",IF(COUNTBLANK('Capacity summary'!$H151:$BG151)&lt;52,IF('Capacity summary'!U151&lt;&gt;"",IF(LOWER('Capacity summary'!U151)="x",$BI32*U32,VALUE('Capacity summary'!U151)),0),U32*$BI32),U32*$BI32),0)</f>
        <v>0</v>
      </c>
      <c r="BY32" s="311">
        <f>IF($BI32&lt;&gt;"",IF('Capacity summary'!$D$14="Yes",IF(COUNTBLANK('Capacity summary'!$H151:$BG151)&lt;52,IF('Capacity summary'!V151&lt;&gt;"",IF(LOWER('Capacity summary'!V151)="x",$BI32*V32,VALUE('Capacity summary'!V151)),0),V32*$BI32),V32*$BI32),0)</f>
        <v>0</v>
      </c>
      <c r="BZ32" s="311">
        <f>IF($BI32&lt;&gt;"",IF('Capacity summary'!$D$14="Yes",IF(COUNTBLANK('Capacity summary'!$H151:$BG151)&lt;52,IF('Capacity summary'!W151&lt;&gt;"",IF(LOWER('Capacity summary'!W151)="x",$BI32*W32,VALUE('Capacity summary'!W151)),0),W32*$BI32),W32*$BI32),0)</f>
        <v>0</v>
      </c>
      <c r="CA32" s="311">
        <f>IF($BI32&lt;&gt;"",IF('Capacity summary'!$D$14="Yes",IF(COUNTBLANK('Capacity summary'!$H151:$BG151)&lt;52,IF('Capacity summary'!X151&lt;&gt;"",IF(LOWER('Capacity summary'!X151)="x",$BI32*X32,VALUE('Capacity summary'!X151)),0),X32*$BI32),X32*$BI32),0)</f>
        <v>0</v>
      </c>
      <c r="CB32" s="311">
        <f>IF($BI32&lt;&gt;"",IF('Capacity summary'!$D$14="Yes",IF(COUNTBLANK('Capacity summary'!$H151:$BG151)&lt;52,IF('Capacity summary'!Y151&lt;&gt;"",IF(LOWER('Capacity summary'!Y151)="x",$BI32*Y32,VALUE('Capacity summary'!Y151)),0),Y32*$BI32),Y32*$BI32),0)</f>
        <v>0</v>
      </c>
      <c r="CC32" s="311">
        <f>IF($BI32&lt;&gt;"",IF('Capacity summary'!$D$14="Yes",IF(COUNTBLANK('Capacity summary'!$H151:$BG151)&lt;52,IF('Capacity summary'!Z151&lt;&gt;"",IF(LOWER('Capacity summary'!Z151)="x",$BI32*Z32,VALUE('Capacity summary'!Z151)),0),Z32*$BI32),Z32*$BI32),0)</f>
        <v>0</v>
      </c>
      <c r="CD32" s="311">
        <f>IF($BI32&lt;&gt;"",IF('Capacity summary'!$D$14="Yes",IF(COUNTBLANK('Capacity summary'!$H151:$BG151)&lt;52,IF('Capacity summary'!AA151&lt;&gt;"",IF(LOWER('Capacity summary'!AA151)="x",$BI32*AA32,VALUE('Capacity summary'!AA151)),0),AA32*$BI32),AA32*$BI32),0)</f>
        <v>0</v>
      </c>
      <c r="CE32" s="311">
        <f>IF($BI32&lt;&gt;"",IF('Capacity summary'!$D$14="Yes",IF(COUNTBLANK('Capacity summary'!$H151:$BG151)&lt;52,IF('Capacity summary'!AB151&lt;&gt;"",IF(LOWER('Capacity summary'!AB151)="x",$BI32*AB32,VALUE('Capacity summary'!AB151)),0),AB32*$BI32),AB32*$BI32),0)</f>
        <v>0</v>
      </c>
      <c r="CF32" s="311">
        <f>IF($BI32&lt;&gt;"",IF('Capacity summary'!$D$14="Yes",IF(COUNTBLANK('Capacity summary'!$H151:$BG151)&lt;52,IF('Capacity summary'!AC151&lt;&gt;"",IF(LOWER('Capacity summary'!AC151)="x",$BI32*AC32,VALUE('Capacity summary'!AC151)),0),AC32*$BI32),AC32*$BI32),0)</f>
        <v>0</v>
      </c>
      <c r="CG32" s="311">
        <f>IF($BI32&lt;&gt;"",IF('Capacity summary'!$D$14="Yes",IF(COUNTBLANK('Capacity summary'!$H151:$BG151)&lt;52,IF('Capacity summary'!AD151&lt;&gt;"",IF(LOWER('Capacity summary'!AD151)="x",$BI32*AD32,VALUE('Capacity summary'!AD151)),0),AD32*$BI32),AD32*$BI32),0)</f>
        <v>0</v>
      </c>
      <c r="CH32" s="311">
        <f>IF($BI32&lt;&gt;"",IF('Capacity summary'!$D$14="Yes",IF(COUNTBLANK('Capacity summary'!$H151:$BG151)&lt;52,IF('Capacity summary'!AE151&lt;&gt;"",IF(LOWER('Capacity summary'!AE151)="x",$BI32*AE32,VALUE('Capacity summary'!AE151)),0),AE32*$BI32),AE32*$BI32),0)</f>
        <v>0</v>
      </c>
      <c r="CI32" s="311">
        <f>IF($BI32&lt;&gt;"",IF('Capacity summary'!$D$14="Yes",IF(COUNTBLANK('Capacity summary'!$H151:$BG151)&lt;52,IF('Capacity summary'!AF151&lt;&gt;"",IF(LOWER('Capacity summary'!AF151)="x",$BI32*AF32,VALUE('Capacity summary'!AF151)),0),AF32*$BI32),AF32*$BI32),0)</f>
        <v>0</v>
      </c>
      <c r="CJ32" s="311">
        <f>IF($BI32&lt;&gt;"",IF('Capacity summary'!$D$14="Yes",IF(COUNTBLANK('Capacity summary'!$H151:$BG151)&lt;52,IF('Capacity summary'!AG151&lt;&gt;"",IF(LOWER('Capacity summary'!AG151)="x",$BI32*AG32,VALUE('Capacity summary'!AG151)),0),AG32*$BI32),AG32*$BI32),0)</f>
        <v>0</v>
      </c>
      <c r="CK32" s="311">
        <f>IF($BI32&lt;&gt;"",IF('Capacity summary'!$D$14="Yes",IF(COUNTBLANK('Capacity summary'!$H151:$BG151)&lt;52,IF('Capacity summary'!AH151&lt;&gt;"",IF(LOWER('Capacity summary'!AH151)="x",$BI32*AH32,VALUE('Capacity summary'!AH151)),0),AH32*$BI32),AH32*$BI32),0)</f>
        <v>0</v>
      </c>
      <c r="CL32" s="311">
        <f>IF($BI32&lt;&gt;"",IF('Capacity summary'!$D$14="Yes",IF(COUNTBLANK('Capacity summary'!$H151:$BG151)&lt;52,IF('Capacity summary'!AI151&lt;&gt;"",IF(LOWER('Capacity summary'!AI151)="x",$BI32*AI32,VALUE('Capacity summary'!AI151)),0),AI32*$BI32),AI32*$BI32),0)</f>
        <v>0</v>
      </c>
      <c r="CM32" s="311">
        <f>IF($BI32&lt;&gt;"",IF('Capacity summary'!$D$14="Yes",IF(COUNTBLANK('Capacity summary'!$H151:$BG151)&lt;52,IF('Capacity summary'!AJ151&lt;&gt;"",IF(LOWER('Capacity summary'!AJ151)="x",$BI32*AJ32,VALUE('Capacity summary'!AJ151)),0),AJ32*$BI32),AJ32*$BI32),0)</f>
        <v>0</v>
      </c>
      <c r="CN32" s="311">
        <f>IF($BI32&lt;&gt;"",IF('Capacity summary'!$D$14="Yes",IF(COUNTBLANK('Capacity summary'!$H151:$BG151)&lt;52,IF('Capacity summary'!AK151&lt;&gt;"",IF(LOWER('Capacity summary'!AK151)="x",$BI32*AK32,VALUE('Capacity summary'!AK151)),0),AK32*$BI32),AK32*$BI32),0)</f>
        <v>0</v>
      </c>
      <c r="CO32" s="311">
        <f>IF($BI32&lt;&gt;"",IF('Capacity summary'!$D$14="Yes",IF(COUNTBLANK('Capacity summary'!$H151:$BG151)&lt;52,IF('Capacity summary'!AL151&lt;&gt;"",IF(LOWER('Capacity summary'!AL151)="x",$BI32*AL32,VALUE('Capacity summary'!AL151)),0),AL32*$BI32),AL32*$BI32),0)</f>
        <v>0</v>
      </c>
      <c r="CP32" s="311">
        <f>IF($BI32&lt;&gt;"",IF('Capacity summary'!$D$14="Yes",IF(COUNTBLANK('Capacity summary'!$H151:$BG151)&lt;52,IF('Capacity summary'!AM151&lt;&gt;"",IF(LOWER('Capacity summary'!AM151)="x",$BI32*AM32,VALUE('Capacity summary'!AM151)),0),AM32*$BI32),AM32*$BI32),0)</f>
        <v>0</v>
      </c>
      <c r="CQ32" s="311">
        <f>IF($BI32&lt;&gt;"",IF('Capacity summary'!$D$14="Yes",IF(COUNTBLANK('Capacity summary'!$H151:$BG151)&lt;52,IF('Capacity summary'!AN151&lt;&gt;"",IF(LOWER('Capacity summary'!AN151)="x",$BI32*AN32,VALUE('Capacity summary'!AN151)),0),AN32*$BI32),AN32*$BI32),0)</f>
        <v>0</v>
      </c>
      <c r="CR32" s="311">
        <f>IF($BI32&lt;&gt;"",IF('Capacity summary'!$D$14="Yes",IF(COUNTBLANK('Capacity summary'!$H151:$BG151)&lt;52,IF('Capacity summary'!AO151&lt;&gt;"",IF(LOWER('Capacity summary'!AO151)="x",$BI32*AO32,VALUE('Capacity summary'!AO151)),0),AO32*$BI32),AO32*$BI32),0)</f>
        <v>0</v>
      </c>
      <c r="CS32" s="311">
        <f>IF($BI32&lt;&gt;"",IF('Capacity summary'!$D$14="Yes",IF(COUNTBLANK('Capacity summary'!$H151:$BG151)&lt;52,IF('Capacity summary'!AP151&lt;&gt;"",IF(LOWER('Capacity summary'!AP151)="x",$BI32*AP32,VALUE('Capacity summary'!AP151)),0),AP32*$BI32),AP32*$BI32),0)</f>
        <v>0</v>
      </c>
      <c r="CT32" s="311">
        <f>IF($BI32&lt;&gt;"",IF('Capacity summary'!$D$14="Yes",IF(COUNTBLANK('Capacity summary'!$H151:$BG151)&lt;52,IF('Capacity summary'!AQ151&lt;&gt;"",IF(LOWER('Capacity summary'!AQ151)="x",$BI32*AQ32,VALUE('Capacity summary'!AQ151)),0),AQ32*$BI32),AQ32*$BI32),0)</f>
        <v>0</v>
      </c>
      <c r="CU32" s="311">
        <f>IF($BI32&lt;&gt;"",IF('Capacity summary'!$D$14="Yes",IF(COUNTBLANK('Capacity summary'!$H151:$BG151)&lt;52,IF('Capacity summary'!AR151&lt;&gt;"",IF(LOWER('Capacity summary'!AR151)="x",$BI32*AR32,VALUE('Capacity summary'!AR151)),0),AR32*$BI32),AR32*$BI32),0)</f>
        <v>0</v>
      </c>
      <c r="CV32" s="311">
        <f>IF($BI32&lt;&gt;"",IF('Capacity summary'!$D$14="Yes",IF(COUNTBLANK('Capacity summary'!$H151:$BG151)&lt;52,IF('Capacity summary'!AS151&lt;&gt;"",IF(LOWER('Capacity summary'!AS151)="x",$BI32*AS32,VALUE('Capacity summary'!AS151)),0),AS32*$BI32),AS32*$BI32),0)</f>
        <v>0</v>
      </c>
      <c r="CW32" s="311">
        <f>IF($BI32&lt;&gt;"",IF('Capacity summary'!$D$14="Yes",IF(COUNTBLANK('Capacity summary'!$H151:$BG151)&lt;52,IF('Capacity summary'!AT151&lt;&gt;"",IF(LOWER('Capacity summary'!AT151)="x",$BI32*AT32,VALUE('Capacity summary'!AT151)),0),AT32*$BI32),AT32*$BI32),0)</f>
        <v>0</v>
      </c>
      <c r="CX32" s="311">
        <f>IF($BI32&lt;&gt;"",IF('Capacity summary'!$D$14="Yes",IF(COUNTBLANK('Capacity summary'!$H151:$BG151)&lt;52,IF('Capacity summary'!AU151&lt;&gt;"",IF(LOWER('Capacity summary'!AU151)="x",$BI32*AU32,VALUE('Capacity summary'!AU151)),0),AU32*$BI32),AU32*$BI32),0)</f>
        <v>0</v>
      </c>
      <c r="CY32" s="311">
        <f>IF($BI32&lt;&gt;"",IF('Capacity summary'!$D$14="Yes",IF(COUNTBLANK('Capacity summary'!$H151:$BG151)&lt;52,IF('Capacity summary'!AV151&lt;&gt;"",IF(LOWER('Capacity summary'!AV151)="x",$BI32*AV32,VALUE('Capacity summary'!AV151)),0),AV32*$BI32),AV32*$BI32),0)</f>
        <v>0</v>
      </c>
      <c r="CZ32" s="311">
        <f>IF($BI32&lt;&gt;"",IF('Capacity summary'!$D$14="Yes",IF(COUNTBLANK('Capacity summary'!$H151:$BG151)&lt;52,IF('Capacity summary'!AW151&lt;&gt;"",IF(LOWER('Capacity summary'!AW151)="x",$BI32*AW32,VALUE('Capacity summary'!AW151)),0),AW32*$BI32),AW32*$BI32),0)</f>
        <v>0</v>
      </c>
      <c r="DA32" s="311">
        <f>IF($BI32&lt;&gt;"",IF('Capacity summary'!$D$14="Yes",IF(COUNTBLANK('Capacity summary'!$H151:$BG151)&lt;52,IF('Capacity summary'!AX151&lt;&gt;"",IF(LOWER('Capacity summary'!AX151)="x",$BI32*AX32,VALUE('Capacity summary'!AX151)),0),AX32*$BI32),AX32*$BI32),0)</f>
        <v>0</v>
      </c>
      <c r="DB32" s="311">
        <f>IF($BI32&lt;&gt;"",IF('Capacity summary'!$D$14="Yes",IF(COUNTBLANK('Capacity summary'!$H151:$BG151)&lt;52,IF('Capacity summary'!AY151&lt;&gt;"",IF(LOWER('Capacity summary'!AY151)="x",$BI32*AY32,VALUE('Capacity summary'!AY151)),0),AY32*$BI32),AY32*$BI32),0)</f>
        <v>0</v>
      </c>
      <c r="DC32" s="311">
        <f>IF($BI32&lt;&gt;"",IF('Capacity summary'!$D$14="Yes",IF(COUNTBLANK('Capacity summary'!$H151:$BG151)&lt;52,IF('Capacity summary'!AZ151&lt;&gt;"",IF(LOWER('Capacity summary'!AZ151)="x",$BI32*AZ32,VALUE('Capacity summary'!AZ151)),0),AZ32*$BI32),AZ32*$BI32),0)</f>
        <v>0</v>
      </c>
      <c r="DD32" s="311">
        <f>IF($BI32&lt;&gt;"",IF('Capacity summary'!$D$14="Yes",IF(COUNTBLANK('Capacity summary'!$H151:$BG151)&lt;52,IF('Capacity summary'!BA151&lt;&gt;"",IF(LOWER('Capacity summary'!BA151)="x",$BI32*BA32,VALUE('Capacity summary'!BA151)),0),BA32*$BI32),BA32*$BI32),0)</f>
        <v>0</v>
      </c>
      <c r="DE32" s="311">
        <f>IF($BI32&lt;&gt;"",IF('Capacity summary'!$D$14="Yes",IF(COUNTBLANK('Capacity summary'!$H151:$BG151)&lt;52,IF('Capacity summary'!BB151&lt;&gt;"",IF(LOWER('Capacity summary'!BB151)="x",$BI32*BB32,VALUE('Capacity summary'!BB151)),0),BB32*$BI32),BB32*$BI32),0)</f>
        <v>0</v>
      </c>
      <c r="DF32" s="311">
        <f>IF($BI32&lt;&gt;"",IF('Capacity summary'!$D$14="Yes",IF(COUNTBLANK('Capacity summary'!$H151:$BG151)&lt;52,IF('Capacity summary'!BC151&lt;&gt;"",IF(LOWER('Capacity summary'!BC151)="x",$BI32*BC32,VALUE('Capacity summary'!BC151)),0),BC32*$BI32),BC32*$BI32),0)</f>
        <v>0</v>
      </c>
      <c r="DG32" s="311">
        <f>IF($BI32&lt;&gt;"",IF('Capacity summary'!$D$14="Yes",IF(COUNTBLANK('Capacity summary'!$H151:$BG151)&lt;52,IF('Capacity summary'!BD151&lt;&gt;"",IF(LOWER('Capacity summary'!BD151)="x",$BI32*BD32,VALUE('Capacity summary'!BD151)),0),BD32*$BI32),BD32*$BI32),0)</f>
        <v>0</v>
      </c>
      <c r="DH32" s="311">
        <f>IF($BI32&lt;&gt;"",IF('Capacity summary'!$D$14="Yes",IF(COUNTBLANK('Capacity summary'!$H151:$BG151)&lt;52,IF('Capacity summary'!BE151&lt;&gt;"",IF(LOWER('Capacity summary'!BE151)="x",$BI32*BE32,VALUE('Capacity summary'!BE151)),0),BE32*$BI32),BE32*$BI32),0)</f>
        <v>0</v>
      </c>
      <c r="DI32" s="311">
        <f>IF($BI32&lt;&gt;"",IF('Capacity summary'!$D$14="Yes",IF(COUNTBLANK('Capacity summary'!$H151:$BG151)&lt;52,IF('Capacity summary'!BF151&lt;&gt;"",IF(LOWER('Capacity summary'!BF151)="x",$BI32*BF32,VALUE('Capacity summary'!BF151)),0),BF32*$BI32),BF32*$BI32),0)</f>
        <v>0</v>
      </c>
      <c r="DJ32" s="311">
        <f>IF($BI32&lt;&gt;"",IF('Capacity summary'!$D$14="Yes",IF(COUNTBLANK('Capacity summary'!$H151:$BG151)&lt;52,IF('Capacity summary'!BG151&lt;&gt;"",IF(LOWER('Capacity summary'!BG151)="x",$BI32*BG32,VALUE('Capacity summary'!BG151)),0),BG32*$BI32),BG32*$BI32),0)</f>
        <v>0</v>
      </c>
      <c r="DK32" s="387">
        <f t="shared" si="2"/>
        <v>0</v>
      </c>
      <c r="DL32" s="136">
        <f t="shared" si="3"/>
        <v>0</v>
      </c>
      <c r="DM32" s="311" t="str">
        <f>Capacity!H44</f>
        <v/>
      </c>
      <c r="DQ32" s="5"/>
    </row>
    <row r="33" spans="1:121" x14ac:dyDescent="0.2">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1">
        <f>IF($BI33&lt;&gt;"",IF('Capacity summary'!$D$14="Yes",IF(COUNTBLANK('Capacity summary'!$H152:$BG152)&lt;52,IF('Capacity summary'!H152&lt;&gt;"",IF(LOWER('Capacity summary'!H152)="x",$BI33*H33,VALUE('Capacity summary'!H152)),0),H33*$BI33),H33*$BI33),0)</f>
        <v>0</v>
      </c>
      <c r="BL33" s="311">
        <f>IF($BI33&lt;&gt;"",IF('Capacity summary'!$D$14="Yes",IF(COUNTBLANK('Capacity summary'!$H152:$BG152)&lt;52,IF('Capacity summary'!I152&lt;&gt;"",IF(LOWER('Capacity summary'!I152)="x",$BI33*I33,VALUE('Capacity summary'!I152)),0),I33*$BI33),I33*$BI33),0)</f>
        <v>0</v>
      </c>
      <c r="BM33" s="311">
        <f>IF($BI33&lt;&gt;"",IF('Capacity summary'!$D$14="Yes",IF(COUNTBLANK('Capacity summary'!$H152:$BG152)&lt;52,IF('Capacity summary'!J152&lt;&gt;"",IF(LOWER('Capacity summary'!J152)="x",$BI33*J33,VALUE('Capacity summary'!J152)),0),J33*$BI33),J33*$BI33),0)</f>
        <v>0</v>
      </c>
      <c r="BN33" s="311">
        <f>IF($BI33&lt;&gt;"",IF('Capacity summary'!$D$14="Yes",IF(COUNTBLANK('Capacity summary'!$H152:$BG152)&lt;52,IF('Capacity summary'!K152&lt;&gt;"",IF(LOWER('Capacity summary'!K152)="x",$BI33*K33,VALUE('Capacity summary'!K152)),0),K33*$BI33),K33*$BI33),0)</f>
        <v>0</v>
      </c>
      <c r="BO33" s="311">
        <f>IF($BI33&lt;&gt;"",IF('Capacity summary'!$D$14="Yes",IF(COUNTBLANK('Capacity summary'!$H152:$BG152)&lt;52,IF('Capacity summary'!L152&lt;&gt;"",IF(LOWER('Capacity summary'!L152)="x",$BI33*L33,VALUE('Capacity summary'!L152)),0),L33*$BI33),L33*$BI33),0)</f>
        <v>0</v>
      </c>
      <c r="BP33" s="311">
        <f>IF($BI33&lt;&gt;"",IF('Capacity summary'!$D$14="Yes",IF(COUNTBLANK('Capacity summary'!$H152:$BG152)&lt;52,IF('Capacity summary'!M152&lt;&gt;"",IF(LOWER('Capacity summary'!M152)="x",$BI33*M33,VALUE('Capacity summary'!M152)),0),M33*$BI33),M33*$BI33),0)</f>
        <v>0</v>
      </c>
      <c r="BQ33" s="311">
        <f>IF($BI33&lt;&gt;"",IF('Capacity summary'!$D$14="Yes",IF(COUNTBLANK('Capacity summary'!$H152:$BG152)&lt;52,IF('Capacity summary'!N152&lt;&gt;"",IF(LOWER('Capacity summary'!N152)="x",$BI33*N33,VALUE('Capacity summary'!N152)),0),N33*$BI33),N33*$BI33),0)</f>
        <v>0</v>
      </c>
      <c r="BR33" s="311">
        <f>IF($BI33&lt;&gt;"",IF('Capacity summary'!$D$14="Yes",IF(COUNTBLANK('Capacity summary'!$H152:$BG152)&lt;52,IF('Capacity summary'!O152&lt;&gt;"",IF(LOWER('Capacity summary'!O152)="x",$BI33*O33,VALUE('Capacity summary'!O152)),0),O33*$BI33),O33*$BI33),0)</f>
        <v>0</v>
      </c>
      <c r="BS33" s="311">
        <f>IF($BI33&lt;&gt;"",IF('Capacity summary'!$D$14="Yes",IF(COUNTBLANK('Capacity summary'!$H152:$BG152)&lt;52,IF('Capacity summary'!P152&lt;&gt;"",IF(LOWER('Capacity summary'!P152)="x",$BI33*P33,VALUE('Capacity summary'!P152)),0),P33*$BI33),P33*$BI33),0)</f>
        <v>0</v>
      </c>
      <c r="BT33" s="311">
        <f>IF($BI33&lt;&gt;"",IF('Capacity summary'!$D$14="Yes",IF(COUNTBLANK('Capacity summary'!$H152:$BG152)&lt;52,IF('Capacity summary'!Q152&lt;&gt;"",IF(LOWER('Capacity summary'!Q152)="x",$BI33*Q33,VALUE('Capacity summary'!Q152)),0),Q33*$BI33),Q33*$BI33),0)</f>
        <v>0</v>
      </c>
      <c r="BU33" s="311">
        <f>IF($BI33&lt;&gt;"",IF('Capacity summary'!$D$14="Yes",IF(COUNTBLANK('Capacity summary'!$H152:$BG152)&lt;52,IF('Capacity summary'!R152&lt;&gt;"",IF(LOWER('Capacity summary'!R152)="x",$BI33*R33,VALUE('Capacity summary'!R152)),0),R33*$BI33),R33*$BI33),0)</f>
        <v>0</v>
      </c>
      <c r="BV33" s="311">
        <f>IF($BI33&lt;&gt;"",IF('Capacity summary'!$D$14="Yes",IF(COUNTBLANK('Capacity summary'!$H152:$BG152)&lt;52,IF('Capacity summary'!S152&lt;&gt;"",IF(LOWER('Capacity summary'!S152)="x",$BI33*S33,VALUE('Capacity summary'!S152)),0),S33*$BI33),S33*$BI33),0)</f>
        <v>0</v>
      </c>
      <c r="BW33" s="311">
        <f>IF($BI33&lt;&gt;"",IF('Capacity summary'!$D$14="Yes",IF(COUNTBLANK('Capacity summary'!$H152:$BG152)&lt;52,IF('Capacity summary'!T152&lt;&gt;"",IF(LOWER('Capacity summary'!T152)="x",$BI33*T33,VALUE('Capacity summary'!T152)),0),T33*$BI33),T33*$BI33),0)</f>
        <v>0</v>
      </c>
      <c r="BX33" s="311">
        <f>IF($BI33&lt;&gt;"",IF('Capacity summary'!$D$14="Yes",IF(COUNTBLANK('Capacity summary'!$H152:$BG152)&lt;52,IF('Capacity summary'!U152&lt;&gt;"",IF(LOWER('Capacity summary'!U152)="x",$BI33*U33,VALUE('Capacity summary'!U152)),0),U33*$BI33),U33*$BI33),0)</f>
        <v>0</v>
      </c>
      <c r="BY33" s="311">
        <f>IF($BI33&lt;&gt;"",IF('Capacity summary'!$D$14="Yes",IF(COUNTBLANK('Capacity summary'!$H152:$BG152)&lt;52,IF('Capacity summary'!V152&lt;&gt;"",IF(LOWER('Capacity summary'!V152)="x",$BI33*V33,VALUE('Capacity summary'!V152)),0),V33*$BI33),V33*$BI33),0)</f>
        <v>0</v>
      </c>
      <c r="BZ33" s="311">
        <f>IF($BI33&lt;&gt;"",IF('Capacity summary'!$D$14="Yes",IF(COUNTBLANK('Capacity summary'!$H152:$BG152)&lt;52,IF('Capacity summary'!W152&lt;&gt;"",IF(LOWER('Capacity summary'!W152)="x",$BI33*W33,VALUE('Capacity summary'!W152)),0),W33*$BI33),W33*$BI33),0)</f>
        <v>0</v>
      </c>
      <c r="CA33" s="311">
        <f>IF($BI33&lt;&gt;"",IF('Capacity summary'!$D$14="Yes",IF(COUNTBLANK('Capacity summary'!$H152:$BG152)&lt;52,IF('Capacity summary'!X152&lt;&gt;"",IF(LOWER('Capacity summary'!X152)="x",$BI33*X33,VALUE('Capacity summary'!X152)),0),X33*$BI33),X33*$BI33),0)</f>
        <v>0</v>
      </c>
      <c r="CB33" s="311">
        <f>IF($BI33&lt;&gt;"",IF('Capacity summary'!$D$14="Yes",IF(COUNTBLANK('Capacity summary'!$H152:$BG152)&lt;52,IF('Capacity summary'!Y152&lt;&gt;"",IF(LOWER('Capacity summary'!Y152)="x",$BI33*Y33,VALUE('Capacity summary'!Y152)),0),Y33*$BI33),Y33*$BI33),0)</f>
        <v>0</v>
      </c>
      <c r="CC33" s="311">
        <f>IF($BI33&lt;&gt;"",IF('Capacity summary'!$D$14="Yes",IF(COUNTBLANK('Capacity summary'!$H152:$BG152)&lt;52,IF('Capacity summary'!Z152&lt;&gt;"",IF(LOWER('Capacity summary'!Z152)="x",$BI33*Z33,VALUE('Capacity summary'!Z152)),0),Z33*$BI33),Z33*$BI33),0)</f>
        <v>0</v>
      </c>
      <c r="CD33" s="311">
        <f>IF($BI33&lt;&gt;"",IF('Capacity summary'!$D$14="Yes",IF(COUNTBLANK('Capacity summary'!$H152:$BG152)&lt;52,IF('Capacity summary'!AA152&lt;&gt;"",IF(LOWER('Capacity summary'!AA152)="x",$BI33*AA33,VALUE('Capacity summary'!AA152)),0),AA33*$BI33),AA33*$BI33),0)</f>
        <v>0</v>
      </c>
      <c r="CE33" s="311">
        <f>IF($BI33&lt;&gt;"",IF('Capacity summary'!$D$14="Yes",IF(COUNTBLANK('Capacity summary'!$H152:$BG152)&lt;52,IF('Capacity summary'!AB152&lt;&gt;"",IF(LOWER('Capacity summary'!AB152)="x",$BI33*AB33,VALUE('Capacity summary'!AB152)),0),AB33*$BI33),AB33*$BI33),0)</f>
        <v>0</v>
      </c>
      <c r="CF33" s="311">
        <f>IF($BI33&lt;&gt;"",IF('Capacity summary'!$D$14="Yes",IF(COUNTBLANK('Capacity summary'!$H152:$BG152)&lt;52,IF('Capacity summary'!AC152&lt;&gt;"",IF(LOWER('Capacity summary'!AC152)="x",$BI33*AC33,VALUE('Capacity summary'!AC152)),0),AC33*$BI33),AC33*$BI33),0)</f>
        <v>0</v>
      </c>
      <c r="CG33" s="311">
        <f>IF($BI33&lt;&gt;"",IF('Capacity summary'!$D$14="Yes",IF(COUNTBLANK('Capacity summary'!$H152:$BG152)&lt;52,IF('Capacity summary'!AD152&lt;&gt;"",IF(LOWER('Capacity summary'!AD152)="x",$BI33*AD33,VALUE('Capacity summary'!AD152)),0),AD33*$BI33),AD33*$BI33),0)</f>
        <v>0</v>
      </c>
      <c r="CH33" s="311">
        <f>IF($BI33&lt;&gt;"",IF('Capacity summary'!$D$14="Yes",IF(COUNTBLANK('Capacity summary'!$H152:$BG152)&lt;52,IF('Capacity summary'!AE152&lt;&gt;"",IF(LOWER('Capacity summary'!AE152)="x",$BI33*AE33,VALUE('Capacity summary'!AE152)),0),AE33*$BI33),AE33*$BI33),0)</f>
        <v>0</v>
      </c>
      <c r="CI33" s="311">
        <f>IF($BI33&lt;&gt;"",IF('Capacity summary'!$D$14="Yes",IF(COUNTBLANK('Capacity summary'!$H152:$BG152)&lt;52,IF('Capacity summary'!AF152&lt;&gt;"",IF(LOWER('Capacity summary'!AF152)="x",$BI33*AF33,VALUE('Capacity summary'!AF152)),0),AF33*$BI33),AF33*$BI33),0)</f>
        <v>0</v>
      </c>
      <c r="CJ33" s="311">
        <f>IF($BI33&lt;&gt;"",IF('Capacity summary'!$D$14="Yes",IF(COUNTBLANK('Capacity summary'!$H152:$BG152)&lt;52,IF('Capacity summary'!AG152&lt;&gt;"",IF(LOWER('Capacity summary'!AG152)="x",$BI33*AG33,VALUE('Capacity summary'!AG152)),0),AG33*$BI33),AG33*$BI33),0)</f>
        <v>0</v>
      </c>
      <c r="CK33" s="311">
        <f>IF($BI33&lt;&gt;"",IF('Capacity summary'!$D$14="Yes",IF(COUNTBLANK('Capacity summary'!$H152:$BG152)&lt;52,IF('Capacity summary'!AH152&lt;&gt;"",IF(LOWER('Capacity summary'!AH152)="x",$BI33*AH33,VALUE('Capacity summary'!AH152)),0),AH33*$BI33),AH33*$BI33),0)</f>
        <v>0</v>
      </c>
      <c r="CL33" s="311">
        <f>IF($BI33&lt;&gt;"",IF('Capacity summary'!$D$14="Yes",IF(COUNTBLANK('Capacity summary'!$H152:$BG152)&lt;52,IF('Capacity summary'!AI152&lt;&gt;"",IF(LOWER('Capacity summary'!AI152)="x",$BI33*AI33,VALUE('Capacity summary'!AI152)),0),AI33*$BI33),AI33*$BI33),0)</f>
        <v>0</v>
      </c>
      <c r="CM33" s="311">
        <f>IF($BI33&lt;&gt;"",IF('Capacity summary'!$D$14="Yes",IF(COUNTBLANK('Capacity summary'!$H152:$BG152)&lt;52,IF('Capacity summary'!AJ152&lt;&gt;"",IF(LOWER('Capacity summary'!AJ152)="x",$BI33*AJ33,VALUE('Capacity summary'!AJ152)),0),AJ33*$BI33),AJ33*$BI33),0)</f>
        <v>0</v>
      </c>
      <c r="CN33" s="311">
        <f>IF($BI33&lt;&gt;"",IF('Capacity summary'!$D$14="Yes",IF(COUNTBLANK('Capacity summary'!$H152:$BG152)&lt;52,IF('Capacity summary'!AK152&lt;&gt;"",IF(LOWER('Capacity summary'!AK152)="x",$BI33*AK33,VALUE('Capacity summary'!AK152)),0),AK33*$BI33),AK33*$BI33),0)</f>
        <v>0</v>
      </c>
      <c r="CO33" s="311">
        <f>IF($BI33&lt;&gt;"",IF('Capacity summary'!$D$14="Yes",IF(COUNTBLANK('Capacity summary'!$H152:$BG152)&lt;52,IF('Capacity summary'!AL152&lt;&gt;"",IF(LOWER('Capacity summary'!AL152)="x",$BI33*AL33,VALUE('Capacity summary'!AL152)),0),AL33*$BI33),AL33*$BI33),0)</f>
        <v>0</v>
      </c>
      <c r="CP33" s="311">
        <f>IF($BI33&lt;&gt;"",IF('Capacity summary'!$D$14="Yes",IF(COUNTBLANK('Capacity summary'!$H152:$BG152)&lt;52,IF('Capacity summary'!AM152&lt;&gt;"",IF(LOWER('Capacity summary'!AM152)="x",$BI33*AM33,VALUE('Capacity summary'!AM152)),0),AM33*$BI33),AM33*$BI33),0)</f>
        <v>0</v>
      </c>
      <c r="CQ33" s="311">
        <f>IF($BI33&lt;&gt;"",IF('Capacity summary'!$D$14="Yes",IF(COUNTBLANK('Capacity summary'!$H152:$BG152)&lt;52,IF('Capacity summary'!AN152&lt;&gt;"",IF(LOWER('Capacity summary'!AN152)="x",$BI33*AN33,VALUE('Capacity summary'!AN152)),0),AN33*$BI33),AN33*$BI33),0)</f>
        <v>0</v>
      </c>
      <c r="CR33" s="311">
        <f>IF($BI33&lt;&gt;"",IF('Capacity summary'!$D$14="Yes",IF(COUNTBLANK('Capacity summary'!$H152:$BG152)&lt;52,IF('Capacity summary'!AO152&lt;&gt;"",IF(LOWER('Capacity summary'!AO152)="x",$BI33*AO33,VALUE('Capacity summary'!AO152)),0),AO33*$BI33),AO33*$BI33),0)</f>
        <v>0</v>
      </c>
      <c r="CS33" s="311">
        <f>IF($BI33&lt;&gt;"",IF('Capacity summary'!$D$14="Yes",IF(COUNTBLANK('Capacity summary'!$H152:$BG152)&lt;52,IF('Capacity summary'!AP152&lt;&gt;"",IF(LOWER('Capacity summary'!AP152)="x",$BI33*AP33,VALUE('Capacity summary'!AP152)),0),AP33*$BI33),AP33*$BI33),0)</f>
        <v>0</v>
      </c>
      <c r="CT33" s="311">
        <f>IF($BI33&lt;&gt;"",IF('Capacity summary'!$D$14="Yes",IF(COUNTBLANK('Capacity summary'!$H152:$BG152)&lt;52,IF('Capacity summary'!AQ152&lt;&gt;"",IF(LOWER('Capacity summary'!AQ152)="x",$BI33*AQ33,VALUE('Capacity summary'!AQ152)),0),AQ33*$BI33),AQ33*$BI33),0)</f>
        <v>0</v>
      </c>
      <c r="CU33" s="311">
        <f>IF($BI33&lt;&gt;"",IF('Capacity summary'!$D$14="Yes",IF(COUNTBLANK('Capacity summary'!$H152:$BG152)&lt;52,IF('Capacity summary'!AR152&lt;&gt;"",IF(LOWER('Capacity summary'!AR152)="x",$BI33*AR33,VALUE('Capacity summary'!AR152)),0),AR33*$BI33),AR33*$BI33),0)</f>
        <v>0</v>
      </c>
      <c r="CV33" s="311">
        <f>IF($BI33&lt;&gt;"",IF('Capacity summary'!$D$14="Yes",IF(COUNTBLANK('Capacity summary'!$H152:$BG152)&lt;52,IF('Capacity summary'!AS152&lt;&gt;"",IF(LOWER('Capacity summary'!AS152)="x",$BI33*AS33,VALUE('Capacity summary'!AS152)),0),AS33*$BI33),AS33*$BI33),0)</f>
        <v>0</v>
      </c>
      <c r="CW33" s="311">
        <f>IF($BI33&lt;&gt;"",IF('Capacity summary'!$D$14="Yes",IF(COUNTBLANK('Capacity summary'!$H152:$BG152)&lt;52,IF('Capacity summary'!AT152&lt;&gt;"",IF(LOWER('Capacity summary'!AT152)="x",$BI33*AT33,VALUE('Capacity summary'!AT152)),0),AT33*$BI33),AT33*$BI33),0)</f>
        <v>0</v>
      </c>
      <c r="CX33" s="311">
        <f>IF($BI33&lt;&gt;"",IF('Capacity summary'!$D$14="Yes",IF(COUNTBLANK('Capacity summary'!$H152:$BG152)&lt;52,IF('Capacity summary'!AU152&lt;&gt;"",IF(LOWER('Capacity summary'!AU152)="x",$BI33*AU33,VALUE('Capacity summary'!AU152)),0),AU33*$BI33),AU33*$BI33),0)</f>
        <v>0</v>
      </c>
      <c r="CY33" s="311">
        <f>IF($BI33&lt;&gt;"",IF('Capacity summary'!$D$14="Yes",IF(COUNTBLANK('Capacity summary'!$H152:$BG152)&lt;52,IF('Capacity summary'!AV152&lt;&gt;"",IF(LOWER('Capacity summary'!AV152)="x",$BI33*AV33,VALUE('Capacity summary'!AV152)),0),AV33*$BI33),AV33*$BI33),0)</f>
        <v>0</v>
      </c>
      <c r="CZ33" s="311">
        <f>IF($BI33&lt;&gt;"",IF('Capacity summary'!$D$14="Yes",IF(COUNTBLANK('Capacity summary'!$H152:$BG152)&lt;52,IF('Capacity summary'!AW152&lt;&gt;"",IF(LOWER('Capacity summary'!AW152)="x",$BI33*AW33,VALUE('Capacity summary'!AW152)),0),AW33*$BI33),AW33*$BI33),0)</f>
        <v>0</v>
      </c>
      <c r="DA33" s="311">
        <f>IF($BI33&lt;&gt;"",IF('Capacity summary'!$D$14="Yes",IF(COUNTBLANK('Capacity summary'!$H152:$BG152)&lt;52,IF('Capacity summary'!AX152&lt;&gt;"",IF(LOWER('Capacity summary'!AX152)="x",$BI33*AX33,VALUE('Capacity summary'!AX152)),0),AX33*$BI33),AX33*$BI33),0)</f>
        <v>0</v>
      </c>
      <c r="DB33" s="311">
        <f>IF($BI33&lt;&gt;"",IF('Capacity summary'!$D$14="Yes",IF(COUNTBLANK('Capacity summary'!$H152:$BG152)&lt;52,IF('Capacity summary'!AY152&lt;&gt;"",IF(LOWER('Capacity summary'!AY152)="x",$BI33*AY33,VALUE('Capacity summary'!AY152)),0),AY33*$BI33),AY33*$BI33),0)</f>
        <v>0</v>
      </c>
      <c r="DC33" s="311">
        <f>IF($BI33&lt;&gt;"",IF('Capacity summary'!$D$14="Yes",IF(COUNTBLANK('Capacity summary'!$H152:$BG152)&lt;52,IF('Capacity summary'!AZ152&lt;&gt;"",IF(LOWER('Capacity summary'!AZ152)="x",$BI33*AZ33,VALUE('Capacity summary'!AZ152)),0),AZ33*$BI33),AZ33*$BI33),0)</f>
        <v>0</v>
      </c>
      <c r="DD33" s="311">
        <f>IF($BI33&lt;&gt;"",IF('Capacity summary'!$D$14="Yes",IF(COUNTBLANK('Capacity summary'!$H152:$BG152)&lt;52,IF('Capacity summary'!BA152&lt;&gt;"",IF(LOWER('Capacity summary'!BA152)="x",$BI33*BA33,VALUE('Capacity summary'!BA152)),0),BA33*$BI33),BA33*$BI33),0)</f>
        <v>0</v>
      </c>
      <c r="DE33" s="311">
        <f>IF($BI33&lt;&gt;"",IF('Capacity summary'!$D$14="Yes",IF(COUNTBLANK('Capacity summary'!$H152:$BG152)&lt;52,IF('Capacity summary'!BB152&lt;&gt;"",IF(LOWER('Capacity summary'!BB152)="x",$BI33*BB33,VALUE('Capacity summary'!BB152)),0),BB33*$BI33),BB33*$BI33),0)</f>
        <v>0</v>
      </c>
      <c r="DF33" s="311">
        <f>IF($BI33&lt;&gt;"",IF('Capacity summary'!$D$14="Yes",IF(COUNTBLANK('Capacity summary'!$H152:$BG152)&lt;52,IF('Capacity summary'!BC152&lt;&gt;"",IF(LOWER('Capacity summary'!BC152)="x",$BI33*BC33,VALUE('Capacity summary'!BC152)),0),BC33*$BI33),BC33*$BI33),0)</f>
        <v>0</v>
      </c>
      <c r="DG33" s="311">
        <f>IF($BI33&lt;&gt;"",IF('Capacity summary'!$D$14="Yes",IF(COUNTBLANK('Capacity summary'!$H152:$BG152)&lt;52,IF('Capacity summary'!BD152&lt;&gt;"",IF(LOWER('Capacity summary'!BD152)="x",$BI33*BD33,VALUE('Capacity summary'!BD152)),0),BD33*$BI33),BD33*$BI33),0)</f>
        <v>0</v>
      </c>
      <c r="DH33" s="311">
        <f>IF($BI33&lt;&gt;"",IF('Capacity summary'!$D$14="Yes",IF(COUNTBLANK('Capacity summary'!$H152:$BG152)&lt;52,IF('Capacity summary'!BE152&lt;&gt;"",IF(LOWER('Capacity summary'!BE152)="x",$BI33*BE33,VALUE('Capacity summary'!BE152)),0),BE33*$BI33),BE33*$BI33),0)</f>
        <v>0</v>
      </c>
      <c r="DI33" s="311">
        <f>IF($BI33&lt;&gt;"",IF('Capacity summary'!$D$14="Yes",IF(COUNTBLANK('Capacity summary'!$H152:$BG152)&lt;52,IF('Capacity summary'!BF152&lt;&gt;"",IF(LOWER('Capacity summary'!BF152)="x",$BI33*BF33,VALUE('Capacity summary'!BF152)),0),BF33*$BI33),BF33*$BI33),0)</f>
        <v>0</v>
      </c>
      <c r="DJ33" s="311">
        <f>IF($BI33&lt;&gt;"",IF('Capacity summary'!$D$14="Yes",IF(COUNTBLANK('Capacity summary'!$H152:$BG152)&lt;52,IF('Capacity summary'!BG152&lt;&gt;"",IF(LOWER('Capacity summary'!BG152)="x",$BI33*BG33,VALUE('Capacity summary'!BG152)),0),BG33*$BI33),BG33*$BI33),0)</f>
        <v>0</v>
      </c>
      <c r="DK33" s="387">
        <f t="shared" si="2"/>
        <v>0</v>
      </c>
      <c r="DL33" s="136">
        <f t="shared" si="3"/>
        <v>0</v>
      </c>
      <c r="DM33" s="311" t="str">
        <f>Capacity!H45</f>
        <v/>
      </c>
      <c r="DQ33" s="5"/>
    </row>
    <row r="34" spans="1:121" x14ac:dyDescent="0.2">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1">
        <f>IF($BI34&lt;&gt;"",IF('Capacity summary'!$D$14="Yes",IF(COUNTBLANK('Capacity summary'!$H153:$BG153)&lt;52,IF('Capacity summary'!H153&lt;&gt;"",IF(LOWER('Capacity summary'!H153)="x",$BI34*H34,VALUE('Capacity summary'!H153)),0),H34*$BI34),H34*$BI34),0)</f>
        <v>0</v>
      </c>
      <c r="BL34" s="311">
        <f>IF($BI34&lt;&gt;"",IF('Capacity summary'!$D$14="Yes",IF(COUNTBLANK('Capacity summary'!$H153:$BG153)&lt;52,IF('Capacity summary'!I153&lt;&gt;"",IF(LOWER('Capacity summary'!I153)="x",$BI34*I34,VALUE('Capacity summary'!I153)),0),I34*$BI34),I34*$BI34),0)</f>
        <v>0</v>
      </c>
      <c r="BM34" s="311">
        <f>IF($BI34&lt;&gt;"",IF('Capacity summary'!$D$14="Yes",IF(COUNTBLANK('Capacity summary'!$H153:$BG153)&lt;52,IF('Capacity summary'!J153&lt;&gt;"",IF(LOWER('Capacity summary'!J153)="x",$BI34*J34,VALUE('Capacity summary'!J153)),0),J34*$BI34),J34*$BI34),0)</f>
        <v>0</v>
      </c>
      <c r="BN34" s="311">
        <f>IF($BI34&lt;&gt;"",IF('Capacity summary'!$D$14="Yes",IF(COUNTBLANK('Capacity summary'!$H153:$BG153)&lt;52,IF('Capacity summary'!K153&lt;&gt;"",IF(LOWER('Capacity summary'!K153)="x",$BI34*K34,VALUE('Capacity summary'!K153)),0),K34*$BI34),K34*$BI34),0)</f>
        <v>0</v>
      </c>
      <c r="BO34" s="311">
        <f>IF($BI34&lt;&gt;"",IF('Capacity summary'!$D$14="Yes",IF(COUNTBLANK('Capacity summary'!$H153:$BG153)&lt;52,IF('Capacity summary'!L153&lt;&gt;"",IF(LOWER('Capacity summary'!L153)="x",$BI34*L34,VALUE('Capacity summary'!L153)),0),L34*$BI34),L34*$BI34),0)</f>
        <v>0</v>
      </c>
      <c r="BP34" s="311">
        <f>IF($BI34&lt;&gt;"",IF('Capacity summary'!$D$14="Yes",IF(COUNTBLANK('Capacity summary'!$H153:$BG153)&lt;52,IF('Capacity summary'!M153&lt;&gt;"",IF(LOWER('Capacity summary'!M153)="x",$BI34*M34,VALUE('Capacity summary'!M153)),0),M34*$BI34),M34*$BI34),0)</f>
        <v>0</v>
      </c>
      <c r="BQ34" s="311">
        <f>IF($BI34&lt;&gt;"",IF('Capacity summary'!$D$14="Yes",IF(COUNTBLANK('Capacity summary'!$H153:$BG153)&lt;52,IF('Capacity summary'!N153&lt;&gt;"",IF(LOWER('Capacity summary'!N153)="x",$BI34*N34,VALUE('Capacity summary'!N153)),0),N34*$BI34),N34*$BI34),0)</f>
        <v>0</v>
      </c>
      <c r="BR34" s="311">
        <f>IF($BI34&lt;&gt;"",IF('Capacity summary'!$D$14="Yes",IF(COUNTBLANK('Capacity summary'!$H153:$BG153)&lt;52,IF('Capacity summary'!O153&lt;&gt;"",IF(LOWER('Capacity summary'!O153)="x",$BI34*O34,VALUE('Capacity summary'!O153)),0),O34*$BI34),O34*$BI34),0)</f>
        <v>0</v>
      </c>
      <c r="BS34" s="311">
        <f>IF($BI34&lt;&gt;"",IF('Capacity summary'!$D$14="Yes",IF(COUNTBLANK('Capacity summary'!$H153:$BG153)&lt;52,IF('Capacity summary'!P153&lt;&gt;"",IF(LOWER('Capacity summary'!P153)="x",$BI34*P34,VALUE('Capacity summary'!P153)),0),P34*$BI34),P34*$BI34),0)</f>
        <v>0</v>
      </c>
      <c r="BT34" s="311">
        <f>IF($BI34&lt;&gt;"",IF('Capacity summary'!$D$14="Yes",IF(COUNTBLANK('Capacity summary'!$H153:$BG153)&lt;52,IF('Capacity summary'!Q153&lt;&gt;"",IF(LOWER('Capacity summary'!Q153)="x",$BI34*Q34,VALUE('Capacity summary'!Q153)),0),Q34*$BI34),Q34*$BI34),0)</f>
        <v>0</v>
      </c>
      <c r="BU34" s="311">
        <f>IF($BI34&lt;&gt;"",IF('Capacity summary'!$D$14="Yes",IF(COUNTBLANK('Capacity summary'!$H153:$BG153)&lt;52,IF('Capacity summary'!R153&lt;&gt;"",IF(LOWER('Capacity summary'!R153)="x",$BI34*R34,VALUE('Capacity summary'!R153)),0),R34*$BI34),R34*$BI34),0)</f>
        <v>0</v>
      </c>
      <c r="BV34" s="311">
        <f>IF($BI34&lt;&gt;"",IF('Capacity summary'!$D$14="Yes",IF(COUNTBLANK('Capacity summary'!$H153:$BG153)&lt;52,IF('Capacity summary'!S153&lt;&gt;"",IF(LOWER('Capacity summary'!S153)="x",$BI34*S34,VALUE('Capacity summary'!S153)),0),S34*$BI34),S34*$BI34),0)</f>
        <v>0</v>
      </c>
      <c r="BW34" s="311">
        <f>IF($BI34&lt;&gt;"",IF('Capacity summary'!$D$14="Yes",IF(COUNTBLANK('Capacity summary'!$H153:$BG153)&lt;52,IF('Capacity summary'!T153&lt;&gt;"",IF(LOWER('Capacity summary'!T153)="x",$BI34*T34,VALUE('Capacity summary'!T153)),0),T34*$BI34),T34*$BI34),0)</f>
        <v>0</v>
      </c>
      <c r="BX34" s="311">
        <f>IF($BI34&lt;&gt;"",IF('Capacity summary'!$D$14="Yes",IF(COUNTBLANK('Capacity summary'!$H153:$BG153)&lt;52,IF('Capacity summary'!U153&lt;&gt;"",IF(LOWER('Capacity summary'!U153)="x",$BI34*U34,VALUE('Capacity summary'!U153)),0),U34*$BI34),U34*$BI34),0)</f>
        <v>0</v>
      </c>
      <c r="BY34" s="311">
        <f>IF($BI34&lt;&gt;"",IF('Capacity summary'!$D$14="Yes",IF(COUNTBLANK('Capacity summary'!$H153:$BG153)&lt;52,IF('Capacity summary'!V153&lt;&gt;"",IF(LOWER('Capacity summary'!V153)="x",$BI34*V34,VALUE('Capacity summary'!V153)),0),V34*$BI34),V34*$BI34),0)</f>
        <v>0</v>
      </c>
      <c r="BZ34" s="311">
        <f>IF($BI34&lt;&gt;"",IF('Capacity summary'!$D$14="Yes",IF(COUNTBLANK('Capacity summary'!$H153:$BG153)&lt;52,IF('Capacity summary'!W153&lt;&gt;"",IF(LOWER('Capacity summary'!W153)="x",$BI34*W34,VALUE('Capacity summary'!W153)),0),W34*$BI34),W34*$BI34),0)</f>
        <v>0</v>
      </c>
      <c r="CA34" s="311">
        <f>IF($BI34&lt;&gt;"",IF('Capacity summary'!$D$14="Yes",IF(COUNTBLANK('Capacity summary'!$H153:$BG153)&lt;52,IF('Capacity summary'!X153&lt;&gt;"",IF(LOWER('Capacity summary'!X153)="x",$BI34*X34,VALUE('Capacity summary'!X153)),0),X34*$BI34),X34*$BI34),0)</f>
        <v>0</v>
      </c>
      <c r="CB34" s="311">
        <f>IF($BI34&lt;&gt;"",IF('Capacity summary'!$D$14="Yes",IF(COUNTBLANK('Capacity summary'!$H153:$BG153)&lt;52,IF('Capacity summary'!Y153&lt;&gt;"",IF(LOWER('Capacity summary'!Y153)="x",$BI34*Y34,VALUE('Capacity summary'!Y153)),0),Y34*$BI34),Y34*$BI34),0)</f>
        <v>0</v>
      </c>
      <c r="CC34" s="311">
        <f>IF($BI34&lt;&gt;"",IF('Capacity summary'!$D$14="Yes",IF(COUNTBLANK('Capacity summary'!$H153:$BG153)&lt;52,IF('Capacity summary'!Z153&lt;&gt;"",IF(LOWER('Capacity summary'!Z153)="x",$BI34*Z34,VALUE('Capacity summary'!Z153)),0),Z34*$BI34),Z34*$BI34),0)</f>
        <v>0</v>
      </c>
      <c r="CD34" s="311">
        <f>IF($BI34&lt;&gt;"",IF('Capacity summary'!$D$14="Yes",IF(COUNTBLANK('Capacity summary'!$H153:$BG153)&lt;52,IF('Capacity summary'!AA153&lt;&gt;"",IF(LOWER('Capacity summary'!AA153)="x",$BI34*AA34,VALUE('Capacity summary'!AA153)),0),AA34*$BI34),AA34*$BI34),0)</f>
        <v>0</v>
      </c>
      <c r="CE34" s="311">
        <f>IF($BI34&lt;&gt;"",IF('Capacity summary'!$D$14="Yes",IF(COUNTBLANK('Capacity summary'!$H153:$BG153)&lt;52,IF('Capacity summary'!AB153&lt;&gt;"",IF(LOWER('Capacity summary'!AB153)="x",$BI34*AB34,VALUE('Capacity summary'!AB153)),0),AB34*$BI34),AB34*$BI34),0)</f>
        <v>0</v>
      </c>
      <c r="CF34" s="311">
        <f>IF($BI34&lt;&gt;"",IF('Capacity summary'!$D$14="Yes",IF(COUNTBLANK('Capacity summary'!$H153:$BG153)&lt;52,IF('Capacity summary'!AC153&lt;&gt;"",IF(LOWER('Capacity summary'!AC153)="x",$BI34*AC34,VALUE('Capacity summary'!AC153)),0),AC34*$BI34),AC34*$BI34),0)</f>
        <v>0</v>
      </c>
      <c r="CG34" s="311">
        <f>IF($BI34&lt;&gt;"",IF('Capacity summary'!$D$14="Yes",IF(COUNTBLANK('Capacity summary'!$H153:$BG153)&lt;52,IF('Capacity summary'!AD153&lt;&gt;"",IF(LOWER('Capacity summary'!AD153)="x",$BI34*AD34,VALUE('Capacity summary'!AD153)),0),AD34*$BI34),AD34*$BI34),0)</f>
        <v>0</v>
      </c>
      <c r="CH34" s="311">
        <f>IF($BI34&lt;&gt;"",IF('Capacity summary'!$D$14="Yes",IF(COUNTBLANK('Capacity summary'!$H153:$BG153)&lt;52,IF('Capacity summary'!AE153&lt;&gt;"",IF(LOWER('Capacity summary'!AE153)="x",$BI34*AE34,VALUE('Capacity summary'!AE153)),0),AE34*$BI34),AE34*$BI34),0)</f>
        <v>0</v>
      </c>
      <c r="CI34" s="311">
        <f>IF($BI34&lt;&gt;"",IF('Capacity summary'!$D$14="Yes",IF(COUNTBLANK('Capacity summary'!$H153:$BG153)&lt;52,IF('Capacity summary'!AF153&lt;&gt;"",IF(LOWER('Capacity summary'!AF153)="x",$BI34*AF34,VALUE('Capacity summary'!AF153)),0),AF34*$BI34),AF34*$BI34),0)</f>
        <v>0</v>
      </c>
      <c r="CJ34" s="311">
        <f>IF($BI34&lt;&gt;"",IF('Capacity summary'!$D$14="Yes",IF(COUNTBLANK('Capacity summary'!$H153:$BG153)&lt;52,IF('Capacity summary'!AG153&lt;&gt;"",IF(LOWER('Capacity summary'!AG153)="x",$BI34*AG34,VALUE('Capacity summary'!AG153)),0),AG34*$BI34),AG34*$BI34),0)</f>
        <v>0</v>
      </c>
      <c r="CK34" s="311">
        <f>IF($BI34&lt;&gt;"",IF('Capacity summary'!$D$14="Yes",IF(COUNTBLANK('Capacity summary'!$H153:$BG153)&lt;52,IF('Capacity summary'!AH153&lt;&gt;"",IF(LOWER('Capacity summary'!AH153)="x",$BI34*AH34,VALUE('Capacity summary'!AH153)),0),AH34*$BI34),AH34*$BI34),0)</f>
        <v>0</v>
      </c>
      <c r="CL34" s="311">
        <f>IF($BI34&lt;&gt;"",IF('Capacity summary'!$D$14="Yes",IF(COUNTBLANK('Capacity summary'!$H153:$BG153)&lt;52,IF('Capacity summary'!AI153&lt;&gt;"",IF(LOWER('Capacity summary'!AI153)="x",$BI34*AI34,VALUE('Capacity summary'!AI153)),0),AI34*$BI34),AI34*$BI34),0)</f>
        <v>0</v>
      </c>
      <c r="CM34" s="311">
        <f>IF($BI34&lt;&gt;"",IF('Capacity summary'!$D$14="Yes",IF(COUNTBLANK('Capacity summary'!$H153:$BG153)&lt;52,IF('Capacity summary'!AJ153&lt;&gt;"",IF(LOWER('Capacity summary'!AJ153)="x",$BI34*AJ34,VALUE('Capacity summary'!AJ153)),0),AJ34*$BI34),AJ34*$BI34),0)</f>
        <v>0</v>
      </c>
      <c r="CN34" s="311">
        <f>IF($BI34&lt;&gt;"",IF('Capacity summary'!$D$14="Yes",IF(COUNTBLANK('Capacity summary'!$H153:$BG153)&lt;52,IF('Capacity summary'!AK153&lt;&gt;"",IF(LOWER('Capacity summary'!AK153)="x",$BI34*AK34,VALUE('Capacity summary'!AK153)),0),AK34*$BI34),AK34*$BI34),0)</f>
        <v>0</v>
      </c>
      <c r="CO34" s="311">
        <f>IF($BI34&lt;&gt;"",IF('Capacity summary'!$D$14="Yes",IF(COUNTBLANK('Capacity summary'!$H153:$BG153)&lt;52,IF('Capacity summary'!AL153&lt;&gt;"",IF(LOWER('Capacity summary'!AL153)="x",$BI34*AL34,VALUE('Capacity summary'!AL153)),0),AL34*$BI34),AL34*$BI34),0)</f>
        <v>0</v>
      </c>
      <c r="CP34" s="311">
        <f>IF($BI34&lt;&gt;"",IF('Capacity summary'!$D$14="Yes",IF(COUNTBLANK('Capacity summary'!$H153:$BG153)&lt;52,IF('Capacity summary'!AM153&lt;&gt;"",IF(LOWER('Capacity summary'!AM153)="x",$BI34*AM34,VALUE('Capacity summary'!AM153)),0),AM34*$BI34),AM34*$BI34),0)</f>
        <v>0</v>
      </c>
      <c r="CQ34" s="311">
        <f>IF($BI34&lt;&gt;"",IF('Capacity summary'!$D$14="Yes",IF(COUNTBLANK('Capacity summary'!$H153:$BG153)&lt;52,IF('Capacity summary'!AN153&lt;&gt;"",IF(LOWER('Capacity summary'!AN153)="x",$BI34*AN34,VALUE('Capacity summary'!AN153)),0),AN34*$BI34),AN34*$BI34),0)</f>
        <v>0</v>
      </c>
      <c r="CR34" s="311">
        <f>IF($BI34&lt;&gt;"",IF('Capacity summary'!$D$14="Yes",IF(COUNTBLANK('Capacity summary'!$H153:$BG153)&lt;52,IF('Capacity summary'!AO153&lt;&gt;"",IF(LOWER('Capacity summary'!AO153)="x",$BI34*AO34,VALUE('Capacity summary'!AO153)),0),AO34*$BI34),AO34*$BI34),0)</f>
        <v>0</v>
      </c>
      <c r="CS34" s="311">
        <f>IF($BI34&lt;&gt;"",IF('Capacity summary'!$D$14="Yes",IF(COUNTBLANK('Capacity summary'!$H153:$BG153)&lt;52,IF('Capacity summary'!AP153&lt;&gt;"",IF(LOWER('Capacity summary'!AP153)="x",$BI34*AP34,VALUE('Capacity summary'!AP153)),0),AP34*$BI34),AP34*$BI34),0)</f>
        <v>0</v>
      </c>
      <c r="CT34" s="311">
        <f>IF($BI34&lt;&gt;"",IF('Capacity summary'!$D$14="Yes",IF(COUNTBLANK('Capacity summary'!$H153:$BG153)&lt;52,IF('Capacity summary'!AQ153&lt;&gt;"",IF(LOWER('Capacity summary'!AQ153)="x",$BI34*AQ34,VALUE('Capacity summary'!AQ153)),0),AQ34*$BI34),AQ34*$BI34),0)</f>
        <v>0</v>
      </c>
      <c r="CU34" s="311">
        <f>IF($BI34&lt;&gt;"",IF('Capacity summary'!$D$14="Yes",IF(COUNTBLANK('Capacity summary'!$H153:$BG153)&lt;52,IF('Capacity summary'!AR153&lt;&gt;"",IF(LOWER('Capacity summary'!AR153)="x",$BI34*AR34,VALUE('Capacity summary'!AR153)),0),AR34*$BI34),AR34*$BI34),0)</f>
        <v>0</v>
      </c>
      <c r="CV34" s="311">
        <f>IF($BI34&lt;&gt;"",IF('Capacity summary'!$D$14="Yes",IF(COUNTBLANK('Capacity summary'!$H153:$BG153)&lt;52,IF('Capacity summary'!AS153&lt;&gt;"",IF(LOWER('Capacity summary'!AS153)="x",$BI34*AS34,VALUE('Capacity summary'!AS153)),0),AS34*$BI34),AS34*$BI34),0)</f>
        <v>0</v>
      </c>
      <c r="CW34" s="311">
        <f>IF($BI34&lt;&gt;"",IF('Capacity summary'!$D$14="Yes",IF(COUNTBLANK('Capacity summary'!$H153:$BG153)&lt;52,IF('Capacity summary'!AT153&lt;&gt;"",IF(LOWER('Capacity summary'!AT153)="x",$BI34*AT34,VALUE('Capacity summary'!AT153)),0),AT34*$BI34),AT34*$BI34),0)</f>
        <v>0</v>
      </c>
      <c r="CX34" s="311">
        <f>IF($BI34&lt;&gt;"",IF('Capacity summary'!$D$14="Yes",IF(COUNTBLANK('Capacity summary'!$H153:$BG153)&lt;52,IF('Capacity summary'!AU153&lt;&gt;"",IF(LOWER('Capacity summary'!AU153)="x",$BI34*AU34,VALUE('Capacity summary'!AU153)),0),AU34*$BI34),AU34*$BI34),0)</f>
        <v>0</v>
      </c>
      <c r="CY34" s="311">
        <f>IF($BI34&lt;&gt;"",IF('Capacity summary'!$D$14="Yes",IF(COUNTBLANK('Capacity summary'!$H153:$BG153)&lt;52,IF('Capacity summary'!AV153&lt;&gt;"",IF(LOWER('Capacity summary'!AV153)="x",$BI34*AV34,VALUE('Capacity summary'!AV153)),0),AV34*$BI34),AV34*$BI34),0)</f>
        <v>0</v>
      </c>
      <c r="CZ34" s="311">
        <f>IF($BI34&lt;&gt;"",IF('Capacity summary'!$D$14="Yes",IF(COUNTBLANK('Capacity summary'!$H153:$BG153)&lt;52,IF('Capacity summary'!AW153&lt;&gt;"",IF(LOWER('Capacity summary'!AW153)="x",$BI34*AW34,VALUE('Capacity summary'!AW153)),0),AW34*$BI34),AW34*$BI34),0)</f>
        <v>0</v>
      </c>
      <c r="DA34" s="311">
        <f>IF($BI34&lt;&gt;"",IF('Capacity summary'!$D$14="Yes",IF(COUNTBLANK('Capacity summary'!$H153:$BG153)&lt;52,IF('Capacity summary'!AX153&lt;&gt;"",IF(LOWER('Capacity summary'!AX153)="x",$BI34*AX34,VALUE('Capacity summary'!AX153)),0),AX34*$BI34),AX34*$BI34),0)</f>
        <v>0</v>
      </c>
      <c r="DB34" s="311">
        <f>IF($BI34&lt;&gt;"",IF('Capacity summary'!$D$14="Yes",IF(COUNTBLANK('Capacity summary'!$H153:$BG153)&lt;52,IF('Capacity summary'!AY153&lt;&gt;"",IF(LOWER('Capacity summary'!AY153)="x",$BI34*AY34,VALUE('Capacity summary'!AY153)),0),AY34*$BI34),AY34*$BI34),0)</f>
        <v>0</v>
      </c>
      <c r="DC34" s="311">
        <f>IF($BI34&lt;&gt;"",IF('Capacity summary'!$D$14="Yes",IF(COUNTBLANK('Capacity summary'!$H153:$BG153)&lt;52,IF('Capacity summary'!AZ153&lt;&gt;"",IF(LOWER('Capacity summary'!AZ153)="x",$BI34*AZ34,VALUE('Capacity summary'!AZ153)),0),AZ34*$BI34),AZ34*$BI34),0)</f>
        <v>0</v>
      </c>
      <c r="DD34" s="311">
        <f>IF($BI34&lt;&gt;"",IF('Capacity summary'!$D$14="Yes",IF(COUNTBLANK('Capacity summary'!$H153:$BG153)&lt;52,IF('Capacity summary'!BA153&lt;&gt;"",IF(LOWER('Capacity summary'!BA153)="x",$BI34*BA34,VALUE('Capacity summary'!BA153)),0),BA34*$BI34),BA34*$BI34),0)</f>
        <v>0</v>
      </c>
      <c r="DE34" s="311">
        <f>IF($BI34&lt;&gt;"",IF('Capacity summary'!$D$14="Yes",IF(COUNTBLANK('Capacity summary'!$H153:$BG153)&lt;52,IF('Capacity summary'!BB153&lt;&gt;"",IF(LOWER('Capacity summary'!BB153)="x",$BI34*BB34,VALUE('Capacity summary'!BB153)),0),BB34*$BI34),BB34*$BI34),0)</f>
        <v>0</v>
      </c>
      <c r="DF34" s="311">
        <f>IF($BI34&lt;&gt;"",IF('Capacity summary'!$D$14="Yes",IF(COUNTBLANK('Capacity summary'!$H153:$BG153)&lt;52,IF('Capacity summary'!BC153&lt;&gt;"",IF(LOWER('Capacity summary'!BC153)="x",$BI34*BC34,VALUE('Capacity summary'!BC153)),0),BC34*$BI34),BC34*$BI34),0)</f>
        <v>0</v>
      </c>
      <c r="DG34" s="311">
        <f>IF($BI34&lt;&gt;"",IF('Capacity summary'!$D$14="Yes",IF(COUNTBLANK('Capacity summary'!$H153:$BG153)&lt;52,IF('Capacity summary'!BD153&lt;&gt;"",IF(LOWER('Capacity summary'!BD153)="x",$BI34*BD34,VALUE('Capacity summary'!BD153)),0),BD34*$BI34),BD34*$BI34),0)</f>
        <v>0</v>
      </c>
      <c r="DH34" s="311">
        <f>IF($BI34&lt;&gt;"",IF('Capacity summary'!$D$14="Yes",IF(COUNTBLANK('Capacity summary'!$H153:$BG153)&lt;52,IF('Capacity summary'!BE153&lt;&gt;"",IF(LOWER('Capacity summary'!BE153)="x",$BI34*BE34,VALUE('Capacity summary'!BE153)),0),BE34*$BI34),BE34*$BI34),0)</f>
        <v>0</v>
      </c>
      <c r="DI34" s="311">
        <f>IF($BI34&lt;&gt;"",IF('Capacity summary'!$D$14="Yes",IF(COUNTBLANK('Capacity summary'!$H153:$BG153)&lt;52,IF('Capacity summary'!BF153&lt;&gt;"",IF(LOWER('Capacity summary'!BF153)="x",$BI34*BF34,VALUE('Capacity summary'!BF153)),0),BF34*$BI34),BF34*$BI34),0)</f>
        <v>0</v>
      </c>
      <c r="DJ34" s="311">
        <f>IF($BI34&lt;&gt;"",IF('Capacity summary'!$D$14="Yes",IF(COUNTBLANK('Capacity summary'!$H153:$BG153)&lt;52,IF('Capacity summary'!BG153&lt;&gt;"",IF(LOWER('Capacity summary'!BG153)="x",$BI34*BG34,VALUE('Capacity summary'!BG153)),0),BG34*$BI34),BG34*$BI34),0)</f>
        <v>0</v>
      </c>
      <c r="DK34" s="387">
        <f t="shared" si="2"/>
        <v>0</v>
      </c>
      <c r="DL34" s="136">
        <f t="shared" si="3"/>
        <v>0</v>
      </c>
      <c r="DM34" s="311" t="str">
        <f>Capacity!H46</f>
        <v/>
      </c>
      <c r="DQ34" s="5"/>
    </row>
    <row r="35" spans="1:121" x14ac:dyDescent="0.2">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1">
        <f>IF($BI35&lt;&gt;"",IF('Capacity summary'!$D$14="Yes",IF(COUNTBLANK('Capacity summary'!$H154:$BG154)&lt;52,IF('Capacity summary'!H154&lt;&gt;"",IF(LOWER('Capacity summary'!H154)="x",$BI35*H35,VALUE('Capacity summary'!H154)),0),H35*$BI35),H35*$BI35),0)</f>
        <v>0</v>
      </c>
      <c r="BL35" s="311">
        <f>IF($BI35&lt;&gt;"",IF('Capacity summary'!$D$14="Yes",IF(COUNTBLANK('Capacity summary'!$H154:$BG154)&lt;52,IF('Capacity summary'!I154&lt;&gt;"",IF(LOWER('Capacity summary'!I154)="x",$BI35*I35,VALUE('Capacity summary'!I154)),0),I35*$BI35),I35*$BI35),0)</f>
        <v>0</v>
      </c>
      <c r="BM35" s="311">
        <f>IF($BI35&lt;&gt;"",IF('Capacity summary'!$D$14="Yes",IF(COUNTBLANK('Capacity summary'!$H154:$BG154)&lt;52,IF('Capacity summary'!J154&lt;&gt;"",IF(LOWER('Capacity summary'!J154)="x",$BI35*J35,VALUE('Capacity summary'!J154)),0),J35*$BI35),J35*$BI35),0)</f>
        <v>0</v>
      </c>
      <c r="BN35" s="311">
        <f>IF($BI35&lt;&gt;"",IF('Capacity summary'!$D$14="Yes",IF(COUNTBLANK('Capacity summary'!$H154:$BG154)&lt;52,IF('Capacity summary'!K154&lt;&gt;"",IF(LOWER('Capacity summary'!K154)="x",$BI35*K35,VALUE('Capacity summary'!K154)),0),K35*$BI35),K35*$BI35),0)</f>
        <v>0</v>
      </c>
      <c r="BO35" s="311">
        <f>IF($BI35&lt;&gt;"",IF('Capacity summary'!$D$14="Yes",IF(COUNTBLANK('Capacity summary'!$H154:$BG154)&lt;52,IF('Capacity summary'!L154&lt;&gt;"",IF(LOWER('Capacity summary'!L154)="x",$BI35*L35,VALUE('Capacity summary'!L154)),0),L35*$BI35),L35*$BI35),0)</f>
        <v>0</v>
      </c>
      <c r="BP35" s="311">
        <f>IF($BI35&lt;&gt;"",IF('Capacity summary'!$D$14="Yes",IF(COUNTBLANK('Capacity summary'!$H154:$BG154)&lt;52,IF('Capacity summary'!M154&lt;&gt;"",IF(LOWER('Capacity summary'!M154)="x",$BI35*M35,VALUE('Capacity summary'!M154)),0),M35*$BI35),M35*$BI35),0)</f>
        <v>0</v>
      </c>
      <c r="BQ35" s="311">
        <f>IF($BI35&lt;&gt;"",IF('Capacity summary'!$D$14="Yes",IF(COUNTBLANK('Capacity summary'!$H154:$BG154)&lt;52,IF('Capacity summary'!N154&lt;&gt;"",IF(LOWER('Capacity summary'!N154)="x",$BI35*N35,VALUE('Capacity summary'!N154)),0),N35*$BI35),N35*$BI35),0)</f>
        <v>0</v>
      </c>
      <c r="BR35" s="311">
        <f>IF($BI35&lt;&gt;"",IF('Capacity summary'!$D$14="Yes",IF(COUNTBLANK('Capacity summary'!$H154:$BG154)&lt;52,IF('Capacity summary'!O154&lt;&gt;"",IF(LOWER('Capacity summary'!O154)="x",$BI35*O35,VALUE('Capacity summary'!O154)),0),O35*$BI35),O35*$BI35),0)</f>
        <v>0</v>
      </c>
      <c r="BS35" s="311">
        <f>IF($BI35&lt;&gt;"",IF('Capacity summary'!$D$14="Yes",IF(COUNTBLANK('Capacity summary'!$H154:$BG154)&lt;52,IF('Capacity summary'!P154&lt;&gt;"",IF(LOWER('Capacity summary'!P154)="x",$BI35*P35,VALUE('Capacity summary'!P154)),0),P35*$BI35),P35*$BI35),0)</f>
        <v>0</v>
      </c>
      <c r="BT35" s="311">
        <f>IF($BI35&lt;&gt;"",IF('Capacity summary'!$D$14="Yes",IF(COUNTBLANK('Capacity summary'!$H154:$BG154)&lt;52,IF('Capacity summary'!Q154&lt;&gt;"",IF(LOWER('Capacity summary'!Q154)="x",$BI35*Q35,VALUE('Capacity summary'!Q154)),0),Q35*$BI35),Q35*$BI35),0)</f>
        <v>0</v>
      </c>
      <c r="BU35" s="311">
        <f>IF($BI35&lt;&gt;"",IF('Capacity summary'!$D$14="Yes",IF(COUNTBLANK('Capacity summary'!$H154:$BG154)&lt;52,IF('Capacity summary'!R154&lt;&gt;"",IF(LOWER('Capacity summary'!R154)="x",$BI35*R35,VALUE('Capacity summary'!R154)),0),R35*$BI35),R35*$BI35),0)</f>
        <v>0</v>
      </c>
      <c r="BV35" s="311">
        <f>IF($BI35&lt;&gt;"",IF('Capacity summary'!$D$14="Yes",IF(COUNTBLANK('Capacity summary'!$H154:$BG154)&lt;52,IF('Capacity summary'!S154&lt;&gt;"",IF(LOWER('Capacity summary'!S154)="x",$BI35*S35,VALUE('Capacity summary'!S154)),0),S35*$BI35),S35*$BI35),0)</f>
        <v>0</v>
      </c>
      <c r="BW35" s="311">
        <f>IF($BI35&lt;&gt;"",IF('Capacity summary'!$D$14="Yes",IF(COUNTBLANK('Capacity summary'!$H154:$BG154)&lt;52,IF('Capacity summary'!T154&lt;&gt;"",IF(LOWER('Capacity summary'!T154)="x",$BI35*T35,VALUE('Capacity summary'!T154)),0),T35*$BI35),T35*$BI35),0)</f>
        <v>0</v>
      </c>
      <c r="BX35" s="311">
        <f>IF($BI35&lt;&gt;"",IF('Capacity summary'!$D$14="Yes",IF(COUNTBLANK('Capacity summary'!$H154:$BG154)&lt;52,IF('Capacity summary'!U154&lt;&gt;"",IF(LOWER('Capacity summary'!U154)="x",$BI35*U35,VALUE('Capacity summary'!U154)),0),U35*$BI35),U35*$BI35),0)</f>
        <v>0</v>
      </c>
      <c r="BY35" s="311">
        <f>IF($BI35&lt;&gt;"",IF('Capacity summary'!$D$14="Yes",IF(COUNTBLANK('Capacity summary'!$H154:$BG154)&lt;52,IF('Capacity summary'!V154&lt;&gt;"",IF(LOWER('Capacity summary'!V154)="x",$BI35*V35,VALUE('Capacity summary'!V154)),0),V35*$BI35),V35*$BI35),0)</f>
        <v>0</v>
      </c>
      <c r="BZ35" s="311">
        <f>IF($BI35&lt;&gt;"",IF('Capacity summary'!$D$14="Yes",IF(COUNTBLANK('Capacity summary'!$H154:$BG154)&lt;52,IF('Capacity summary'!W154&lt;&gt;"",IF(LOWER('Capacity summary'!W154)="x",$BI35*W35,VALUE('Capacity summary'!W154)),0),W35*$BI35),W35*$BI35),0)</f>
        <v>0</v>
      </c>
      <c r="CA35" s="311">
        <f>IF($BI35&lt;&gt;"",IF('Capacity summary'!$D$14="Yes",IF(COUNTBLANK('Capacity summary'!$H154:$BG154)&lt;52,IF('Capacity summary'!X154&lt;&gt;"",IF(LOWER('Capacity summary'!X154)="x",$BI35*X35,VALUE('Capacity summary'!X154)),0),X35*$BI35),X35*$BI35),0)</f>
        <v>0</v>
      </c>
      <c r="CB35" s="311">
        <f>IF($BI35&lt;&gt;"",IF('Capacity summary'!$D$14="Yes",IF(COUNTBLANK('Capacity summary'!$H154:$BG154)&lt;52,IF('Capacity summary'!Y154&lt;&gt;"",IF(LOWER('Capacity summary'!Y154)="x",$BI35*Y35,VALUE('Capacity summary'!Y154)),0),Y35*$BI35),Y35*$BI35),0)</f>
        <v>0</v>
      </c>
      <c r="CC35" s="311">
        <f>IF($BI35&lt;&gt;"",IF('Capacity summary'!$D$14="Yes",IF(COUNTBLANK('Capacity summary'!$H154:$BG154)&lt;52,IF('Capacity summary'!Z154&lt;&gt;"",IF(LOWER('Capacity summary'!Z154)="x",$BI35*Z35,VALUE('Capacity summary'!Z154)),0),Z35*$BI35),Z35*$BI35),0)</f>
        <v>0</v>
      </c>
      <c r="CD35" s="311">
        <f>IF($BI35&lt;&gt;"",IF('Capacity summary'!$D$14="Yes",IF(COUNTBLANK('Capacity summary'!$H154:$BG154)&lt;52,IF('Capacity summary'!AA154&lt;&gt;"",IF(LOWER('Capacity summary'!AA154)="x",$BI35*AA35,VALUE('Capacity summary'!AA154)),0),AA35*$BI35),AA35*$BI35),0)</f>
        <v>0</v>
      </c>
      <c r="CE35" s="311">
        <f>IF($BI35&lt;&gt;"",IF('Capacity summary'!$D$14="Yes",IF(COUNTBLANK('Capacity summary'!$H154:$BG154)&lt;52,IF('Capacity summary'!AB154&lt;&gt;"",IF(LOWER('Capacity summary'!AB154)="x",$BI35*AB35,VALUE('Capacity summary'!AB154)),0),AB35*$BI35),AB35*$BI35),0)</f>
        <v>0</v>
      </c>
      <c r="CF35" s="311">
        <f>IF($BI35&lt;&gt;"",IF('Capacity summary'!$D$14="Yes",IF(COUNTBLANK('Capacity summary'!$H154:$BG154)&lt;52,IF('Capacity summary'!AC154&lt;&gt;"",IF(LOWER('Capacity summary'!AC154)="x",$BI35*AC35,VALUE('Capacity summary'!AC154)),0),AC35*$BI35),AC35*$BI35),0)</f>
        <v>0</v>
      </c>
      <c r="CG35" s="311">
        <f>IF($BI35&lt;&gt;"",IF('Capacity summary'!$D$14="Yes",IF(COUNTBLANK('Capacity summary'!$H154:$BG154)&lt;52,IF('Capacity summary'!AD154&lt;&gt;"",IF(LOWER('Capacity summary'!AD154)="x",$BI35*AD35,VALUE('Capacity summary'!AD154)),0),AD35*$BI35),AD35*$BI35),0)</f>
        <v>0</v>
      </c>
      <c r="CH35" s="311">
        <f>IF($BI35&lt;&gt;"",IF('Capacity summary'!$D$14="Yes",IF(COUNTBLANK('Capacity summary'!$H154:$BG154)&lt;52,IF('Capacity summary'!AE154&lt;&gt;"",IF(LOWER('Capacity summary'!AE154)="x",$BI35*AE35,VALUE('Capacity summary'!AE154)),0),AE35*$BI35),AE35*$BI35),0)</f>
        <v>0</v>
      </c>
      <c r="CI35" s="311">
        <f>IF($BI35&lt;&gt;"",IF('Capacity summary'!$D$14="Yes",IF(COUNTBLANK('Capacity summary'!$H154:$BG154)&lt;52,IF('Capacity summary'!AF154&lt;&gt;"",IF(LOWER('Capacity summary'!AF154)="x",$BI35*AF35,VALUE('Capacity summary'!AF154)),0),AF35*$BI35),AF35*$BI35),0)</f>
        <v>0</v>
      </c>
      <c r="CJ35" s="311">
        <f>IF($BI35&lt;&gt;"",IF('Capacity summary'!$D$14="Yes",IF(COUNTBLANK('Capacity summary'!$H154:$BG154)&lt;52,IF('Capacity summary'!AG154&lt;&gt;"",IF(LOWER('Capacity summary'!AG154)="x",$BI35*AG35,VALUE('Capacity summary'!AG154)),0),AG35*$BI35),AG35*$BI35),0)</f>
        <v>0</v>
      </c>
      <c r="CK35" s="311">
        <f>IF($BI35&lt;&gt;"",IF('Capacity summary'!$D$14="Yes",IF(COUNTBLANK('Capacity summary'!$H154:$BG154)&lt;52,IF('Capacity summary'!AH154&lt;&gt;"",IF(LOWER('Capacity summary'!AH154)="x",$BI35*AH35,VALUE('Capacity summary'!AH154)),0),AH35*$BI35),AH35*$BI35),0)</f>
        <v>0</v>
      </c>
      <c r="CL35" s="311">
        <f>IF($BI35&lt;&gt;"",IF('Capacity summary'!$D$14="Yes",IF(COUNTBLANK('Capacity summary'!$H154:$BG154)&lt;52,IF('Capacity summary'!AI154&lt;&gt;"",IF(LOWER('Capacity summary'!AI154)="x",$BI35*AI35,VALUE('Capacity summary'!AI154)),0),AI35*$BI35),AI35*$BI35),0)</f>
        <v>0</v>
      </c>
      <c r="CM35" s="311">
        <f>IF($BI35&lt;&gt;"",IF('Capacity summary'!$D$14="Yes",IF(COUNTBLANK('Capacity summary'!$H154:$BG154)&lt;52,IF('Capacity summary'!AJ154&lt;&gt;"",IF(LOWER('Capacity summary'!AJ154)="x",$BI35*AJ35,VALUE('Capacity summary'!AJ154)),0),AJ35*$BI35),AJ35*$BI35),0)</f>
        <v>0</v>
      </c>
      <c r="CN35" s="311">
        <f>IF($BI35&lt;&gt;"",IF('Capacity summary'!$D$14="Yes",IF(COUNTBLANK('Capacity summary'!$H154:$BG154)&lt;52,IF('Capacity summary'!AK154&lt;&gt;"",IF(LOWER('Capacity summary'!AK154)="x",$BI35*AK35,VALUE('Capacity summary'!AK154)),0),AK35*$BI35),AK35*$BI35),0)</f>
        <v>0</v>
      </c>
      <c r="CO35" s="311">
        <f>IF($BI35&lt;&gt;"",IF('Capacity summary'!$D$14="Yes",IF(COUNTBLANK('Capacity summary'!$H154:$BG154)&lt;52,IF('Capacity summary'!AL154&lt;&gt;"",IF(LOWER('Capacity summary'!AL154)="x",$BI35*AL35,VALUE('Capacity summary'!AL154)),0),AL35*$BI35),AL35*$BI35),0)</f>
        <v>0</v>
      </c>
      <c r="CP35" s="311">
        <f>IF($BI35&lt;&gt;"",IF('Capacity summary'!$D$14="Yes",IF(COUNTBLANK('Capacity summary'!$H154:$BG154)&lt;52,IF('Capacity summary'!AM154&lt;&gt;"",IF(LOWER('Capacity summary'!AM154)="x",$BI35*AM35,VALUE('Capacity summary'!AM154)),0),AM35*$BI35),AM35*$BI35),0)</f>
        <v>0</v>
      </c>
      <c r="CQ35" s="311">
        <f>IF($BI35&lt;&gt;"",IF('Capacity summary'!$D$14="Yes",IF(COUNTBLANK('Capacity summary'!$H154:$BG154)&lt;52,IF('Capacity summary'!AN154&lt;&gt;"",IF(LOWER('Capacity summary'!AN154)="x",$BI35*AN35,VALUE('Capacity summary'!AN154)),0),AN35*$BI35),AN35*$BI35),0)</f>
        <v>0</v>
      </c>
      <c r="CR35" s="311">
        <f>IF($BI35&lt;&gt;"",IF('Capacity summary'!$D$14="Yes",IF(COUNTBLANK('Capacity summary'!$H154:$BG154)&lt;52,IF('Capacity summary'!AO154&lt;&gt;"",IF(LOWER('Capacity summary'!AO154)="x",$BI35*AO35,VALUE('Capacity summary'!AO154)),0),AO35*$BI35),AO35*$BI35),0)</f>
        <v>0</v>
      </c>
      <c r="CS35" s="311">
        <f>IF($BI35&lt;&gt;"",IF('Capacity summary'!$D$14="Yes",IF(COUNTBLANK('Capacity summary'!$H154:$BG154)&lt;52,IF('Capacity summary'!AP154&lt;&gt;"",IF(LOWER('Capacity summary'!AP154)="x",$BI35*AP35,VALUE('Capacity summary'!AP154)),0),AP35*$BI35),AP35*$BI35),0)</f>
        <v>0</v>
      </c>
      <c r="CT35" s="311">
        <f>IF($BI35&lt;&gt;"",IF('Capacity summary'!$D$14="Yes",IF(COUNTBLANK('Capacity summary'!$H154:$BG154)&lt;52,IF('Capacity summary'!AQ154&lt;&gt;"",IF(LOWER('Capacity summary'!AQ154)="x",$BI35*AQ35,VALUE('Capacity summary'!AQ154)),0),AQ35*$BI35),AQ35*$BI35),0)</f>
        <v>0</v>
      </c>
      <c r="CU35" s="311">
        <f>IF($BI35&lt;&gt;"",IF('Capacity summary'!$D$14="Yes",IF(COUNTBLANK('Capacity summary'!$H154:$BG154)&lt;52,IF('Capacity summary'!AR154&lt;&gt;"",IF(LOWER('Capacity summary'!AR154)="x",$BI35*AR35,VALUE('Capacity summary'!AR154)),0),AR35*$BI35),AR35*$BI35),0)</f>
        <v>0</v>
      </c>
      <c r="CV35" s="311">
        <f>IF($BI35&lt;&gt;"",IF('Capacity summary'!$D$14="Yes",IF(COUNTBLANK('Capacity summary'!$H154:$BG154)&lt;52,IF('Capacity summary'!AS154&lt;&gt;"",IF(LOWER('Capacity summary'!AS154)="x",$BI35*AS35,VALUE('Capacity summary'!AS154)),0),AS35*$BI35),AS35*$BI35),0)</f>
        <v>0</v>
      </c>
      <c r="CW35" s="311">
        <f>IF($BI35&lt;&gt;"",IF('Capacity summary'!$D$14="Yes",IF(COUNTBLANK('Capacity summary'!$H154:$BG154)&lt;52,IF('Capacity summary'!AT154&lt;&gt;"",IF(LOWER('Capacity summary'!AT154)="x",$BI35*AT35,VALUE('Capacity summary'!AT154)),0),AT35*$BI35),AT35*$BI35),0)</f>
        <v>0</v>
      </c>
      <c r="CX35" s="311">
        <f>IF($BI35&lt;&gt;"",IF('Capacity summary'!$D$14="Yes",IF(COUNTBLANK('Capacity summary'!$H154:$BG154)&lt;52,IF('Capacity summary'!AU154&lt;&gt;"",IF(LOWER('Capacity summary'!AU154)="x",$BI35*AU35,VALUE('Capacity summary'!AU154)),0),AU35*$BI35),AU35*$BI35),0)</f>
        <v>0</v>
      </c>
      <c r="CY35" s="311">
        <f>IF($BI35&lt;&gt;"",IF('Capacity summary'!$D$14="Yes",IF(COUNTBLANK('Capacity summary'!$H154:$BG154)&lt;52,IF('Capacity summary'!AV154&lt;&gt;"",IF(LOWER('Capacity summary'!AV154)="x",$BI35*AV35,VALUE('Capacity summary'!AV154)),0),AV35*$BI35),AV35*$BI35),0)</f>
        <v>0</v>
      </c>
      <c r="CZ35" s="311">
        <f>IF($BI35&lt;&gt;"",IF('Capacity summary'!$D$14="Yes",IF(COUNTBLANK('Capacity summary'!$H154:$BG154)&lt;52,IF('Capacity summary'!AW154&lt;&gt;"",IF(LOWER('Capacity summary'!AW154)="x",$BI35*AW35,VALUE('Capacity summary'!AW154)),0),AW35*$BI35),AW35*$BI35),0)</f>
        <v>0</v>
      </c>
      <c r="DA35" s="311">
        <f>IF($BI35&lt;&gt;"",IF('Capacity summary'!$D$14="Yes",IF(COUNTBLANK('Capacity summary'!$H154:$BG154)&lt;52,IF('Capacity summary'!AX154&lt;&gt;"",IF(LOWER('Capacity summary'!AX154)="x",$BI35*AX35,VALUE('Capacity summary'!AX154)),0),AX35*$BI35),AX35*$BI35),0)</f>
        <v>0</v>
      </c>
      <c r="DB35" s="311">
        <f>IF($BI35&lt;&gt;"",IF('Capacity summary'!$D$14="Yes",IF(COUNTBLANK('Capacity summary'!$H154:$BG154)&lt;52,IF('Capacity summary'!AY154&lt;&gt;"",IF(LOWER('Capacity summary'!AY154)="x",$BI35*AY35,VALUE('Capacity summary'!AY154)),0),AY35*$BI35),AY35*$BI35),0)</f>
        <v>0</v>
      </c>
      <c r="DC35" s="311">
        <f>IF($BI35&lt;&gt;"",IF('Capacity summary'!$D$14="Yes",IF(COUNTBLANK('Capacity summary'!$H154:$BG154)&lt;52,IF('Capacity summary'!AZ154&lt;&gt;"",IF(LOWER('Capacity summary'!AZ154)="x",$BI35*AZ35,VALUE('Capacity summary'!AZ154)),0),AZ35*$BI35),AZ35*$BI35),0)</f>
        <v>0</v>
      </c>
      <c r="DD35" s="311">
        <f>IF($BI35&lt;&gt;"",IF('Capacity summary'!$D$14="Yes",IF(COUNTBLANK('Capacity summary'!$H154:$BG154)&lt;52,IF('Capacity summary'!BA154&lt;&gt;"",IF(LOWER('Capacity summary'!BA154)="x",$BI35*BA35,VALUE('Capacity summary'!BA154)),0),BA35*$BI35),BA35*$BI35),0)</f>
        <v>0</v>
      </c>
      <c r="DE35" s="311">
        <f>IF($BI35&lt;&gt;"",IF('Capacity summary'!$D$14="Yes",IF(COUNTBLANK('Capacity summary'!$H154:$BG154)&lt;52,IF('Capacity summary'!BB154&lt;&gt;"",IF(LOWER('Capacity summary'!BB154)="x",$BI35*BB35,VALUE('Capacity summary'!BB154)),0),BB35*$BI35),BB35*$BI35),0)</f>
        <v>0</v>
      </c>
      <c r="DF35" s="311">
        <f>IF($BI35&lt;&gt;"",IF('Capacity summary'!$D$14="Yes",IF(COUNTBLANK('Capacity summary'!$H154:$BG154)&lt;52,IF('Capacity summary'!BC154&lt;&gt;"",IF(LOWER('Capacity summary'!BC154)="x",$BI35*BC35,VALUE('Capacity summary'!BC154)),0),BC35*$BI35),BC35*$BI35),0)</f>
        <v>0</v>
      </c>
      <c r="DG35" s="311">
        <f>IF($BI35&lt;&gt;"",IF('Capacity summary'!$D$14="Yes",IF(COUNTBLANK('Capacity summary'!$H154:$BG154)&lt;52,IF('Capacity summary'!BD154&lt;&gt;"",IF(LOWER('Capacity summary'!BD154)="x",$BI35*BD35,VALUE('Capacity summary'!BD154)),0),BD35*$BI35),BD35*$BI35),0)</f>
        <v>0</v>
      </c>
      <c r="DH35" s="311">
        <f>IF($BI35&lt;&gt;"",IF('Capacity summary'!$D$14="Yes",IF(COUNTBLANK('Capacity summary'!$H154:$BG154)&lt;52,IF('Capacity summary'!BE154&lt;&gt;"",IF(LOWER('Capacity summary'!BE154)="x",$BI35*BE35,VALUE('Capacity summary'!BE154)),0),BE35*$BI35),BE35*$BI35),0)</f>
        <v>0</v>
      </c>
      <c r="DI35" s="311">
        <f>IF($BI35&lt;&gt;"",IF('Capacity summary'!$D$14="Yes",IF(COUNTBLANK('Capacity summary'!$H154:$BG154)&lt;52,IF('Capacity summary'!BF154&lt;&gt;"",IF(LOWER('Capacity summary'!BF154)="x",$BI35*BF35,VALUE('Capacity summary'!BF154)),0),BF35*$BI35),BF35*$BI35),0)</f>
        <v>0</v>
      </c>
      <c r="DJ35" s="311">
        <f>IF($BI35&lt;&gt;"",IF('Capacity summary'!$D$14="Yes",IF(COUNTBLANK('Capacity summary'!$H154:$BG154)&lt;52,IF('Capacity summary'!BG154&lt;&gt;"",IF(LOWER('Capacity summary'!BG154)="x",$BI35*BG35,VALUE('Capacity summary'!BG154)),0),BG35*$BI35),BG35*$BI35),0)</f>
        <v>0</v>
      </c>
      <c r="DK35" s="387">
        <f t="shared" si="2"/>
        <v>0</v>
      </c>
      <c r="DL35" s="136">
        <f t="shared" si="3"/>
        <v>0</v>
      </c>
      <c r="DM35" s="311" t="str">
        <f>Capacity!H47</f>
        <v/>
      </c>
      <c r="DQ35" s="5"/>
    </row>
    <row r="36" spans="1:121" x14ac:dyDescent="0.2">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1">
        <f>IF($BI36&lt;&gt;"",IF('Capacity summary'!$D$14="Yes",IF(COUNTBLANK('Capacity summary'!$H155:$BG155)&lt;52,IF('Capacity summary'!H155&lt;&gt;"",IF(LOWER('Capacity summary'!H155)="x",$BI36*H36,VALUE('Capacity summary'!H155)),0),H36*$BI36),H36*$BI36),0)</f>
        <v>0</v>
      </c>
      <c r="BL36" s="311">
        <f>IF($BI36&lt;&gt;"",IF('Capacity summary'!$D$14="Yes",IF(COUNTBLANK('Capacity summary'!$H155:$BG155)&lt;52,IF('Capacity summary'!I155&lt;&gt;"",IF(LOWER('Capacity summary'!I155)="x",$BI36*I36,VALUE('Capacity summary'!I155)),0),I36*$BI36),I36*$BI36),0)</f>
        <v>0</v>
      </c>
      <c r="BM36" s="311">
        <f>IF($BI36&lt;&gt;"",IF('Capacity summary'!$D$14="Yes",IF(COUNTBLANK('Capacity summary'!$H155:$BG155)&lt;52,IF('Capacity summary'!J155&lt;&gt;"",IF(LOWER('Capacity summary'!J155)="x",$BI36*J36,VALUE('Capacity summary'!J155)),0),J36*$BI36),J36*$BI36),0)</f>
        <v>0</v>
      </c>
      <c r="BN36" s="311">
        <f>IF($BI36&lt;&gt;"",IF('Capacity summary'!$D$14="Yes",IF(COUNTBLANK('Capacity summary'!$H155:$BG155)&lt;52,IF('Capacity summary'!K155&lt;&gt;"",IF(LOWER('Capacity summary'!K155)="x",$BI36*K36,VALUE('Capacity summary'!K155)),0),K36*$BI36),K36*$BI36),0)</f>
        <v>0</v>
      </c>
      <c r="BO36" s="311">
        <f>IF($BI36&lt;&gt;"",IF('Capacity summary'!$D$14="Yes",IF(COUNTBLANK('Capacity summary'!$H155:$BG155)&lt;52,IF('Capacity summary'!L155&lt;&gt;"",IF(LOWER('Capacity summary'!L155)="x",$BI36*L36,VALUE('Capacity summary'!L155)),0),L36*$BI36),L36*$BI36),0)</f>
        <v>0</v>
      </c>
      <c r="BP36" s="311">
        <f>IF($BI36&lt;&gt;"",IF('Capacity summary'!$D$14="Yes",IF(COUNTBLANK('Capacity summary'!$H155:$BG155)&lt;52,IF('Capacity summary'!M155&lt;&gt;"",IF(LOWER('Capacity summary'!M155)="x",$BI36*M36,VALUE('Capacity summary'!M155)),0),M36*$BI36),M36*$BI36),0)</f>
        <v>0</v>
      </c>
      <c r="BQ36" s="311">
        <f>IF($BI36&lt;&gt;"",IF('Capacity summary'!$D$14="Yes",IF(COUNTBLANK('Capacity summary'!$H155:$BG155)&lt;52,IF('Capacity summary'!N155&lt;&gt;"",IF(LOWER('Capacity summary'!N155)="x",$BI36*N36,VALUE('Capacity summary'!N155)),0),N36*$BI36),N36*$BI36),0)</f>
        <v>0</v>
      </c>
      <c r="BR36" s="311">
        <f>IF($BI36&lt;&gt;"",IF('Capacity summary'!$D$14="Yes",IF(COUNTBLANK('Capacity summary'!$H155:$BG155)&lt;52,IF('Capacity summary'!O155&lt;&gt;"",IF(LOWER('Capacity summary'!O155)="x",$BI36*O36,VALUE('Capacity summary'!O155)),0),O36*$BI36),O36*$BI36),0)</f>
        <v>0</v>
      </c>
      <c r="BS36" s="311">
        <f>IF($BI36&lt;&gt;"",IF('Capacity summary'!$D$14="Yes",IF(COUNTBLANK('Capacity summary'!$H155:$BG155)&lt;52,IF('Capacity summary'!P155&lt;&gt;"",IF(LOWER('Capacity summary'!P155)="x",$BI36*P36,VALUE('Capacity summary'!P155)),0),P36*$BI36),P36*$BI36),0)</f>
        <v>0</v>
      </c>
      <c r="BT36" s="311">
        <f>IF($BI36&lt;&gt;"",IF('Capacity summary'!$D$14="Yes",IF(COUNTBLANK('Capacity summary'!$H155:$BG155)&lt;52,IF('Capacity summary'!Q155&lt;&gt;"",IF(LOWER('Capacity summary'!Q155)="x",$BI36*Q36,VALUE('Capacity summary'!Q155)),0),Q36*$BI36),Q36*$BI36),0)</f>
        <v>0</v>
      </c>
      <c r="BU36" s="311">
        <f>IF($BI36&lt;&gt;"",IF('Capacity summary'!$D$14="Yes",IF(COUNTBLANK('Capacity summary'!$H155:$BG155)&lt;52,IF('Capacity summary'!R155&lt;&gt;"",IF(LOWER('Capacity summary'!R155)="x",$BI36*R36,VALUE('Capacity summary'!R155)),0),R36*$BI36),R36*$BI36),0)</f>
        <v>0</v>
      </c>
      <c r="BV36" s="311">
        <f>IF($BI36&lt;&gt;"",IF('Capacity summary'!$D$14="Yes",IF(COUNTBLANK('Capacity summary'!$H155:$BG155)&lt;52,IF('Capacity summary'!S155&lt;&gt;"",IF(LOWER('Capacity summary'!S155)="x",$BI36*S36,VALUE('Capacity summary'!S155)),0),S36*$BI36),S36*$BI36),0)</f>
        <v>0</v>
      </c>
      <c r="BW36" s="311">
        <f>IF($BI36&lt;&gt;"",IF('Capacity summary'!$D$14="Yes",IF(COUNTBLANK('Capacity summary'!$H155:$BG155)&lt;52,IF('Capacity summary'!T155&lt;&gt;"",IF(LOWER('Capacity summary'!T155)="x",$BI36*T36,VALUE('Capacity summary'!T155)),0),T36*$BI36),T36*$BI36),0)</f>
        <v>0</v>
      </c>
      <c r="BX36" s="311">
        <f>IF($BI36&lt;&gt;"",IF('Capacity summary'!$D$14="Yes",IF(COUNTBLANK('Capacity summary'!$H155:$BG155)&lt;52,IF('Capacity summary'!U155&lt;&gt;"",IF(LOWER('Capacity summary'!U155)="x",$BI36*U36,VALUE('Capacity summary'!U155)),0),U36*$BI36),U36*$BI36),0)</f>
        <v>0</v>
      </c>
      <c r="BY36" s="311">
        <f>IF($BI36&lt;&gt;"",IF('Capacity summary'!$D$14="Yes",IF(COUNTBLANK('Capacity summary'!$H155:$BG155)&lt;52,IF('Capacity summary'!V155&lt;&gt;"",IF(LOWER('Capacity summary'!V155)="x",$BI36*V36,VALUE('Capacity summary'!V155)),0),V36*$BI36),V36*$BI36),0)</f>
        <v>0</v>
      </c>
      <c r="BZ36" s="311">
        <f>IF($BI36&lt;&gt;"",IF('Capacity summary'!$D$14="Yes",IF(COUNTBLANK('Capacity summary'!$H155:$BG155)&lt;52,IF('Capacity summary'!W155&lt;&gt;"",IF(LOWER('Capacity summary'!W155)="x",$BI36*W36,VALUE('Capacity summary'!W155)),0),W36*$BI36),W36*$BI36),0)</f>
        <v>0</v>
      </c>
      <c r="CA36" s="311">
        <f>IF($BI36&lt;&gt;"",IF('Capacity summary'!$D$14="Yes",IF(COUNTBLANK('Capacity summary'!$H155:$BG155)&lt;52,IF('Capacity summary'!X155&lt;&gt;"",IF(LOWER('Capacity summary'!X155)="x",$BI36*X36,VALUE('Capacity summary'!X155)),0),X36*$BI36),X36*$BI36),0)</f>
        <v>0</v>
      </c>
      <c r="CB36" s="311">
        <f>IF($BI36&lt;&gt;"",IF('Capacity summary'!$D$14="Yes",IF(COUNTBLANK('Capacity summary'!$H155:$BG155)&lt;52,IF('Capacity summary'!Y155&lt;&gt;"",IF(LOWER('Capacity summary'!Y155)="x",$BI36*Y36,VALUE('Capacity summary'!Y155)),0),Y36*$BI36),Y36*$BI36),0)</f>
        <v>0</v>
      </c>
      <c r="CC36" s="311">
        <f>IF($BI36&lt;&gt;"",IF('Capacity summary'!$D$14="Yes",IF(COUNTBLANK('Capacity summary'!$H155:$BG155)&lt;52,IF('Capacity summary'!Z155&lt;&gt;"",IF(LOWER('Capacity summary'!Z155)="x",$BI36*Z36,VALUE('Capacity summary'!Z155)),0),Z36*$BI36),Z36*$BI36),0)</f>
        <v>0</v>
      </c>
      <c r="CD36" s="311">
        <f>IF($BI36&lt;&gt;"",IF('Capacity summary'!$D$14="Yes",IF(COUNTBLANK('Capacity summary'!$H155:$BG155)&lt;52,IF('Capacity summary'!AA155&lt;&gt;"",IF(LOWER('Capacity summary'!AA155)="x",$BI36*AA36,VALUE('Capacity summary'!AA155)),0),AA36*$BI36),AA36*$BI36),0)</f>
        <v>0</v>
      </c>
      <c r="CE36" s="311">
        <f>IF($BI36&lt;&gt;"",IF('Capacity summary'!$D$14="Yes",IF(COUNTBLANK('Capacity summary'!$H155:$BG155)&lt;52,IF('Capacity summary'!AB155&lt;&gt;"",IF(LOWER('Capacity summary'!AB155)="x",$BI36*AB36,VALUE('Capacity summary'!AB155)),0),AB36*$BI36),AB36*$BI36),0)</f>
        <v>0</v>
      </c>
      <c r="CF36" s="311">
        <f>IF($BI36&lt;&gt;"",IF('Capacity summary'!$D$14="Yes",IF(COUNTBLANK('Capacity summary'!$H155:$BG155)&lt;52,IF('Capacity summary'!AC155&lt;&gt;"",IF(LOWER('Capacity summary'!AC155)="x",$BI36*AC36,VALUE('Capacity summary'!AC155)),0),AC36*$BI36),AC36*$BI36),0)</f>
        <v>0</v>
      </c>
      <c r="CG36" s="311">
        <f>IF($BI36&lt;&gt;"",IF('Capacity summary'!$D$14="Yes",IF(COUNTBLANK('Capacity summary'!$H155:$BG155)&lt;52,IF('Capacity summary'!AD155&lt;&gt;"",IF(LOWER('Capacity summary'!AD155)="x",$BI36*AD36,VALUE('Capacity summary'!AD155)),0),AD36*$BI36),AD36*$BI36),0)</f>
        <v>0</v>
      </c>
      <c r="CH36" s="311">
        <f>IF($BI36&lt;&gt;"",IF('Capacity summary'!$D$14="Yes",IF(COUNTBLANK('Capacity summary'!$H155:$BG155)&lt;52,IF('Capacity summary'!AE155&lt;&gt;"",IF(LOWER('Capacity summary'!AE155)="x",$BI36*AE36,VALUE('Capacity summary'!AE155)),0),AE36*$BI36),AE36*$BI36),0)</f>
        <v>0</v>
      </c>
      <c r="CI36" s="311">
        <f>IF($BI36&lt;&gt;"",IF('Capacity summary'!$D$14="Yes",IF(COUNTBLANK('Capacity summary'!$H155:$BG155)&lt;52,IF('Capacity summary'!AF155&lt;&gt;"",IF(LOWER('Capacity summary'!AF155)="x",$BI36*AF36,VALUE('Capacity summary'!AF155)),0),AF36*$BI36),AF36*$BI36),0)</f>
        <v>0</v>
      </c>
      <c r="CJ36" s="311">
        <f>IF($BI36&lt;&gt;"",IF('Capacity summary'!$D$14="Yes",IF(COUNTBLANK('Capacity summary'!$H155:$BG155)&lt;52,IF('Capacity summary'!AG155&lt;&gt;"",IF(LOWER('Capacity summary'!AG155)="x",$BI36*AG36,VALUE('Capacity summary'!AG155)),0),AG36*$BI36),AG36*$BI36),0)</f>
        <v>0</v>
      </c>
      <c r="CK36" s="311">
        <f>IF($BI36&lt;&gt;"",IF('Capacity summary'!$D$14="Yes",IF(COUNTBLANK('Capacity summary'!$H155:$BG155)&lt;52,IF('Capacity summary'!AH155&lt;&gt;"",IF(LOWER('Capacity summary'!AH155)="x",$BI36*AH36,VALUE('Capacity summary'!AH155)),0),AH36*$BI36),AH36*$BI36),0)</f>
        <v>0</v>
      </c>
      <c r="CL36" s="311">
        <f>IF($BI36&lt;&gt;"",IF('Capacity summary'!$D$14="Yes",IF(COUNTBLANK('Capacity summary'!$H155:$BG155)&lt;52,IF('Capacity summary'!AI155&lt;&gt;"",IF(LOWER('Capacity summary'!AI155)="x",$BI36*AI36,VALUE('Capacity summary'!AI155)),0),AI36*$BI36),AI36*$BI36),0)</f>
        <v>0</v>
      </c>
      <c r="CM36" s="311">
        <f>IF($BI36&lt;&gt;"",IF('Capacity summary'!$D$14="Yes",IF(COUNTBLANK('Capacity summary'!$H155:$BG155)&lt;52,IF('Capacity summary'!AJ155&lt;&gt;"",IF(LOWER('Capacity summary'!AJ155)="x",$BI36*AJ36,VALUE('Capacity summary'!AJ155)),0),AJ36*$BI36),AJ36*$BI36),0)</f>
        <v>0</v>
      </c>
      <c r="CN36" s="311">
        <f>IF($BI36&lt;&gt;"",IF('Capacity summary'!$D$14="Yes",IF(COUNTBLANK('Capacity summary'!$H155:$BG155)&lt;52,IF('Capacity summary'!AK155&lt;&gt;"",IF(LOWER('Capacity summary'!AK155)="x",$BI36*AK36,VALUE('Capacity summary'!AK155)),0),AK36*$BI36),AK36*$BI36),0)</f>
        <v>0</v>
      </c>
      <c r="CO36" s="311">
        <f>IF($BI36&lt;&gt;"",IF('Capacity summary'!$D$14="Yes",IF(COUNTBLANK('Capacity summary'!$H155:$BG155)&lt;52,IF('Capacity summary'!AL155&lt;&gt;"",IF(LOWER('Capacity summary'!AL155)="x",$BI36*AL36,VALUE('Capacity summary'!AL155)),0),AL36*$BI36),AL36*$BI36),0)</f>
        <v>0</v>
      </c>
      <c r="CP36" s="311">
        <f>IF($BI36&lt;&gt;"",IF('Capacity summary'!$D$14="Yes",IF(COUNTBLANK('Capacity summary'!$H155:$BG155)&lt;52,IF('Capacity summary'!AM155&lt;&gt;"",IF(LOWER('Capacity summary'!AM155)="x",$BI36*AM36,VALUE('Capacity summary'!AM155)),0),AM36*$BI36),AM36*$BI36),0)</f>
        <v>0</v>
      </c>
      <c r="CQ36" s="311">
        <f>IF($BI36&lt;&gt;"",IF('Capacity summary'!$D$14="Yes",IF(COUNTBLANK('Capacity summary'!$H155:$BG155)&lt;52,IF('Capacity summary'!AN155&lt;&gt;"",IF(LOWER('Capacity summary'!AN155)="x",$BI36*AN36,VALUE('Capacity summary'!AN155)),0),AN36*$BI36),AN36*$BI36),0)</f>
        <v>0</v>
      </c>
      <c r="CR36" s="311">
        <f>IF($BI36&lt;&gt;"",IF('Capacity summary'!$D$14="Yes",IF(COUNTBLANK('Capacity summary'!$H155:$BG155)&lt;52,IF('Capacity summary'!AO155&lt;&gt;"",IF(LOWER('Capacity summary'!AO155)="x",$BI36*AO36,VALUE('Capacity summary'!AO155)),0),AO36*$BI36),AO36*$BI36),0)</f>
        <v>0</v>
      </c>
      <c r="CS36" s="311">
        <f>IF($BI36&lt;&gt;"",IF('Capacity summary'!$D$14="Yes",IF(COUNTBLANK('Capacity summary'!$H155:$BG155)&lt;52,IF('Capacity summary'!AP155&lt;&gt;"",IF(LOWER('Capacity summary'!AP155)="x",$BI36*AP36,VALUE('Capacity summary'!AP155)),0),AP36*$BI36),AP36*$BI36),0)</f>
        <v>0</v>
      </c>
      <c r="CT36" s="311">
        <f>IF($BI36&lt;&gt;"",IF('Capacity summary'!$D$14="Yes",IF(COUNTBLANK('Capacity summary'!$H155:$BG155)&lt;52,IF('Capacity summary'!AQ155&lt;&gt;"",IF(LOWER('Capacity summary'!AQ155)="x",$BI36*AQ36,VALUE('Capacity summary'!AQ155)),0),AQ36*$BI36),AQ36*$BI36),0)</f>
        <v>0</v>
      </c>
      <c r="CU36" s="311">
        <f>IF($BI36&lt;&gt;"",IF('Capacity summary'!$D$14="Yes",IF(COUNTBLANK('Capacity summary'!$H155:$BG155)&lt;52,IF('Capacity summary'!AR155&lt;&gt;"",IF(LOWER('Capacity summary'!AR155)="x",$BI36*AR36,VALUE('Capacity summary'!AR155)),0),AR36*$BI36),AR36*$BI36),0)</f>
        <v>0</v>
      </c>
      <c r="CV36" s="311">
        <f>IF($BI36&lt;&gt;"",IF('Capacity summary'!$D$14="Yes",IF(COUNTBLANK('Capacity summary'!$H155:$BG155)&lt;52,IF('Capacity summary'!AS155&lt;&gt;"",IF(LOWER('Capacity summary'!AS155)="x",$BI36*AS36,VALUE('Capacity summary'!AS155)),0),AS36*$BI36),AS36*$BI36),0)</f>
        <v>0</v>
      </c>
      <c r="CW36" s="311">
        <f>IF($BI36&lt;&gt;"",IF('Capacity summary'!$D$14="Yes",IF(COUNTBLANK('Capacity summary'!$H155:$BG155)&lt;52,IF('Capacity summary'!AT155&lt;&gt;"",IF(LOWER('Capacity summary'!AT155)="x",$BI36*AT36,VALUE('Capacity summary'!AT155)),0),AT36*$BI36),AT36*$BI36),0)</f>
        <v>0</v>
      </c>
      <c r="CX36" s="311">
        <f>IF($BI36&lt;&gt;"",IF('Capacity summary'!$D$14="Yes",IF(COUNTBLANK('Capacity summary'!$H155:$BG155)&lt;52,IF('Capacity summary'!AU155&lt;&gt;"",IF(LOWER('Capacity summary'!AU155)="x",$BI36*AU36,VALUE('Capacity summary'!AU155)),0),AU36*$BI36),AU36*$BI36),0)</f>
        <v>0</v>
      </c>
      <c r="CY36" s="311">
        <f>IF($BI36&lt;&gt;"",IF('Capacity summary'!$D$14="Yes",IF(COUNTBLANK('Capacity summary'!$H155:$BG155)&lt;52,IF('Capacity summary'!AV155&lt;&gt;"",IF(LOWER('Capacity summary'!AV155)="x",$BI36*AV36,VALUE('Capacity summary'!AV155)),0),AV36*$BI36),AV36*$BI36),0)</f>
        <v>0</v>
      </c>
      <c r="CZ36" s="311">
        <f>IF($BI36&lt;&gt;"",IF('Capacity summary'!$D$14="Yes",IF(COUNTBLANK('Capacity summary'!$H155:$BG155)&lt;52,IF('Capacity summary'!AW155&lt;&gt;"",IF(LOWER('Capacity summary'!AW155)="x",$BI36*AW36,VALUE('Capacity summary'!AW155)),0),AW36*$BI36),AW36*$BI36),0)</f>
        <v>0</v>
      </c>
      <c r="DA36" s="311">
        <f>IF($BI36&lt;&gt;"",IF('Capacity summary'!$D$14="Yes",IF(COUNTBLANK('Capacity summary'!$H155:$BG155)&lt;52,IF('Capacity summary'!AX155&lt;&gt;"",IF(LOWER('Capacity summary'!AX155)="x",$BI36*AX36,VALUE('Capacity summary'!AX155)),0),AX36*$BI36),AX36*$BI36),0)</f>
        <v>0</v>
      </c>
      <c r="DB36" s="311">
        <f>IF($BI36&lt;&gt;"",IF('Capacity summary'!$D$14="Yes",IF(COUNTBLANK('Capacity summary'!$H155:$BG155)&lt;52,IF('Capacity summary'!AY155&lt;&gt;"",IF(LOWER('Capacity summary'!AY155)="x",$BI36*AY36,VALUE('Capacity summary'!AY155)),0),AY36*$BI36),AY36*$BI36),0)</f>
        <v>0</v>
      </c>
      <c r="DC36" s="311">
        <f>IF($BI36&lt;&gt;"",IF('Capacity summary'!$D$14="Yes",IF(COUNTBLANK('Capacity summary'!$H155:$BG155)&lt;52,IF('Capacity summary'!AZ155&lt;&gt;"",IF(LOWER('Capacity summary'!AZ155)="x",$BI36*AZ36,VALUE('Capacity summary'!AZ155)),0),AZ36*$BI36),AZ36*$BI36),0)</f>
        <v>0</v>
      </c>
      <c r="DD36" s="311">
        <f>IF($BI36&lt;&gt;"",IF('Capacity summary'!$D$14="Yes",IF(COUNTBLANK('Capacity summary'!$H155:$BG155)&lt;52,IF('Capacity summary'!BA155&lt;&gt;"",IF(LOWER('Capacity summary'!BA155)="x",$BI36*BA36,VALUE('Capacity summary'!BA155)),0),BA36*$BI36),BA36*$BI36),0)</f>
        <v>0</v>
      </c>
      <c r="DE36" s="311">
        <f>IF($BI36&lt;&gt;"",IF('Capacity summary'!$D$14="Yes",IF(COUNTBLANK('Capacity summary'!$H155:$BG155)&lt;52,IF('Capacity summary'!BB155&lt;&gt;"",IF(LOWER('Capacity summary'!BB155)="x",$BI36*BB36,VALUE('Capacity summary'!BB155)),0),BB36*$BI36),BB36*$BI36),0)</f>
        <v>0</v>
      </c>
      <c r="DF36" s="311">
        <f>IF($BI36&lt;&gt;"",IF('Capacity summary'!$D$14="Yes",IF(COUNTBLANK('Capacity summary'!$H155:$BG155)&lt;52,IF('Capacity summary'!BC155&lt;&gt;"",IF(LOWER('Capacity summary'!BC155)="x",$BI36*BC36,VALUE('Capacity summary'!BC155)),0),BC36*$BI36),BC36*$BI36),0)</f>
        <v>0</v>
      </c>
      <c r="DG36" s="311">
        <f>IF($BI36&lt;&gt;"",IF('Capacity summary'!$D$14="Yes",IF(COUNTBLANK('Capacity summary'!$H155:$BG155)&lt;52,IF('Capacity summary'!BD155&lt;&gt;"",IF(LOWER('Capacity summary'!BD155)="x",$BI36*BD36,VALUE('Capacity summary'!BD155)),0),BD36*$BI36),BD36*$BI36),0)</f>
        <v>0</v>
      </c>
      <c r="DH36" s="311">
        <f>IF($BI36&lt;&gt;"",IF('Capacity summary'!$D$14="Yes",IF(COUNTBLANK('Capacity summary'!$H155:$BG155)&lt;52,IF('Capacity summary'!BE155&lt;&gt;"",IF(LOWER('Capacity summary'!BE155)="x",$BI36*BE36,VALUE('Capacity summary'!BE155)),0),BE36*$BI36),BE36*$BI36),0)</f>
        <v>0</v>
      </c>
      <c r="DI36" s="311">
        <f>IF($BI36&lt;&gt;"",IF('Capacity summary'!$D$14="Yes",IF(COUNTBLANK('Capacity summary'!$H155:$BG155)&lt;52,IF('Capacity summary'!BF155&lt;&gt;"",IF(LOWER('Capacity summary'!BF155)="x",$BI36*BF36,VALUE('Capacity summary'!BF155)),0),BF36*$BI36),BF36*$BI36),0)</f>
        <v>0</v>
      </c>
      <c r="DJ36" s="311">
        <f>IF($BI36&lt;&gt;"",IF('Capacity summary'!$D$14="Yes",IF(COUNTBLANK('Capacity summary'!$H155:$BG155)&lt;52,IF('Capacity summary'!BG155&lt;&gt;"",IF(LOWER('Capacity summary'!BG155)="x",$BI36*BG36,VALUE('Capacity summary'!BG155)),0),BG36*$BI36),BG36*$BI36),0)</f>
        <v>0</v>
      </c>
      <c r="DK36" s="387">
        <f t="shared" si="2"/>
        <v>0</v>
      </c>
      <c r="DL36" s="136">
        <f t="shared" si="3"/>
        <v>0</v>
      </c>
      <c r="DM36" s="311" t="str">
        <f>Capacity!H48</f>
        <v/>
      </c>
      <c r="DQ36" s="5"/>
    </row>
    <row r="37" spans="1:121" x14ac:dyDescent="0.2">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1">
        <f>IF($BI37&lt;&gt;"",IF('Capacity summary'!$D$14="Yes",IF(COUNTBLANK('Capacity summary'!$H156:$BG156)&lt;52,IF('Capacity summary'!H156&lt;&gt;"",IF(LOWER('Capacity summary'!H156)="x",$BI37*H37,VALUE('Capacity summary'!H156)),0),H37*$BI37),H37*$BI37),0)</f>
        <v>0</v>
      </c>
      <c r="BL37" s="311">
        <f>IF($BI37&lt;&gt;"",IF('Capacity summary'!$D$14="Yes",IF(COUNTBLANK('Capacity summary'!$H156:$BG156)&lt;52,IF('Capacity summary'!I156&lt;&gt;"",IF(LOWER('Capacity summary'!I156)="x",$BI37*I37,VALUE('Capacity summary'!I156)),0),I37*$BI37),I37*$BI37),0)</f>
        <v>0</v>
      </c>
      <c r="BM37" s="311">
        <f>IF($BI37&lt;&gt;"",IF('Capacity summary'!$D$14="Yes",IF(COUNTBLANK('Capacity summary'!$H156:$BG156)&lt;52,IF('Capacity summary'!J156&lt;&gt;"",IF(LOWER('Capacity summary'!J156)="x",$BI37*J37,VALUE('Capacity summary'!J156)),0),J37*$BI37),J37*$BI37),0)</f>
        <v>0</v>
      </c>
      <c r="BN37" s="311">
        <f>IF($BI37&lt;&gt;"",IF('Capacity summary'!$D$14="Yes",IF(COUNTBLANK('Capacity summary'!$H156:$BG156)&lt;52,IF('Capacity summary'!K156&lt;&gt;"",IF(LOWER('Capacity summary'!K156)="x",$BI37*K37,VALUE('Capacity summary'!K156)),0),K37*$BI37),K37*$BI37),0)</f>
        <v>0</v>
      </c>
      <c r="BO37" s="311">
        <f>IF($BI37&lt;&gt;"",IF('Capacity summary'!$D$14="Yes",IF(COUNTBLANK('Capacity summary'!$H156:$BG156)&lt;52,IF('Capacity summary'!L156&lt;&gt;"",IF(LOWER('Capacity summary'!L156)="x",$BI37*L37,VALUE('Capacity summary'!L156)),0),L37*$BI37),L37*$BI37),0)</f>
        <v>0</v>
      </c>
      <c r="BP37" s="311">
        <f>IF($BI37&lt;&gt;"",IF('Capacity summary'!$D$14="Yes",IF(COUNTBLANK('Capacity summary'!$H156:$BG156)&lt;52,IF('Capacity summary'!M156&lt;&gt;"",IF(LOWER('Capacity summary'!M156)="x",$BI37*M37,VALUE('Capacity summary'!M156)),0),M37*$BI37),M37*$BI37),0)</f>
        <v>0</v>
      </c>
      <c r="BQ37" s="311">
        <f>IF($BI37&lt;&gt;"",IF('Capacity summary'!$D$14="Yes",IF(COUNTBLANK('Capacity summary'!$H156:$BG156)&lt;52,IF('Capacity summary'!N156&lt;&gt;"",IF(LOWER('Capacity summary'!N156)="x",$BI37*N37,VALUE('Capacity summary'!N156)),0),N37*$BI37),N37*$BI37),0)</f>
        <v>0</v>
      </c>
      <c r="BR37" s="311">
        <f>IF($BI37&lt;&gt;"",IF('Capacity summary'!$D$14="Yes",IF(COUNTBLANK('Capacity summary'!$H156:$BG156)&lt;52,IF('Capacity summary'!O156&lt;&gt;"",IF(LOWER('Capacity summary'!O156)="x",$BI37*O37,VALUE('Capacity summary'!O156)),0),O37*$BI37),O37*$BI37),0)</f>
        <v>0</v>
      </c>
      <c r="BS37" s="311">
        <f>IF($BI37&lt;&gt;"",IF('Capacity summary'!$D$14="Yes",IF(COUNTBLANK('Capacity summary'!$H156:$BG156)&lt;52,IF('Capacity summary'!P156&lt;&gt;"",IF(LOWER('Capacity summary'!P156)="x",$BI37*P37,VALUE('Capacity summary'!P156)),0),P37*$BI37),P37*$BI37),0)</f>
        <v>0</v>
      </c>
      <c r="BT37" s="311">
        <f>IF($BI37&lt;&gt;"",IF('Capacity summary'!$D$14="Yes",IF(COUNTBLANK('Capacity summary'!$H156:$BG156)&lt;52,IF('Capacity summary'!Q156&lt;&gt;"",IF(LOWER('Capacity summary'!Q156)="x",$BI37*Q37,VALUE('Capacity summary'!Q156)),0),Q37*$BI37),Q37*$BI37),0)</f>
        <v>0</v>
      </c>
      <c r="BU37" s="311">
        <f>IF($BI37&lt;&gt;"",IF('Capacity summary'!$D$14="Yes",IF(COUNTBLANK('Capacity summary'!$H156:$BG156)&lt;52,IF('Capacity summary'!R156&lt;&gt;"",IF(LOWER('Capacity summary'!R156)="x",$BI37*R37,VALUE('Capacity summary'!R156)),0),R37*$BI37),R37*$BI37),0)</f>
        <v>0</v>
      </c>
      <c r="BV37" s="311">
        <f>IF($BI37&lt;&gt;"",IF('Capacity summary'!$D$14="Yes",IF(COUNTBLANK('Capacity summary'!$H156:$BG156)&lt;52,IF('Capacity summary'!S156&lt;&gt;"",IF(LOWER('Capacity summary'!S156)="x",$BI37*S37,VALUE('Capacity summary'!S156)),0),S37*$BI37),S37*$BI37),0)</f>
        <v>0</v>
      </c>
      <c r="BW37" s="311">
        <f>IF($BI37&lt;&gt;"",IF('Capacity summary'!$D$14="Yes",IF(COUNTBLANK('Capacity summary'!$H156:$BG156)&lt;52,IF('Capacity summary'!T156&lt;&gt;"",IF(LOWER('Capacity summary'!T156)="x",$BI37*T37,VALUE('Capacity summary'!T156)),0),T37*$BI37),T37*$BI37),0)</f>
        <v>0</v>
      </c>
      <c r="BX37" s="311">
        <f>IF($BI37&lt;&gt;"",IF('Capacity summary'!$D$14="Yes",IF(COUNTBLANK('Capacity summary'!$H156:$BG156)&lt;52,IF('Capacity summary'!U156&lt;&gt;"",IF(LOWER('Capacity summary'!U156)="x",$BI37*U37,VALUE('Capacity summary'!U156)),0),U37*$BI37),U37*$BI37),0)</f>
        <v>0</v>
      </c>
      <c r="BY37" s="311">
        <f>IF($BI37&lt;&gt;"",IF('Capacity summary'!$D$14="Yes",IF(COUNTBLANK('Capacity summary'!$H156:$BG156)&lt;52,IF('Capacity summary'!V156&lt;&gt;"",IF(LOWER('Capacity summary'!V156)="x",$BI37*V37,VALUE('Capacity summary'!V156)),0),V37*$BI37),V37*$BI37),0)</f>
        <v>0</v>
      </c>
      <c r="BZ37" s="311">
        <f>IF($BI37&lt;&gt;"",IF('Capacity summary'!$D$14="Yes",IF(COUNTBLANK('Capacity summary'!$H156:$BG156)&lt;52,IF('Capacity summary'!W156&lt;&gt;"",IF(LOWER('Capacity summary'!W156)="x",$BI37*W37,VALUE('Capacity summary'!W156)),0),W37*$BI37),W37*$BI37),0)</f>
        <v>0</v>
      </c>
      <c r="CA37" s="311">
        <f>IF($BI37&lt;&gt;"",IF('Capacity summary'!$D$14="Yes",IF(COUNTBLANK('Capacity summary'!$H156:$BG156)&lt;52,IF('Capacity summary'!X156&lt;&gt;"",IF(LOWER('Capacity summary'!X156)="x",$BI37*X37,VALUE('Capacity summary'!X156)),0),X37*$BI37),X37*$BI37),0)</f>
        <v>0</v>
      </c>
      <c r="CB37" s="311">
        <f>IF($BI37&lt;&gt;"",IF('Capacity summary'!$D$14="Yes",IF(COUNTBLANK('Capacity summary'!$H156:$BG156)&lt;52,IF('Capacity summary'!Y156&lt;&gt;"",IF(LOWER('Capacity summary'!Y156)="x",$BI37*Y37,VALUE('Capacity summary'!Y156)),0),Y37*$BI37),Y37*$BI37),0)</f>
        <v>0</v>
      </c>
      <c r="CC37" s="311">
        <f>IF($BI37&lt;&gt;"",IF('Capacity summary'!$D$14="Yes",IF(COUNTBLANK('Capacity summary'!$H156:$BG156)&lt;52,IF('Capacity summary'!Z156&lt;&gt;"",IF(LOWER('Capacity summary'!Z156)="x",$BI37*Z37,VALUE('Capacity summary'!Z156)),0),Z37*$BI37),Z37*$BI37),0)</f>
        <v>0</v>
      </c>
      <c r="CD37" s="311">
        <f>IF($BI37&lt;&gt;"",IF('Capacity summary'!$D$14="Yes",IF(COUNTBLANK('Capacity summary'!$H156:$BG156)&lt;52,IF('Capacity summary'!AA156&lt;&gt;"",IF(LOWER('Capacity summary'!AA156)="x",$BI37*AA37,VALUE('Capacity summary'!AA156)),0),AA37*$BI37),AA37*$BI37),0)</f>
        <v>0</v>
      </c>
      <c r="CE37" s="311">
        <f>IF($BI37&lt;&gt;"",IF('Capacity summary'!$D$14="Yes",IF(COUNTBLANK('Capacity summary'!$H156:$BG156)&lt;52,IF('Capacity summary'!AB156&lt;&gt;"",IF(LOWER('Capacity summary'!AB156)="x",$BI37*AB37,VALUE('Capacity summary'!AB156)),0),AB37*$BI37),AB37*$BI37),0)</f>
        <v>0</v>
      </c>
      <c r="CF37" s="311">
        <f>IF($BI37&lt;&gt;"",IF('Capacity summary'!$D$14="Yes",IF(COUNTBLANK('Capacity summary'!$H156:$BG156)&lt;52,IF('Capacity summary'!AC156&lt;&gt;"",IF(LOWER('Capacity summary'!AC156)="x",$BI37*AC37,VALUE('Capacity summary'!AC156)),0),AC37*$BI37),AC37*$BI37),0)</f>
        <v>0</v>
      </c>
      <c r="CG37" s="311">
        <f>IF($BI37&lt;&gt;"",IF('Capacity summary'!$D$14="Yes",IF(COUNTBLANK('Capacity summary'!$H156:$BG156)&lt;52,IF('Capacity summary'!AD156&lt;&gt;"",IF(LOWER('Capacity summary'!AD156)="x",$BI37*AD37,VALUE('Capacity summary'!AD156)),0),AD37*$BI37),AD37*$BI37),0)</f>
        <v>0</v>
      </c>
      <c r="CH37" s="311">
        <f>IF($BI37&lt;&gt;"",IF('Capacity summary'!$D$14="Yes",IF(COUNTBLANK('Capacity summary'!$H156:$BG156)&lt;52,IF('Capacity summary'!AE156&lt;&gt;"",IF(LOWER('Capacity summary'!AE156)="x",$BI37*AE37,VALUE('Capacity summary'!AE156)),0),AE37*$BI37),AE37*$BI37),0)</f>
        <v>0</v>
      </c>
      <c r="CI37" s="311">
        <f>IF($BI37&lt;&gt;"",IF('Capacity summary'!$D$14="Yes",IF(COUNTBLANK('Capacity summary'!$H156:$BG156)&lt;52,IF('Capacity summary'!AF156&lt;&gt;"",IF(LOWER('Capacity summary'!AF156)="x",$BI37*AF37,VALUE('Capacity summary'!AF156)),0),AF37*$BI37),AF37*$BI37),0)</f>
        <v>0</v>
      </c>
      <c r="CJ37" s="311">
        <f>IF($BI37&lt;&gt;"",IF('Capacity summary'!$D$14="Yes",IF(COUNTBLANK('Capacity summary'!$H156:$BG156)&lt;52,IF('Capacity summary'!AG156&lt;&gt;"",IF(LOWER('Capacity summary'!AG156)="x",$BI37*AG37,VALUE('Capacity summary'!AG156)),0),AG37*$BI37),AG37*$BI37),0)</f>
        <v>0</v>
      </c>
      <c r="CK37" s="311">
        <f>IF($BI37&lt;&gt;"",IF('Capacity summary'!$D$14="Yes",IF(COUNTBLANK('Capacity summary'!$H156:$BG156)&lt;52,IF('Capacity summary'!AH156&lt;&gt;"",IF(LOWER('Capacity summary'!AH156)="x",$BI37*AH37,VALUE('Capacity summary'!AH156)),0),AH37*$BI37),AH37*$BI37),0)</f>
        <v>0</v>
      </c>
      <c r="CL37" s="311">
        <f>IF($BI37&lt;&gt;"",IF('Capacity summary'!$D$14="Yes",IF(COUNTBLANK('Capacity summary'!$H156:$BG156)&lt;52,IF('Capacity summary'!AI156&lt;&gt;"",IF(LOWER('Capacity summary'!AI156)="x",$BI37*AI37,VALUE('Capacity summary'!AI156)),0),AI37*$BI37),AI37*$BI37),0)</f>
        <v>0</v>
      </c>
      <c r="CM37" s="311">
        <f>IF($BI37&lt;&gt;"",IF('Capacity summary'!$D$14="Yes",IF(COUNTBLANK('Capacity summary'!$H156:$BG156)&lt;52,IF('Capacity summary'!AJ156&lt;&gt;"",IF(LOWER('Capacity summary'!AJ156)="x",$BI37*AJ37,VALUE('Capacity summary'!AJ156)),0),AJ37*$BI37),AJ37*$BI37),0)</f>
        <v>0</v>
      </c>
      <c r="CN37" s="311">
        <f>IF($BI37&lt;&gt;"",IF('Capacity summary'!$D$14="Yes",IF(COUNTBLANK('Capacity summary'!$H156:$BG156)&lt;52,IF('Capacity summary'!AK156&lt;&gt;"",IF(LOWER('Capacity summary'!AK156)="x",$BI37*AK37,VALUE('Capacity summary'!AK156)),0),AK37*$BI37),AK37*$BI37),0)</f>
        <v>0</v>
      </c>
      <c r="CO37" s="311">
        <f>IF($BI37&lt;&gt;"",IF('Capacity summary'!$D$14="Yes",IF(COUNTBLANK('Capacity summary'!$H156:$BG156)&lt;52,IF('Capacity summary'!AL156&lt;&gt;"",IF(LOWER('Capacity summary'!AL156)="x",$BI37*AL37,VALUE('Capacity summary'!AL156)),0),AL37*$BI37),AL37*$BI37),0)</f>
        <v>0</v>
      </c>
      <c r="CP37" s="311">
        <f>IF($BI37&lt;&gt;"",IF('Capacity summary'!$D$14="Yes",IF(COUNTBLANK('Capacity summary'!$H156:$BG156)&lt;52,IF('Capacity summary'!AM156&lt;&gt;"",IF(LOWER('Capacity summary'!AM156)="x",$BI37*AM37,VALUE('Capacity summary'!AM156)),0),AM37*$BI37),AM37*$BI37),0)</f>
        <v>0</v>
      </c>
      <c r="CQ37" s="311">
        <f>IF($BI37&lt;&gt;"",IF('Capacity summary'!$D$14="Yes",IF(COUNTBLANK('Capacity summary'!$H156:$BG156)&lt;52,IF('Capacity summary'!AN156&lt;&gt;"",IF(LOWER('Capacity summary'!AN156)="x",$BI37*AN37,VALUE('Capacity summary'!AN156)),0),AN37*$BI37),AN37*$BI37),0)</f>
        <v>0</v>
      </c>
      <c r="CR37" s="311">
        <f>IF($BI37&lt;&gt;"",IF('Capacity summary'!$D$14="Yes",IF(COUNTBLANK('Capacity summary'!$H156:$BG156)&lt;52,IF('Capacity summary'!AO156&lt;&gt;"",IF(LOWER('Capacity summary'!AO156)="x",$BI37*AO37,VALUE('Capacity summary'!AO156)),0),AO37*$BI37),AO37*$BI37),0)</f>
        <v>0</v>
      </c>
      <c r="CS37" s="311">
        <f>IF($BI37&lt;&gt;"",IF('Capacity summary'!$D$14="Yes",IF(COUNTBLANK('Capacity summary'!$H156:$BG156)&lt;52,IF('Capacity summary'!AP156&lt;&gt;"",IF(LOWER('Capacity summary'!AP156)="x",$BI37*AP37,VALUE('Capacity summary'!AP156)),0),AP37*$BI37),AP37*$BI37),0)</f>
        <v>0</v>
      </c>
      <c r="CT37" s="311">
        <f>IF($BI37&lt;&gt;"",IF('Capacity summary'!$D$14="Yes",IF(COUNTBLANK('Capacity summary'!$H156:$BG156)&lt;52,IF('Capacity summary'!AQ156&lt;&gt;"",IF(LOWER('Capacity summary'!AQ156)="x",$BI37*AQ37,VALUE('Capacity summary'!AQ156)),0),AQ37*$BI37),AQ37*$BI37),0)</f>
        <v>0</v>
      </c>
      <c r="CU37" s="311">
        <f>IF($BI37&lt;&gt;"",IF('Capacity summary'!$D$14="Yes",IF(COUNTBLANK('Capacity summary'!$H156:$BG156)&lt;52,IF('Capacity summary'!AR156&lt;&gt;"",IF(LOWER('Capacity summary'!AR156)="x",$BI37*AR37,VALUE('Capacity summary'!AR156)),0),AR37*$BI37),AR37*$BI37),0)</f>
        <v>0</v>
      </c>
      <c r="CV37" s="311">
        <f>IF($BI37&lt;&gt;"",IF('Capacity summary'!$D$14="Yes",IF(COUNTBLANK('Capacity summary'!$H156:$BG156)&lt;52,IF('Capacity summary'!AS156&lt;&gt;"",IF(LOWER('Capacity summary'!AS156)="x",$BI37*AS37,VALUE('Capacity summary'!AS156)),0),AS37*$BI37),AS37*$BI37),0)</f>
        <v>0</v>
      </c>
      <c r="CW37" s="311">
        <f>IF($BI37&lt;&gt;"",IF('Capacity summary'!$D$14="Yes",IF(COUNTBLANK('Capacity summary'!$H156:$BG156)&lt;52,IF('Capacity summary'!AT156&lt;&gt;"",IF(LOWER('Capacity summary'!AT156)="x",$BI37*AT37,VALUE('Capacity summary'!AT156)),0),AT37*$BI37),AT37*$BI37),0)</f>
        <v>0</v>
      </c>
      <c r="CX37" s="311">
        <f>IF($BI37&lt;&gt;"",IF('Capacity summary'!$D$14="Yes",IF(COUNTBLANK('Capacity summary'!$H156:$BG156)&lt;52,IF('Capacity summary'!AU156&lt;&gt;"",IF(LOWER('Capacity summary'!AU156)="x",$BI37*AU37,VALUE('Capacity summary'!AU156)),0),AU37*$BI37),AU37*$BI37),0)</f>
        <v>0</v>
      </c>
      <c r="CY37" s="311">
        <f>IF($BI37&lt;&gt;"",IF('Capacity summary'!$D$14="Yes",IF(COUNTBLANK('Capacity summary'!$H156:$BG156)&lt;52,IF('Capacity summary'!AV156&lt;&gt;"",IF(LOWER('Capacity summary'!AV156)="x",$BI37*AV37,VALUE('Capacity summary'!AV156)),0),AV37*$BI37),AV37*$BI37),0)</f>
        <v>0</v>
      </c>
      <c r="CZ37" s="311">
        <f>IF($BI37&lt;&gt;"",IF('Capacity summary'!$D$14="Yes",IF(COUNTBLANK('Capacity summary'!$H156:$BG156)&lt;52,IF('Capacity summary'!AW156&lt;&gt;"",IF(LOWER('Capacity summary'!AW156)="x",$BI37*AW37,VALUE('Capacity summary'!AW156)),0),AW37*$BI37),AW37*$BI37),0)</f>
        <v>0</v>
      </c>
      <c r="DA37" s="311">
        <f>IF($BI37&lt;&gt;"",IF('Capacity summary'!$D$14="Yes",IF(COUNTBLANK('Capacity summary'!$H156:$BG156)&lt;52,IF('Capacity summary'!AX156&lt;&gt;"",IF(LOWER('Capacity summary'!AX156)="x",$BI37*AX37,VALUE('Capacity summary'!AX156)),0),AX37*$BI37),AX37*$BI37),0)</f>
        <v>0</v>
      </c>
      <c r="DB37" s="311">
        <f>IF($BI37&lt;&gt;"",IF('Capacity summary'!$D$14="Yes",IF(COUNTBLANK('Capacity summary'!$H156:$BG156)&lt;52,IF('Capacity summary'!AY156&lt;&gt;"",IF(LOWER('Capacity summary'!AY156)="x",$BI37*AY37,VALUE('Capacity summary'!AY156)),0),AY37*$BI37),AY37*$BI37),0)</f>
        <v>0</v>
      </c>
      <c r="DC37" s="311">
        <f>IF($BI37&lt;&gt;"",IF('Capacity summary'!$D$14="Yes",IF(COUNTBLANK('Capacity summary'!$H156:$BG156)&lt;52,IF('Capacity summary'!AZ156&lt;&gt;"",IF(LOWER('Capacity summary'!AZ156)="x",$BI37*AZ37,VALUE('Capacity summary'!AZ156)),0),AZ37*$BI37),AZ37*$BI37),0)</f>
        <v>0</v>
      </c>
      <c r="DD37" s="311">
        <f>IF($BI37&lt;&gt;"",IF('Capacity summary'!$D$14="Yes",IF(COUNTBLANK('Capacity summary'!$H156:$BG156)&lt;52,IF('Capacity summary'!BA156&lt;&gt;"",IF(LOWER('Capacity summary'!BA156)="x",$BI37*BA37,VALUE('Capacity summary'!BA156)),0),BA37*$BI37),BA37*$BI37),0)</f>
        <v>0</v>
      </c>
      <c r="DE37" s="311">
        <f>IF($BI37&lt;&gt;"",IF('Capacity summary'!$D$14="Yes",IF(COUNTBLANK('Capacity summary'!$H156:$BG156)&lt;52,IF('Capacity summary'!BB156&lt;&gt;"",IF(LOWER('Capacity summary'!BB156)="x",$BI37*BB37,VALUE('Capacity summary'!BB156)),0),BB37*$BI37),BB37*$BI37),0)</f>
        <v>0</v>
      </c>
      <c r="DF37" s="311">
        <f>IF($BI37&lt;&gt;"",IF('Capacity summary'!$D$14="Yes",IF(COUNTBLANK('Capacity summary'!$H156:$BG156)&lt;52,IF('Capacity summary'!BC156&lt;&gt;"",IF(LOWER('Capacity summary'!BC156)="x",$BI37*BC37,VALUE('Capacity summary'!BC156)),0),BC37*$BI37),BC37*$BI37),0)</f>
        <v>0</v>
      </c>
      <c r="DG37" s="311">
        <f>IF($BI37&lt;&gt;"",IF('Capacity summary'!$D$14="Yes",IF(COUNTBLANK('Capacity summary'!$H156:$BG156)&lt;52,IF('Capacity summary'!BD156&lt;&gt;"",IF(LOWER('Capacity summary'!BD156)="x",$BI37*BD37,VALUE('Capacity summary'!BD156)),0),BD37*$BI37),BD37*$BI37),0)</f>
        <v>0</v>
      </c>
      <c r="DH37" s="311">
        <f>IF($BI37&lt;&gt;"",IF('Capacity summary'!$D$14="Yes",IF(COUNTBLANK('Capacity summary'!$H156:$BG156)&lt;52,IF('Capacity summary'!BE156&lt;&gt;"",IF(LOWER('Capacity summary'!BE156)="x",$BI37*BE37,VALUE('Capacity summary'!BE156)),0),BE37*$BI37),BE37*$BI37),0)</f>
        <v>0</v>
      </c>
      <c r="DI37" s="311">
        <f>IF($BI37&lt;&gt;"",IF('Capacity summary'!$D$14="Yes",IF(COUNTBLANK('Capacity summary'!$H156:$BG156)&lt;52,IF('Capacity summary'!BF156&lt;&gt;"",IF(LOWER('Capacity summary'!BF156)="x",$BI37*BF37,VALUE('Capacity summary'!BF156)),0),BF37*$BI37),BF37*$BI37),0)</f>
        <v>0</v>
      </c>
      <c r="DJ37" s="311">
        <f>IF($BI37&lt;&gt;"",IF('Capacity summary'!$D$14="Yes",IF(COUNTBLANK('Capacity summary'!$H156:$BG156)&lt;52,IF('Capacity summary'!BG156&lt;&gt;"",IF(LOWER('Capacity summary'!BG156)="x",$BI37*BG37,VALUE('Capacity summary'!BG156)),0),BG37*$BI37),BG37*$BI37),0)</f>
        <v>0</v>
      </c>
      <c r="DK37" s="387">
        <f t="shared" si="2"/>
        <v>0</v>
      </c>
      <c r="DL37" s="136">
        <f t="shared" si="3"/>
        <v>0</v>
      </c>
      <c r="DM37" s="311" t="str">
        <f>Capacity!H49</f>
        <v/>
      </c>
      <c r="DQ37" s="5"/>
    </row>
    <row r="38" spans="1:121" x14ac:dyDescent="0.2">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1">
        <f>IF($BI38&lt;&gt;"",IF('Capacity summary'!$D$14="Yes",IF(COUNTBLANK('Capacity summary'!$H157:$BG157)&lt;52,IF('Capacity summary'!H157&lt;&gt;"",IF(LOWER('Capacity summary'!H157)="x",$BI38*H38,VALUE('Capacity summary'!H157)),0),H38*$BI38),H38*$BI38),0)</f>
        <v>0</v>
      </c>
      <c r="BL38" s="311">
        <f>IF($BI38&lt;&gt;"",IF('Capacity summary'!$D$14="Yes",IF(COUNTBLANK('Capacity summary'!$H157:$BG157)&lt;52,IF('Capacity summary'!I157&lt;&gt;"",IF(LOWER('Capacity summary'!I157)="x",$BI38*I38,VALUE('Capacity summary'!I157)),0),I38*$BI38),I38*$BI38),0)</f>
        <v>0</v>
      </c>
      <c r="BM38" s="311">
        <f>IF($BI38&lt;&gt;"",IF('Capacity summary'!$D$14="Yes",IF(COUNTBLANK('Capacity summary'!$H157:$BG157)&lt;52,IF('Capacity summary'!J157&lt;&gt;"",IF(LOWER('Capacity summary'!J157)="x",$BI38*J38,VALUE('Capacity summary'!J157)),0),J38*$BI38),J38*$BI38),0)</f>
        <v>0</v>
      </c>
      <c r="BN38" s="311">
        <f>IF($BI38&lt;&gt;"",IF('Capacity summary'!$D$14="Yes",IF(COUNTBLANK('Capacity summary'!$H157:$BG157)&lt;52,IF('Capacity summary'!K157&lt;&gt;"",IF(LOWER('Capacity summary'!K157)="x",$BI38*K38,VALUE('Capacity summary'!K157)),0),K38*$BI38),K38*$BI38),0)</f>
        <v>0</v>
      </c>
      <c r="BO38" s="311">
        <f>IF($BI38&lt;&gt;"",IF('Capacity summary'!$D$14="Yes",IF(COUNTBLANK('Capacity summary'!$H157:$BG157)&lt;52,IF('Capacity summary'!L157&lt;&gt;"",IF(LOWER('Capacity summary'!L157)="x",$BI38*L38,VALUE('Capacity summary'!L157)),0),L38*$BI38),L38*$BI38),0)</f>
        <v>0</v>
      </c>
      <c r="BP38" s="311">
        <f>IF($BI38&lt;&gt;"",IF('Capacity summary'!$D$14="Yes",IF(COUNTBLANK('Capacity summary'!$H157:$BG157)&lt;52,IF('Capacity summary'!M157&lt;&gt;"",IF(LOWER('Capacity summary'!M157)="x",$BI38*M38,VALUE('Capacity summary'!M157)),0),M38*$BI38),M38*$BI38),0)</f>
        <v>0</v>
      </c>
      <c r="BQ38" s="311">
        <f>IF($BI38&lt;&gt;"",IF('Capacity summary'!$D$14="Yes",IF(COUNTBLANK('Capacity summary'!$H157:$BG157)&lt;52,IF('Capacity summary'!N157&lt;&gt;"",IF(LOWER('Capacity summary'!N157)="x",$BI38*N38,VALUE('Capacity summary'!N157)),0),N38*$BI38),N38*$BI38),0)</f>
        <v>0</v>
      </c>
      <c r="BR38" s="311">
        <f>IF($BI38&lt;&gt;"",IF('Capacity summary'!$D$14="Yes",IF(COUNTBLANK('Capacity summary'!$H157:$BG157)&lt;52,IF('Capacity summary'!O157&lt;&gt;"",IF(LOWER('Capacity summary'!O157)="x",$BI38*O38,VALUE('Capacity summary'!O157)),0),O38*$BI38),O38*$BI38),0)</f>
        <v>0</v>
      </c>
      <c r="BS38" s="311">
        <f>IF($BI38&lt;&gt;"",IF('Capacity summary'!$D$14="Yes",IF(COUNTBLANK('Capacity summary'!$H157:$BG157)&lt;52,IF('Capacity summary'!P157&lt;&gt;"",IF(LOWER('Capacity summary'!P157)="x",$BI38*P38,VALUE('Capacity summary'!P157)),0),P38*$BI38),P38*$BI38),0)</f>
        <v>0</v>
      </c>
      <c r="BT38" s="311">
        <f>IF($BI38&lt;&gt;"",IF('Capacity summary'!$D$14="Yes",IF(COUNTBLANK('Capacity summary'!$H157:$BG157)&lt;52,IF('Capacity summary'!Q157&lt;&gt;"",IF(LOWER('Capacity summary'!Q157)="x",$BI38*Q38,VALUE('Capacity summary'!Q157)),0),Q38*$BI38),Q38*$BI38),0)</f>
        <v>0</v>
      </c>
      <c r="BU38" s="311">
        <f>IF($BI38&lt;&gt;"",IF('Capacity summary'!$D$14="Yes",IF(COUNTBLANK('Capacity summary'!$H157:$BG157)&lt;52,IF('Capacity summary'!R157&lt;&gt;"",IF(LOWER('Capacity summary'!R157)="x",$BI38*R38,VALUE('Capacity summary'!R157)),0),R38*$BI38),R38*$BI38),0)</f>
        <v>0</v>
      </c>
      <c r="BV38" s="311">
        <f>IF($BI38&lt;&gt;"",IF('Capacity summary'!$D$14="Yes",IF(COUNTBLANK('Capacity summary'!$H157:$BG157)&lt;52,IF('Capacity summary'!S157&lt;&gt;"",IF(LOWER('Capacity summary'!S157)="x",$BI38*S38,VALUE('Capacity summary'!S157)),0),S38*$BI38),S38*$BI38),0)</f>
        <v>0</v>
      </c>
      <c r="BW38" s="311">
        <f>IF($BI38&lt;&gt;"",IF('Capacity summary'!$D$14="Yes",IF(COUNTBLANK('Capacity summary'!$H157:$BG157)&lt;52,IF('Capacity summary'!T157&lt;&gt;"",IF(LOWER('Capacity summary'!T157)="x",$BI38*T38,VALUE('Capacity summary'!T157)),0),T38*$BI38),T38*$BI38),0)</f>
        <v>0</v>
      </c>
      <c r="BX38" s="311">
        <f>IF($BI38&lt;&gt;"",IF('Capacity summary'!$D$14="Yes",IF(COUNTBLANK('Capacity summary'!$H157:$BG157)&lt;52,IF('Capacity summary'!U157&lt;&gt;"",IF(LOWER('Capacity summary'!U157)="x",$BI38*U38,VALUE('Capacity summary'!U157)),0),U38*$BI38),U38*$BI38),0)</f>
        <v>0</v>
      </c>
      <c r="BY38" s="311">
        <f>IF($BI38&lt;&gt;"",IF('Capacity summary'!$D$14="Yes",IF(COUNTBLANK('Capacity summary'!$H157:$BG157)&lt;52,IF('Capacity summary'!V157&lt;&gt;"",IF(LOWER('Capacity summary'!V157)="x",$BI38*V38,VALUE('Capacity summary'!V157)),0),V38*$BI38),V38*$BI38),0)</f>
        <v>0</v>
      </c>
      <c r="BZ38" s="311">
        <f>IF($BI38&lt;&gt;"",IF('Capacity summary'!$D$14="Yes",IF(COUNTBLANK('Capacity summary'!$H157:$BG157)&lt;52,IF('Capacity summary'!W157&lt;&gt;"",IF(LOWER('Capacity summary'!W157)="x",$BI38*W38,VALUE('Capacity summary'!W157)),0),W38*$BI38),W38*$BI38),0)</f>
        <v>0</v>
      </c>
      <c r="CA38" s="311">
        <f>IF($BI38&lt;&gt;"",IF('Capacity summary'!$D$14="Yes",IF(COUNTBLANK('Capacity summary'!$H157:$BG157)&lt;52,IF('Capacity summary'!X157&lt;&gt;"",IF(LOWER('Capacity summary'!X157)="x",$BI38*X38,VALUE('Capacity summary'!X157)),0),X38*$BI38),X38*$BI38),0)</f>
        <v>0</v>
      </c>
      <c r="CB38" s="311">
        <f>IF($BI38&lt;&gt;"",IF('Capacity summary'!$D$14="Yes",IF(COUNTBLANK('Capacity summary'!$H157:$BG157)&lt;52,IF('Capacity summary'!Y157&lt;&gt;"",IF(LOWER('Capacity summary'!Y157)="x",$BI38*Y38,VALUE('Capacity summary'!Y157)),0),Y38*$BI38),Y38*$BI38),0)</f>
        <v>0</v>
      </c>
      <c r="CC38" s="311">
        <f>IF($BI38&lt;&gt;"",IF('Capacity summary'!$D$14="Yes",IF(COUNTBLANK('Capacity summary'!$H157:$BG157)&lt;52,IF('Capacity summary'!Z157&lt;&gt;"",IF(LOWER('Capacity summary'!Z157)="x",$BI38*Z38,VALUE('Capacity summary'!Z157)),0),Z38*$BI38),Z38*$BI38),0)</f>
        <v>0</v>
      </c>
      <c r="CD38" s="311">
        <f>IF($BI38&lt;&gt;"",IF('Capacity summary'!$D$14="Yes",IF(COUNTBLANK('Capacity summary'!$H157:$BG157)&lt;52,IF('Capacity summary'!AA157&lt;&gt;"",IF(LOWER('Capacity summary'!AA157)="x",$BI38*AA38,VALUE('Capacity summary'!AA157)),0),AA38*$BI38),AA38*$BI38),0)</f>
        <v>0</v>
      </c>
      <c r="CE38" s="311">
        <f>IF($BI38&lt;&gt;"",IF('Capacity summary'!$D$14="Yes",IF(COUNTBLANK('Capacity summary'!$H157:$BG157)&lt;52,IF('Capacity summary'!AB157&lt;&gt;"",IF(LOWER('Capacity summary'!AB157)="x",$BI38*AB38,VALUE('Capacity summary'!AB157)),0),AB38*$BI38),AB38*$BI38),0)</f>
        <v>0</v>
      </c>
      <c r="CF38" s="311">
        <f>IF($BI38&lt;&gt;"",IF('Capacity summary'!$D$14="Yes",IF(COUNTBLANK('Capacity summary'!$H157:$BG157)&lt;52,IF('Capacity summary'!AC157&lt;&gt;"",IF(LOWER('Capacity summary'!AC157)="x",$BI38*AC38,VALUE('Capacity summary'!AC157)),0),AC38*$BI38),AC38*$BI38),0)</f>
        <v>0</v>
      </c>
      <c r="CG38" s="311">
        <f>IF($BI38&lt;&gt;"",IF('Capacity summary'!$D$14="Yes",IF(COUNTBLANK('Capacity summary'!$H157:$BG157)&lt;52,IF('Capacity summary'!AD157&lt;&gt;"",IF(LOWER('Capacity summary'!AD157)="x",$BI38*AD38,VALUE('Capacity summary'!AD157)),0),AD38*$BI38),AD38*$BI38),0)</f>
        <v>0</v>
      </c>
      <c r="CH38" s="311">
        <f>IF($BI38&lt;&gt;"",IF('Capacity summary'!$D$14="Yes",IF(COUNTBLANK('Capacity summary'!$H157:$BG157)&lt;52,IF('Capacity summary'!AE157&lt;&gt;"",IF(LOWER('Capacity summary'!AE157)="x",$BI38*AE38,VALUE('Capacity summary'!AE157)),0),AE38*$BI38),AE38*$BI38),0)</f>
        <v>0</v>
      </c>
      <c r="CI38" s="311">
        <f>IF($BI38&lt;&gt;"",IF('Capacity summary'!$D$14="Yes",IF(COUNTBLANK('Capacity summary'!$H157:$BG157)&lt;52,IF('Capacity summary'!AF157&lt;&gt;"",IF(LOWER('Capacity summary'!AF157)="x",$BI38*AF38,VALUE('Capacity summary'!AF157)),0),AF38*$BI38),AF38*$BI38),0)</f>
        <v>0</v>
      </c>
      <c r="CJ38" s="311">
        <f>IF($BI38&lt;&gt;"",IF('Capacity summary'!$D$14="Yes",IF(COUNTBLANK('Capacity summary'!$H157:$BG157)&lt;52,IF('Capacity summary'!AG157&lt;&gt;"",IF(LOWER('Capacity summary'!AG157)="x",$BI38*AG38,VALUE('Capacity summary'!AG157)),0),AG38*$BI38),AG38*$BI38),0)</f>
        <v>0</v>
      </c>
      <c r="CK38" s="311">
        <f>IF($BI38&lt;&gt;"",IF('Capacity summary'!$D$14="Yes",IF(COUNTBLANK('Capacity summary'!$H157:$BG157)&lt;52,IF('Capacity summary'!AH157&lt;&gt;"",IF(LOWER('Capacity summary'!AH157)="x",$BI38*AH38,VALUE('Capacity summary'!AH157)),0),AH38*$BI38),AH38*$BI38),0)</f>
        <v>0</v>
      </c>
      <c r="CL38" s="311">
        <f>IF($BI38&lt;&gt;"",IF('Capacity summary'!$D$14="Yes",IF(COUNTBLANK('Capacity summary'!$H157:$BG157)&lt;52,IF('Capacity summary'!AI157&lt;&gt;"",IF(LOWER('Capacity summary'!AI157)="x",$BI38*AI38,VALUE('Capacity summary'!AI157)),0),AI38*$BI38),AI38*$BI38),0)</f>
        <v>0</v>
      </c>
      <c r="CM38" s="311">
        <f>IF($BI38&lt;&gt;"",IF('Capacity summary'!$D$14="Yes",IF(COUNTBLANK('Capacity summary'!$H157:$BG157)&lt;52,IF('Capacity summary'!AJ157&lt;&gt;"",IF(LOWER('Capacity summary'!AJ157)="x",$BI38*AJ38,VALUE('Capacity summary'!AJ157)),0),AJ38*$BI38),AJ38*$BI38),0)</f>
        <v>0</v>
      </c>
      <c r="CN38" s="311">
        <f>IF($BI38&lt;&gt;"",IF('Capacity summary'!$D$14="Yes",IF(COUNTBLANK('Capacity summary'!$H157:$BG157)&lt;52,IF('Capacity summary'!AK157&lt;&gt;"",IF(LOWER('Capacity summary'!AK157)="x",$BI38*AK38,VALUE('Capacity summary'!AK157)),0),AK38*$BI38),AK38*$BI38),0)</f>
        <v>0</v>
      </c>
      <c r="CO38" s="311">
        <f>IF($BI38&lt;&gt;"",IF('Capacity summary'!$D$14="Yes",IF(COUNTBLANK('Capacity summary'!$H157:$BG157)&lt;52,IF('Capacity summary'!AL157&lt;&gt;"",IF(LOWER('Capacity summary'!AL157)="x",$BI38*AL38,VALUE('Capacity summary'!AL157)),0),AL38*$BI38),AL38*$BI38),0)</f>
        <v>0</v>
      </c>
      <c r="CP38" s="311">
        <f>IF($BI38&lt;&gt;"",IF('Capacity summary'!$D$14="Yes",IF(COUNTBLANK('Capacity summary'!$H157:$BG157)&lt;52,IF('Capacity summary'!AM157&lt;&gt;"",IF(LOWER('Capacity summary'!AM157)="x",$BI38*AM38,VALUE('Capacity summary'!AM157)),0),AM38*$BI38),AM38*$BI38),0)</f>
        <v>0</v>
      </c>
      <c r="CQ38" s="311">
        <f>IF($BI38&lt;&gt;"",IF('Capacity summary'!$D$14="Yes",IF(COUNTBLANK('Capacity summary'!$H157:$BG157)&lt;52,IF('Capacity summary'!AN157&lt;&gt;"",IF(LOWER('Capacity summary'!AN157)="x",$BI38*AN38,VALUE('Capacity summary'!AN157)),0),AN38*$BI38),AN38*$BI38),0)</f>
        <v>0</v>
      </c>
      <c r="CR38" s="311">
        <f>IF($BI38&lt;&gt;"",IF('Capacity summary'!$D$14="Yes",IF(COUNTBLANK('Capacity summary'!$H157:$BG157)&lt;52,IF('Capacity summary'!AO157&lt;&gt;"",IF(LOWER('Capacity summary'!AO157)="x",$BI38*AO38,VALUE('Capacity summary'!AO157)),0),AO38*$BI38),AO38*$BI38),0)</f>
        <v>0</v>
      </c>
      <c r="CS38" s="311">
        <f>IF($BI38&lt;&gt;"",IF('Capacity summary'!$D$14="Yes",IF(COUNTBLANK('Capacity summary'!$H157:$BG157)&lt;52,IF('Capacity summary'!AP157&lt;&gt;"",IF(LOWER('Capacity summary'!AP157)="x",$BI38*AP38,VALUE('Capacity summary'!AP157)),0),AP38*$BI38),AP38*$BI38),0)</f>
        <v>0</v>
      </c>
      <c r="CT38" s="311">
        <f>IF($BI38&lt;&gt;"",IF('Capacity summary'!$D$14="Yes",IF(COUNTBLANK('Capacity summary'!$H157:$BG157)&lt;52,IF('Capacity summary'!AQ157&lt;&gt;"",IF(LOWER('Capacity summary'!AQ157)="x",$BI38*AQ38,VALUE('Capacity summary'!AQ157)),0),AQ38*$BI38),AQ38*$BI38),0)</f>
        <v>0</v>
      </c>
      <c r="CU38" s="311">
        <f>IF($BI38&lt;&gt;"",IF('Capacity summary'!$D$14="Yes",IF(COUNTBLANK('Capacity summary'!$H157:$BG157)&lt;52,IF('Capacity summary'!AR157&lt;&gt;"",IF(LOWER('Capacity summary'!AR157)="x",$BI38*AR38,VALUE('Capacity summary'!AR157)),0),AR38*$BI38),AR38*$BI38),0)</f>
        <v>0</v>
      </c>
      <c r="CV38" s="311">
        <f>IF($BI38&lt;&gt;"",IF('Capacity summary'!$D$14="Yes",IF(COUNTBLANK('Capacity summary'!$H157:$BG157)&lt;52,IF('Capacity summary'!AS157&lt;&gt;"",IF(LOWER('Capacity summary'!AS157)="x",$BI38*AS38,VALUE('Capacity summary'!AS157)),0),AS38*$BI38),AS38*$BI38),0)</f>
        <v>0</v>
      </c>
      <c r="CW38" s="311">
        <f>IF($BI38&lt;&gt;"",IF('Capacity summary'!$D$14="Yes",IF(COUNTBLANK('Capacity summary'!$H157:$BG157)&lt;52,IF('Capacity summary'!AT157&lt;&gt;"",IF(LOWER('Capacity summary'!AT157)="x",$BI38*AT38,VALUE('Capacity summary'!AT157)),0),AT38*$BI38),AT38*$BI38),0)</f>
        <v>0</v>
      </c>
      <c r="CX38" s="311">
        <f>IF($BI38&lt;&gt;"",IF('Capacity summary'!$D$14="Yes",IF(COUNTBLANK('Capacity summary'!$H157:$BG157)&lt;52,IF('Capacity summary'!AU157&lt;&gt;"",IF(LOWER('Capacity summary'!AU157)="x",$BI38*AU38,VALUE('Capacity summary'!AU157)),0),AU38*$BI38),AU38*$BI38),0)</f>
        <v>0</v>
      </c>
      <c r="CY38" s="311">
        <f>IF($BI38&lt;&gt;"",IF('Capacity summary'!$D$14="Yes",IF(COUNTBLANK('Capacity summary'!$H157:$BG157)&lt;52,IF('Capacity summary'!AV157&lt;&gt;"",IF(LOWER('Capacity summary'!AV157)="x",$BI38*AV38,VALUE('Capacity summary'!AV157)),0),AV38*$BI38),AV38*$BI38),0)</f>
        <v>0</v>
      </c>
      <c r="CZ38" s="311">
        <f>IF($BI38&lt;&gt;"",IF('Capacity summary'!$D$14="Yes",IF(COUNTBLANK('Capacity summary'!$H157:$BG157)&lt;52,IF('Capacity summary'!AW157&lt;&gt;"",IF(LOWER('Capacity summary'!AW157)="x",$BI38*AW38,VALUE('Capacity summary'!AW157)),0),AW38*$BI38),AW38*$BI38),0)</f>
        <v>0</v>
      </c>
      <c r="DA38" s="311">
        <f>IF($BI38&lt;&gt;"",IF('Capacity summary'!$D$14="Yes",IF(COUNTBLANK('Capacity summary'!$H157:$BG157)&lt;52,IF('Capacity summary'!AX157&lt;&gt;"",IF(LOWER('Capacity summary'!AX157)="x",$BI38*AX38,VALUE('Capacity summary'!AX157)),0),AX38*$BI38),AX38*$BI38),0)</f>
        <v>0</v>
      </c>
      <c r="DB38" s="311">
        <f>IF($BI38&lt;&gt;"",IF('Capacity summary'!$D$14="Yes",IF(COUNTBLANK('Capacity summary'!$H157:$BG157)&lt;52,IF('Capacity summary'!AY157&lt;&gt;"",IF(LOWER('Capacity summary'!AY157)="x",$BI38*AY38,VALUE('Capacity summary'!AY157)),0),AY38*$BI38),AY38*$BI38),0)</f>
        <v>0</v>
      </c>
      <c r="DC38" s="311">
        <f>IF($BI38&lt;&gt;"",IF('Capacity summary'!$D$14="Yes",IF(COUNTBLANK('Capacity summary'!$H157:$BG157)&lt;52,IF('Capacity summary'!AZ157&lt;&gt;"",IF(LOWER('Capacity summary'!AZ157)="x",$BI38*AZ38,VALUE('Capacity summary'!AZ157)),0),AZ38*$BI38),AZ38*$BI38),0)</f>
        <v>0</v>
      </c>
      <c r="DD38" s="311">
        <f>IF($BI38&lt;&gt;"",IF('Capacity summary'!$D$14="Yes",IF(COUNTBLANK('Capacity summary'!$H157:$BG157)&lt;52,IF('Capacity summary'!BA157&lt;&gt;"",IF(LOWER('Capacity summary'!BA157)="x",$BI38*BA38,VALUE('Capacity summary'!BA157)),0),BA38*$BI38),BA38*$BI38),0)</f>
        <v>0</v>
      </c>
      <c r="DE38" s="311">
        <f>IF($BI38&lt;&gt;"",IF('Capacity summary'!$D$14="Yes",IF(COUNTBLANK('Capacity summary'!$H157:$BG157)&lt;52,IF('Capacity summary'!BB157&lt;&gt;"",IF(LOWER('Capacity summary'!BB157)="x",$BI38*BB38,VALUE('Capacity summary'!BB157)),0),BB38*$BI38),BB38*$BI38),0)</f>
        <v>0</v>
      </c>
      <c r="DF38" s="311">
        <f>IF($BI38&lt;&gt;"",IF('Capacity summary'!$D$14="Yes",IF(COUNTBLANK('Capacity summary'!$H157:$BG157)&lt;52,IF('Capacity summary'!BC157&lt;&gt;"",IF(LOWER('Capacity summary'!BC157)="x",$BI38*BC38,VALUE('Capacity summary'!BC157)),0),BC38*$BI38),BC38*$BI38),0)</f>
        <v>0</v>
      </c>
      <c r="DG38" s="311">
        <f>IF($BI38&lt;&gt;"",IF('Capacity summary'!$D$14="Yes",IF(COUNTBLANK('Capacity summary'!$H157:$BG157)&lt;52,IF('Capacity summary'!BD157&lt;&gt;"",IF(LOWER('Capacity summary'!BD157)="x",$BI38*BD38,VALUE('Capacity summary'!BD157)),0),BD38*$BI38),BD38*$BI38),0)</f>
        <v>0</v>
      </c>
      <c r="DH38" s="311">
        <f>IF($BI38&lt;&gt;"",IF('Capacity summary'!$D$14="Yes",IF(COUNTBLANK('Capacity summary'!$H157:$BG157)&lt;52,IF('Capacity summary'!BE157&lt;&gt;"",IF(LOWER('Capacity summary'!BE157)="x",$BI38*BE38,VALUE('Capacity summary'!BE157)),0),BE38*$BI38),BE38*$BI38),0)</f>
        <v>0</v>
      </c>
      <c r="DI38" s="311">
        <f>IF($BI38&lt;&gt;"",IF('Capacity summary'!$D$14="Yes",IF(COUNTBLANK('Capacity summary'!$H157:$BG157)&lt;52,IF('Capacity summary'!BF157&lt;&gt;"",IF(LOWER('Capacity summary'!BF157)="x",$BI38*BF38,VALUE('Capacity summary'!BF157)),0),BF38*$BI38),BF38*$BI38),0)</f>
        <v>0</v>
      </c>
      <c r="DJ38" s="311">
        <f>IF($BI38&lt;&gt;"",IF('Capacity summary'!$D$14="Yes",IF(COUNTBLANK('Capacity summary'!$H157:$BG157)&lt;52,IF('Capacity summary'!BG157&lt;&gt;"",IF(LOWER('Capacity summary'!BG157)="x",$BI38*BG38,VALUE('Capacity summary'!BG157)),0),BG38*$BI38),BG38*$BI38),0)</f>
        <v>0</v>
      </c>
      <c r="DK38" s="387">
        <f t="shared" si="2"/>
        <v>0</v>
      </c>
      <c r="DL38" s="136">
        <f t="shared" si="3"/>
        <v>0</v>
      </c>
      <c r="DM38" s="311" t="str">
        <f>Capacity!H50</f>
        <v/>
      </c>
      <c r="DQ38" s="5"/>
    </row>
    <row r="39" spans="1:121" x14ac:dyDescent="0.2">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1">
        <f>IF($BI39&lt;&gt;"",IF('Capacity summary'!$D$14="Yes",IF(COUNTBLANK('Capacity summary'!$H158:$BG158)&lt;52,IF('Capacity summary'!H158&lt;&gt;"",IF(LOWER('Capacity summary'!H158)="x",$BI39*H39,VALUE('Capacity summary'!H158)),0),H39*$BI39),H39*$BI39),0)</f>
        <v>0</v>
      </c>
      <c r="BL39" s="311">
        <f>IF($BI39&lt;&gt;"",IF('Capacity summary'!$D$14="Yes",IF(COUNTBLANK('Capacity summary'!$H158:$BG158)&lt;52,IF('Capacity summary'!I158&lt;&gt;"",IF(LOWER('Capacity summary'!I158)="x",$BI39*I39,VALUE('Capacity summary'!I158)),0),I39*$BI39),I39*$BI39),0)</f>
        <v>0</v>
      </c>
      <c r="BM39" s="311">
        <f>IF($BI39&lt;&gt;"",IF('Capacity summary'!$D$14="Yes",IF(COUNTBLANK('Capacity summary'!$H158:$BG158)&lt;52,IF('Capacity summary'!J158&lt;&gt;"",IF(LOWER('Capacity summary'!J158)="x",$BI39*J39,VALUE('Capacity summary'!J158)),0),J39*$BI39),J39*$BI39),0)</f>
        <v>0</v>
      </c>
      <c r="BN39" s="311">
        <f>IF($BI39&lt;&gt;"",IF('Capacity summary'!$D$14="Yes",IF(COUNTBLANK('Capacity summary'!$H158:$BG158)&lt;52,IF('Capacity summary'!K158&lt;&gt;"",IF(LOWER('Capacity summary'!K158)="x",$BI39*K39,VALUE('Capacity summary'!K158)),0),K39*$BI39),K39*$BI39),0)</f>
        <v>0</v>
      </c>
      <c r="BO39" s="311">
        <f>IF($BI39&lt;&gt;"",IF('Capacity summary'!$D$14="Yes",IF(COUNTBLANK('Capacity summary'!$H158:$BG158)&lt;52,IF('Capacity summary'!L158&lt;&gt;"",IF(LOWER('Capacity summary'!L158)="x",$BI39*L39,VALUE('Capacity summary'!L158)),0),L39*$BI39),L39*$BI39),0)</f>
        <v>0</v>
      </c>
      <c r="BP39" s="311">
        <f>IF($BI39&lt;&gt;"",IF('Capacity summary'!$D$14="Yes",IF(COUNTBLANK('Capacity summary'!$H158:$BG158)&lt;52,IF('Capacity summary'!M158&lt;&gt;"",IF(LOWER('Capacity summary'!M158)="x",$BI39*M39,VALUE('Capacity summary'!M158)),0),M39*$BI39),M39*$BI39),0)</f>
        <v>0</v>
      </c>
      <c r="BQ39" s="311">
        <f>IF($BI39&lt;&gt;"",IF('Capacity summary'!$D$14="Yes",IF(COUNTBLANK('Capacity summary'!$H158:$BG158)&lt;52,IF('Capacity summary'!N158&lt;&gt;"",IF(LOWER('Capacity summary'!N158)="x",$BI39*N39,VALUE('Capacity summary'!N158)),0),N39*$BI39),N39*$BI39),0)</f>
        <v>0</v>
      </c>
      <c r="BR39" s="311">
        <f>IF($BI39&lt;&gt;"",IF('Capacity summary'!$D$14="Yes",IF(COUNTBLANK('Capacity summary'!$H158:$BG158)&lt;52,IF('Capacity summary'!O158&lt;&gt;"",IF(LOWER('Capacity summary'!O158)="x",$BI39*O39,VALUE('Capacity summary'!O158)),0),O39*$BI39),O39*$BI39),0)</f>
        <v>0</v>
      </c>
      <c r="BS39" s="311">
        <f>IF($BI39&lt;&gt;"",IF('Capacity summary'!$D$14="Yes",IF(COUNTBLANK('Capacity summary'!$H158:$BG158)&lt;52,IF('Capacity summary'!P158&lt;&gt;"",IF(LOWER('Capacity summary'!P158)="x",$BI39*P39,VALUE('Capacity summary'!P158)),0),P39*$BI39),P39*$BI39),0)</f>
        <v>0</v>
      </c>
      <c r="BT39" s="311">
        <f>IF($BI39&lt;&gt;"",IF('Capacity summary'!$D$14="Yes",IF(COUNTBLANK('Capacity summary'!$H158:$BG158)&lt;52,IF('Capacity summary'!Q158&lt;&gt;"",IF(LOWER('Capacity summary'!Q158)="x",$BI39*Q39,VALUE('Capacity summary'!Q158)),0),Q39*$BI39),Q39*$BI39),0)</f>
        <v>0</v>
      </c>
      <c r="BU39" s="311">
        <f>IF($BI39&lt;&gt;"",IF('Capacity summary'!$D$14="Yes",IF(COUNTBLANK('Capacity summary'!$H158:$BG158)&lt;52,IF('Capacity summary'!R158&lt;&gt;"",IF(LOWER('Capacity summary'!R158)="x",$BI39*R39,VALUE('Capacity summary'!R158)),0),R39*$BI39),R39*$BI39),0)</f>
        <v>0</v>
      </c>
      <c r="BV39" s="311">
        <f>IF($BI39&lt;&gt;"",IF('Capacity summary'!$D$14="Yes",IF(COUNTBLANK('Capacity summary'!$H158:$BG158)&lt;52,IF('Capacity summary'!S158&lt;&gt;"",IF(LOWER('Capacity summary'!S158)="x",$BI39*S39,VALUE('Capacity summary'!S158)),0),S39*$BI39),S39*$BI39),0)</f>
        <v>0</v>
      </c>
      <c r="BW39" s="311">
        <f>IF($BI39&lt;&gt;"",IF('Capacity summary'!$D$14="Yes",IF(COUNTBLANK('Capacity summary'!$H158:$BG158)&lt;52,IF('Capacity summary'!T158&lt;&gt;"",IF(LOWER('Capacity summary'!T158)="x",$BI39*T39,VALUE('Capacity summary'!T158)),0),T39*$BI39),T39*$BI39),0)</f>
        <v>0</v>
      </c>
      <c r="BX39" s="311">
        <f>IF($BI39&lt;&gt;"",IF('Capacity summary'!$D$14="Yes",IF(COUNTBLANK('Capacity summary'!$H158:$BG158)&lt;52,IF('Capacity summary'!U158&lt;&gt;"",IF(LOWER('Capacity summary'!U158)="x",$BI39*U39,VALUE('Capacity summary'!U158)),0),U39*$BI39),U39*$BI39),0)</f>
        <v>0</v>
      </c>
      <c r="BY39" s="311">
        <f>IF($BI39&lt;&gt;"",IF('Capacity summary'!$D$14="Yes",IF(COUNTBLANK('Capacity summary'!$H158:$BG158)&lt;52,IF('Capacity summary'!V158&lt;&gt;"",IF(LOWER('Capacity summary'!V158)="x",$BI39*V39,VALUE('Capacity summary'!V158)),0),V39*$BI39),V39*$BI39),0)</f>
        <v>0</v>
      </c>
      <c r="BZ39" s="311">
        <f>IF($BI39&lt;&gt;"",IF('Capacity summary'!$D$14="Yes",IF(COUNTBLANK('Capacity summary'!$H158:$BG158)&lt;52,IF('Capacity summary'!W158&lt;&gt;"",IF(LOWER('Capacity summary'!W158)="x",$BI39*W39,VALUE('Capacity summary'!W158)),0),W39*$BI39),W39*$BI39),0)</f>
        <v>0</v>
      </c>
      <c r="CA39" s="311">
        <f>IF($BI39&lt;&gt;"",IF('Capacity summary'!$D$14="Yes",IF(COUNTBLANK('Capacity summary'!$H158:$BG158)&lt;52,IF('Capacity summary'!X158&lt;&gt;"",IF(LOWER('Capacity summary'!X158)="x",$BI39*X39,VALUE('Capacity summary'!X158)),0),X39*$BI39),X39*$BI39),0)</f>
        <v>0</v>
      </c>
      <c r="CB39" s="311">
        <f>IF($BI39&lt;&gt;"",IF('Capacity summary'!$D$14="Yes",IF(COUNTBLANK('Capacity summary'!$H158:$BG158)&lt;52,IF('Capacity summary'!Y158&lt;&gt;"",IF(LOWER('Capacity summary'!Y158)="x",$BI39*Y39,VALUE('Capacity summary'!Y158)),0),Y39*$BI39),Y39*$BI39),0)</f>
        <v>0</v>
      </c>
      <c r="CC39" s="311">
        <f>IF($BI39&lt;&gt;"",IF('Capacity summary'!$D$14="Yes",IF(COUNTBLANK('Capacity summary'!$H158:$BG158)&lt;52,IF('Capacity summary'!Z158&lt;&gt;"",IF(LOWER('Capacity summary'!Z158)="x",$BI39*Z39,VALUE('Capacity summary'!Z158)),0),Z39*$BI39),Z39*$BI39),0)</f>
        <v>0</v>
      </c>
      <c r="CD39" s="311">
        <f>IF($BI39&lt;&gt;"",IF('Capacity summary'!$D$14="Yes",IF(COUNTBLANK('Capacity summary'!$H158:$BG158)&lt;52,IF('Capacity summary'!AA158&lt;&gt;"",IF(LOWER('Capacity summary'!AA158)="x",$BI39*AA39,VALUE('Capacity summary'!AA158)),0),AA39*$BI39),AA39*$BI39),0)</f>
        <v>0</v>
      </c>
      <c r="CE39" s="311">
        <f>IF($BI39&lt;&gt;"",IF('Capacity summary'!$D$14="Yes",IF(COUNTBLANK('Capacity summary'!$H158:$BG158)&lt;52,IF('Capacity summary'!AB158&lt;&gt;"",IF(LOWER('Capacity summary'!AB158)="x",$BI39*AB39,VALUE('Capacity summary'!AB158)),0),AB39*$BI39),AB39*$BI39),0)</f>
        <v>0</v>
      </c>
      <c r="CF39" s="311">
        <f>IF($BI39&lt;&gt;"",IF('Capacity summary'!$D$14="Yes",IF(COUNTBLANK('Capacity summary'!$H158:$BG158)&lt;52,IF('Capacity summary'!AC158&lt;&gt;"",IF(LOWER('Capacity summary'!AC158)="x",$BI39*AC39,VALUE('Capacity summary'!AC158)),0),AC39*$BI39),AC39*$BI39),0)</f>
        <v>0</v>
      </c>
      <c r="CG39" s="311">
        <f>IF($BI39&lt;&gt;"",IF('Capacity summary'!$D$14="Yes",IF(COUNTBLANK('Capacity summary'!$H158:$BG158)&lt;52,IF('Capacity summary'!AD158&lt;&gt;"",IF(LOWER('Capacity summary'!AD158)="x",$BI39*AD39,VALUE('Capacity summary'!AD158)),0),AD39*$BI39),AD39*$BI39),0)</f>
        <v>0</v>
      </c>
      <c r="CH39" s="311">
        <f>IF($BI39&lt;&gt;"",IF('Capacity summary'!$D$14="Yes",IF(COUNTBLANK('Capacity summary'!$H158:$BG158)&lt;52,IF('Capacity summary'!AE158&lt;&gt;"",IF(LOWER('Capacity summary'!AE158)="x",$BI39*AE39,VALUE('Capacity summary'!AE158)),0),AE39*$BI39),AE39*$BI39),0)</f>
        <v>0</v>
      </c>
      <c r="CI39" s="311">
        <f>IF($BI39&lt;&gt;"",IF('Capacity summary'!$D$14="Yes",IF(COUNTBLANK('Capacity summary'!$H158:$BG158)&lt;52,IF('Capacity summary'!AF158&lt;&gt;"",IF(LOWER('Capacity summary'!AF158)="x",$BI39*AF39,VALUE('Capacity summary'!AF158)),0),AF39*$BI39),AF39*$BI39),0)</f>
        <v>0</v>
      </c>
      <c r="CJ39" s="311">
        <f>IF($BI39&lt;&gt;"",IF('Capacity summary'!$D$14="Yes",IF(COUNTBLANK('Capacity summary'!$H158:$BG158)&lt;52,IF('Capacity summary'!AG158&lt;&gt;"",IF(LOWER('Capacity summary'!AG158)="x",$BI39*AG39,VALUE('Capacity summary'!AG158)),0),AG39*$BI39),AG39*$BI39),0)</f>
        <v>0</v>
      </c>
      <c r="CK39" s="311">
        <f>IF($BI39&lt;&gt;"",IF('Capacity summary'!$D$14="Yes",IF(COUNTBLANK('Capacity summary'!$H158:$BG158)&lt;52,IF('Capacity summary'!AH158&lt;&gt;"",IF(LOWER('Capacity summary'!AH158)="x",$BI39*AH39,VALUE('Capacity summary'!AH158)),0),AH39*$BI39),AH39*$BI39),0)</f>
        <v>0</v>
      </c>
      <c r="CL39" s="311">
        <f>IF($BI39&lt;&gt;"",IF('Capacity summary'!$D$14="Yes",IF(COUNTBLANK('Capacity summary'!$H158:$BG158)&lt;52,IF('Capacity summary'!AI158&lt;&gt;"",IF(LOWER('Capacity summary'!AI158)="x",$BI39*AI39,VALUE('Capacity summary'!AI158)),0),AI39*$BI39),AI39*$BI39),0)</f>
        <v>0</v>
      </c>
      <c r="CM39" s="311">
        <f>IF($BI39&lt;&gt;"",IF('Capacity summary'!$D$14="Yes",IF(COUNTBLANK('Capacity summary'!$H158:$BG158)&lt;52,IF('Capacity summary'!AJ158&lt;&gt;"",IF(LOWER('Capacity summary'!AJ158)="x",$BI39*AJ39,VALUE('Capacity summary'!AJ158)),0),AJ39*$BI39),AJ39*$BI39),0)</f>
        <v>0</v>
      </c>
      <c r="CN39" s="311">
        <f>IF($BI39&lt;&gt;"",IF('Capacity summary'!$D$14="Yes",IF(COUNTBLANK('Capacity summary'!$H158:$BG158)&lt;52,IF('Capacity summary'!AK158&lt;&gt;"",IF(LOWER('Capacity summary'!AK158)="x",$BI39*AK39,VALUE('Capacity summary'!AK158)),0),AK39*$BI39),AK39*$BI39),0)</f>
        <v>0</v>
      </c>
      <c r="CO39" s="311">
        <f>IF($BI39&lt;&gt;"",IF('Capacity summary'!$D$14="Yes",IF(COUNTBLANK('Capacity summary'!$H158:$BG158)&lt;52,IF('Capacity summary'!AL158&lt;&gt;"",IF(LOWER('Capacity summary'!AL158)="x",$BI39*AL39,VALUE('Capacity summary'!AL158)),0),AL39*$BI39),AL39*$BI39),0)</f>
        <v>0</v>
      </c>
      <c r="CP39" s="311">
        <f>IF($BI39&lt;&gt;"",IF('Capacity summary'!$D$14="Yes",IF(COUNTBLANK('Capacity summary'!$H158:$BG158)&lt;52,IF('Capacity summary'!AM158&lt;&gt;"",IF(LOWER('Capacity summary'!AM158)="x",$BI39*AM39,VALUE('Capacity summary'!AM158)),0),AM39*$BI39),AM39*$BI39),0)</f>
        <v>0</v>
      </c>
      <c r="CQ39" s="311">
        <f>IF($BI39&lt;&gt;"",IF('Capacity summary'!$D$14="Yes",IF(COUNTBLANK('Capacity summary'!$H158:$BG158)&lt;52,IF('Capacity summary'!AN158&lt;&gt;"",IF(LOWER('Capacity summary'!AN158)="x",$BI39*AN39,VALUE('Capacity summary'!AN158)),0),AN39*$BI39),AN39*$BI39),0)</f>
        <v>0</v>
      </c>
      <c r="CR39" s="311">
        <f>IF($BI39&lt;&gt;"",IF('Capacity summary'!$D$14="Yes",IF(COUNTBLANK('Capacity summary'!$H158:$BG158)&lt;52,IF('Capacity summary'!AO158&lt;&gt;"",IF(LOWER('Capacity summary'!AO158)="x",$BI39*AO39,VALUE('Capacity summary'!AO158)),0),AO39*$BI39),AO39*$BI39),0)</f>
        <v>0</v>
      </c>
      <c r="CS39" s="311">
        <f>IF($BI39&lt;&gt;"",IF('Capacity summary'!$D$14="Yes",IF(COUNTBLANK('Capacity summary'!$H158:$BG158)&lt;52,IF('Capacity summary'!AP158&lt;&gt;"",IF(LOWER('Capacity summary'!AP158)="x",$BI39*AP39,VALUE('Capacity summary'!AP158)),0),AP39*$BI39),AP39*$BI39),0)</f>
        <v>0</v>
      </c>
      <c r="CT39" s="311">
        <f>IF($BI39&lt;&gt;"",IF('Capacity summary'!$D$14="Yes",IF(COUNTBLANK('Capacity summary'!$H158:$BG158)&lt;52,IF('Capacity summary'!AQ158&lt;&gt;"",IF(LOWER('Capacity summary'!AQ158)="x",$BI39*AQ39,VALUE('Capacity summary'!AQ158)),0),AQ39*$BI39),AQ39*$BI39),0)</f>
        <v>0</v>
      </c>
      <c r="CU39" s="311">
        <f>IF($BI39&lt;&gt;"",IF('Capacity summary'!$D$14="Yes",IF(COUNTBLANK('Capacity summary'!$H158:$BG158)&lt;52,IF('Capacity summary'!AR158&lt;&gt;"",IF(LOWER('Capacity summary'!AR158)="x",$BI39*AR39,VALUE('Capacity summary'!AR158)),0),AR39*$BI39),AR39*$BI39),0)</f>
        <v>0</v>
      </c>
      <c r="CV39" s="311">
        <f>IF($BI39&lt;&gt;"",IF('Capacity summary'!$D$14="Yes",IF(COUNTBLANK('Capacity summary'!$H158:$BG158)&lt;52,IF('Capacity summary'!AS158&lt;&gt;"",IF(LOWER('Capacity summary'!AS158)="x",$BI39*AS39,VALUE('Capacity summary'!AS158)),0),AS39*$BI39),AS39*$BI39),0)</f>
        <v>0</v>
      </c>
      <c r="CW39" s="311">
        <f>IF($BI39&lt;&gt;"",IF('Capacity summary'!$D$14="Yes",IF(COUNTBLANK('Capacity summary'!$H158:$BG158)&lt;52,IF('Capacity summary'!AT158&lt;&gt;"",IF(LOWER('Capacity summary'!AT158)="x",$BI39*AT39,VALUE('Capacity summary'!AT158)),0),AT39*$BI39),AT39*$BI39),0)</f>
        <v>0</v>
      </c>
      <c r="CX39" s="311">
        <f>IF($BI39&lt;&gt;"",IF('Capacity summary'!$D$14="Yes",IF(COUNTBLANK('Capacity summary'!$H158:$BG158)&lt;52,IF('Capacity summary'!AU158&lt;&gt;"",IF(LOWER('Capacity summary'!AU158)="x",$BI39*AU39,VALUE('Capacity summary'!AU158)),0),AU39*$BI39),AU39*$BI39),0)</f>
        <v>0</v>
      </c>
      <c r="CY39" s="311">
        <f>IF($BI39&lt;&gt;"",IF('Capacity summary'!$D$14="Yes",IF(COUNTBLANK('Capacity summary'!$H158:$BG158)&lt;52,IF('Capacity summary'!AV158&lt;&gt;"",IF(LOWER('Capacity summary'!AV158)="x",$BI39*AV39,VALUE('Capacity summary'!AV158)),0),AV39*$BI39),AV39*$BI39),0)</f>
        <v>0</v>
      </c>
      <c r="CZ39" s="311">
        <f>IF($BI39&lt;&gt;"",IF('Capacity summary'!$D$14="Yes",IF(COUNTBLANK('Capacity summary'!$H158:$BG158)&lt;52,IF('Capacity summary'!AW158&lt;&gt;"",IF(LOWER('Capacity summary'!AW158)="x",$BI39*AW39,VALUE('Capacity summary'!AW158)),0),AW39*$BI39),AW39*$BI39),0)</f>
        <v>0</v>
      </c>
      <c r="DA39" s="311">
        <f>IF($BI39&lt;&gt;"",IF('Capacity summary'!$D$14="Yes",IF(COUNTBLANK('Capacity summary'!$H158:$BG158)&lt;52,IF('Capacity summary'!AX158&lt;&gt;"",IF(LOWER('Capacity summary'!AX158)="x",$BI39*AX39,VALUE('Capacity summary'!AX158)),0),AX39*$BI39),AX39*$BI39),0)</f>
        <v>0</v>
      </c>
      <c r="DB39" s="311">
        <f>IF($BI39&lt;&gt;"",IF('Capacity summary'!$D$14="Yes",IF(COUNTBLANK('Capacity summary'!$H158:$BG158)&lt;52,IF('Capacity summary'!AY158&lt;&gt;"",IF(LOWER('Capacity summary'!AY158)="x",$BI39*AY39,VALUE('Capacity summary'!AY158)),0),AY39*$BI39),AY39*$BI39),0)</f>
        <v>0</v>
      </c>
      <c r="DC39" s="311">
        <f>IF($BI39&lt;&gt;"",IF('Capacity summary'!$D$14="Yes",IF(COUNTBLANK('Capacity summary'!$H158:$BG158)&lt;52,IF('Capacity summary'!AZ158&lt;&gt;"",IF(LOWER('Capacity summary'!AZ158)="x",$BI39*AZ39,VALUE('Capacity summary'!AZ158)),0),AZ39*$BI39),AZ39*$BI39),0)</f>
        <v>0</v>
      </c>
      <c r="DD39" s="311">
        <f>IF($BI39&lt;&gt;"",IF('Capacity summary'!$D$14="Yes",IF(COUNTBLANK('Capacity summary'!$H158:$BG158)&lt;52,IF('Capacity summary'!BA158&lt;&gt;"",IF(LOWER('Capacity summary'!BA158)="x",$BI39*BA39,VALUE('Capacity summary'!BA158)),0),BA39*$BI39),BA39*$BI39),0)</f>
        <v>0</v>
      </c>
      <c r="DE39" s="311">
        <f>IF($BI39&lt;&gt;"",IF('Capacity summary'!$D$14="Yes",IF(COUNTBLANK('Capacity summary'!$H158:$BG158)&lt;52,IF('Capacity summary'!BB158&lt;&gt;"",IF(LOWER('Capacity summary'!BB158)="x",$BI39*BB39,VALUE('Capacity summary'!BB158)),0),BB39*$BI39),BB39*$BI39),0)</f>
        <v>0</v>
      </c>
      <c r="DF39" s="311">
        <f>IF($BI39&lt;&gt;"",IF('Capacity summary'!$D$14="Yes",IF(COUNTBLANK('Capacity summary'!$H158:$BG158)&lt;52,IF('Capacity summary'!BC158&lt;&gt;"",IF(LOWER('Capacity summary'!BC158)="x",$BI39*BC39,VALUE('Capacity summary'!BC158)),0),BC39*$BI39),BC39*$BI39),0)</f>
        <v>0</v>
      </c>
      <c r="DG39" s="311">
        <f>IF($BI39&lt;&gt;"",IF('Capacity summary'!$D$14="Yes",IF(COUNTBLANK('Capacity summary'!$H158:$BG158)&lt;52,IF('Capacity summary'!BD158&lt;&gt;"",IF(LOWER('Capacity summary'!BD158)="x",$BI39*BD39,VALUE('Capacity summary'!BD158)),0),BD39*$BI39),BD39*$BI39),0)</f>
        <v>0</v>
      </c>
      <c r="DH39" s="311">
        <f>IF($BI39&lt;&gt;"",IF('Capacity summary'!$D$14="Yes",IF(COUNTBLANK('Capacity summary'!$H158:$BG158)&lt;52,IF('Capacity summary'!BE158&lt;&gt;"",IF(LOWER('Capacity summary'!BE158)="x",$BI39*BE39,VALUE('Capacity summary'!BE158)),0),BE39*$BI39),BE39*$BI39),0)</f>
        <v>0</v>
      </c>
      <c r="DI39" s="311">
        <f>IF($BI39&lt;&gt;"",IF('Capacity summary'!$D$14="Yes",IF(COUNTBLANK('Capacity summary'!$H158:$BG158)&lt;52,IF('Capacity summary'!BF158&lt;&gt;"",IF(LOWER('Capacity summary'!BF158)="x",$BI39*BF39,VALUE('Capacity summary'!BF158)),0),BF39*$BI39),BF39*$BI39),0)</f>
        <v>0</v>
      </c>
      <c r="DJ39" s="311">
        <f>IF($BI39&lt;&gt;"",IF('Capacity summary'!$D$14="Yes",IF(COUNTBLANK('Capacity summary'!$H158:$BG158)&lt;52,IF('Capacity summary'!BG158&lt;&gt;"",IF(LOWER('Capacity summary'!BG158)="x",$BI39*BG39,VALUE('Capacity summary'!BG158)),0),BG39*$BI39),BG39*$BI39),0)</f>
        <v>0</v>
      </c>
      <c r="DK39" s="387">
        <f t="shared" si="2"/>
        <v>0</v>
      </c>
      <c r="DL39" s="136">
        <f t="shared" si="3"/>
        <v>0</v>
      </c>
      <c r="DM39" s="311" t="str">
        <f>Capacity!H51</f>
        <v/>
      </c>
      <c r="DQ39" s="5"/>
    </row>
    <row r="40" spans="1:121" x14ac:dyDescent="0.2">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1">
        <f>IF($BI40&lt;&gt;"",IF('Capacity summary'!$D$14="Yes",IF(COUNTBLANK('Capacity summary'!$H159:$BG159)&lt;52,IF('Capacity summary'!H159&lt;&gt;"",IF(LOWER('Capacity summary'!H159)="x",$BI40*H40,VALUE('Capacity summary'!H159)),0),H40*$BI40),H40*$BI40),0)</f>
        <v>0</v>
      </c>
      <c r="BL40" s="311">
        <f>IF($BI40&lt;&gt;"",IF('Capacity summary'!$D$14="Yes",IF(COUNTBLANK('Capacity summary'!$H159:$BG159)&lt;52,IF('Capacity summary'!I159&lt;&gt;"",IF(LOWER('Capacity summary'!I159)="x",$BI40*I40,VALUE('Capacity summary'!I159)),0),I40*$BI40),I40*$BI40),0)</f>
        <v>0</v>
      </c>
      <c r="BM40" s="311">
        <f>IF($BI40&lt;&gt;"",IF('Capacity summary'!$D$14="Yes",IF(COUNTBLANK('Capacity summary'!$H159:$BG159)&lt;52,IF('Capacity summary'!J159&lt;&gt;"",IF(LOWER('Capacity summary'!J159)="x",$BI40*J40,VALUE('Capacity summary'!J159)),0),J40*$BI40),J40*$BI40),0)</f>
        <v>0</v>
      </c>
      <c r="BN40" s="311">
        <f>IF($BI40&lt;&gt;"",IF('Capacity summary'!$D$14="Yes",IF(COUNTBLANK('Capacity summary'!$H159:$BG159)&lt;52,IF('Capacity summary'!K159&lt;&gt;"",IF(LOWER('Capacity summary'!K159)="x",$BI40*K40,VALUE('Capacity summary'!K159)),0),K40*$BI40),K40*$BI40),0)</f>
        <v>0</v>
      </c>
      <c r="BO40" s="311">
        <f>IF($BI40&lt;&gt;"",IF('Capacity summary'!$D$14="Yes",IF(COUNTBLANK('Capacity summary'!$H159:$BG159)&lt;52,IF('Capacity summary'!L159&lt;&gt;"",IF(LOWER('Capacity summary'!L159)="x",$BI40*L40,VALUE('Capacity summary'!L159)),0),L40*$BI40),L40*$BI40),0)</f>
        <v>0</v>
      </c>
      <c r="BP40" s="311">
        <f>IF($BI40&lt;&gt;"",IF('Capacity summary'!$D$14="Yes",IF(COUNTBLANK('Capacity summary'!$H159:$BG159)&lt;52,IF('Capacity summary'!M159&lt;&gt;"",IF(LOWER('Capacity summary'!M159)="x",$BI40*M40,VALUE('Capacity summary'!M159)),0),M40*$BI40),M40*$BI40),0)</f>
        <v>0</v>
      </c>
      <c r="BQ40" s="311">
        <f>IF($BI40&lt;&gt;"",IF('Capacity summary'!$D$14="Yes",IF(COUNTBLANK('Capacity summary'!$H159:$BG159)&lt;52,IF('Capacity summary'!N159&lt;&gt;"",IF(LOWER('Capacity summary'!N159)="x",$BI40*N40,VALUE('Capacity summary'!N159)),0),N40*$BI40),N40*$BI40),0)</f>
        <v>0</v>
      </c>
      <c r="BR40" s="311">
        <f>IF($BI40&lt;&gt;"",IF('Capacity summary'!$D$14="Yes",IF(COUNTBLANK('Capacity summary'!$H159:$BG159)&lt;52,IF('Capacity summary'!O159&lt;&gt;"",IF(LOWER('Capacity summary'!O159)="x",$BI40*O40,VALUE('Capacity summary'!O159)),0),O40*$BI40),O40*$BI40),0)</f>
        <v>0</v>
      </c>
      <c r="BS40" s="311">
        <f>IF($BI40&lt;&gt;"",IF('Capacity summary'!$D$14="Yes",IF(COUNTBLANK('Capacity summary'!$H159:$BG159)&lt;52,IF('Capacity summary'!P159&lt;&gt;"",IF(LOWER('Capacity summary'!P159)="x",$BI40*P40,VALUE('Capacity summary'!P159)),0),P40*$BI40),P40*$BI40),0)</f>
        <v>0</v>
      </c>
      <c r="BT40" s="311">
        <f>IF($BI40&lt;&gt;"",IF('Capacity summary'!$D$14="Yes",IF(COUNTBLANK('Capacity summary'!$H159:$BG159)&lt;52,IF('Capacity summary'!Q159&lt;&gt;"",IF(LOWER('Capacity summary'!Q159)="x",$BI40*Q40,VALUE('Capacity summary'!Q159)),0),Q40*$BI40),Q40*$BI40),0)</f>
        <v>0</v>
      </c>
      <c r="BU40" s="311">
        <f>IF($BI40&lt;&gt;"",IF('Capacity summary'!$D$14="Yes",IF(COUNTBLANK('Capacity summary'!$H159:$BG159)&lt;52,IF('Capacity summary'!R159&lt;&gt;"",IF(LOWER('Capacity summary'!R159)="x",$BI40*R40,VALUE('Capacity summary'!R159)),0),R40*$BI40),R40*$BI40),0)</f>
        <v>0</v>
      </c>
      <c r="BV40" s="311">
        <f>IF($BI40&lt;&gt;"",IF('Capacity summary'!$D$14="Yes",IF(COUNTBLANK('Capacity summary'!$H159:$BG159)&lt;52,IF('Capacity summary'!S159&lt;&gt;"",IF(LOWER('Capacity summary'!S159)="x",$BI40*S40,VALUE('Capacity summary'!S159)),0),S40*$BI40),S40*$BI40),0)</f>
        <v>0</v>
      </c>
      <c r="BW40" s="311">
        <f>IF($BI40&lt;&gt;"",IF('Capacity summary'!$D$14="Yes",IF(COUNTBLANK('Capacity summary'!$H159:$BG159)&lt;52,IF('Capacity summary'!T159&lt;&gt;"",IF(LOWER('Capacity summary'!T159)="x",$BI40*T40,VALUE('Capacity summary'!T159)),0),T40*$BI40),T40*$BI40),0)</f>
        <v>0</v>
      </c>
      <c r="BX40" s="311">
        <f>IF($BI40&lt;&gt;"",IF('Capacity summary'!$D$14="Yes",IF(COUNTBLANK('Capacity summary'!$H159:$BG159)&lt;52,IF('Capacity summary'!U159&lt;&gt;"",IF(LOWER('Capacity summary'!U159)="x",$BI40*U40,VALUE('Capacity summary'!U159)),0),U40*$BI40),U40*$BI40),0)</f>
        <v>0</v>
      </c>
      <c r="BY40" s="311">
        <f>IF($BI40&lt;&gt;"",IF('Capacity summary'!$D$14="Yes",IF(COUNTBLANK('Capacity summary'!$H159:$BG159)&lt;52,IF('Capacity summary'!V159&lt;&gt;"",IF(LOWER('Capacity summary'!V159)="x",$BI40*V40,VALUE('Capacity summary'!V159)),0),V40*$BI40),V40*$BI40),0)</f>
        <v>0</v>
      </c>
      <c r="BZ40" s="311">
        <f>IF($BI40&lt;&gt;"",IF('Capacity summary'!$D$14="Yes",IF(COUNTBLANK('Capacity summary'!$H159:$BG159)&lt;52,IF('Capacity summary'!W159&lt;&gt;"",IF(LOWER('Capacity summary'!W159)="x",$BI40*W40,VALUE('Capacity summary'!W159)),0),W40*$BI40),W40*$BI40),0)</f>
        <v>0</v>
      </c>
      <c r="CA40" s="311">
        <f>IF($BI40&lt;&gt;"",IF('Capacity summary'!$D$14="Yes",IF(COUNTBLANK('Capacity summary'!$H159:$BG159)&lt;52,IF('Capacity summary'!X159&lt;&gt;"",IF(LOWER('Capacity summary'!X159)="x",$BI40*X40,VALUE('Capacity summary'!X159)),0),X40*$BI40),X40*$BI40),0)</f>
        <v>0</v>
      </c>
      <c r="CB40" s="311">
        <f>IF($BI40&lt;&gt;"",IF('Capacity summary'!$D$14="Yes",IF(COUNTBLANK('Capacity summary'!$H159:$BG159)&lt;52,IF('Capacity summary'!Y159&lt;&gt;"",IF(LOWER('Capacity summary'!Y159)="x",$BI40*Y40,VALUE('Capacity summary'!Y159)),0),Y40*$BI40),Y40*$BI40),0)</f>
        <v>0</v>
      </c>
      <c r="CC40" s="311">
        <f>IF($BI40&lt;&gt;"",IF('Capacity summary'!$D$14="Yes",IF(COUNTBLANK('Capacity summary'!$H159:$BG159)&lt;52,IF('Capacity summary'!Z159&lt;&gt;"",IF(LOWER('Capacity summary'!Z159)="x",$BI40*Z40,VALUE('Capacity summary'!Z159)),0),Z40*$BI40),Z40*$BI40),0)</f>
        <v>0</v>
      </c>
      <c r="CD40" s="311">
        <f>IF($BI40&lt;&gt;"",IF('Capacity summary'!$D$14="Yes",IF(COUNTBLANK('Capacity summary'!$H159:$BG159)&lt;52,IF('Capacity summary'!AA159&lt;&gt;"",IF(LOWER('Capacity summary'!AA159)="x",$BI40*AA40,VALUE('Capacity summary'!AA159)),0),AA40*$BI40),AA40*$BI40),0)</f>
        <v>0</v>
      </c>
      <c r="CE40" s="311">
        <f>IF($BI40&lt;&gt;"",IF('Capacity summary'!$D$14="Yes",IF(COUNTBLANK('Capacity summary'!$H159:$BG159)&lt;52,IF('Capacity summary'!AB159&lt;&gt;"",IF(LOWER('Capacity summary'!AB159)="x",$BI40*AB40,VALUE('Capacity summary'!AB159)),0),AB40*$BI40),AB40*$BI40),0)</f>
        <v>0</v>
      </c>
      <c r="CF40" s="311">
        <f>IF($BI40&lt;&gt;"",IF('Capacity summary'!$D$14="Yes",IF(COUNTBLANK('Capacity summary'!$H159:$BG159)&lt;52,IF('Capacity summary'!AC159&lt;&gt;"",IF(LOWER('Capacity summary'!AC159)="x",$BI40*AC40,VALUE('Capacity summary'!AC159)),0),AC40*$BI40),AC40*$BI40),0)</f>
        <v>0</v>
      </c>
      <c r="CG40" s="311">
        <f>IF($BI40&lt;&gt;"",IF('Capacity summary'!$D$14="Yes",IF(COUNTBLANK('Capacity summary'!$H159:$BG159)&lt;52,IF('Capacity summary'!AD159&lt;&gt;"",IF(LOWER('Capacity summary'!AD159)="x",$BI40*AD40,VALUE('Capacity summary'!AD159)),0),AD40*$BI40),AD40*$BI40),0)</f>
        <v>0</v>
      </c>
      <c r="CH40" s="311">
        <f>IF($BI40&lt;&gt;"",IF('Capacity summary'!$D$14="Yes",IF(COUNTBLANK('Capacity summary'!$H159:$BG159)&lt;52,IF('Capacity summary'!AE159&lt;&gt;"",IF(LOWER('Capacity summary'!AE159)="x",$BI40*AE40,VALUE('Capacity summary'!AE159)),0),AE40*$BI40),AE40*$BI40),0)</f>
        <v>0</v>
      </c>
      <c r="CI40" s="311">
        <f>IF($BI40&lt;&gt;"",IF('Capacity summary'!$D$14="Yes",IF(COUNTBLANK('Capacity summary'!$H159:$BG159)&lt;52,IF('Capacity summary'!AF159&lt;&gt;"",IF(LOWER('Capacity summary'!AF159)="x",$BI40*AF40,VALUE('Capacity summary'!AF159)),0),AF40*$BI40),AF40*$BI40),0)</f>
        <v>0</v>
      </c>
      <c r="CJ40" s="311">
        <f>IF($BI40&lt;&gt;"",IF('Capacity summary'!$D$14="Yes",IF(COUNTBLANK('Capacity summary'!$H159:$BG159)&lt;52,IF('Capacity summary'!AG159&lt;&gt;"",IF(LOWER('Capacity summary'!AG159)="x",$BI40*AG40,VALUE('Capacity summary'!AG159)),0),AG40*$BI40),AG40*$BI40),0)</f>
        <v>0</v>
      </c>
      <c r="CK40" s="311">
        <f>IF($BI40&lt;&gt;"",IF('Capacity summary'!$D$14="Yes",IF(COUNTBLANK('Capacity summary'!$H159:$BG159)&lt;52,IF('Capacity summary'!AH159&lt;&gt;"",IF(LOWER('Capacity summary'!AH159)="x",$BI40*AH40,VALUE('Capacity summary'!AH159)),0),AH40*$BI40),AH40*$BI40),0)</f>
        <v>0</v>
      </c>
      <c r="CL40" s="311">
        <f>IF($BI40&lt;&gt;"",IF('Capacity summary'!$D$14="Yes",IF(COUNTBLANK('Capacity summary'!$H159:$BG159)&lt;52,IF('Capacity summary'!AI159&lt;&gt;"",IF(LOWER('Capacity summary'!AI159)="x",$BI40*AI40,VALUE('Capacity summary'!AI159)),0),AI40*$BI40),AI40*$BI40),0)</f>
        <v>0</v>
      </c>
      <c r="CM40" s="311">
        <f>IF($BI40&lt;&gt;"",IF('Capacity summary'!$D$14="Yes",IF(COUNTBLANK('Capacity summary'!$H159:$BG159)&lt;52,IF('Capacity summary'!AJ159&lt;&gt;"",IF(LOWER('Capacity summary'!AJ159)="x",$BI40*AJ40,VALUE('Capacity summary'!AJ159)),0),AJ40*$BI40),AJ40*$BI40),0)</f>
        <v>0</v>
      </c>
      <c r="CN40" s="311">
        <f>IF($BI40&lt;&gt;"",IF('Capacity summary'!$D$14="Yes",IF(COUNTBLANK('Capacity summary'!$H159:$BG159)&lt;52,IF('Capacity summary'!AK159&lt;&gt;"",IF(LOWER('Capacity summary'!AK159)="x",$BI40*AK40,VALUE('Capacity summary'!AK159)),0),AK40*$BI40),AK40*$BI40),0)</f>
        <v>0</v>
      </c>
      <c r="CO40" s="311">
        <f>IF($BI40&lt;&gt;"",IF('Capacity summary'!$D$14="Yes",IF(COUNTBLANK('Capacity summary'!$H159:$BG159)&lt;52,IF('Capacity summary'!AL159&lt;&gt;"",IF(LOWER('Capacity summary'!AL159)="x",$BI40*AL40,VALUE('Capacity summary'!AL159)),0),AL40*$BI40),AL40*$BI40),0)</f>
        <v>0</v>
      </c>
      <c r="CP40" s="311">
        <f>IF($BI40&lt;&gt;"",IF('Capacity summary'!$D$14="Yes",IF(COUNTBLANK('Capacity summary'!$H159:$BG159)&lt;52,IF('Capacity summary'!AM159&lt;&gt;"",IF(LOWER('Capacity summary'!AM159)="x",$BI40*AM40,VALUE('Capacity summary'!AM159)),0),AM40*$BI40),AM40*$BI40),0)</f>
        <v>0</v>
      </c>
      <c r="CQ40" s="311">
        <f>IF($BI40&lt;&gt;"",IF('Capacity summary'!$D$14="Yes",IF(COUNTBLANK('Capacity summary'!$H159:$BG159)&lt;52,IF('Capacity summary'!AN159&lt;&gt;"",IF(LOWER('Capacity summary'!AN159)="x",$BI40*AN40,VALUE('Capacity summary'!AN159)),0),AN40*$BI40),AN40*$BI40),0)</f>
        <v>0</v>
      </c>
      <c r="CR40" s="311">
        <f>IF($BI40&lt;&gt;"",IF('Capacity summary'!$D$14="Yes",IF(COUNTBLANK('Capacity summary'!$H159:$BG159)&lt;52,IF('Capacity summary'!AO159&lt;&gt;"",IF(LOWER('Capacity summary'!AO159)="x",$BI40*AO40,VALUE('Capacity summary'!AO159)),0),AO40*$BI40),AO40*$BI40),0)</f>
        <v>0</v>
      </c>
      <c r="CS40" s="311">
        <f>IF($BI40&lt;&gt;"",IF('Capacity summary'!$D$14="Yes",IF(COUNTBLANK('Capacity summary'!$H159:$BG159)&lt;52,IF('Capacity summary'!AP159&lt;&gt;"",IF(LOWER('Capacity summary'!AP159)="x",$BI40*AP40,VALUE('Capacity summary'!AP159)),0),AP40*$BI40),AP40*$BI40),0)</f>
        <v>0</v>
      </c>
      <c r="CT40" s="311">
        <f>IF($BI40&lt;&gt;"",IF('Capacity summary'!$D$14="Yes",IF(COUNTBLANK('Capacity summary'!$H159:$BG159)&lt;52,IF('Capacity summary'!AQ159&lt;&gt;"",IF(LOWER('Capacity summary'!AQ159)="x",$BI40*AQ40,VALUE('Capacity summary'!AQ159)),0),AQ40*$BI40),AQ40*$BI40),0)</f>
        <v>0</v>
      </c>
      <c r="CU40" s="311">
        <f>IF($BI40&lt;&gt;"",IF('Capacity summary'!$D$14="Yes",IF(COUNTBLANK('Capacity summary'!$H159:$BG159)&lt;52,IF('Capacity summary'!AR159&lt;&gt;"",IF(LOWER('Capacity summary'!AR159)="x",$BI40*AR40,VALUE('Capacity summary'!AR159)),0),AR40*$BI40),AR40*$BI40),0)</f>
        <v>0</v>
      </c>
      <c r="CV40" s="311">
        <f>IF($BI40&lt;&gt;"",IF('Capacity summary'!$D$14="Yes",IF(COUNTBLANK('Capacity summary'!$H159:$BG159)&lt;52,IF('Capacity summary'!AS159&lt;&gt;"",IF(LOWER('Capacity summary'!AS159)="x",$BI40*AS40,VALUE('Capacity summary'!AS159)),0),AS40*$BI40),AS40*$BI40),0)</f>
        <v>0</v>
      </c>
      <c r="CW40" s="311">
        <f>IF($BI40&lt;&gt;"",IF('Capacity summary'!$D$14="Yes",IF(COUNTBLANK('Capacity summary'!$H159:$BG159)&lt;52,IF('Capacity summary'!AT159&lt;&gt;"",IF(LOWER('Capacity summary'!AT159)="x",$BI40*AT40,VALUE('Capacity summary'!AT159)),0),AT40*$BI40),AT40*$BI40),0)</f>
        <v>0</v>
      </c>
      <c r="CX40" s="311">
        <f>IF($BI40&lt;&gt;"",IF('Capacity summary'!$D$14="Yes",IF(COUNTBLANK('Capacity summary'!$H159:$BG159)&lt;52,IF('Capacity summary'!AU159&lt;&gt;"",IF(LOWER('Capacity summary'!AU159)="x",$BI40*AU40,VALUE('Capacity summary'!AU159)),0),AU40*$BI40),AU40*$BI40),0)</f>
        <v>0</v>
      </c>
      <c r="CY40" s="311">
        <f>IF($BI40&lt;&gt;"",IF('Capacity summary'!$D$14="Yes",IF(COUNTBLANK('Capacity summary'!$H159:$BG159)&lt;52,IF('Capacity summary'!AV159&lt;&gt;"",IF(LOWER('Capacity summary'!AV159)="x",$BI40*AV40,VALUE('Capacity summary'!AV159)),0),AV40*$BI40),AV40*$BI40),0)</f>
        <v>0</v>
      </c>
      <c r="CZ40" s="311">
        <f>IF($BI40&lt;&gt;"",IF('Capacity summary'!$D$14="Yes",IF(COUNTBLANK('Capacity summary'!$H159:$BG159)&lt;52,IF('Capacity summary'!AW159&lt;&gt;"",IF(LOWER('Capacity summary'!AW159)="x",$BI40*AW40,VALUE('Capacity summary'!AW159)),0),AW40*$BI40),AW40*$BI40),0)</f>
        <v>0</v>
      </c>
      <c r="DA40" s="311">
        <f>IF($BI40&lt;&gt;"",IF('Capacity summary'!$D$14="Yes",IF(COUNTBLANK('Capacity summary'!$H159:$BG159)&lt;52,IF('Capacity summary'!AX159&lt;&gt;"",IF(LOWER('Capacity summary'!AX159)="x",$BI40*AX40,VALUE('Capacity summary'!AX159)),0),AX40*$BI40),AX40*$BI40),0)</f>
        <v>0</v>
      </c>
      <c r="DB40" s="311">
        <f>IF($BI40&lt;&gt;"",IF('Capacity summary'!$D$14="Yes",IF(COUNTBLANK('Capacity summary'!$H159:$BG159)&lt;52,IF('Capacity summary'!AY159&lt;&gt;"",IF(LOWER('Capacity summary'!AY159)="x",$BI40*AY40,VALUE('Capacity summary'!AY159)),0),AY40*$BI40),AY40*$BI40),0)</f>
        <v>0</v>
      </c>
      <c r="DC40" s="311">
        <f>IF($BI40&lt;&gt;"",IF('Capacity summary'!$D$14="Yes",IF(COUNTBLANK('Capacity summary'!$H159:$BG159)&lt;52,IF('Capacity summary'!AZ159&lt;&gt;"",IF(LOWER('Capacity summary'!AZ159)="x",$BI40*AZ40,VALUE('Capacity summary'!AZ159)),0),AZ40*$BI40),AZ40*$BI40),0)</f>
        <v>0</v>
      </c>
      <c r="DD40" s="311">
        <f>IF($BI40&lt;&gt;"",IF('Capacity summary'!$D$14="Yes",IF(COUNTBLANK('Capacity summary'!$H159:$BG159)&lt;52,IF('Capacity summary'!BA159&lt;&gt;"",IF(LOWER('Capacity summary'!BA159)="x",$BI40*BA40,VALUE('Capacity summary'!BA159)),0),BA40*$BI40),BA40*$BI40),0)</f>
        <v>0</v>
      </c>
      <c r="DE40" s="311">
        <f>IF($BI40&lt;&gt;"",IF('Capacity summary'!$D$14="Yes",IF(COUNTBLANK('Capacity summary'!$H159:$BG159)&lt;52,IF('Capacity summary'!BB159&lt;&gt;"",IF(LOWER('Capacity summary'!BB159)="x",$BI40*BB40,VALUE('Capacity summary'!BB159)),0),BB40*$BI40),BB40*$BI40),0)</f>
        <v>0</v>
      </c>
      <c r="DF40" s="311">
        <f>IF($BI40&lt;&gt;"",IF('Capacity summary'!$D$14="Yes",IF(COUNTBLANK('Capacity summary'!$H159:$BG159)&lt;52,IF('Capacity summary'!BC159&lt;&gt;"",IF(LOWER('Capacity summary'!BC159)="x",$BI40*BC40,VALUE('Capacity summary'!BC159)),0),BC40*$BI40),BC40*$BI40),0)</f>
        <v>0</v>
      </c>
      <c r="DG40" s="311">
        <f>IF($BI40&lt;&gt;"",IF('Capacity summary'!$D$14="Yes",IF(COUNTBLANK('Capacity summary'!$H159:$BG159)&lt;52,IF('Capacity summary'!BD159&lt;&gt;"",IF(LOWER('Capacity summary'!BD159)="x",$BI40*BD40,VALUE('Capacity summary'!BD159)),0),BD40*$BI40),BD40*$BI40),0)</f>
        <v>0</v>
      </c>
      <c r="DH40" s="311">
        <f>IF($BI40&lt;&gt;"",IF('Capacity summary'!$D$14="Yes",IF(COUNTBLANK('Capacity summary'!$H159:$BG159)&lt;52,IF('Capacity summary'!BE159&lt;&gt;"",IF(LOWER('Capacity summary'!BE159)="x",$BI40*BE40,VALUE('Capacity summary'!BE159)),0),BE40*$BI40),BE40*$BI40),0)</f>
        <v>0</v>
      </c>
      <c r="DI40" s="311">
        <f>IF($BI40&lt;&gt;"",IF('Capacity summary'!$D$14="Yes",IF(COUNTBLANK('Capacity summary'!$H159:$BG159)&lt;52,IF('Capacity summary'!BF159&lt;&gt;"",IF(LOWER('Capacity summary'!BF159)="x",$BI40*BF40,VALUE('Capacity summary'!BF159)),0),BF40*$BI40),BF40*$BI40),0)</f>
        <v>0</v>
      </c>
      <c r="DJ40" s="311">
        <f>IF($BI40&lt;&gt;"",IF('Capacity summary'!$D$14="Yes",IF(COUNTBLANK('Capacity summary'!$H159:$BG159)&lt;52,IF('Capacity summary'!BG159&lt;&gt;"",IF(LOWER('Capacity summary'!BG159)="x",$BI40*BG40,VALUE('Capacity summary'!BG159)),0),BG40*$BI40),BG40*$BI40),0)</f>
        <v>0</v>
      </c>
      <c r="DK40" s="387">
        <f t="shared" si="2"/>
        <v>0</v>
      </c>
      <c r="DL40" s="136">
        <f t="shared" si="3"/>
        <v>0</v>
      </c>
      <c r="DM40" s="311" t="str">
        <f>Capacity!H52</f>
        <v/>
      </c>
      <c r="DQ40" s="5"/>
    </row>
    <row r="41" spans="1:121" x14ac:dyDescent="0.2">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1">
        <f>IF($BI41&lt;&gt;"",IF('Capacity summary'!$D$14="Yes",IF(COUNTBLANK('Capacity summary'!$H160:$BG160)&lt;52,IF('Capacity summary'!H160&lt;&gt;"",IF(LOWER('Capacity summary'!H160)="x",$BI41*H41,VALUE('Capacity summary'!H160)),0),H41*$BI41),H41*$BI41),0)</f>
        <v>0</v>
      </c>
      <c r="BL41" s="311">
        <f>IF($BI41&lt;&gt;"",IF('Capacity summary'!$D$14="Yes",IF(COUNTBLANK('Capacity summary'!$H160:$BG160)&lt;52,IF('Capacity summary'!I160&lt;&gt;"",IF(LOWER('Capacity summary'!I160)="x",$BI41*I41,VALUE('Capacity summary'!I160)),0),I41*$BI41),I41*$BI41),0)</f>
        <v>0</v>
      </c>
      <c r="BM41" s="311">
        <f>IF($BI41&lt;&gt;"",IF('Capacity summary'!$D$14="Yes",IF(COUNTBLANK('Capacity summary'!$H160:$BG160)&lt;52,IF('Capacity summary'!J160&lt;&gt;"",IF(LOWER('Capacity summary'!J160)="x",$BI41*J41,VALUE('Capacity summary'!J160)),0),J41*$BI41),J41*$BI41),0)</f>
        <v>0</v>
      </c>
      <c r="BN41" s="311">
        <f>IF($BI41&lt;&gt;"",IF('Capacity summary'!$D$14="Yes",IF(COUNTBLANK('Capacity summary'!$H160:$BG160)&lt;52,IF('Capacity summary'!K160&lt;&gt;"",IF(LOWER('Capacity summary'!K160)="x",$BI41*K41,VALUE('Capacity summary'!K160)),0),K41*$BI41),K41*$BI41),0)</f>
        <v>0</v>
      </c>
      <c r="BO41" s="311">
        <f>IF($BI41&lt;&gt;"",IF('Capacity summary'!$D$14="Yes",IF(COUNTBLANK('Capacity summary'!$H160:$BG160)&lt;52,IF('Capacity summary'!L160&lt;&gt;"",IF(LOWER('Capacity summary'!L160)="x",$BI41*L41,VALUE('Capacity summary'!L160)),0),L41*$BI41),L41*$BI41),0)</f>
        <v>0</v>
      </c>
      <c r="BP41" s="311">
        <f>IF($BI41&lt;&gt;"",IF('Capacity summary'!$D$14="Yes",IF(COUNTBLANK('Capacity summary'!$H160:$BG160)&lt;52,IF('Capacity summary'!M160&lt;&gt;"",IF(LOWER('Capacity summary'!M160)="x",$BI41*M41,VALUE('Capacity summary'!M160)),0),M41*$BI41),M41*$BI41),0)</f>
        <v>0</v>
      </c>
      <c r="BQ41" s="311">
        <f>IF($BI41&lt;&gt;"",IF('Capacity summary'!$D$14="Yes",IF(COUNTBLANK('Capacity summary'!$H160:$BG160)&lt;52,IF('Capacity summary'!N160&lt;&gt;"",IF(LOWER('Capacity summary'!N160)="x",$BI41*N41,VALUE('Capacity summary'!N160)),0),N41*$BI41),N41*$BI41),0)</f>
        <v>0</v>
      </c>
      <c r="BR41" s="311">
        <f>IF($BI41&lt;&gt;"",IF('Capacity summary'!$D$14="Yes",IF(COUNTBLANK('Capacity summary'!$H160:$BG160)&lt;52,IF('Capacity summary'!O160&lt;&gt;"",IF(LOWER('Capacity summary'!O160)="x",$BI41*O41,VALUE('Capacity summary'!O160)),0),O41*$BI41),O41*$BI41),0)</f>
        <v>0</v>
      </c>
      <c r="BS41" s="311">
        <f>IF($BI41&lt;&gt;"",IF('Capacity summary'!$D$14="Yes",IF(COUNTBLANK('Capacity summary'!$H160:$BG160)&lt;52,IF('Capacity summary'!P160&lt;&gt;"",IF(LOWER('Capacity summary'!P160)="x",$BI41*P41,VALUE('Capacity summary'!P160)),0),P41*$BI41),P41*$BI41),0)</f>
        <v>0</v>
      </c>
      <c r="BT41" s="311">
        <f>IF($BI41&lt;&gt;"",IF('Capacity summary'!$D$14="Yes",IF(COUNTBLANK('Capacity summary'!$H160:$BG160)&lt;52,IF('Capacity summary'!Q160&lt;&gt;"",IF(LOWER('Capacity summary'!Q160)="x",$BI41*Q41,VALUE('Capacity summary'!Q160)),0),Q41*$BI41),Q41*$BI41),0)</f>
        <v>0</v>
      </c>
      <c r="BU41" s="311">
        <f>IF($BI41&lt;&gt;"",IF('Capacity summary'!$D$14="Yes",IF(COUNTBLANK('Capacity summary'!$H160:$BG160)&lt;52,IF('Capacity summary'!R160&lt;&gt;"",IF(LOWER('Capacity summary'!R160)="x",$BI41*R41,VALUE('Capacity summary'!R160)),0),R41*$BI41),R41*$BI41),0)</f>
        <v>0</v>
      </c>
      <c r="BV41" s="311">
        <f>IF($BI41&lt;&gt;"",IF('Capacity summary'!$D$14="Yes",IF(COUNTBLANK('Capacity summary'!$H160:$BG160)&lt;52,IF('Capacity summary'!S160&lt;&gt;"",IF(LOWER('Capacity summary'!S160)="x",$BI41*S41,VALUE('Capacity summary'!S160)),0),S41*$BI41),S41*$BI41),0)</f>
        <v>0</v>
      </c>
      <c r="BW41" s="311">
        <f>IF($BI41&lt;&gt;"",IF('Capacity summary'!$D$14="Yes",IF(COUNTBLANK('Capacity summary'!$H160:$BG160)&lt;52,IF('Capacity summary'!T160&lt;&gt;"",IF(LOWER('Capacity summary'!T160)="x",$BI41*T41,VALUE('Capacity summary'!T160)),0),T41*$BI41),T41*$BI41),0)</f>
        <v>0</v>
      </c>
      <c r="BX41" s="311">
        <f>IF($BI41&lt;&gt;"",IF('Capacity summary'!$D$14="Yes",IF(COUNTBLANK('Capacity summary'!$H160:$BG160)&lt;52,IF('Capacity summary'!U160&lt;&gt;"",IF(LOWER('Capacity summary'!U160)="x",$BI41*U41,VALUE('Capacity summary'!U160)),0),U41*$BI41),U41*$BI41),0)</f>
        <v>0</v>
      </c>
      <c r="BY41" s="311">
        <f>IF($BI41&lt;&gt;"",IF('Capacity summary'!$D$14="Yes",IF(COUNTBLANK('Capacity summary'!$H160:$BG160)&lt;52,IF('Capacity summary'!V160&lt;&gt;"",IF(LOWER('Capacity summary'!V160)="x",$BI41*V41,VALUE('Capacity summary'!V160)),0),V41*$BI41),V41*$BI41),0)</f>
        <v>0</v>
      </c>
      <c r="BZ41" s="311">
        <f>IF($BI41&lt;&gt;"",IF('Capacity summary'!$D$14="Yes",IF(COUNTBLANK('Capacity summary'!$H160:$BG160)&lt;52,IF('Capacity summary'!W160&lt;&gt;"",IF(LOWER('Capacity summary'!W160)="x",$BI41*W41,VALUE('Capacity summary'!W160)),0),W41*$BI41),W41*$BI41),0)</f>
        <v>0</v>
      </c>
      <c r="CA41" s="311">
        <f>IF($BI41&lt;&gt;"",IF('Capacity summary'!$D$14="Yes",IF(COUNTBLANK('Capacity summary'!$H160:$BG160)&lt;52,IF('Capacity summary'!X160&lt;&gt;"",IF(LOWER('Capacity summary'!X160)="x",$BI41*X41,VALUE('Capacity summary'!X160)),0),X41*$BI41),X41*$BI41),0)</f>
        <v>0</v>
      </c>
      <c r="CB41" s="311">
        <f>IF($BI41&lt;&gt;"",IF('Capacity summary'!$D$14="Yes",IF(COUNTBLANK('Capacity summary'!$H160:$BG160)&lt;52,IF('Capacity summary'!Y160&lt;&gt;"",IF(LOWER('Capacity summary'!Y160)="x",$BI41*Y41,VALUE('Capacity summary'!Y160)),0),Y41*$BI41),Y41*$BI41),0)</f>
        <v>0</v>
      </c>
      <c r="CC41" s="311">
        <f>IF($BI41&lt;&gt;"",IF('Capacity summary'!$D$14="Yes",IF(COUNTBLANK('Capacity summary'!$H160:$BG160)&lt;52,IF('Capacity summary'!Z160&lt;&gt;"",IF(LOWER('Capacity summary'!Z160)="x",$BI41*Z41,VALUE('Capacity summary'!Z160)),0),Z41*$BI41),Z41*$BI41),0)</f>
        <v>0</v>
      </c>
      <c r="CD41" s="311">
        <f>IF($BI41&lt;&gt;"",IF('Capacity summary'!$D$14="Yes",IF(COUNTBLANK('Capacity summary'!$H160:$BG160)&lt;52,IF('Capacity summary'!AA160&lt;&gt;"",IF(LOWER('Capacity summary'!AA160)="x",$BI41*AA41,VALUE('Capacity summary'!AA160)),0),AA41*$BI41),AA41*$BI41),0)</f>
        <v>0</v>
      </c>
      <c r="CE41" s="311">
        <f>IF($BI41&lt;&gt;"",IF('Capacity summary'!$D$14="Yes",IF(COUNTBLANK('Capacity summary'!$H160:$BG160)&lt;52,IF('Capacity summary'!AB160&lt;&gt;"",IF(LOWER('Capacity summary'!AB160)="x",$BI41*AB41,VALUE('Capacity summary'!AB160)),0),AB41*$BI41),AB41*$BI41),0)</f>
        <v>0</v>
      </c>
      <c r="CF41" s="311">
        <f>IF($BI41&lt;&gt;"",IF('Capacity summary'!$D$14="Yes",IF(COUNTBLANK('Capacity summary'!$H160:$BG160)&lt;52,IF('Capacity summary'!AC160&lt;&gt;"",IF(LOWER('Capacity summary'!AC160)="x",$BI41*AC41,VALUE('Capacity summary'!AC160)),0),AC41*$BI41),AC41*$BI41),0)</f>
        <v>0</v>
      </c>
      <c r="CG41" s="311">
        <f>IF($BI41&lt;&gt;"",IF('Capacity summary'!$D$14="Yes",IF(COUNTBLANK('Capacity summary'!$H160:$BG160)&lt;52,IF('Capacity summary'!AD160&lt;&gt;"",IF(LOWER('Capacity summary'!AD160)="x",$BI41*AD41,VALUE('Capacity summary'!AD160)),0),AD41*$BI41),AD41*$BI41),0)</f>
        <v>0</v>
      </c>
      <c r="CH41" s="311">
        <f>IF($BI41&lt;&gt;"",IF('Capacity summary'!$D$14="Yes",IF(COUNTBLANK('Capacity summary'!$H160:$BG160)&lt;52,IF('Capacity summary'!AE160&lt;&gt;"",IF(LOWER('Capacity summary'!AE160)="x",$BI41*AE41,VALUE('Capacity summary'!AE160)),0),AE41*$BI41),AE41*$BI41),0)</f>
        <v>0</v>
      </c>
      <c r="CI41" s="311">
        <f>IF($BI41&lt;&gt;"",IF('Capacity summary'!$D$14="Yes",IF(COUNTBLANK('Capacity summary'!$H160:$BG160)&lt;52,IF('Capacity summary'!AF160&lt;&gt;"",IF(LOWER('Capacity summary'!AF160)="x",$BI41*AF41,VALUE('Capacity summary'!AF160)),0),AF41*$BI41),AF41*$BI41),0)</f>
        <v>0</v>
      </c>
      <c r="CJ41" s="311">
        <f>IF($BI41&lt;&gt;"",IF('Capacity summary'!$D$14="Yes",IF(COUNTBLANK('Capacity summary'!$H160:$BG160)&lt;52,IF('Capacity summary'!AG160&lt;&gt;"",IF(LOWER('Capacity summary'!AG160)="x",$BI41*AG41,VALUE('Capacity summary'!AG160)),0),AG41*$BI41),AG41*$BI41),0)</f>
        <v>0</v>
      </c>
      <c r="CK41" s="311">
        <f>IF($BI41&lt;&gt;"",IF('Capacity summary'!$D$14="Yes",IF(COUNTBLANK('Capacity summary'!$H160:$BG160)&lt;52,IF('Capacity summary'!AH160&lt;&gt;"",IF(LOWER('Capacity summary'!AH160)="x",$BI41*AH41,VALUE('Capacity summary'!AH160)),0),AH41*$BI41),AH41*$BI41),0)</f>
        <v>0</v>
      </c>
      <c r="CL41" s="311">
        <f>IF($BI41&lt;&gt;"",IF('Capacity summary'!$D$14="Yes",IF(COUNTBLANK('Capacity summary'!$H160:$BG160)&lt;52,IF('Capacity summary'!AI160&lt;&gt;"",IF(LOWER('Capacity summary'!AI160)="x",$BI41*AI41,VALUE('Capacity summary'!AI160)),0),AI41*$BI41),AI41*$BI41),0)</f>
        <v>0</v>
      </c>
      <c r="CM41" s="311">
        <f>IF($BI41&lt;&gt;"",IF('Capacity summary'!$D$14="Yes",IF(COUNTBLANK('Capacity summary'!$H160:$BG160)&lt;52,IF('Capacity summary'!AJ160&lt;&gt;"",IF(LOWER('Capacity summary'!AJ160)="x",$BI41*AJ41,VALUE('Capacity summary'!AJ160)),0),AJ41*$BI41),AJ41*$BI41),0)</f>
        <v>0</v>
      </c>
      <c r="CN41" s="311">
        <f>IF($BI41&lt;&gt;"",IF('Capacity summary'!$D$14="Yes",IF(COUNTBLANK('Capacity summary'!$H160:$BG160)&lt;52,IF('Capacity summary'!AK160&lt;&gt;"",IF(LOWER('Capacity summary'!AK160)="x",$BI41*AK41,VALUE('Capacity summary'!AK160)),0),AK41*$BI41),AK41*$BI41),0)</f>
        <v>0</v>
      </c>
      <c r="CO41" s="311">
        <f>IF($BI41&lt;&gt;"",IF('Capacity summary'!$D$14="Yes",IF(COUNTBLANK('Capacity summary'!$H160:$BG160)&lt;52,IF('Capacity summary'!AL160&lt;&gt;"",IF(LOWER('Capacity summary'!AL160)="x",$BI41*AL41,VALUE('Capacity summary'!AL160)),0),AL41*$BI41),AL41*$BI41),0)</f>
        <v>0</v>
      </c>
      <c r="CP41" s="311">
        <f>IF($BI41&lt;&gt;"",IF('Capacity summary'!$D$14="Yes",IF(COUNTBLANK('Capacity summary'!$H160:$BG160)&lt;52,IF('Capacity summary'!AM160&lt;&gt;"",IF(LOWER('Capacity summary'!AM160)="x",$BI41*AM41,VALUE('Capacity summary'!AM160)),0),AM41*$BI41),AM41*$BI41),0)</f>
        <v>0</v>
      </c>
      <c r="CQ41" s="311">
        <f>IF($BI41&lt;&gt;"",IF('Capacity summary'!$D$14="Yes",IF(COUNTBLANK('Capacity summary'!$H160:$BG160)&lt;52,IF('Capacity summary'!AN160&lt;&gt;"",IF(LOWER('Capacity summary'!AN160)="x",$BI41*AN41,VALUE('Capacity summary'!AN160)),0),AN41*$BI41),AN41*$BI41),0)</f>
        <v>0</v>
      </c>
      <c r="CR41" s="311">
        <f>IF($BI41&lt;&gt;"",IF('Capacity summary'!$D$14="Yes",IF(COUNTBLANK('Capacity summary'!$H160:$BG160)&lt;52,IF('Capacity summary'!AO160&lt;&gt;"",IF(LOWER('Capacity summary'!AO160)="x",$BI41*AO41,VALUE('Capacity summary'!AO160)),0),AO41*$BI41),AO41*$BI41),0)</f>
        <v>0</v>
      </c>
      <c r="CS41" s="311">
        <f>IF($BI41&lt;&gt;"",IF('Capacity summary'!$D$14="Yes",IF(COUNTBLANK('Capacity summary'!$H160:$BG160)&lt;52,IF('Capacity summary'!AP160&lt;&gt;"",IF(LOWER('Capacity summary'!AP160)="x",$BI41*AP41,VALUE('Capacity summary'!AP160)),0),AP41*$BI41),AP41*$BI41),0)</f>
        <v>0</v>
      </c>
      <c r="CT41" s="311">
        <f>IF($BI41&lt;&gt;"",IF('Capacity summary'!$D$14="Yes",IF(COUNTBLANK('Capacity summary'!$H160:$BG160)&lt;52,IF('Capacity summary'!AQ160&lt;&gt;"",IF(LOWER('Capacity summary'!AQ160)="x",$BI41*AQ41,VALUE('Capacity summary'!AQ160)),0),AQ41*$BI41),AQ41*$BI41),0)</f>
        <v>0</v>
      </c>
      <c r="CU41" s="311">
        <f>IF($BI41&lt;&gt;"",IF('Capacity summary'!$D$14="Yes",IF(COUNTBLANK('Capacity summary'!$H160:$BG160)&lt;52,IF('Capacity summary'!AR160&lt;&gt;"",IF(LOWER('Capacity summary'!AR160)="x",$BI41*AR41,VALUE('Capacity summary'!AR160)),0),AR41*$BI41),AR41*$BI41),0)</f>
        <v>0</v>
      </c>
      <c r="CV41" s="311">
        <f>IF($BI41&lt;&gt;"",IF('Capacity summary'!$D$14="Yes",IF(COUNTBLANK('Capacity summary'!$H160:$BG160)&lt;52,IF('Capacity summary'!AS160&lt;&gt;"",IF(LOWER('Capacity summary'!AS160)="x",$BI41*AS41,VALUE('Capacity summary'!AS160)),0),AS41*$BI41),AS41*$BI41),0)</f>
        <v>0</v>
      </c>
      <c r="CW41" s="311">
        <f>IF($BI41&lt;&gt;"",IF('Capacity summary'!$D$14="Yes",IF(COUNTBLANK('Capacity summary'!$H160:$BG160)&lt;52,IF('Capacity summary'!AT160&lt;&gt;"",IF(LOWER('Capacity summary'!AT160)="x",$BI41*AT41,VALUE('Capacity summary'!AT160)),0),AT41*$BI41),AT41*$BI41),0)</f>
        <v>0</v>
      </c>
      <c r="CX41" s="311">
        <f>IF($BI41&lt;&gt;"",IF('Capacity summary'!$D$14="Yes",IF(COUNTBLANK('Capacity summary'!$H160:$BG160)&lt;52,IF('Capacity summary'!AU160&lt;&gt;"",IF(LOWER('Capacity summary'!AU160)="x",$BI41*AU41,VALUE('Capacity summary'!AU160)),0),AU41*$BI41),AU41*$BI41),0)</f>
        <v>0</v>
      </c>
      <c r="CY41" s="311">
        <f>IF($BI41&lt;&gt;"",IF('Capacity summary'!$D$14="Yes",IF(COUNTBLANK('Capacity summary'!$H160:$BG160)&lt;52,IF('Capacity summary'!AV160&lt;&gt;"",IF(LOWER('Capacity summary'!AV160)="x",$BI41*AV41,VALUE('Capacity summary'!AV160)),0),AV41*$BI41),AV41*$BI41),0)</f>
        <v>0</v>
      </c>
      <c r="CZ41" s="311">
        <f>IF($BI41&lt;&gt;"",IF('Capacity summary'!$D$14="Yes",IF(COUNTBLANK('Capacity summary'!$H160:$BG160)&lt;52,IF('Capacity summary'!AW160&lt;&gt;"",IF(LOWER('Capacity summary'!AW160)="x",$BI41*AW41,VALUE('Capacity summary'!AW160)),0),AW41*$BI41),AW41*$BI41),0)</f>
        <v>0</v>
      </c>
      <c r="DA41" s="311">
        <f>IF($BI41&lt;&gt;"",IF('Capacity summary'!$D$14="Yes",IF(COUNTBLANK('Capacity summary'!$H160:$BG160)&lt;52,IF('Capacity summary'!AX160&lt;&gt;"",IF(LOWER('Capacity summary'!AX160)="x",$BI41*AX41,VALUE('Capacity summary'!AX160)),0),AX41*$BI41),AX41*$BI41),0)</f>
        <v>0</v>
      </c>
      <c r="DB41" s="311">
        <f>IF($BI41&lt;&gt;"",IF('Capacity summary'!$D$14="Yes",IF(COUNTBLANK('Capacity summary'!$H160:$BG160)&lt;52,IF('Capacity summary'!AY160&lt;&gt;"",IF(LOWER('Capacity summary'!AY160)="x",$BI41*AY41,VALUE('Capacity summary'!AY160)),0),AY41*$BI41),AY41*$BI41),0)</f>
        <v>0</v>
      </c>
      <c r="DC41" s="311">
        <f>IF($BI41&lt;&gt;"",IF('Capacity summary'!$D$14="Yes",IF(COUNTBLANK('Capacity summary'!$H160:$BG160)&lt;52,IF('Capacity summary'!AZ160&lt;&gt;"",IF(LOWER('Capacity summary'!AZ160)="x",$BI41*AZ41,VALUE('Capacity summary'!AZ160)),0),AZ41*$BI41),AZ41*$BI41),0)</f>
        <v>0</v>
      </c>
      <c r="DD41" s="311">
        <f>IF($BI41&lt;&gt;"",IF('Capacity summary'!$D$14="Yes",IF(COUNTBLANK('Capacity summary'!$H160:$BG160)&lt;52,IF('Capacity summary'!BA160&lt;&gt;"",IF(LOWER('Capacity summary'!BA160)="x",$BI41*BA41,VALUE('Capacity summary'!BA160)),0),BA41*$BI41),BA41*$BI41),0)</f>
        <v>0</v>
      </c>
      <c r="DE41" s="311">
        <f>IF($BI41&lt;&gt;"",IF('Capacity summary'!$D$14="Yes",IF(COUNTBLANK('Capacity summary'!$H160:$BG160)&lt;52,IF('Capacity summary'!BB160&lt;&gt;"",IF(LOWER('Capacity summary'!BB160)="x",$BI41*BB41,VALUE('Capacity summary'!BB160)),0),BB41*$BI41),BB41*$BI41),0)</f>
        <v>0</v>
      </c>
      <c r="DF41" s="311">
        <f>IF($BI41&lt;&gt;"",IF('Capacity summary'!$D$14="Yes",IF(COUNTBLANK('Capacity summary'!$H160:$BG160)&lt;52,IF('Capacity summary'!BC160&lt;&gt;"",IF(LOWER('Capacity summary'!BC160)="x",$BI41*BC41,VALUE('Capacity summary'!BC160)),0),BC41*$BI41),BC41*$BI41),0)</f>
        <v>0</v>
      </c>
      <c r="DG41" s="311">
        <f>IF($BI41&lt;&gt;"",IF('Capacity summary'!$D$14="Yes",IF(COUNTBLANK('Capacity summary'!$H160:$BG160)&lt;52,IF('Capacity summary'!BD160&lt;&gt;"",IF(LOWER('Capacity summary'!BD160)="x",$BI41*BD41,VALUE('Capacity summary'!BD160)),0),BD41*$BI41),BD41*$BI41),0)</f>
        <v>0</v>
      </c>
      <c r="DH41" s="311">
        <f>IF($BI41&lt;&gt;"",IF('Capacity summary'!$D$14="Yes",IF(COUNTBLANK('Capacity summary'!$H160:$BG160)&lt;52,IF('Capacity summary'!BE160&lt;&gt;"",IF(LOWER('Capacity summary'!BE160)="x",$BI41*BE41,VALUE('Capacity summary'!BE160)),0),BE41*$BI41),BE41*$BI41),0)</f>
        <v>0</v>
      </c>
      <c r="DI41" s="311">
        <f>IF($BI41&lt;&gt;"",IF('Capacity summary'!$D$14="Yes",IF(COUNTBLANK('Capacity summary'!$H160:$BG160)&lt;52,IF('Capacity summary'!BF160&lt;&gt;"",IF(LOWER('Capacity summary'!BF160)="x",$BI41*BF41,VALUE('Capacity summary'!BF160)),0),BF41*$BI41),BF41*$BI41),0)</f>
        <v>0</v>
      </c>
      <c r="DJ41" s="311">
        <f>IF($BI41&lt;&gt;"",IF('Capacity summary'!$D$14="Yes",IF(COUNTBLANK('Capacity summary'!$H160:$BG160)&lt;52,IF('Capacity summary'!BG160&lt;&gt;"",IF(LOWER('Capacity summary'!BG160)="x",$BI41*BG41,VALUE('Capacity summary'!BG160)),0),BG41*$BI41),BG41*$BI41),0)</f>
        <v>0</v>
      </c>
      <c r="DK41" s="387">
        <f t="shared" si="2"/>
        <v>0</v>
      </c>
      <c r="DL41" s="136">
        <f t="shared" si="3"/>
        <v>0</v>
      </c>
      <c r="DM41" s="311" t="str">
        <f>Capacity!H53</f>
        <v/>
      </c>
      <c r="DQ41" s="5"/>
    </row>
    <row r="42" spans="1:121" x14ac:dyDescent="0.2">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1">
        <f>IF($BI42&lt;&gt;"",IF('Capacity summary'!$D$14="Yes",IF(COUNTBLANK('Capacity summary'!$H161:$BG161)&lt;52,IF('Capacity summary'!H161&lt;&gt;"",IF(LOWER('Capacity summary'!H161)="x",$BI42*H42,VALUE('Capacity summary'!H161)),0),H42*$BI42),H42*$BI42),0)</f>
        <v>0</v>
      </c>
      <c r="BL42" s="311">
        <f>IF($BI42&lt;&gt;"",IF('Capacity summary'!$D$14="Yes",IF(COUNTBLANK('Capacity summary'!$H161:$BG161)&lt;52,IF('Capacity summary'!I161&lt;&gt;"",IF(LOWER('Capacity summary'!I161)="x",$BI42*I42,VALUE('Capacity summary'!I161)),0),I42*$BI42),I42*$BI42),0)</f>
        <v>0</v>
      </c>
      <c r="BM42" s="311">
        <f>IF($BI42&lt;&gt;"",IF('Capacity summary'!$D$14="Yes",IF(COUNTBLANK('Capacity summary'!$H161:$BG161)&lt;52,IF('Capacity summary'!J161&lt;&gt;"",IF(LOWER('Capacity summary'!J161)="x",$BI42*J42,VALUE('Capacity summary'!J161)),0),J42*$BI42),J42*$BI42),0)</f>
        <v>0</v>
      </c>
      <c r="BN42" s="311">
        <f>IF($BI42&lt;&gt;"",IF('Capacity summary'!$D$14="Yes",IF(COUNTBLANK('Capacity summary'!$H161:$BG161)&lt;52,IF('Capacity summary'!K161&lt;&gt;"",IF(LOWER('Capacity summary'!K161)="x",$BI42*K42,VALUE('Capacity summary'!K161)),0),K42*$BI42),K42*$BI42),0)</f>
        <v>0</v>
      </c>
      <c r="BO42" s="311">
        <f>IF($BI42&lt;&gt;"",IF('Capacity summary'!$D$14="Yes",IF(COUNTBLANK('Capacity summary'!$H161:$BG161)&lt;52,IF('Capacity summary'!L161&lt;&gt;"",IF(LOWER('Capacity summary'!L161)="x",$BI42*L42,VALUE('Capacity summary'!L161)),0),L42*$BI42),L42*$BI42),0)</f>
        <v>0</v>
      </c>
      <c r="BP42" s="311">
        <f>IF($BI42&lt;&gt;"",IF('Capacity summary'!$D$14="Yes",IF(COUNTBLANK('Capacity summary'!$H161:$BG161)&lt;52,IF('Capacity summary'!M161&lt;&gt;"",IF(LOWER('Capacity summary'!M161)="x",$BI42*M42,VALUE('Capacity summary'!M161)),0),M42*$BI42),M42*$BI42),0)</f>
        <v>0</v>
      </c>
      <c r="BQ42" s="311">
        <f>IF($BI42&lt;&gt;"",IF('Capacity summary'!$D$14="Yes",IF(COUNTBLANK('Capacity summary'!$H161:$BG161)&lt;52,IF('Capacity summary'!N161&lt;&gt;"",IF(LOWER('Capacity summary'!N161)="x",$BI42*N42,VALUE('Capacity summary'!N161)),0),N42*$BI42),N42*$BI42),0)</f>
        <v>0</v>
      </c>
      <c r="BR42" s="311">
        <f>IF($BI42&lt;&gt;"",IF('Capacity summary'!$D$14="Yes",IF(COUNTBLANK('Capacity summary'!$H161:$BG161)&lt;52,IF('Capacity summary'!O161&lt;&gt;"",IF(LOWER('Capacity summary'!O161)="x",$BI42*O42,VALUE('Capacity summary'!O161)),0),O42*$BI42),O42*$BI42),0)</f>
        <v>0</v>
      </c>
      <c r="BS42" s="311">
        <f>IF($BI42&lt;&gt;"",IF('Capacity summary'!$D$14="Yes",IF(COUNTBLANK('Capacity summary'!$H161:$BG161)&lt;52,IF('Capacity summary'!P161&lt;&gt;"",IF(LOWER('Capacity summary'!P161)="x",$BI42*P42,VALUE('Capacity summary'!P161)),0),P42*$BI42),P42*$BI42),0)</f>
        <v>0</v>
      </c>
      <c r="BT42" s="311">
        <f>IF($BI42&lt;&gt;"",IF('Capacity summary'!$D$14="Yes",IF(COUNTBLANK('Capacity summary'!$H161:$BG161)&lt;52,IF('Capacity summary'!Q161&lt;&gt;"",IF(LOWER('Capacity summary'!Q161)="x",$BI42*Q42,VALUE('Capacity summary'!Q161)),0),Q42*$BI42),Q42*$BI42),0)</f>
        <v>0</v>
      </c>
      <c r="BU42" s="311">
        <f>IF($BI42&lt;&gt;"",IF('Capacity summary'!$D$14="Yes",IF(COUNTBLANK('Capacity summary'!$H161:$BG161)&lt;52,IF('Capacity summary'!R161&lt;&gt;"",IF(LOWER('Capacity summary'!R161)="x",$BI42*R42,VALUE('Capacity summary'!R161)),0),R42*$BI42),R42*$BI42),0)</f>
        <v>0</v>
      </c>
      <c r="BV42" s="311">
        <f>IF($BI42&lt;&gt;"",IF('Capacity summary'!$D$14="Yes",IF(COUNTBLANK('Capacity summary'!$H161:$BG161)&lt;52,IF('Capacity summary'!S161&lt;&gt;"",IF(LOWER('Capacity summary'!S161)="x",$BI42*S42,VALUE('Capacity summary'!S161)),0),S42*$BI42),S42*$BI42),0)</f>
        <v>0</v>
      </c>
      <c r="BW42" s="311">
        <f>IF($BI42&lt;&gt;"",IF('Capacity summary'!$D$14="Yes",IF(COUNTBLANK('Capacity summary'!$H161:$BG161)&lt;52,IF('Capacity summary'!T161&lt;&gt;"",IF(LOWER('Capacity summary'!T161)="x",$BI42*T42,VALUE('Capacity summary'!T161)),0),T42*$BI42),T42*$BI42),0)</f>
        <v>0</v>
      </c>
      <c r="BX42" s="311">
        <f>IF($BI42&lt;&gt;"",IF('Capacity summary'!$D$14="Yes",IF(COUNTBLANK('Capacity summary'!$H161:$BG161)&lt;52,IF('Capacity summary'!U161&lt;&gt;"",IF(LOWER('Capacity summary'!U161)="x",$BI42*U42,VALUE('Capacity summary'!U161)),0),U42*$BI42),U42*$BI42),0)</f>
        <v>0</v>
      </c>
      <c r="BY42" s="311">
        <f>IF($BI42&lt;&gt;"",IF('Capacity summary'!$D$14="Yes",IF(COUNTBLANK('Capacity summary'!$H161:$BG161)&lt;52,IF('Capacity summary'!V161&lt;&gt;"",IF(LOWER('Capacity summary'!V161)="x",$BI42*V42,VALUE('Capacity summary'!V161)),0),V42*$BI42),V42*$BI42),0)</f>
        <v>0</v>
      </c>
      <c r="BZ42" s="311">
        <f>IF($BI42&lt;&gt;"",IF('Capacity summary'!$D$14="Yes",IF(COUNTBLANK('Capacity summary'!$H161:$BG161)&lt;52,IF('Capacity summary'!W161&lt;&gt;"",IF(LOWER('Capacity summary'!W161)="x",$BI42*W42,VALUE('Capacity summary'!W161)),0),W42*$BI42),W42*$BI42),0)</f>
        <v>0</v>
      </c>
      <c r="CA42" s="311">
        <f>IF($BI42&lt;&gt;"",IF('Capacity summary'!$D$14="Yes",IF(COUNTBLANK('Capacity summary'!$H161:$BG161)&lt;52,IF('Capacity summary'!X161&lt;&gt;"",IF(LOWER('Capacity summary'!X161)="x",$BI42*X42,VALUE('Capacity summary'!X161)),0),X42*$BI42),X42*$BI42),0)</f>
        <v>0</v>
      </c>
      <c r="CB42" s="311">
        <f>IF($BI42&lt;&gt;"",IF('Capacity summary'!$D$14="Yes",IF(COUNTBLANK('Capacity summary'!$H161:$BG161)&lt;52,IF('Capacity summary'!Y161&lt;&gt;"",IF(LOWER('Capacity summary'!Y161)="x",$BI42*Y42,VALUE('Capacity summary'!Y161)),0),Y42*$BI42),Y42*$BI42),0)</f>
        <v>0</v>
      </c>
      <c r="CC42" s="311">
        <f>IF($BI42&lt;&gt;"",IF('Capacity summary'!$D$14="Yes",IF(COUNTBLANK('Capacity summary'!$H161:$BG161)&lt;52,IF('Capacity summary'!Z161&lt;&gt;"",IF(LOWER('Capacity summary'!Z161)="x",$BI42*Z42,VALUE('Capacity summary'!Z161)),0),Z42*$BI42),Z42*$BI42),0)</f>
        <v>0</v>
      </c>
      <c r="CD42" s="311">
        <f>IF($BI42&lt;&gt;"",IF('Capacity summary'!$D$14="Yes",IF(COUNTBLANK('Capacity summary'!$H161:$BG161)&lt;52,IF('Capacity summary'!AA161&lt;&gt;"",IF(LOWER('Capacity summary'!AA161)="x",$BI42*AA42,VALUE('Capacity summary'!AA161)),0),AA42*$BI42),AA42*$BI42),0)</f>
        <v>0</v>
      </c>
      <c r="CE42" s="311">
        <f>IF($BI42&lt;&gt;"",IF('Capacity summary'!$D$14="Yes",IF(COUNTBLANK('Capacity summary'!$H161:$BG161)&lt;52,IF('Capacity summary'!AB161&lt;&gt;"",IF(LOWER('Capacity summary'!AB161)="x",$BI42*AB42,VALUE('Capacity summary'!AB161)),0),AB42*$BI42),AB42*$BI42),0)</f>
        <v>0</v>
      </c>
      <c r="CF42" s="311">
        <f>IF($BI42&lt;&gt;"",IF('Capacity summary'!$D$14="Yes",IF(COUNTBLANK('Capacity summary'!$H161:$BG161)&lt;52,IF('Capacity summary'!AC161&lt;&gt;"",IF(LOWER('Capacity summary'!AC161)="x",$BI42*AC42,VALUE('Capacity summary'!AC161)),0),AC42*$BI42),AC42*$BI42),0)</f>
        <v>0</v>
      </c>
      <c r="CG42" s="311">
        <f>IF($BI42&lt;&gt;"",IF('Capacity summary'!$D$14="Yes",IF(COUNTBLANK('Capacity summary'!$H161:$BG161)&lt;52,IF('Capacity summary'!AD161&lt;&gt;"",IF(LOWER('Capacity summary'!AD161)="x",$BI42*AD42,VALUE('Capacity summary'!AD161)),0),AD42*$BI42),AD42*$BI42),0)</f>
        <v>0</v>
      </c>
      <c r="CH42" s="311">
        <f>IF($BI42&lt;&gt;"",IF('Capacity summary'!$D$14="Yes",IF(COUNTBLANK('Capacity summary'!$H161:$BG161)&lt;52,IF('Capacity summary'!AE161&lt;&gt;"",IF(LOWER('Capacity summary'!AE161)="x",$BI42*AE42,VALUE('Capacity summary'!AE161)),0),AE42*$BI42),AE42*$BI42),0)</f>
        <v>0</v>
      </c>
      <c r="CI42" s="311">
        <f>IF($BI42&lt;&gt;"",IF('Capacity summary'!$D$14="Yes",IF(COUNTBLANK('Capacity summary'!$H161:$BG161)&lt;52,IF('Capacity summary'!AF161&lt;&gt;"",IF(LOWER('Capacity summary'!AF161)="x",$BI42*AF42,VALUE('Capacity summary'!AF161)),0),AF42*$BI42),AF42*$BI42),0)</f>
        <v>0</v>
      </c>
      <c r="CJ42" s="311">
        <f>IF($BI42&lt;&gt;"",IF('Capacity summary'!$D$14="Yes",IF(COUNTBLANK('Capacity summary'!$H161:$BG161)&lt;52,IF('Capacity summary'!AG161&lt;&gt;"",IF(LOWER('Capacity summary'!AG161)="x",$BI42*AG42,VALUE('Capacity summary'!AG161)),0),AG42*$BI42),AG42*$BI42),0)</f>
        <v>0</v>
      </c>
      <c r="CK42" s="311">
        <f>IF($BI42&lt;&gt;"",IF('Capacity summary'!$D$14="Yes",IF(COUNTBLANK('Capacity summary'!$H161:$BG161)&lt;52,IF('Capacity summary'!AH161&lt;&gt;"",IF(LOWER('Capacity summary'!AH161)="x",$BI42*AH42,VALUE('Capacity summary'!AH161)),0),AH42*$BI42),AH42*$BI42),0)</f>
        <v>0</v>
      </c>
      <c r="CL42" s="311">
        <f>IF($BI42&lt;&gt;"",IF('Capacity summary'!$D$14="Yes",IF(COUNTBLANK('Capacity summary'!$H161:$BG161)&lt;52,IF('Capacity summary'!AI161&lt;&gt;"",IF(LOWER('Capacity summary'!AI161)="x",$BI42*AI42,VALUE('Capacity summary'!AI161)),0),AI42*$BI42),AI42*$BI42),0)</f>
        <v>0</v>
      </c>
      <c r="CM42" s="311">
        <f>IF($BI42&lt;&gt;"",IF('Capacity summary'!$D$14="Yes",IF(COUNTBLANK('Capacity summary'!$H161:$BG161)&lt;52,IF('Capacity summary'!AJ161&lt;&gt;"",IF(LOWER('Capacity summary'!AJ161)="x",$BI42*AJ42,VALUE('Capacity summary'!AJ161)),0),AJ42*$BI42),AJ42*$BI42),0)</f>
        <v>0</v>
      </c>
      <c r="CN42" s="311">
        <f>IF($BI42&lt;&gt;"",IF('Capacity summary'!$D$14="Yes",IF(COUNTBLANK('Capacity summary'!$H161:$BG161)&lt;52,IF('Capacity summary'!AK161&lt;&gt;"",IF(LOWER('Capacity summary'!AK161)="x",$BI42*AK42,VALUE('Capacity summary'!AK161)),0),AK42*$BI42),AK42*$BI42),0)</f>
        <v>0</v>
      </c>
      <c r="CO42" s="311">
        <f>IF($BI42&lt;&gt;"",IF('Capacity summary'!$D$14="Yes",IF(COUNTBLANK('Capacity summary'!$H161:$BG161)&lt;52,IF('Capacity summary'!AL161&lt;&gt;"",IF(LOWER('Capacity summary'!AL161)="x",$BI42*AL42,VALUE('Capacity summary'!AL161)),0),AL42*$BI42),AL42*$BI42),0)</f>
        <v>0</v>
      </c>
      <c r="CP42" s="311">
        <f>IF($BI42&lt;&gt;"",IF('Capacity summary'!$D$14="Yes",IF(COUNTBLANK('Capacity summary'!$H161:$BG161)&lt;52,IF('Capacity summary'!AM161&lt;&gt;"",IF(LOWER('Capacity summary'!AM161)="x",$BI42*AM42,VALUE('Capacity summary'!AM161)),0),AM42*$BI42),AM42*$BI42),0)</f>
        <v>0</v>
      </c>
      <c r="CQ42" s="311">
        <f>IF($BI42&lt;&gt;"",IF('Capacity summary'!$D$14="Yes",IF(COUNTBLANK('Capacity summary'!$H161:$BG161)&lt;52,IF('Capacity summary'!AN161&lt;&gt;"",IF(LOWER('Capacity summary'!AN161)="x",$BI42*AN42,VALUE('Capacity summary'!AN161)),0),AN42*$BI42),AN42*$BI42),0)</f>
        <v>0</v>
      </c>
      <c r="CR42" s="311">
        <f>IF($BI42&lt;&gt;"",IF('Capacity summary'!$D$14="Yes",IF(COUNTBLANK('Capacity summary'!$H161:$BG161)&lt;52,IF('Capacity summary'!AO161&lt;&gt;"",IF(LOWER('Capacity summary'!AO161)="x",$BI42*AO42,VALUE('Capacity summary'!AO161)),0),AO42*$BI42),AO42*$BI42),0)</f>
        <v>0</v>
      </c>
      <c r="CS42" s="311">
        <f>IF($BI42&lt;&gt;"",IF('Capacity summary'!$D$14="Yes",IF(COUNTBLANK('Capacity summary'!$H161:$BG161)&lt;52,IF('Capacity summary'!AP161&lt;&gt;"",IF(LOWER('Capacity summary'!AP161)="x",$BI42*AP42,VALUE('Capacity summary'!AP161)),0),AP42*$BI42),AP42*$BI42),0)</f>
        <v>0</v>
      </c>
      <c r="CT42" s="311">
        <f>IF($BI42&lt;&gt;"",IF('Capacity summary'!$D$14="Yes",IF(COUNTBLANK('Capacity summary'!$H161:$BG161)&lt;52,IF('Capacity summary'!AQ161&lt;&gt;"",IF(LOWER('Capacity summary'!AQ161)="x",$BI42*AQ42,VALUE('Capacity summary'!AQ161)),0),AQ42*$BI42),AQ42*$BI42),0)</f>
        <v>0</v>
      </c>
      <c r="CU42" s="311">
        <f>IF($BI42&lt;&gt;"",IF('Capacity summary'!$D$14="Yes",IF(COUNTBLANK('Capacity summary'!$H161:$BG161)&lt;52,IF('Capacity summary'!AR161&lt;&gt;"",IF(LOWER('Capacity summary'!AR161)="x",$BI42*AR42,VALUE('Capacity summary'!AR161)),0),AR42*$BI42),AR42*$BI42),0)</f>
        <v>0</v>
      </c>
      <c r="CV42" s="311">
        <f>IF($BI42&lt;&gt;"",IF('Capacity summary'!$D$14="Yes",IF(COUNTBLANK('Capacity summary'!$H161:$BG161)&lt;52,IF('Capacity summary'!AS161&lt;&gt;"",IF(LOWER('Capacity summary'!AS161)="x",$BI42*AS42,VALUE('Capacity summary'!AS161)),0),AS42*$BI42),AS42*$BI42),0)</f>
        <v>0</v>
      </c>
      <c r="CW42" s="311">
        <f>IF($BI42&lt;&gt;"",IF('Capacity summary'!$D$14="Yes",IF(COUNTBLANK('Capacity summary'!$H161:$BG161)&lt;52,IF('Capacity summary'!AT161&lt;&gt;"",IF(LOWER('Capacity summary'!AT161)="x",$BI42*AT42,VALUE('Capacity summary'!AT161)),0),AT42*$BI42),AT42*$BI42),0)</f>
        <v>0</v>
      </c>
      <c r="CX42" s="311">
        <f>IF($BI42&lt;&gt;"",IF('Capacity summary'!$D$14="Yes",IF(COUNTBLANK('Capacity summary'!$H161:$BG161)&lt;52,IF('Capacity summary'!AU161&lt;&gt;"",IF(LOWER('Capacity summary'!AU161)="x",$BI42*AU42,VALUE('Capacity summary'!AU161)),0),AU42*$BI42),AU42*$BI42),0)</f>
        <v>0</v>
      </c>
      <c r="CY42" s="311">
        <f>IF($BI42&lt;&gt;"",IF('Capacity summary'!$D$14="Yes",IF(COUNTBLANK('Capacity summary'!$H161:$BG161)&lt;52,IF('Capacity summary'!AV161&lt;&gt;"",IF(LOWER('Capacity summary'!AV161)="x",$BI42*AV42,VALUE('Capacity summary'!AV161)),0),AV42*$BI42),AV42*$BI42),0)</f>
        <v>0</v>
      </c>
      <c r="CZ42" s="311">
        <f>IF($BI42&lt;&gt;"",IF('Capacity summary'!$D$14="Yes",IF(COUNTBLANK('Capacity summary'!$H161:$BG161)&lt;52,IF('Capacity summary'!AW161&lt;&gt;"",IF(LOWER('Capacity summary'!AW161)="x",$BI42*AW42,VALUE('Capacity summary'!AW161)),0),AW42*$BI42),AW42*$BI42),0)</f>
        <v>0</v>
      </c>
      <c r="DA42" s="311">
        <f>IF($BI42&lt;&gt;"",IF('Capacity summary'!$D$14="Yes",IF(COUNTBLANK('Capacity summary'!$H161:$BG161)&lt;52,IF('Capacity summary'!AX161&lt;&gt;"",IF(LOWER('Capacity summary'!AX161)="x",$BI42*AX42,VALUE('Capacity summary'!AX161)),0),AX42*$BI42),AX42*$BI42),0)</f>
        <v>0</v>
      </c>
      <c r="DB42" s="311">
        <f>IF($BI42&lt;&gt;"",IF('Capacity summary'!$D$14="Yes",IF(COUNTBLANK('Capacity summary'!$H161:$BG161)&lt;52,IF('Capacity summary'!AY161&lt;&gt;"",IF(LOWER('Capacity summary'!AY161)="x",$BI42*AY42,VALUE('Capacity summary'!AY161)),0),AY42*$BI42),AY42*$BI42),0)</f>
        <v>0</v>
      </c>
      <c r="DC42" s="311">
        <f>IF($BI42&lt;&gt;"",IF('Capacity summary'!$D$14="Yes",IF(COUNTBLANK('Capacity summary'!$H161:$BG161)&lt;52,IF('Capacity summary'!AZ161&lt;&gt;"",IF(LOWER('Capacity summary'!AZ161)="x",$BI42*AZ42,VALUE('Capacity summary'!AZ161)),0),AZ42*$BI42),AZ42*$BI42),0)</f>
        <v>0</v>
      </c>
      <c r="DD42" s="311">
        <f>IF($BI42&lt;&gt;"",IF('Capacity summary'!$D$14="Yes",IF(COUNTBLANK('Capacity summary'!$H161:$BG161)&lt;52,IF('Capacity summary'!BA161&lt;&gt;"",IF(LOWER('Capacity summary'!BA161)="x",$BI42*BA42,VALUE('Capacity summary'!BA161)),0),BA42*$BI42),BA42*$BI42),0)</f>
        <v>0</v>
      </c>
      <c r="DE42" s="311">
        <f>IF($BI42&lt;&gt;"",IF('Capacity summary'!$D$14="Yes",IF(COUNTBLANK('Capacity summary'!$H161:$BG161)&lt;52,IF('Capacity summary'!BB161&lt;&gt;"",IF(LOWER('Capacity summary'!BB161)="x",$BI42*BB42,VALUE('Capacity summary'!BB161)),0),BB42*$BI42),BB42*$BI42),0)</f>
        <v>0</v>
      </c>
      <c r="DF42" s="311">
        <f>IF($BI42&lt;&gt;"",IF('Capacity summary'!$D$14="Yes",IF(COUNTBLANK('Capacity summary'!$H161:$BG161)&lt;52,IF('Capacity summary'!BC161&lt;&gt;"",IF(LOWER('Capacity summary'!BC161)="x",$BI42*BC42,VALUE('Capacity summary'!BC161)),0),BC42*$BI42),BC42*$BI42),0)</f>
        <v>0</v>
      </c>
      <c r="DG42" s="311">
        <f>IF($BI42&lt;&gt;"",IF('Capacity summary'!$D$14="Yes",IF(COUNTBLANK('Capacity summary'!$H161:$BG161)&lt;52,IF('Capacity summary'!BD161&lt;&gt;"",IF(LOWER('Capacity summary'!BD161)="x",$BI42*BD42,VALUE('Capacity summary'!BD161)),0),BD42*$BI42),BD42*$BI42),0)</f>
        <v>0</v>
      </c>
      <c r="DH42" s="311">
        <f>IF($BI42&lt;&gt;"",IF('Capacity summary'!$D$14="Yes",IF(COUNTBLANK('Capacity summary'!$H161:$BG161)&lt;52,IF('Capacity summary'!BE161&lt;&gt;"",IF(LOWER('Capacity summary'!BE161)="x",$BI42*BE42,VALUE('Capacity summary'!BE161)),0),BE42*$BI42),BE42*$BI42),0)</f>
        <v>0</v>
      </c>
      <c r="DI42" s="311">
        <f>IF($BI42&lt;&gt;"",IF('Capacity summary'!$D$14="Yes",IF(COUNTBLANK('Capacity summary'!$H161:$BG161)&lt;52,IF('Capacity summary'!BF161&lt;&gt;"",IF(LOWER('Capacity summary'!BF161)="x",$BI42*BF42,VALUE('Capacity summary'!BF161)),0),BF42*$BI42),BF42*$BI42),0)</f>
        <v>0</v>
      </c>
      <c r="DJ42" s="311">
        <f>IF($BI42&lt;&gt;"",IF('Capacity summary'!$D$14="Yes",IF(COUNTBLANK('Capacity summary'!$H161:$BG161)&lt;52,IF('Capacity summary'!BG161&lt;&gt;"",IF(LOWER('Capacity summary'!BG161)="x",$BI42*BG42,VALUE('Capacity summary'!BG161)),0),BG42*$BI42),BG42*$BI42),0)</f>
        <v>0</v>
      </c>
      <c r="DK42" s="387">
        <f t="shared" si="2"/>
        <v>0</v>
      </c>
      <c r="DL42" s="136">
        <f t="shared" si="3"/>
        <v>0</v>
      </c>
      <c r="DM42" s="311" t="str">
        <f>Capacity!H54</f>
        <v/>
      </c>
      <c r="DQ42" s="5"/>
    </row>
    <row r="43" spans="1:121" x14ac:dyDescent="0.2">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1">
        <f>IF($BI43&lt;&gt;"",IF('Capacity summary'!$D$14="Yes",IF(COUNTBLANK('Capacity summary'!$H162:$BG162)&lt;52,IF('Capacity summary'!H162&lt;&gt;"",IF(LOWER('Capacity summary'!H162)="x",$BI43*H43,VALUE('Capacity summary'!H162)),0),H43*$BI43),H43*$BI43),0)</f>
        <v>0</v>
      </c>
      <c r="BL43" s="311">
        <f>IF($BI43&lt;&gt;"",IF('Capacity summary'!$D$14="Yes",IF(COUNTBLANK('Capacity summary'!$H162:$BG162)&lt;52,IF('Capacity summary'!I162&lt;&gt;"",IF(LOWER('Capacity summary'!I162)="x",$BI43*I43,VALUE('Capacity summary'!I162)),0),I43*$BI43),I43*$BI43),0)</f>
        <v>0</v>
      </c>
      <c r="BM43" s="311">
        <f>IF($BI43&lt;&gt;"",IF('Capacity summary'!$D$14="Yes",IF(COUNTBLANK('Capacity summary'!$H162:$BG162)&lt;52,IF('Capacity summary'!J162&lt;&gt;"",IF(LOWER('Capacity summary'!J162)="x",$BI43*J43,VALUE('Capacity summary'!J162)),0),J43*$BI43),J43*$BI43),0)</f>
        <v>0</v>
      </c>
      <c r="BN43" s="311">
        <f>IF($BI43&lt;&gt;"",IF('Capacity summary'!$D$14="Yes",IF(COUNTBLANK('Capacity summary'!$H162:$BG162)&lt;52,IF('Capacity summary'!K162&lt;&gt;"",IF(LOWER('Capacity summary'!K162)="x",$BI43*K43,VALUE('Capacity summary'!K162)),0),K43*$BI43),K43*$BI43),0)</f>
        <v>0</v>
      </c>
      <c r="BO43" s="311">
        <f>IF($BI43&lt;&gt;"",IF('Capacity summary'!$D$14="Yes",IF(COUNTBLANK('Capacity summary'!$H162:$BG162)&lt;52,IF('Capacity summary'!L162&lt;&gt;"",IF(LOWER('Capacity summary'!L162)="x",$BI43*L43,VALUE('Capacity summary'!L162)),0),L43*$BI43),L43*$BI43),0)</f>
        <v>0</v>
      </c>
      <c r="BP43" s="311">
        <f>IF($BI43&lt;&gt;"",IF('Capacity summary'!$D$14="Yes",IF(COUNTBLANK('Capacity summary'!$H162:$BG162)&lt;52,IF('Capacity summary'!M162&lt;&gt;"",IF(LOWER('Capacity summary'!M162)="x",$BI43*M43,VALUE('Capacity summary'!M162)),0),M43*$BI43),M43*$BI43),0)</f>
        <v>0</v>
      </c>
      <c r="BQ43" s="311">
        <f>IF($BI43&lt;&gt;"",IF('Capacity summary'!$D$14="Yes",IF(COUNTBLANK('Capacity summary'!$H162:$BG162)&lt;52,IF('Capacity summary'!N162&lt;&gt;"",IF(LOWER('Capacity summary'!N162)="x",$BI43*N43,VALUE('Capacity summary'!N162)),0),N43*$BI43),N43*$BI43),0)</f>
        <v>0</v>
      </c>
      <c r="BR43" s="311">
        <f>IF($BI43&lt;&gt;"",IF('Capacity summary'!$D$14="Yes",IF(COUNTBLANK('Capacity summary'!$H162:$BG162)&lt;52,IF('Capacity summary'!O162&lt;&gt;"",IF(LOWER('Capacity summary'!O162)="x",$BI43*O43,VALUE('Capacity summary'!O162)),0),O43*$BI43),O43*$BI43),0)</f>
        <v>0</v>
      </c>
      <c r="BS43" s="311">
        <f>IF($BI43&lt;&gt;"",IF('Capacity summary'!$D$14="Yes",IF(COUNTBLANK('Capacity summary'!$H162:$BG162)&lt;52,IF('Capacity summary'!P162&lt;&gt;"",IF(LOWER('Capacity summary'!P162)="x",$BI43*P43,VALUE('Capacity summary'!P162)),0),P43*$BI43),P43*$BI43),0)</f>
        <v>0</v>
      </c>
      <c r="BT43" s="311">
        <f>IF($BI43&lt;&gt;"",IF('Capacity summary'!$D$14="Yes",IF(COUNTBLANK('Capacity summary'!$H162:$BG162)&lt;52,IF('Capacity summary'!Q162&lt;&gt;"",IF(LOWER('Capacity summary'!Q162)="x",$BI43*Q43,VALUE('Capacity summary'!Q162)),0),Q43*$BI43),Q43*$BI43),0)</f>
        <v>0</v>
      </c>
      <c r="BU43" s="311">
        <f>IF($BI43&lt;&gt;"",IF('Capacity summary'!$D$14="Yes",IF(COUNTBLANK('Capacity summary'!$H162:$BG162)&lt;52,IF('Capacity summary'!R162&lt;&gt;"",IF(LOWER('Capacity summary'!R162)="x",$BI43*R43,VALUE('Capacity summary'!R162)),0),R43*$BI43),R43*$BI43),0)</f>
        <v>0</v>
      </c>
      <c r="BV43" s="311">
        <f>IF($BI43&lt;&gt;"",IF('Capacity summary'!$D$14="Yes",IF(COUNTBLANK('Capacity summary'!$H162:$BG162)&lt;52,IF('Capacity summary'!S162&lt;&gt;"",IF(LOWER('Capacity summary'!S162)="x",$BI43*S43,VALUE('Capacity summary'!S162)),0),S43*$BI43),S43*$BI43),0)</f>
        <v>0</v>
      </c>
      <c r="BW43" s="311">
        <f>IF($BI43&lt;&gt;"",IF('Capacity summary'!$D$14="Yes",IF(COUNTBLANK('Capacity summary'!$H162:$BG162)&lt;52,IF('Capacity summary'!T162&lt;&gt;"",IF(LOWER('Capacity summary'!T162)="x",$BI43*T43,VALUE('Capacity summary'!T162)),0),T43*$BI43),T43*$BI43),0)</f>
        <v>0</v>
      </c>
      <c r="BX43" s="311">
        <f>IF($BI43&lt;&gt;"",IF('Capacity summary'!$D$14="Yes",IF(COUNTBLANK('Capacity summary'!$H162:$BG162)&lt;52,IF('Capacity summary'!U162&lt;&gt;"",IF(LOWER('Capacity summary'!U162)="x",$BI43*U43,VALUE('Capacity summary'!U162)),0),U43*$BI43),U43*$BI43),0)</f>
        <v>0</v>
      </c>
      <c r="BY43" s="311">
        <f>IF($BI43&lt;&gt;"",IF('Capacity summary'!$D$14="Yes",IF(COUNTBLANK('Capacity summary'!$H162:$BG162)&lt;52,IF('Capacity summary'!V162&lt;&gt;"",IF(LOWER('Capacity summary'!V162)="x",$BI43*V43,VALUE('Capacity summary'!V162)),0),V43*$BI43),V43*$BI43),0)</f>
        <v>0</v>
      </c>
      <c r="BZ43" s="311">
        <f>IF($BI43&lt;&gt;"",IF('Capacity summary'!$D$14="Yes",IF(COUNTBLANK('Capacity summary'!$H162:$BG162)&lt;52,IF('Capacity summary'!W162&lt;&gt;"",IF(LOWER('Capacity summary'!W162)="x",$BI43*W43,VALUE('Capacity summary'!W162)),0),W43*$BI43),W43*$BI43),0)</f>
        <v>0</v>
      </c>
      <c r="CA43" s="311">
        <f>IF($BI43&lt;&gt;"",IF('Capacity summary'!$D$14="Yes",IF(COUNTBLANK('Capacity summary'!$H162:$BG162)&lt;52,IF('Capacity summary'!X162&lt;&gt;"",IF(LOWER('Capacity summary'!X162)="x",$BI43*X43,VALUE('Capacity summary'!X162)),0),X43*$BI43),X43*$BI43),0)</f>
        <v>0</v>
      </c>
      <c r="CB43" s="311">
        <f>IF($BI43&lt;&gt;"",IF('Capacity summary'!$D$14="Yes",IF(COUNTBLANK('Capacity summary'!$H162:$BG162)&lt;52,IF('Capacity summary'!Y162&lt;&gt;"",IF(LOWER('Capacity summary'!Y162)="x",$BI43*Y43,VALUE('Capacity summary'!Y162)),0),Y43*$BI43),Y43*$BI43),0)</f>
        <v>0</v>
      </c>
      <c r="CC43" s="311">
        <f>IF($BI43&lt;&gt;"",IF('Capacity summary'!$D$14="Yes",IF(COUNTBLANK('Capacity summary'!$H162:$BG162)&lt;52,IF('Capacity summary'!Z162&lt;&gt;"",IF(LOWER('Capacity summary'!Z162)="x",$BI43*Z43,VALUE('Capacity summary'!Z162)),0),Z43*$BI43),Z43*$BI43),0)</f>
        <v>0</v>
      </c>
      <c r="CD43" s="311">
        <f>IF($BI43&lt;&gt;"",IF('Capacity summary'!$D$14="Yes",IF(COUNTBLANK('Capacity summary'!$H162:$BG162)&lt;52,IF('Capacity summary'!AA162&lt;&gt;"",IF(LOWER('Capacity summary'!AA162)="x",$BI43*AA43,VALUE('Capacity summary'!AA162)),0),AA43*$BI43),AA43*$BI43),0)</f>
        <v>0</v>
      </c>
      <c r="CE43" s="311">
        <f>IF($BI43&lt;&gt;"",IF('Capacity summary'!$D$14="Yes",IF(COUNTBLANK('Capacity summary'!$H162:$BG162)&lt;52,IF('Capacity summary'!AB162&lt;&gt;"",IF(LOWER('Capacity summary'!AB162)="x",$BI43*AB43,VALUE('Capacity summary'!AB162)),0),AB43*$BI43),AB43*$BI43),0)</f>
        <v>0</v>
      </c>
      <c r="CF43" s="311">
        <f>IF($BI43&lt;&gt;"",IF('Capacity summary'!$D$14="Yes",IF(COUNTBLANK('Capacity summary'!$H162:$BG162)&lt;52,IF('Capacity summary'!AC162&lt;&gt;"",IF(LOWER('Capacity summary'!AC162)="x",$BI43*AC43,VALUE('Capacity summary'!AC162)),0),AC43*$BI43),AC43*$BI43),0)</f>
        <v>0</v>
      </c>
      <c r="CG43" s="311">
        <f>IF($BI43&lt;&gt;"",IF('Capacity summary'!$D$14="Yes",IF(COUNTBLANK('Capacity summary'!$H162:$BG162)&lt;52,IF('Capacity summary'!AD162&lt;&gt;"",IF(LOWER('Capacity summary'!AD162)="x",$BI43*AD43,VALUE('Capacity summary'!AD162)),0),AD43*$BI43),AD43*$BI43),0)</f>
        <v>0</v>
      </c>
      <c r="CH43" s="311">
        <f>IF($BI43&lt;&gt;"",IF('Capacity summary'!$D$14="Yes",IF(COUNTBLANK('Capacity summary'!$H162:$BG162)&lt;52,IF('Capacity summary'!AE162&lt;&gt;"",IF(LOWER('Capacity summary'!AE162)="x",$BI43*AE43,VALUE('Capacity summary'!AE162)),0),AE43*$BI43),AE43*$BI43),0)</f>
        <v>0</v>
      </c>
      <c r="CI43" s="311">
        <f>IF($BI43&lt;&gt;"",IF('Capacity summary'!$D$14="Yes",IF(COUNTBLANK('Capacity summary'!$H162:$BG162)&lt;52,IF('Capacity summary'!AF162&lt;&gt;"",IF(LOWER('Capacity summary'!AF162)="x",$BI43*AF43,VALUE('Capacity summary'!AF162)),0),AF43*$BI43),AF43*$BI43),0)</f>
        <v>0</v>
      </c>
      <c r="CJ43" s="311">
        <f>IF($BI43&lt;&gt;"",IF('Capacity summary'!$D$14="Yes",IF(COUNTBLANK('Capacity summary'!$H162:$BG162)&lt;52,IF('Capacity summary'!AG162&lt;&gt;"",IF(LOWER('Capacity summary'!AG162)="x",$BI43*AG43,VALUE('Capacity summary'!AG162)),0),AG43*$BI43),AG43*$BI43),0)</f>
        <v>0</v>
      </c>
      <c r="CK43" s="311">
        <f>IF($BI43&lt;&gt;"",IF('Capacity summary'!$D$14="Yes",IF(COUNTBLANK('Capacity summary'!$H162:$BG162)&lt;52,IF('Capacity summary'!AH162&lt;&gt;"",IF(LOWER('Capacity summary'!AH162)="x",$BI43*AH43,VALUE('Capacity summary'!AH162)),0),AH43*$BI43),AH43*$BI43),0)</f>
        <v>0</v>
      </c>
      <c r="CL43" s="311">
        <f>IF($BI43&lt;&gt;"",IF('Capacity summary'!$D$14="Yes",IF(COUNTBLANK('Capacity summary'!$H162:$BG162)&lt;52,IF('Capacity summary'!AI162&lt;&gt;"",IF(LOWER('Capacity summary'!AI162)="x",$BI43*AI43,VALUE('Capacity summary'!AI162)),0),AI43*$BI43),AI43*$BI43),0)</f>
        <v>0</v>
      </c>
      <c r="CM43" s="311">
        <f>IF($BI43&lt;&gt;"",IF('Capacity summary'!$D$14="Yes",IF(COUNTBLANK('Capacity summary'!$H162:$BG162)&lt;52,IF('Capacity summary'!AJ162&lt;&gt;"",IF(LOWER('Capacity summary'!AJ162)="x",$BI43*AJ43,VALUE('Capacity summary'!AJ162)),0),AJ43*$BI43),AJ43*$BI43),0)</f>
        <v>0</v>
      </c>
      <c r="CN43" s="311">
        <f>IF($BI43&lt;&gt;"",IF('Capacity summary'!$D$14="Yes",IF(COUNTBLANK('Capacity summary'!$H162:$BG162)&lt;52,IF('Capacity summary'!AK162&lt;&gt;"",IF(LOWER('Capacity summary'!AK162)="x",$BI43*AK43,VALUE('Capacity summary'!AK162)),0),AK43*$BI43),AK43*$BI43),0)</f>
        <v>0</v>
      </c>
      <c r="CO43" s="311">
        <f>IF($BI43&lt;&gt;"",IF('Capacity summary'!$D$14="Yes",IF(COUNTBLANK('Capacity summary'!$H162:$BG162)&lt;52,IF('Capacity summary'!AL162&lt;&gt;"",IF(LOWER('Capacity summary'!AL162)="x",$BI43*AL43,VALUE('Capacity summary'!AL162)),0),AL43*$BI43),AL43*$BI43),0)</f>
        <v>0</v>
      </c>
      <c r="CP43" s="311">
        <f>IF($BI43&lt;&gt;"",IF('Capacity summary'!$D$14="Yes",IF(COUNTBLANK('Capacity summary'!$H162:$BG162)&lt;52,IF('Capacity summary'!AM162&lt;&gt;"",IF(LOWER('Capacity summary'!AM162)="x",$BI43*AM43,VALUE('Capacity summary'!AM162)),0),AM43*$BI43),AM43*$BI43),0)</f>
        <v>0</v>
      </c>
      <c r="CQ43" s="311">
        <f>IF($BI43&lt;&gt;"",IF('Capacity summary'!$D$14="Yes",IF(COUNTBLANK('Capacity summary'!$H162:$BG162)&lt;52,IF('Capacity summary'!AN162&lt;&gt;"",IF(LOWER('Capacity summary'!AN162)="x",$BI43*AN43,VALUE('Capacity summary'!AN162)),0),AN43*$BI43),AN43*$BI43),0)</f>
        <v>0</v>
      </c>
      <c r="CR43" s="311">
        <f>IF($BI43&lt;&gt;"",IF('Capacity summary'!$D$14="Yes",IF(COUNTBLANK('Capacity summary'!$H162:$BG162)&lt;52,IF('Capacity summary'!AO162&lt;&gt;"",IF(LOWER('Capacity summary'!AO162)="x",$BI43*AO43,VALUE('Capacity summary'!AO162)),0),AO43*$BI43),AO43*$BI43),0)</f>
        <v>0</v>
      </c>
      <c r="CS43" s="311">
        <f>IF($BI43&lt;&gt;"",IF('Capacity summary'!$D$14="Yes",IF(COUNTBLANK('Capacity summary'!$H162:$BG162)&lt;52,IF('Capacity summary'!AP162&lt;&gt;"",IF(LOWER('Capacity summary'!AP162)="x",$BI43*AP43,VALUE('Capacity summary'!AP162)),0),AP43*$BI43),AP43*$BI43),0)</f>
        <v>0</v>
      </c>
      <c r="CT43" s="311">
        <f>IF($BI43&lt;&gt;"",IF('Capacity summary'!$D$14="Yes",IF(COUNTBLANK('Capacity summary'!$H162:$BG162)&lt;52,IF('Capacity summary'!AQ162&lt;&gt;"",IF(LOWER('Capacity summary'!AQ162)="x",$BI43*AQ43,VALUE('Capacity summary'!AQ162)),0),AQ43*$BI43),AQ43*$BI43),0)</f>
        <v>0</v>
      </c>
      <c r="CU43" s="311">
        <f>IF($BI43&lt;&gt;"",IF('Capacity summary'!$D$14="Yes",IF(COUNTBLANK('Capacity summary'!$H162:$BG162)&lt;52,IF('Capacity summary'!AR162&lt;&gt;"",IF(LOWER('Capacity summary'!AR162)="x",$BI43*AR43,VALUE('Capacity summary'!AR162)),0),AR43*$BI43),AR43*$BI43),0)</f>
        <v>0</v>
      </c>
      <c r="CV43" s="311">
        <f>IF($BI43&lt;&gt;"",IF('Capacity summary'!$D$14="Yes",IF(COUNTBLANK('Capacity summary'!$H162:$BG162)&lt;52,IF('Capacity summary'!AS162&lt;&gt;"",IF(LOWER('Capacity summary'!AS162)="x",$BI43*AS43,VALUE('Capacity summary'!AS162)),0),AS43*$BI43),AS43*$BI43),0)</f>
        <v>0</v>
      </c>
      <c r="CW43" s="311">
        <f>IF($BI43&lt;&gt;"",IF('Capacity summary'!$D$14="Yes",IF(COUNTBLANK('Capacity summary'!$H162:$BG162)&lt;52,IF('Capacity summary'!AT162&lt;&gt;"",IF(LOWER('Capacity summary'!AT162)="x",$BI43*AT43,VALUE('Capacity summary'!AT162)),0),AT43*$BI43),AT43*$BI43),0)</f>
        <v>0</v>
      </c>
      <c r="CX43" s="311">
        <f>IF($BI43&lt;&gt;"",IF('Capacity summary'!$D$14="Yes",IF(COUNTBLANK('Capacity summary'!$H162:$BG162)&lt;52,IF('Capacity summary'!AU162&lt;&gt;"",IF(LOWER('Capacity summary'!AU162)="x",$BI43*AU43,VALUE('Capacity summary'!AU162)),0),AU43*$BI43),AU43*$BI43),0)</f>
        <v>0</v>
      </c>
      <c r="CY43" s="311">
        <f>IF($BI43&lt;&gt;"",IF('Capacity summary'!$D$14="Yes",IF(COUNTBLANK('Capacity summary'!$H162:$BG162)&lt;52,IF('Capacity summary'!AV162&lt;&gt;"",IF(LOWER('Capacity summary'!AV162)="x",$BI43*AV43,VALUE('Capacity summary'!AV162)),0),AV43*$BI43),AV43*$BI43),0)</f>
        <v>0</v>
      </c>
      <c r="CZ43" s="311">
        <f>IF($BI43&lt;&gt;"",IF('Capacity summary'!$D$14="Yes",IF(COUNTBLANK('Capacity summary'!$H162:$BG162)&lt;52,IF('Capacity summary'!AW162&lt;&gt;"",IF(LOWER('Capacity summary'!AW162)="x",$BI43*AW43,VALUE('Capacity summary'!AW162)),0),AW43*$BI43),AW43*$BI43),0)</f>
        <v>0</v>
      </c>
      <c r="DA43" s="311">
        <f>IF($BI43&lt;&gt;"",IF('Capacity summary'!$D$14="Yes",IF(COUNTBLANK('Capacity summary'!$H162:$BG162)&lt;52,IF('Capacity summary'!AX162&lt;&gt;"",IF(LOWER('Capacity summary'!AX162)="x",$BI43*AX43,VALUE('Capacity summary'!AX162)),0),AX43*$BI43),AX43*$BI43),0)</f>
        <v>0</v>
      </c>
      <c r="DB43" s="311">
        <f>IF($BI43&lt;&gt;"",IF('Capacity summary'!$D$14="Yes",IF(COUNTBLANK('Capacity summary'!$H162:$BG162)&lt;52,IF('Capacity summary'!AY162&lt;&gt;"",IF(LOWER('Capacity summary'!AY162)="x",$BI43*AY43,VALUE('Capacity summary'!AY162)),0),AY43*$BI43),AY43*$BI43),0)</f>
        <v>0</v>
      </c>
      <c r="DC43" s="311">
        <f>IF($BI43&lt;&gt;"",IF('Capacity summary'!$D$14="Yes",IF(COUNTBLANK('Capacity summary'!$H162:$BG162)&lt;52,IF('Capacity summary'!AZ162&lt;&gt;"",IF(LOWER('Capacity summary'!AZ162)="x",$BI43*AZ43,VALUE('Capacity summary'!AZ162)),0),AZ43*$BI43),AZ43*$BI43),0)</f>
        <v>0</v>
      </c>
      <c r="DD43" s="311">
        <f>IF($BI43&lt;&gt;"",IF('Capacity summary'!$D$14="Yes",IF(COUNTBLANK('Capacity summary'!$H162:$BG162)&lt;52,IF('Capacity summary'!BA162&lt;&gt;"",IF(LOWER('Capacity summary'!BA162)="x",$BI43*BA43,VALUE('Capacity summary'!BA162)),0),BA43*$BI43),BA43*$BI43),0)</f>
        <v>0</v>
      </c>
      <c r="DE43" s="311">
        <f>IF($BI43&lt;&gt;"",IF('Capacity summary'!$D$14="Yes",IF(COUNTBLANK('Capacity summary'!$H162:$BG162)&lt;52,IF('Capacity summary'!BB162&lt;&gt;"",IF(LOWER('Capacity summary'!BB162)="x",$BI43*BB43,VALUE('Capacity summary'!BB162)),0),BB43*$BI43),BB43*$BI43),0)</f>
        <v>0</v>
      </c>
      <c r="DF43" s="311">
        <f>IF($BI43&lt;&gt;"",IF('Capacity summary'!$D$14="Yes",IF(COUNTBLANK('Capacity summary'!$H162:$BG162)&lt;52,IF('Capacity summary'!BC162&lt;&gt;"",IF(LOWER('Capacity summary'!BC162)="x",$BI43*BC43,VALUE('Capacity summary'!BC162)),0),BC43*$BI43),BC43*$BI43),0)</f>
        <v>0</v>
      </c>
      <c r="DG43" s="311">
        <f>IF($BI43&lt;&gt;"",IF('Capacity summary'!$D$14="Yes",IF(COUNTBLANK('Capacity summary'!$H162:$BG162)&lt;52,IF('Capacity summary'!BD162&lt;&gt;"",IF(LOWER('Capacity summary'!BD162)="x",$BI43*BD43,VALUE('Capacity summary'!BD162)),0),BD43*$BI43),BD43*$BI43),0)</f>
        <v>0</v>
      </c>
      <c r="DH43" s="311">
        <f>IF($BI43&lt;&gt;"",IF('Capacity summary'!$D$14="Yes",IF(COUNTBLANK('Capacity summary'!$H162:$BG162)&lt;52,IF('Capacity summary'!BE162&lt;&gt;"",IF(LOWER('Capacity summary'!BE162)="x",$BI43*BE43,VALUE('Capacity summary'!BE162)),0),BE43*$BI43),BE43*$BI43),0)</f>
        <v>0</v>
      </c>
      <c r="DI43" s="311">
        <f>IF($BI43&lt;&gt;"",IF('Capacity summary'!$D$14="Yes",IF(COUNTBLANK('Capacity summary'!$H162:$BG162)&lt;52,IF('Capacity summary'!BF162&lt;&gt;"",IF(LOWER('Capacity summary'!BF162)="x",$BI43*BF43,VALUE('Capacity summary'!BF162)),0),BF43*$BI43),BF43*$BI43),0)</f>
        <v>0</v>
      </c>
      <c r="DJ43" s="311">
        <f>IF($BI43&lt;&gt;"",IF('Capacity summary'!$D$14="Yes",IF(COUNTBLANK('Capacity summary'!$H162:$BG162)&lt;52,IF('Capacity summary'!BG162&lt;&gt;"",IF(LOWER('Capacity summary'!BG162)="x",$BI43*BG43,VALUE('Capacity summary'!BG162)),0),BG43*$BI43),BG43*$BI43),0)</f>
        <v>0</v>
      </c>
      <c r="DK43" s="387">
        <f t="shared" si="2"/>
        <v>0</v>
      </c>
      <c r="DL43" s="136">
        <f t="shared" si="3"/>
        <v>0</v>
      </c>
      <c r="DM43" s="311" t="str">
        <f>Capacity!H55</f>
        <v/>
      </c>
      <c r="DQ43" s="5"/>
    </row>
    <row r="44" spans="1:121" x14ac:dyDescent="0.2">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1">
        <f>IF($BI44&lt;&gt;"",IF('Capacity summary'!$D$14="Yes",IF(COUNTBLANK('Capacity summary'!$H163:$BG163)&lt;52,IF('Capacity summary'!H163&lt;&gt;"",IF(LOWER('Capacity summary'!H163)="x",$BI44*H44,VALUE('Capacity summary'!H163)),0),H44*$BI44),H44*$BI44),0)</f>
        <v>0</v>
      </c>
      <c r="BL44" s="311">
        <f>IF($BI44&lt;&gt;"",IF('Capacity summary'!$D$14="Yes",IF(COUNTBLANK('Capacity summary'!$H163:$BG163)&lt;52,IF('Capacity summary'!I163&lt;&gt;"",IF(LOWER('Capacity summary'!I163)="x",$BI44*I44,VALUE('Capacity summary'!I163)),0),I44*$BI44),I44*$BI44),0)</f>
        <v>0</v>
      </c>
      <c r="BM44" s="311">
        <f>IF($BI44&lt;&gt;"",IF('Capacity summary'!$D$14="Yes",IF(COUNTBLANK('Capacity summary'!$H163:$BG163)&lt;52,IF('Capacity summary'!J163&lt;&gt;"",IF(LOWER('Capacity summary'!J163)="x",$BI44*J44,VALUE('Capacity summary'!J163)),0),J44*$BI44),J44*$BI44),0)</f>
        <v>0</v>
      </c>
      <c r="BN44" s="311">
        <f>IF($BI44&lt;&gt;"",IF('Capacity summary'!$D$14="Yes",IF(COUNTBLANK('Capacity summary'!$H163:$BG163)&lt;52,IF('Capacity summary'!K163&lt;&gt;"",IF(LOWER('Capacity summary'!K163)="x",$BI44*K44,VALUE('Capacity summary'!K163)),0),K44*$BI44),K44*$BI44),0)</f>
        <v>0</v>
      </c>
      <c r="BO44" s="311">
        <f>IF($BI44&lt;&gt;"",IF('Capacity summary'!$D$14="Yes",IF(COUNTBLANK('Capacity summary'!$H163:$BG163)&lt;52,IF('Capacity summary'!L163&lt;&gt;"",IF(LOWER('Capacity summary'!L163)="x",$BI44*L44,VALUE('Capacity summary'!L163)),0),L44*$BI44),L44*$BI44),0)</f>
        <v>0</v>
      </c>
      <c r="BP44" s="311">
        <f>IF($BI44&lt;&gt;"",IF('Capacity summary'!$D$14="Yes",IF(COUNTBLANK('Capacity summary'!$H163:$BG163)&lt;52,IF('Capacity summary'!M163&lt;&gt;"",IF(LOWER('Capacity summary'!M163)="x",$BI44*M44,VALUE('Capacity summary'!M163)),0),M44*$BI44),M44*$BI44),0)</f>
        <v>0</v>
      </c>
      <c r="BQ44" s="311">
        <f>IF($BI44&lt;&gt;"",IF('Capacity summary'!$D$14="Yes",IF(COUNTBLANK('Capacity summary'!$H163:$BG163)&lt;52,IF('Capacity summary'!N163&lt;&gt;"",IF(LOWER('Capacity summary'!N163)="x",$BI44*N44,VALUE('Capacity summary'!N163)),0),N44*$BI44),N44*$BI44),0)</f>
        <v>0</v>
      </c>
      <c r="BR44" s="311">
        <f>IF($BI44&lt;&gt;"",IF('Capacity summary'!$D$14="Yes",IF(COUNTBLANK('Capacity summary'!$H163:$BG163)&lt;52,IF('Capacity summary'!O163&lt;&gt;"",IF(LOWER('Capacity summary'!O163)="x",$BI44*O44,VALUE('Capacity summary'!O163)),0),O44*$BI44),O44*$BI44),0)</f>
        <v>0</v>
      </c>
      <c r="BS44" s="311">
        <f>IF($BI44&lt;&gt;"",IF('Capacity summary'!$D$14="Yes",IF(COUNTBLANK('Capacity summary'!$H163:$BG163)&lt;52,IF('Capacity summary'!P163&lt;&gt;"",IF(LOWER('Capacity summary'!P163)="x",$BI44*P44,VALUE('Capacity summary'!P163)),0),P44*$BI44),P44*$BI44),0)</f>
        <v>0</v>
      </c>
      <c r="BT44" s="311">
        <f>IF($BI44&lt;&gt;"",IF('Capacity summary'!$D$14="Yes",IF(COUNTBLANK('Capacity summary'!$H163:$BG163)&lt;52,IF('Capacity summary'!Q163&lt;&gt;"",IF(LOWER('Capacity summary'!Q163)="x",$BI44*Q44,VALUE('Capacity summary'!Q163)),0),Q44*$BI44),Q44*$BI44),0)</f>
        <v>0</v>
      </c>
      <c r="BU44" s="311">
        <f>IF($BI44&lt;&gt;"",IF('Capacity summary'!$D$14="Yes",IF(COUNTBLANK('Capacity summary'!$H163:$BG163)&lt;52,IF('Capacity summary'!R163&lt;&gt;"",IF(LOWER('Capacity summary'!R163)="x",$BI44*R44,VALUE('Capacity summary'!R163)),0),R44*$BI44),R44*$BI44),0)</f>
        <v>0</v>
      </c>
      <c r="BV44" s="311">
        <f>IF($BI44&lt;&gt;"",IF('Capacity summary'!$D$14="Yes",IF(COUNTBLANK('Capacity summary'!$H163:$BG163)&lt;52,IF('Capacity summary'!S163&lt;&gt;"",IF(LOWER('Capacity summary'!S163)="x",$BI44*S44,VALUE('Capacity summary'!S163)),0),S44*$BI44),S44*$BI44),0)</f>
        <v>0</v>
      </c>
      <c r="BW44" s="311">
        <f>IF($BI44&lt;&gt;"",IF('Capacity summary'!$D$14="Yes",IF(COUNTBLANK('Capacity summary'!$H163:$BG163)&lt;52,IF('Capacity summary'!T163&lt;&gt;"",IF(LOWER('Capacity summary'!T163)="x",$BI44*T44,VALUE('Capacity summary'!T163)),0),T44*$BI44),T44*$BI44),0)</f>
        <v>0</v>
      </c>
      <c r="BX44" s="311">
        <f>IF($BI44&lt;&gt;"",IF('Capacity summary'!$D$14="Yes",IF(COUNTBLANK('Capacity summary'!$H163:$BG163)&lt;52,IF('Capacity summary'!U163&lt;&gt;"",IF(LOWER('Capacity summary'!U163)="x",$BI44*U44,VALUE('Capacity summary'!U163)),0),U44*$BI44),U44*$BI44),0)</f>
        <v>0</v>
      </c>
      <c r="BY44" s="311">
        <f>IF($BI44&lt;&gt;"",IF('Capacity summary'!$D$14="Yes",IF(COUNTBLANK('Capacity summary'!$H163:$BG163)&lt;52,IF('Capacity summary'!V163&lt;&gt;"",IF(LOWER('Capacity summary'!V163)="x",$BI44*V44,VALUE('Capacity summary'!V163)),0),V44*$BI44),V44*$BI44),0)</f>
        <v>0</v>
      </c>
      <c r="BZ44" s="311">
        <f>IF($BI44&lt;&gt;"",IF('Capacity summary'!$D$14="Yes",IF(COUNTBLANK('Capacity summary'!$H163:$BG163)&lt;52,IF('Capacity summary'!W163&lt;&gt;"",IF(LOWER('Capacity summary'!W163)="x",$BI44*W44,VALUE('Capacity summary'!W163)),0),W44*$BI44),W44*$BI44),0)</f>
        <v>0</v>
      </c>
      <c r="CA44" s="311">
        <f>IF($BI44&lt;&gt;"",IF('Capacity summary'!$D$14="Yes",IF(COUNTBLANK('Capacity summary'!$H163:$BG163)&lt;52,IF('Capacity summary'!X163&lt;&gt;"",IF(LOWER('Capacity summary'!X163)="x",$BI44*X44,VALUE('Capacity summary'!X163)),0),X44*$BI44),X44*$BI44),0)</f>
        <v>0</v>
      </c>
      <c r="CB44" s="311">
        <f>IF($BI44&lt;&gt;"",IF('Capacity summary'!$D$14="Yes",IF(COUNTBLANK('Capacity summary'!$H163:$BG163)&lt;52,IF('Capacity summary'!Y163&lt;&gt;"",IF(LOWER('Capacity summary'!Y163)="x",$BI44*Y44,VALUE('Capacity summary'!Y163)),0),Y44*$BI44),Y44*$BI44),0)</f>
        <v>0</v>
      </c>
      <c r="CC44" s="311">
        <f>IF($BI44&lt;&gt;"",IF('Capacity summary'!$D$14="Yes",IF(COUNTBLANK('Capacity summary'!$H163:$BG163)&lt;52,IF('Capacity summary'!Z163&lt;&gt;"",IF(LOWER('Capacity summary'!Z163)="x",$BI44*Z44,VALUE('Capacity summary'!Z163)),0),Z44*$BI44),Z44*$BI44),0)</f>
        <v>0</v>
      </c>
      <c r="CD44" s="311">
        <f>IF($BI44&lt;&gt;"",IF('Capacity summary'!$D$14="Yes",IF(COUNTBLANK('Capacity summary'!$H163:$BG163)&lt;52,IF('Capacity summary'!AA163&lt;&gt;"",IF(LOWER('Capacity summary'!AA163)="x",$BI44*AA44,VALUE('Capacity summary'!AA163)),0),AA44*$BI44),AA44*$BI44),0)</f>
        <v>0</v>
      </c>
      <c r="CE44" s="311">
        <f>IF($BI44&lt;&gt;"",IF('Capacity summary'!$D$14="Yes",IF(COUNTBLANK('Capacity summary'!$H163:$BG163)&lt;52,IF('Capacity summary'!AB163&lt;&gt;"",IF(LOWER('Capacity summary'!AB163)="x",$BI44*AB44,VALUE('Capacity summary'!AB163)),0),AB44*$BI44),AB44*$BI44),0)</f>
        <v>0</v>
      </c>
      <c r="CF44" s="311">
        <f>IF($BI44&lt;&gt;"",IF('Capacity summary'!$D$14="Yes",IF(COUNTBLANK('Capacity summary'!$H163:$BG163)&lt;52,IF('Capacity summary'!AC163&lt;&gt;"",IF(LOWER('Capacity summary'!AC163)="x",$BI44*AC44,VALUE('Capacity summary'!AC163)),0),AC44*$BI44),AC44*$BI44),0)</f>
        <v>0</v>
      </c>
      <c r="CG44" s="311">
        <f>IF($BI44&lt;&gt;"",IF('Capacity summary'!$D$14="Yes",IF(COUNTBLANK('Capacity summary'!$H163:$BG163)&lt;52,IF('Capacity summary'!AD163&lt;&gt;"",IF(LOWER('Capacity summary'!AD163)="x",$BI44*AD44,VALUE('Capacity summary'!AD163)),0),AD44*$BI44),AD44*$BI44),0)</f>
        <v>0</v>
      </c>
      <c r="CH44" s="311">
        <f>IF($BI44&lt;&gt;"",IF('Capacity summary'!$D$14="Yes",IF(COUNTBLANK('Capacity summary'!$H163:$BG163)&lt;52,IF('Capacity summary'!AE163&lt;&gt;"",IF(LOWER('Capacity summary'!AE163)="x",$BI44*AE44,VALUE('Capacity summary'!AE163)),0),AE44*$BI44),AE44*$BI44),0)</f>
        <v>0</v>
      </c>
      <c r="CI44" s="311">
        <f>IF($BI44&lt;&gt;"",IF('Capacity summary'!$D$14="Yes",IF(COUNTBLANK('Capacity summary'!$H163:$BG163)&lt;52,IF('Capacity summary'!AF163&lt;&gt;"",IF(LOWER('Capacity summary'!AF163)="x",$BI44*AF44,VALUE('Capacity summary'!AF163)),0),AF44*$BI44),AF44*$BI44),0)</f>
        <v>0</v>
      </c>
      <c r="CJ44" s="311">
        <f>IF($BI44&lt;&gt;"",IF('Capacity summary'!$D$14="Yes",IF(COUNTBLANK('Capacity summary'!$H163:$BG163)&lt;52,IF('Capacity summary'!AG163&lt;&gt;"",IF(LOWER('Capacity summary'!AG163)="x",$BI44*AG44,VALUE('Capacity summary'!AG163)),0),AG44*$BI44),AG44*$BI44),0)</f>
        <v>0</v>
      </c>
      <c r="CK44" s="311">
        <f>IF($BI44&lt;&gt;"",IF('Capacity summary'!$D$14="Yes",IF(COUNTBLANK('Capacity summary'!$H163:$BG163)&lt;52,IF('Capacity summary'!AH163&lt;&gt;"",IF(LOWER('Capacity summary'!AH163)="x",$BI44*AH44,VALUE('Capacity summary'!AH163)),0),AH44*$BI44),AH44*$BI44),0)</f>
        <v>0</v>
      </c>
      <c r="CL44" s="311">
        <f>IF($BI44&lt;&gt;"",IF('Capacity summary'!$D$14="Yes",IF(COUNTBLANK('Capacity summary'!$H163:$BG163)&lt;52,IF('Capacity summary'!AI163&lt;&gt;"",IF(LOWER('Capacity summary'!AI163)="x",$BI44*AI44,VALUE('Capacity summary'!AI163)),0),AI44*$BI44),AI44*$BI44),0)</f>
        <v>0</v>
      </c>
      <c r="CM44" s="311">
        <f>IF($BI44&lt;&gt;"",IF('Capacity summary'!$D$14="Yes",IF(COUNTBLANK('Capacity summary'!$H163:$BG163)&lt;52,IF('Capacity summary'!AJ163&lt;&gt;"",IF(LOWER('Capacity summary'!AJ163)="x",$BI44*AJ44,VALUE('Capacity summary'!AJ163)),0),AJ44*$BI44),AJ44*$BI44),0)</f>
        <v>0</v>
      </c>
      <c r="CN44" s="311">
        <f>IF($BI44&lt;&gt;"",IF('Capacity summary'!$D$14="Yes",IF(COUNTBLANK('Capacity summary'!$H163:$BG163)&lt;52,IF('Capacity summary'!AK163&lt;&gt;"",IF(LOWER('Capacity summary'!AK163)="x",$BI44*AK44,VALUE('Capacity summary'!AK163)),0),AK44*$BI44),AK44*$BI44),0)</f>
        <v>0</v>
      </c>
      <c r="CO44" s="311">
        <f>IF($BI44&lt;&gt;"",IF('Capacity summary'!$D$14="Yes",IF(COUNTBLANK('Capacity summary'!$H163:$BG163)&lt;52,IF('Capacity summary'!AL163&lt;&gt;"",IF(LOWER('Capacity summary'!AL163)="x",$BI44*AL44,VALUE('Capacity summary'!AL163)),0),AL44*$BI44),AL44*$BI44),0)</f>
        <v>0</v>
      </c>
      <c r="CP44" s="311">
        <f>IF($BI44&lt;&gt;"",IF('Capacity summary'!$D$14="Yes",IF(COUNTBLANK('Capacity summary'!$H163:$BG163)&lt;52,IF('Capacity summary'!AM163&lt;&gt;"",IF(LOWER('Capacity summary'!AM163)="x",$BI44*AM44,VALUE('Capacity summary'!AM163)),0),AM44*$BI44),AM44*$BI44),0)</f>
        <v>0</v>
      </c>
      <c r="CQ44" s="311">
        <f>IF($BI44&lt;&gt;"",IF('Capacity summary'!$D$14="Yes",IF(COUNTBLANK('Capacity summary'!$H163:$BG163)&lt;52,IF('Capacity summary'!AN163&lt;&gt;"",IF(LOWER('Capacity summary'!AN163)="x",$BI44*AN44,VALUE('Capacity summary'!AN163)),0),AN44*$BI44),AN44*$BI44),0)</f>
        <v>0</v>
      </c>
      <c r="CR44" s="311">
        <f>IF($BI44&lt;&gt;"",IF('Capacity summary'!$D$14="Yes",IF(COUNTBLANK('Capacity summary'!$H163:$BG163)&lt;52,IF('Capacity summary'!AO163&lt;&gt;"",IF(LOWER('Capacity summary'!AO163)="x",$BI44*AO44,VALUE('Capacity summary'!AO163)),0),AO44*$BI44),AO44*$BI44),0)</f>
        <v>0</v>
      </c>
      <c r="CS44" s="311">
        <f>IF($BI44&lt;&gt;"",IF('Capacity summary'!$D$14="Yes",IF(COUNTBLANK('Capacity summary'!$H163:$BG163)&lt;52,IF('Capacity summary'!AP163&lt;&gt;"",IF(LOWER('Capacity summary'!AP163)="x",$BI44*AP44,VALUE('Capacity summary'!AP163)),0),AP44*$BI44),AP44*$BI44),0)</f>
        <v>0</v>
      </c>
      <c r="CT44" s="311">
        <f>IF($BI44&lt;&gt;"",IF('Capacity summary'!$D$14="Yes",IF(COUNTBLANK('Capacity summary'!$H163:$BG163)&lt;52,IF('Capacity summary'!AQ163&lt;&gt;"",IF(LOWER('Capacity summary'!AQ163)="x",$BI44*AQ44,VALUE('Capacity summary'!AQ163)),0),AQ44*$BI44),AQ44*$BI44),0)</f>
        <v>0</v>
      </c>
      <c r="CU44" s="311">
        <f>IF($BI44&lt;&gt;"",IF('Capacity summary'!$D$14="Yes",IF(COUNTBLANK('Capacity summary'!$H163:$BG163)&lt;52,IF('Capacity summary'!AR163&lt;&gt;"",IF(LOWER('Capacity summary'!AR163)="x",$BI44*AR44,VALUE('Capacity summary'!AR163)),0),AR44*$BI44),AR44*$BI44),0)</f>
        <v>0</v>
      </c>
      <c r="CV44" s="311">
        <f>IF($BI44&lt;&gt;"",IF('Capacity summary'!$D$14="Yes",IF(COUNTBLANK('Capacity summary'!$H163:$BG163)&lt;52,IF('Capacity summary'!AS163&lt;&gt;"",IF(LOWER('Capacity summary'!AS163)="x",$BI44*AS44,VALUE('Capacity summary'!AS163)),0),AS44*$BI44),AS44*$BI44),0)</f>
        <v>0</v>
      </c>
      <c r="CW44" s="311">
        <f>IF($BI44&lt;&gt;"",IF('Capacity summary'!$D$14="Yes",IF(COUNTBLANK('Capacity summary'!$H163:$BG163)&lt;52,IF('Capacity summary'!AT163&lt;&gt;"",IF(LOWER('Capacity summary'!AT163)="x",$BI44*AT44,VALUE('Capacity summary'!AT163)),0),AT44*$BI44),AT44*$BI44),0)</f>
        <v>0</v>
      </c>
      <c r="CX44" s="311">
        <f>IF($BI44&lt;&gt;"",IF('Capacity summary'!$D$14="Yes",IF(COUNTBLANK('Capacity summary'!$H163:$BG163)&lt;52,IF('Capacity summary'!AU163&lt;&gt;"",IF(LOWER('Capacity summary'!AU163)="x",$BI44*AU44,VALUE('Capacity summary'!AU163)),0),AU44*$BI44),AU44*$BI44),0)</f>
        <v>0</v>
      </c>
      <c r="CY44" s="311">
        <f>IF($BI44&lt;&gt;"",IF('Capacity summary'!$D$14="Yes",IF(COUNTBLANK('Capacity summary'!$H163:$BG163)&lt;52,IF('Capacity summary'!AV163&lt;&gt;"",IF(LOWER('Capacity summary'!AV163)="x",$BI44*AV44,VALUE('Capacity summary'!AV163)),0),AV44*$BI44),AV44*$BI44),0)</f>
        <v>0</v>
      </c>
      <c r="CZ44" s="311">
        <f>IF($BI44&lt;&gt;"",IF('Capacity summary'!$D$14="Yes",IF(COUNTBLANK('Capacity summary'!$H163:$BG163)&lt;52,IF('Capacity summary'!AW163&lt;&gt;"",IF(LOWER('Capacity summary'!AW163)="x",$BI44*AW44,VALUE('Capacity summary'!AW163)),0),AW44*$BI44),AW44*$BI44),0)</f>
        <v>0</v>
      </c>
      <c r="DA44" s="311">
        <f>IF($BI44&lt;&gt;"",IF('Capacity summary'!$D$14="Yes",IF(COUNTBLANK('Capacity summary'!$H163:$BG163)&lt;52,IF('Capacity summary'!AX163&lt;&gt;"",IF(LOWER('Capacity summary'!AX163)="x",$BI44*AX44,VALUE('Capacity summary'!AX163)),0),AX44*$BI44),AX44*$BI44),0)</f>
        <v>0</v>
      </c>
      <c r="DB44" s="311">
        <f>IF($BI44&lt;&gt;"",IF('Capacity summary'!$D$14="Yes",IF(COUNTBLANK('Capacity summary'!$H163:$BG163)&lt;52,IF('Capacity summary'!AY163&lt;&gt;"",IF(LOWER('Capacity summary'!AY163)="x",$BI44*AY44,VALUE('Capacity summary'!AY163)),0),AY44*$BI44),AY44*$BI44),0)</f>
        <v>0</v>
      </c>
      <c r="DC44" s="311">
        <f>IF($BI44&lt;&gt;"",IF('Capacity summary'!$D$14="Yes",IF(COUNTBLANK('Capacity summary'!$H163:$BG163)&lt;52,IF('Capacity summary'!AZ163&lt;&gt;"",IF(LOWER('Capacity summary'!AZ163)="x",$BI44*AZ44,VALUE('Capacity summary'!AZ163)),0),AZ44*$BI44),AZ44*$BI44),0)</f>
        <v>0</v>
      </c>
      <c r="DD44" s="311">
        <f>IF($BI44&lt;&gt;"",IF('Capacity summary'!$D$14="Yes",IF(COUNTBLANK('Capacity summary'!$H163:$BG163)&lt;52,IF('Capacity summary'!BA163&lt;&gt;"",IF(LOWER('Capacity summary'!BA163)="x",$BI44*BA44,VALUE('Capacity summary'!BA163)),0),BA44*$BI44),BA44*$BI44),0)</f>
        <v>0</v>
      </c>
      <c r="DE44" s="311">
        <f>IF($BI44&lt;&gt;"",IF('Capacity summary'!$D$14="Yes",IF(COUNTBLANK('Capacity summary'!$H163:$BG163)&lt;52,IF('Capacity summary'!BB163&lt;&gt;"",IF(LOWER('Capacity summary'!BB163)="x",$BI44*BB44,VALUE('Capacity summary'!BB163)),0),BB44*$BI44),BB44*$BI44),0)</f>
        <v>0</v>
      </c>
      <c r="DF44" s="311">
        <f>IF($BI44&lt;&gt;"",IF('Capacity summary'!$D$14="Yes",IF(COUNTBLANK('Capacity summary'!$H163:$BG163)&lt;52,IF('Capacity summary'!BC163&lt;&gt;"",IF(LOWER('Capacity summary'!BC163)="x",$BI44*BC44,VALUE('Capacity summary'!BC163)),0),BC44*$BI44),BC44*$BI44),0)</f>
        <v>0</v>
      </c>
      <c r="DG44" s="311">
        <f>IF($BI44&lt;&gt;"",IF('Capacity summary'!$D$14="Yes",IF(COUNTBLANK('Capacity summary'!$H163:$BG163)&lt;52,IF('Capacity summary'!BD163&lt;&gt;"",IF(LOWER('Capacity summary'!BD163)="x",$BI44*BD44,VALUE('Capacity summary'!BD163)),0),BD44*$BI44),BD44*$BI44),0)</f>
        <v>0</v>
      </c>
      <c r="DH44" s="311">
        <f>IF($BI44&lt;&gt;"",IF('Capacity summary'!$D$14="Yes",IF(COUNTBLANK('Capacity summary'!$H163:$BG163)&lt;52,IF('Capacity summary'!BE163&lt;&gt;"",IF(LOWER('Capacity summary'!BE163)="x",$BI44*BE44,VALUE('Capacity summary'!BE163)),0),BE44*$BI44),BE44*$BI44),0)</f>
        <v>0</v>
      </c>
      <c r="DI44" s="311">
        <f>IF($BI44&lt;&gt;"",IF('Capacity summary'!$D$14="Yes",IF(COUNTBLANK('Capacity summary'!$H163:$BG163)&lt;52,IF('Capacity summary'!BF163&lt;&gt;"",IF(LOWER('Capacity summary'!BF163)="x",$BI44*BF44,VALUE('Capacity summary'!BF163)),0),BF44*$BI44),BF44*$BI44),0)</f>
        <v>0</v>
      </c>
      <c r="DJ44" s="311">
        <f>IF($BI44&lt;&gt;"",IF('Capacity summary'!$D$14="Yes",IF(COUNTBLANK('Capacity summary'!$H163:$BG163)&lt;52,IF('Capacity summary'!BG163&lt;&gt;"",IF(LOWER('Capacity summary'!BG163)="x",$BI44*BG44,VALUE('Capacity summary'!BG163)),0),BG44*$BI44),BG44*$BI44),0)</f>
        <v>0</v>
      </c>
      <c r="DK44" s="387">
        <f t="shared" si="2"/>
        <v>0</v>
      </c>
      <c r="DL44" s="136">
        <f t="shared" si="3"/>
        <v>0</v>
      </c>
      <c r="DM44" s="311" t="str">
        <f>Capacity!H56</f>
        <v/>
      </c>
      <c r="DQ44" s="5"/>
    </row>
    <row r="45" spans="1:121" x14ac:dyDescent="0.2">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1">
        <f>IF($BI45&lt;&gt;"",IF('Capacity summary'!$D$14="Yes",IF(COUNTBLANK('Capacity summary'!$H164:$BG164)&lt;52,IF('Capacity summary'!H164&lt;&gt;"",IF(LOWER('Capacity summary'!H164)="x",$BI45*H45,VALUE('Capacity summary'!H164)),0),H45*$BI45),H45*$BI45),0)</f>
        <v>0</v>
      </c>
      <c r="BL45" s="311">
        <f>IF($BI45&lt;&gt;"",IF('Capacity summary'!$D$14="Yes",IF(COUNTBLANK('Capacity summary'!$H164:$BG164)&lt;52,IF('Capacity summary'!I164&lt;&gt;"",IF(LOWER('Capacity summary'!I164)="x",$BI45*I45,VALUE('Capacity summary'!I164)),0),I45*$BI45),I45*$BI45),0)</f>
        <v>0</v>
      </c>
      <c r="BM45" s="311">
        <f>IF($BI45&lt;&gt;"",IF('Capacity summary'!$D$14="Yes",IF(COUNTBLANK('Capacity summary'!$H164:$BG164)&lt;52,IF('Capacity summary'!J164&lt;&gt;"",IF(LOWER('Capacity summary'!J164)="x",$BI45*J45,VALUE('Capacity summary'!J164)),0),J45*$BI45),J45*$BI45),0)</f>
        <v>0</v>
      </c>
      <c r="BN45" s="311">
        <f>IF($BI45&lt;&gt;"",IF('Capacity summary'!$D$14="Yes",IF(COUNTBLANK('Capacity summary'!$H164:$BG164)&lt;52,IF('Capacity summary'!K164&lt;&gt;"",IF(LOWER('Capacity summary'!K164)="x",$BI45*K45,VALUE('Capacity summary'!K164)),0),K45*$BI45),K45*$BI45),0)</f>
        <v>0</v>
      </c>
      <c r="BO45" s="311">
        <f>IF($BI45&lt;&gt;"",IF('Capacity summary'!$D$14="Yes",IF(COUNTBLANK('Capacity summary'!$H164:$BG164)&lt;52,IF('Capacity summary'!L164&lt;&gt;"",IF(LOWER('Capacity summary'!L164)="x",$BI45*L45,VALUE('Capacity summary'!L164)),0),L45*$BI45),L45*$BI45),0)</f>
        <v>0</v>
      </c>
      <c r="BP45" s="311">
        <f>IF($BI45&lt;&gt;"",IF('Capacity summary'!$D$14="Yes",IF(COUNTBLANK('Capacity summary'!$H164:$BG164)&lt;52,IF('Capacity summary'!M164&lt;&gt;"",IF(LOWER('Capacity summary'!M164)="x",$BI45*M45,VALUE('Capacity summary'!M164)),0),M45*$BI45),M45*$BI45),0)</f>
        <v>0</v>
      </c>
      <c r="BQ45" s="311">
        <f>IF($BI45&lt;&gt;"",IF('Capacity summary'!$D$14="Yes",IF(COUNTBLANK('Capacity summary'!$H164:$BG164)&lt;52,IF('Capacity summary'!N164&lt;&gt;"",IF(LOWER('Capacity summary'!N164)="x",$BI45*N45,VALUE('Capacity summary'!N164)),0),N45*$BI45),N45*$BI45),0)</f>
        <v>0</v>
      </c>
      <c r="BR45" s="311">
        <f>IF($BI45&lt;&gt;"",IF('Capacity summary'!$D$14="Yes",IF(COUNTBLANK('Capacity summary'!$H164:$BG164)&lt;52,IF('Capacity summary'!O164&lt;&gt;"",IF(LOWER('Capacity summary'!O164)="x",$BI45*O45,VALUE('Capacity summary'!O164)),0),O45*$BI45),O45*$BI45),0)</f>
        <v>0</v>
      </c>
      <c r="BS45" s="311">
        <f>IF($BI45&lt;&gt;"",IF('Capacity summary'!$D$14="Yes",IF(COUNTBLANK('Capacity summary'!$H164:$BG164)&lt;52,IF('Capacity summary'!P164&lt;&gt;"",IF(LOWER('Capacity summary'!P164)="x",$BI45*P45,VALUE('Capacity summary'!P164)),0),P45*$BI45),P45*$BI45),0)</f>
        <v>0</v>
      </c>
      <c r="BT45" s="311">
        <f>IF($BI45&lt;&gt;"",IF('Capacity summary'!$D$14="Yes",IF(COUNTBLANK('Capacity summary'!$H164:$BG164)&lt;52,IF('Capacity summary'!Q164&lt;&gt;"",IF(LOWER('Capacity summary'!Q164)="x",$BI45*Q45,VALUE('Capacity summary'!Q164)),0),Q45*$BI45),Q45*$BI45),0)</f>
        <v>0</v>
      </c>
      <c r="BU45" s="311">
        <f>IF($BI45&lt;&gt;"",IF('Capacity summary'!$D$14="Yes",IF(COUNTBLANK('Capacity summary'!$H164:$BG164)&lt;52,IF('Capacity summary'!R164&lt;&gt;"",IF(LOWER('Capacity summary'!R164)="x",$BI45*R45,VALUE('Capacity summary'!R164)),0),R45*$BI45),R45*$BI45),0)</f>
        <v>0</v>
      </c>
      <c r="BV45" s="311">
        <f>IF($BI45&lt;&gt;"",IF('Capacity summary'!$D$14="Yes",IF(COUNTBLANK('Capacity summary'!$H164:$BG164)&lt;52,IF('Capacity summary'!S164&lt;&gt;"",IF(LOWER('Capacity summary'!S164)="x",$BI45*S45,VALUE('Capacity summary'!S164)),0),S45*$BI45),S45*$BI45),0)</f>
        <v>0</v>
      </c>
      <c r="BW45" s="311">
        <f>IF($BI45&lt;&gt;"",IF('Capacity summary'!$D$14="Yes",IF(COUNTBLANK('Capacity summary'!$H164:$BG164)&lt;52,IF('Capacity summary'!T164&lt;&gt;"",IF(LOWER('Capacity summary'!T164)="x",$BI45*T45,VALUE('Capacity summary'!T164)),0),T45*$BI45),T45*$BI45),0)</f>
        <v>0</v>
      </c>
      <c r="BX45" s="311">
        <f>IF($BI45&lt;&gt;"",IF('Capacity summary'!$D$14="Yes",IF(COUNTBLANK('Capacity summary'!$H164:$BG164)&lt;52,IF('Capacity summary'!U164&lt;&gt;"",IF(LOWER('Capacity summary'!U164)="x",$BI45*U45,VALUE('Capacity summary'!U164)),0),U45*$BI45),U45*$BI45),0)</f>
        <v>0</v>
      </c>
      <c r="BY45" s="311">
        <f>IF($BI45&lt;&gt;"",IF('Capacity summary'!$D$14="Yes",IF(COUNTBLANK('Capacity summary'!$H164:$BG164)&lt;52,IF('Capacity summary'!V164&lt;&gt;"",IF(LOWER('Capacity summary'!V164)="x",$BI45*V45,VALUE('Capacity summary'!V164)),0),V45*$BI45),V45*$BI45),0)</f>
        <v>0</v>
      </c>
      <c r="BZ45" s="311">
        <f>IF($BI45&lt;&gt;"",IF('Capacity summary'!$D$14="Yes",IF(COUNTBLANK('Capacity summary'!$H164:$BG164)&lt;52,IF('Capacity summary'!W164&lt;&gt;"",IF(LOWER('Capacity summary'!W164)="x",$BI45*W45,VALUE('Capacity summary'!W164)),0),W45*$BI45),W45*$BI45),0)</f>
        <v>0</v>
      </c>
      <c r="CA45" s="311">
        <f>IF($BI45&lt;&gt;"",IF('Capacity summary'!$D$14="Yes",IF(COUNTBLANK('Capacity summary'!$H164:$BG164)&lt;52,IF('Capacity summary'!X164&lt;&gt;"",IF(LOWER('Capacity summary'!X164)="x",$BI45*X45,VALUE('Capacity summary'!X164)),0),X45*$BI45),X45*$BI45),0)</f>
        <v>0</v>
      </c>
      <c r="CB45" s="311">
        <f>IF($BI45&lt;&gt;"",IF('Capacity summary'!$D$14="Yes",IF(COUNTBLANK('Capacity summary'!$H164:$BG164)&lt;52,IF('Capacity summary'!Y164&lt;&gt;"",IF(LOWER('Capacity summary'!Y164)="x",$BI45*Y45,VALUE('Capacity summary'!Y164)),0),Y45*$BI45),Y45*$BI45),0)</f>
        <v>0</v>
      </c>
      <c r="CC45" s="311">
        <f>IF($BI45&lt;&gt;"",IF('Capacity summary'!$D$14="Yes",IF(COUNTBLANK('Capacity summary'!$H164:$BG164)&lt;52,IF('Capacity summary'!Z164&lt;&gt;"",IF(LOWER('Capacity summary'!Z164)="x",$BI45*Z45,VALUE('Capacity summary'!Z164)),0),Z45*$BI45),Z45*$BI45),0)</f>
        <v>0</v>
      </c>
      <c r="CD45" s="311">
        <f>IF($BI45&lt;&gt;"",IF('Capacity summary'!$D$14="Yes",IF(COUNTBLANK('Capacity summary'!$H164:$BG164)&lt;52,IF('Capacity summary'!AA164&lt;&gt;"",IF(LOWER('Capacity summary'!AA164)="x",$BI45*AA45,VALUE('Capacity summary'!AA164)),0),AA45*$BI45),AA45*$BI45),0)</f>
        <v>0</v>
      </c>
      <c r="CE45" s="311">
        <f>IF($BI45&lt;&gt;"",IF('Capacity summary'!$D$14="Yes",IF(COUNTBLANK('Capacity summary'!$H164:$BG164)&lt;52,IF('Capacity summary'!AB164&lt;&gt;"",IF(LOWER('Capacity summary'!AB164)="x",$BI45*AB45,VALUE('Capacity summary'!AB164)),0),AB45*$BI45),AB45*$BI45),0)</f>
        <v>0</v>
      </c>
      <c r="CF45" s="311">
        <f>IF($BI45&lt;&gt;"",IF('Capacity summary'!$D$14="Yes",IF(COUNTBLANK('Capacity summary'!$H164:$BG164)&lt;52,IF('Capacity summary'!AC164&lt;&gt;"",IF(LOWER('Capacity summary'!AC164)="x",$BI45*AC45,VALUE('Capacity summary'!AC164)),0),AC45*$BI45),AC45*$BI45),0)</f>
        <v>0</v>
      </c>
      <c r="CG45" s="311">
        <f>IF($BI45&lt;&gt;"",IF('Capacity summary'!$D$14="Yes",IF(COUNTBLANK('Capacity summary'!$H164:$BG164)&lt;52,IF('Capacity summary'!AD164&lt;&gt;"",IF(LOWER('Capacity summary'!AD164)="x",$BI45*AD45,VALUE('Capacity summary'!AD164)),0),AD45*$BI45),AD45*$BI45),0)</f>
        <v>0</v>
      </c>
      <c r="CH45" s="311">
        <f>IF($BI45&lt;&gt;"",IF('Capacity summary'!$D$14="Yes",IF(COUNTBLANK('Capacity summary'!$H164:$BG164)&lt;52,IF('Capacity summary'!AE164&lt;&gt;"",IF(LOWER('Capacity summary'!AE164)="x",$BI45*AE45,VALUE('Capacity summary'!AE164)),0),AE45*$BI45),AE45*$BI45),0)</f>
        <v>0</v>
      </c>
      <c r="CI45" s="311">
        <f>IF($BI45&lt;&gt;"",IF('Capacity summary'!$D$14="Yes",IF(COUNTBLANK('Capacity summary'!$H164:$BG164)&lt;52,IF('Capacity summary'!AF164&lt;&gt;"",IF(LOWER('Capacity summary'!AF164)="x",$BI45*AF45,VALUE('Capacity summary'!AF164)),0),AF45*$BI45),AF45*$BI45),0)</f>
        <v>0</v>
      </c>
      <c r="CJ45" s="311">
        <f>IF($BI45&lt;&gt;"",IF('Capacity summary'!$D$14="Yes",IF(COUNTBLANK('Capacity summary'!$H164:$BG164)&lt;52,IF('Capacity summary'!AG164&lt;&gt;"",IF(LOWER('Capacity summary'!AG164)="x",$BI45*AG45,VALUE('Capacity summary'!AG164)),0),AG45*$BI45),AG45*$BI45),0)</f>
        <v>0</v>
      </c>
      <c r="CK45" s="311">
        <f>IF($BI45&lt;&gt;"",IF('Capacity summary'!$D$14="Yes",IF(COUNTBLANK('Capacity summary'!$H164:$BG164)&lt;52,IF('Capacity summary'!AH164&lt;&gt;"",IF(LOWER('Capacity summary'!AH164)="x",$BI45*AH45,VALUE('Capacity summary'!AH164)),0),AH45*$BI45),AH45*$BI45),0)</f>
        <v>0</v>
      </c>
      <c r="CL45" s="311">
        <f>IF($BI45&lt;&gt;"",IF('Capacity summary'!$D$14="Yes",IF(COUNTBLANK('Capacity summary'!$H164:$BG164)&lt;52,IF('Capacity summary'!AI164&lt;&gt;"",IF(LOWER('Capacity summary'!AI164)="x",$BI45*AI45,VALUE('Capacity summary'!AI164)),0),AI45*$BI45),AI45*$BI45),0)</f>
        <v>0</v>
      </c>
      <c r="CM45" s="311">
        <f>IF($BI45&lt;&gt;"",IF('Capacity summary'!$D$14="Yes",IF(COUNTBLANK('Capacity summary'!$H164:$BG164)&lt;52,IF('Capacity summary'!AJ164&lt;&gt;"",IF(LOWER('Capacity summary'!AJ164)="x",$BI45*AJ45,VALUE('Capacity summary'!AJ164)),0),AJ45*$BI45),AJ45*$BI45),0)</f>
        <v>0</v>
      </c>
      <c r="CN45" s="311">
        <f>IF($BI45&lt;&gt;"",IF('Capacity summary'!$D$14="Yes",IF(COUNTBLANK('Capacity summary'!$H164:$BG164)&lt;52,IF('Capacity summary'!AK164&lt;&gt;"",IF(LOWER('Capacity summary'!AK164)="x",$BI45*AK45,VALUE('Capacity summary'!AK164)),0),AK45*$BI45),AK45*$BI45),0)</f>
        <v>0</v>
      </c>
      <c r="CO45" s="311">
        <f>IF($BI45&lt;&gt;"",IF('Capacity summary'!$D$14="Yes",IF(COUNTBLANK('Capacity summary'!$H164:$BG164)&lt;52,IF('Capacity summary'!AL164&lt;&gt;"",IF(LOWER('Capacity summary'!AL164)="x",$BI45*AL45,VALUE('Capacity summary'!AL164)),0),AL45*$BI45),AL45*$BI45),0)</f>
        <v>0</v>
      </c>
      <c r="CP45" s="311">
        <f>IF($BI45&lt;&gt;"",IF('Capacity summary'!$D$14="Yes",IF(COUNTBLANK('Capacity summary'!$H164:$BG164)&lt;52,IF('Capacity summary'!AM164&lt;&gt;"",IF(LOWER('Capacity summary'!AM164)="x",$BI45*AM45,VALUE('Capacity summary'!AM164)),0),AM45*$BI45),AM45*$BI45),0)</f>
        <v>0</v>
      </c>
      <c r="CQ45" s="311">
        <f>IF($BI45&lt;&gt;"",IF('Capacity summary'!$D$14="Yes",IF(COUNTBLANK('Capacity summary'!$H164:$BG164)&lt;52,IF('Capacity summary'!AN164&lt;&gt;"",IF(LOWER('Capacity summary'!AN164)="x",$BI45*AN45,VALUE('Capacity summary'!AN164)),0),AN45*$BI45),AN45*$BI45),0)</f>
        <v>0</v>
      </c>
      <c r="CR45" s="311">
        <f>IF($BI45&lt;&gt;"",IF('Capacity summary'!$D$14="Yes",IF(COUNTBLANK('Capacity summary'!$H164:$BG164)&lt;52,IF('Capacity summary'!AO164&lt;&gt;"",IF(LOWER('Capacity summary'!AO164)="x",$BI45*AO45,VALUE('Capacity summary'!AO164)),0),AO45*$BI45),AO45*$BI45),0)</f>
        <v>0</v>
      </c>
      <c r="CS45" s="311">
        <f>IF($BI45&lt;&gt;"",IF('Capacity summary'!$D$14="Yes",IF(COUNTBLANK('Capacity summary'!$H164:$BG164)&lt;52,IF('Capacity summary'!AP164&lt;&gt;"",IF(LOWER('Capacity summary'!AP164)="x",$BI45*AP45,VALUE('Capacity summary'!AP164)),0),AP45*$BI45),AP45*$BI45),0)</f>
        <v>0</v>
      </c>
      <c r="CT45" s="311">
        <f>IF($BI45&lt;&gt;"",IF('Capacity summary'!$D$14="Yes",IF(COUNTBLANK('Capacity summary'!$H164:$BG164)&lt;52,IF('Capacity summary'!AQ164&lt;&gt;"",IF(LOWER('Capacity summary'!AQ164)="x",$BI45*AQ45,VALUE('Capacity summary'!AQ164)),0),AQ45*$BI45),AQ45*$BI45),0)</f>
        <v>0</v>
      </c>
      <c r="CU45" s="311">
        <f>IF($BI45&lt;&gt;"",IF('Capacity summary'!$D$14="Yes",IF(COUNTBLANK('Capacity summary'!$H164:$BG164)&lt;52,IF('Capacity summary'!AR164&lt;&gt;"",IF(LOWER('Capacity summary'!AR164)="x",$BI45*AR45,VALUE('Capacity summary'!AR164)),0),AR45*$BI45),AR45*$BI45),0)</f>
        <v>0</v>
      </c>
      <c r="CV45" s="311">
        <f>IF($BI45&lt;&gt;"",IF('Capacity summary'!$D$14="Yes",IF(COUNTBLANK('Capacity summary'!$H164:$BG164)&lt;52,IF('Capacity summary'!AS164&lt;&gt;"",IF(LOWER('Capacity summary'!AS164)="x",$BI45*AS45,VALUE('Capacity summary'!AS164)),0),AS45*$BI45),AS45*$BI45),0)</f>
        <v>0</v>
      </c>
      <c r="CW45" s="311">
        <f>IF($BI45&lt;&gt;"",IF('Capacity summary'!$D$14="Yes",IF(COUNTBLANK('Capacity summary'!$H164:$BG164)&lt;52,IF('Capacity summary'!AT164&lt;&gt;"",IF(LOWER('Capacity summary'!AT164)="x",$BI45*AT45,VALUE('Capacity summary'!AT164)),0),AT45*$BI45),AT45*$BI45),0)</f>
        <v>0</v>
      </c>
      <c r="CX45" s="311">
        <f>IF($BI45&lt;&gt;"",IF('Capacity summary'!$D$14="Yes",IF(COUNTBLANK('Capacity summary'!$H164:$BG164)&lt;52,IF('Capacity summary'!AU164&lt;&gt;"",IF(LOWER('Capacity summary'!AU164)="x",$BI45*AU45,VALUE('Capacity summary'!AU164)),0),AU45*$BI45),AU45*$BI45),0)</f>
        <v>0</v>
      </c>
      <c r="CY45" s="311">
        <f>IF($BI45&lt;&gt;"",IF('Capacity summary'!$D$14="Yes",IF(COUNTBLANK('Capacity summary'!$H164:$BG164)&lt;52,IF('Capacity summary'!AV164&lt;&gt;"",IF(LOWER('Capacity summary'!AV164)="x",$BI45*AV45,VALUE('Capacity summary'!AV164)),0),AV45*$BI45),AV45*$BI45),0)</f>
        <v>0</v>
      </c>
      <c r="CZ45" s="311">
        <f>IF($BI45&lt;&gt;"",IF('Capacity summary'!$D$14="Yes",IF(COUNTBLANK('Capacity summary'!$H164:$BG164)&lt;52,IF('Capacity summary'!AW164&lt;&gt;"",IF(LOWER('Capacity summary'!AW164)="x",$BI45*AW45,VALUE('Capacity summary'!AW164)),0),AW45*$BI45),AW45*$BI45),0)</f>
        <v>0</v>
      </c>
      <c r="DA45" s="311">
        <f>IF($BI45&lt;&gt;"",IF('Capacity summary'!$D$14="Yes",IF(COUNTBLANK('Capacity summary'!$H164:$BG164)&lt;52,IF('Capacity summary'!AX164&lt;&gt;"",IF(LOWER('Capacity summary'!AX164)="x",$BI45*AX45,VALUE('Capacity summary'!AX164)),0),AX45*$BI45),AX45*$BI45),0)</f>
        <v>0</v>
      </c>
      <c r="DB45" s="311">
        <f>IF($BI45&lt;&gt;"",IF('Capacity summary'!$D$14="Yes",IF(COUNTBLANK('Capacity summary'!$H164:$BG164)&lt;52,IF('Capacity summary'!AY164&lt;&gt;"",IF(LOWER('Capacity summary'!AY164)="x",$BI45*AY45,VALUE('Capacity summary'!AY164)),0),AY45*$BI45),AY45*$BI45),0)</f>
        <v>0</v>
      </c>
      <c r="DC45" s="311">
        <f>IF($BI45&lt;&gt;"",IF('Capacity summary'!$D$14="Yes",IF(COUNTBLANK('Capacity summary'!$H164:$BG164)&lt;52,IF('Capacity summary'!AZ164&lt;&gt;"",IF(LOWER('Capacity summary'!AZ164)="x",$BI45*AZ45,VALUE('Capacity summary'!AZ164)),0),AZ45*$BI45),AZ45*$BI45),0)</f>
        <v>0</v>
      </c>
      <c r="DD45" s="311">
        <f>IF($BI45&lt;&gt;"",IF('Capacity summary'!$D$14="Yes",IF(COUNTBLANK('Capacity summary'!$H164:$BG164)&lt;52,IF('Capacity summary'!BA164&lt;&gt;"",IF(LOWER('Capacity summary'!BA164)="x",$BI45*BA45,VALUE('Capacity summary'!BA164)),0),BA45*$BI45),BA45*$BI45),0)</f>
        <v>0</v>
      </c>
      <c r="DE45" s="311">
        <f>IF($BI45&lt;&gt;"",IF('Capacity summary'!$D$14="Yes",IF(COUNTBLANK('Capacity summary'!$H164:$BG164)&lt;52,IF('Capacity summary'!BB164&lt;&gt;"",IF(LOWER('Capacity summary'!BB164)="x",$BI45*BB45,VALUE('Capacity summary'!BB164)),0),BB45*$BI45),BB45*$BI45),0)</f>
        <v>0</v>
      </c>
      <c r="DF45" s="311">
        <f>IF($BI45&lt;&gt;"",IF('Capacity summary'!$D$14="Yes",IF(COUNTBLANK('Capacity summary'!$H164:$BG164)&lt;52,IF('Capacity summary'!BC164&lt;&gt;"",IF(LOWER('Capacity summary'!BC164)="x",$BI45*BC45,VALUE('Capacity summary'!BC164)),0),BC45*$BI45),BC45*$BI45),0)</f>
        <v>0</v>
      </c>
      <c r="DG45" s="311">
        <f>IF($BI45&lt;&gt;"",IF('Capacity summary'!$D$14="Yes",IF(COUNTBLANK('Capacity summary'!$H164:$BG164)&lt;52,IF('Capacity summary'!BD164&lt;&gt;"",IF(LOWER('Capacity summary'!BD164)="x",$BI45*BD45,VALUE('Capacity summary'!BD164)),0),BD45*$BI45),BD45*$BI45),0)</f>
        <v>0</v>
      </c>
      <c r="DH45" s="311">
        <f>IF($BI45&lt;&gt;"",IF('Capacity summary'!$D$14="Yes",IF(COUNTBLANK('Capacity summary'!$H164:$BG164)&lt;52,IF('Capacity summary'!BE164&lt;&gt;"",IF(LOWER('Capacity summary'!BE164)="x",$BI45*BE45,VALUE('Capacity summary'!BE164)),0),BE45*$BI45),BE45*$BI45),0)</f>
        <v>0</v>
      </c>
      <c r="DI45" s="311">
        <f>IF($BI45&lt;&gt;"",IF('Capacity summary'!$D$14="Yes",IF(COUNTBLANK('Capacity summary'!$H164:$BG164)&lt;52,IF('Capacity summary'!BF164&lt;&gt;"",IF(LOWER('Capacity summary'!BF164)="x",$BI45*BF45,VALUE('Capacity summary'!BF164)),0),BF45*$BI45),BF45*$BI45),0)</f>
        <v>0</v>
      </c>
      <c r="DJ45" s="311">
        <f>IF($BI45&lt;&gt;"",IF('Capacity summary'!$D$14="Yes",IF(COUNTBLANK('Capacity summary'!$H164:$BG164)&lt;52,IF('Capacity summary'!BG164&lt;&gt;"",IF(LOWER('Capacity summary'!BG164)="x",$BI45*BG45,VALUE('Capacity summary'!BG164)),0),BG45*$BI45),BG45*$BI45),0)</f>
        <v>0</v>
      </c>
      <c r="DK45" s="387">
        <f t="shared" si="2"/>
        <v>0</v>
      </c>
      <c r="DL45" s="136">
        <f t="shared" si="3"/>
        <v>0</v>
      </c>
      <c r="DM45" s="311" t="str">
        <f>Capacity!H57</f>
        <v/>
      </c>
      <c r="DQ45" s="5"/>
    </row>
    <row r="46" spans="1:121" x14ac:dyDescent="0.2">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1">
        <f>IF($BI46&lt;&gt;"",IF('Capacity summary'!$D$14="Yes",IF(COUNTBLANK('Capacity summary'!$H165:$BG165)&lt;52,IF('Capacity summary'!H165&lt;&gt;"",IF(LOWER('Capacity summary'!H165)="x",$BI46*H46,VALUE('Capacity summary'!H165)),0),H46*$BI46),H46*$BI46),0)</f>
        <v>0</v>
      </c>
      <c r="BL46" s="311">
        <f>IF($BI46&lt;&gt;"",IF('Capacity summary'!$D$14="Yes",IF(COUNTBLANK('Capacity summary'!$H165:$BG165)&lt;52,IF('Capacity summary'!I165&lt;&gt;"",IF(LOWER('Capacity summary'!I165)="x",$BI46*I46,VALUE('Capacity summary'!I165)),0),I46*$BI46),I46*$BI46),0)</f>
        <v>0</v>
      </c>
      <c r="BM46" s="311">
        <f>IF($BI46&lt;&gt;"",IF('Capacity summary'!$D$14="Yes",IF(COUNTBLANK('Capacity summary'!$H165:$BG165)&lt;52,IF('Capacity summary'!J165&lt;&gt;"",IF(LOWER('Capacity summary'!J165)="x",$BI46*J46,VALUE('Capacity summary'!J165)),0),J46*$BI46),J46*$BI46),0)</f>
        <v>0</v>
      </c>
      <c r="BN46" s="311">
        <f>IF($BI46&lt;&gt;"",IF('Capacity summary'!$D$14="Yes",IF(COUNTBLANK('Capacity summary'!$H165:$BG165)&lt;52,IF('Capacity summary'!K165&lt;&gt;"",IF(LOWER('Capacity summary'!K165)="x",$BI46*K46,VALUE('Capacity summary'!K165)),0),K46*$BI46),K46*$BI46),0)</f>
        <v>0</v>
      </c>
      <c r="BO46" s="311">
        <f>IF($BI46&lt;&gt;"",IF('Capacity summary'!$D$14="Yes",IF(COUNTBLANK('Capacity summary'!$H165:$BG165)&lt;52,IF('Capacity summary'!L165&lt;&gt;"",IF(LOWER('Capacity summary'!L165)="x",$BI46*L46,VALUE('Capacity summary'!L165)),0),L46*$BI46),L46*$BI46),0)</f>
        <v>0</v>
      </c>
      <c r="BP46" s="311">
        <f>IF($BI46&lt;&gt;"",IF('Capacity summary'!$D$14="Yes",IF(COUNTBLANK('Capacity summary'!$H165:$BG165)&lt;52,IF('Capacity summary'!M165&lt;&gt;"",IF(LOWER('Capacity summary'!M165)="x",$BI46*M46,VALUE('Capacity summary'!M165)),0),M46*$BI46),M46*$BI46),0)</f>
        <v>0</v>
      </c>
      <c r="BQ46" s="311">
        <f>IF($BI46&lt;&gt;"",IF('Capacity summary'!$D$14="Yes",IF(COUNTBLANK('Capacity summary'!$H165:$BG165)&lt;52,IF('Capacity summary'!N165&lt;&gt;"",IF(LOWER('Capacity summary'!N165)="x",$BI46*N46,VALUE('Capacity summary'!N165)),0),N46*$BI46),N46*$BI46),0)</f>
        <v>0</v>
      </c>
      <c r="BR46" s="311">
        <f>IF($BI46&lt;&gt;"",IF('Capacity summary'!$D$14="Yes",IF(COUNTBLANK('Capacity summary'!$H165:$BG165)&lt;52,IF('Capacity summary'!O165&lt;&gt;"",IF(LOWER('Capacity summary'!O165)="x",$BI46*O46,VALUE('Capacity summary'!O165)),0),O46*$BI46),O46*$BI46),0)</f>
        <v>0</v>
      </c>
      <c r="BS46" s="311">
        <f>IF($BI46&lt;&gt;"",IF('Capacity summary'!$D$14="Yes",IF(COUNTBLANK('Capacity summary'!$H165:$BG165)&lt;52,IF('Capacity summary'!P165&lt;&gt;"",IF(LOWER('Capacity summary'!P165)="x",$BI46*P46,VALUE('Capacity summary'!P165)),0),P46*$BI46),P46*$BI46),0)</f>
        <v>0</v>
      </c>
      <c r="BT46" s="311">
        <f>IF($BI46&lt;&gt;"",IF('Capacity summary'!$D$14="Yes",IF(COUNTBLANK('Capacity summary'!$H165:$BG165)&lt;52,IF('Capacity summary'!Q165&lt;&gt;"",IF(LOWER('Capacity summary'!Q165)="x",$BI46*Q46,VALUE('Capacity summary'!Q165)),0),Q46*$BI46),Q46*$BI46),0)</f>
        <v>0</v>
      </c>
      <c r="BU46" s="311">
        <f>IF($BI46&lt;&gt;"",IF('Capacity summary'!$D$14="Yes",IF(COUNTBLANK('Capacity summary'!$H165:$BG165)&lt;52,IF('Capacity summary'!R165&lt;&gt;"",IF(LOWER('Capacity summary'!R165)="x",$BI46*R46,VALUE('Capacity summary'!R165)),0),R46*$BI46),R46*$BI46),0)</f>
        <v>0</v>
      </c>
      <c r="BV46" s="311">
        <f>IF($BI46&lt;&gt;"",IF('Capacity summary'!$D$14="Yes",IF(COUNTBLANK('Capacity summary'!$H165:$BG165)&lt;52,IF('Capacity summary'!S165&lt;&gt;"",IF(LOWER('Capacity summary'!S165)="x",$BI46*S46,VALUE('Capacity summary'!S165)),0),S46*$BI46),S46*$BI46),0)</f>
        <v>0</v>
      </c>
      <c r="BW46" s="311">
        <f>IF($BI46&lt;&gt;"",IF('Capacity summary'!$D$14="Yes",IF(COUNTBLANK('Capacity summary'!$H165:$BG165)&lt;52,IF('Capacity summary'!T165&lt;&gt;"",IF(LOWER('Capacity summary'!T165)="x",$BI46*T46,VALUE('Capacity summary'!T165)),0),T46*$BI46),T46*$BI46),0)</f>
        <v>0</v>
      </c>
      <c r="BX46" s="311">
        <f>IF($BI46&lt;&gt;"",IF('Capacity summary'!$D$14="Yes",IF(COUNTBLANK('Capacity summary'!$H165:$BG165)&lt;52,IF('Capacity summary'!U165&lt;&gt;"",IF(LOWER('Capacity summary'!U165)="x",$BI46*U46,VALUE('Capacity summary'!U165)),0),U46*$BI46),U46*$BI46),0)</f>
        <v>0</v>
      </c>
      <c r="BY46" s="311">
        <f>IF($BI46&lt;&gt;"",IF('Capacity summary'!$D$14="Yes",IF(COUNTBLANK('Capacity summary'!$H165:$BG165)&lt;52,IF('Capacity summary'!V165&lt;&gt;"",IF(LOWER('Capacity summary'!V165)="x",$BI46*V46,VALUE('Capacity summary'!V165)),0),V46*$BI46),V46*$BI46),0)</f>
        <v>0</v>
      </c>
      <c r="BZ46" s="311">
        <f>IF($BI46&lt;&gt;"",IF('Capacity summary'!$D$14="Yes",IF(COUNTBLANK('Capacity summary'!$H165:$BG165)&lt;52,IF('Capacity summary'!W165&lt;&gt;"",IF(LOWER('Capacity summary'!W165)="x",$BI46*W46,VALUE('Capacity summary'!W165)),0),W46*$BI46),W46*$BI46),0)</f>
        <v>0</v>
      </c>
      <c r="CA46" s="311">
        <f>IF($BI46&lt;&gt;"",IF('Capacity summary'!$D$14="Yes",IF(COUNTBLANK('Capacity summary'!$H165:$BG165)&lt;52,IF('Capacity summary'!X165&lt;&gt;"",IF(LOWER('Capacity summary'!X165)="x",$BI46*X46,VALUE('Capacity summary'!X165)),0),X46*$BI46),X46*$BI46),0)</f>
        <v>0</v>
      </c>
      <c r="CB46" s="311">
        <f>IF($BI46&lt;&gt;"",IF('Capacity summary'!$D$14="Yes",IF(COUNTBLANK('Capacity summary'!$H165:$BG165)&lt;52,IF('Capacity summary'!Y165&lt;&gt;"",IF(LOWER('Capacity summary'!Y165)="x",$BI46*Y46,VALUE('Capacity summary'!Y165)),0),Y46*$BI46),Y46*$BI46),0)</f>
        <v>0</v>
      </c>
      <c r="CC46" s="311">
        <f>IF($BI46&lt;&gt;"",IF('Capacity summary'!$D$14="Yes",IF(COUNTBLANK('Capacity summary'!$H165:$BG165)&lt;52,IF('Capacity summary'!Z165&lt;&gt;"",IF(LOWER('Capacity summary'!Z165)="x",$BI46*Z46,VALUE('Capacity summary'!Z165)),0),Z46*$BI46),Z46*$BI46),0)</f>
        <v>0</v>
      </c>
      <c r="CD46" s="311">
        <f>IF($BI46&lt;&gt;"",IF('Capacity summary'!$D$14="Yes",IF(COUNTBLANK('Capacity summary'!$H165:$BG165)&lt;52,IF('Capacity summary'!AA165&lt;&gt;"",IF(LOWER('Capacity summary'!AA165)="x",$BI46*AA46,VALUE('Capacity summary'!AA165)),0),AA46*$BI46),AA46*$BI46),0)</f>
        <v>0</v>
      </c>
      <c r="CE46" s="311">
        <f>IF($BI46&lt;&gt;"",IF('Capacity summary'!$D$14="Yes",IF(COUNTBLANK('Capacity summary'!$H165:$BG165)&lt;52,IF('Capacity summary'!AB165&lt;&gt;"",IF(LOWER('Capacity summary'!AB165)="x",$BI46*AB46,VALUE('Capacity summary'!AB165)),0),AB46*$BI46),AB46*$BI46),0)</f>
        <v>0</v>
      </c>
      <c r="CF46" s="311">
        <f>IF($BI46&lt;&gt;"",IF('Capacity summary'!$D$14="Yes",IF(COUNTBLANK('Capacity summary'!$H165:$BG165)&lt;52,IF('Capacity summary'!AC165&lt;&gt;"",IF(LOWER('Capacity summary'!AC165)="x",$BI46*AC46,VALUE('Capacity summary'!AC165)),0),AC46*$BI46),AC46*$BI46),0)</f>
        <v>0</v>
      </c>
      <c r="CG46" s="311">
        <f>IF($BI46&lt;&gt;"",IF('Capacity summary'!$D$14="Yes",IF(COUNTBLANK('Capacity summary'!$H165:$BG165)&lt;52,IF('Capacity summary'!AD165&lt;&gt;"",IF(LOWER('Capacity summary'!AD165)="x",$BI46*AD46,VALUE('Capacity summary'!AD165)),0),AD46*$BI46),AD46*$BI46),0)</f>
        <v>0</v>
      </c>
      <c r="CH46" s="311">
        <f>IF($BI46&lt;&gt;"",IF('Capacity summary'!$D$14="Yes",IF(COUNTBLANK('Capacity summary'!$H165:$BG165)&lt;52,IF('Capacity summary'!AE165&lt;&gt;"",IF(LOWER('Capacity summary'!AE165)="x",$BI46*AE46,VALUE('Capacity summary'!AE165)),0),AE46*$BI46),AE46*$BI46),0)</f>
        <v>0</v>
      </c>
      <c r="CI46" s="311">
        <f>IF($BI46&lt;&gt;"",IF('Capacity summary'!$D$14="Yes",IF(COUNTBLANK('Capacity summary'!$H165:$BG165)&lt;52,IF('Capacity summary'!AF165&lt;&gt;"",IF(LOWER('Capacity summary'!AF165)="x",$BI46*AF46,VALUE('Capacity summary'!AF165)),0),AF46*$BI46),AF46*$BI46),0)</f>
        <v>0</v>
      </c>
      <c r="CJ46" s="311">
        <f>IF($BI46&lt;&gt;"",IF('Capacity summary'!$D$14="Yes",IF(COUNTBLANK('Capacity summary'!$H165:$BG165)&lt;52,IF('Capacity summary'!AG165&lt;&gt;"",IF(LOWER('Capacity summary'!AG165)="x",$BI46*AG46,VALUE('Capacity summary'!AG165)),0),AG46*$BI46),AG46*$BI46),0)</f>
        <v>0</v>
      </c>
      <c r="CK46" s="311">
        <f>IF($BI46&lt;&gt;"",IF('Capacity summary'!$D$14="Yes",IF(COUNTBLANK('Capacity summary'!$H165:$BG165)&lt;52,IF('Capacity summary'!AH165&lt;&gt;"",IF(LOWER('Capacity summary'!AH165)="x",$BI46*AH46,VALUE('Capacity summary'!AH165)),0),AH46*$BI46),AH46*$BI46),0)</f>
        <v>0</v>
      </c>
      <c r="CL46" s="311">
        <f>IF($BI46&lt;&gt;"",IF('Capacity summary'!$D$14="Yes",IF(COUNTBLANK('Capacity summary'!$H165:$BG165)&lt;52,IF('Capacity summary'!AI165&lt;&gt;"",IF(LOWER('Capacity summary'!AI165)="x",$BI46*AI46,VALUE('Capacity summary'!AI165)),0),AI46*$BI46),AI46*$BI46),0)</f>
        <v>0</v>
      </c>
      <c r="CM46" s="311">
        <f>IF($BI46&lt;&gt;"",IF('Capacity summary'!$D$14="Yes",IF(COUNTBLANK('Capacity summary'!$H165:$BG165)&lt;52,IF('Capacity summary'!AJ165&lt;&gt;"",IF(LOWER('Capacity summary'!AJ165)="x",$BI46*AJ46,VALUE('Capacity summary'!AJ165)),0),AJ46*$BI46),AJ46*$BI46),0)</f>
        <v>0</v>
      </c>
      <c r="CN46" s="311">
        <f>IF($BI46&lt;&gt;"",IF('Capacity summary'!$D$14="Yes",IF(COUNTBLANK('Capacity summary'!$H165:$BG165)&lt;52,IF('Capacity summary'!AK165&lt;&gt;"",IF(LOWER('Capacity summary'!AK165)="x",$BI46*AK46,VALUE('Capacity summary'!AK165)),0),AK46*$BI46),AK46*$BI46),0)</f>
        <v>0</v>
      </c>
      <c r="CO46" s="311">
        <f>IF($BI46&lt;&gt;"",IF('Capacity summary'!$D$14="Yes",IF(COUNTBLANK('Capacity summary'!$H165:$BG165)&lt;52,IF('Capacity summary'!AL165&lt;&gt;"",IF(LOWER('Capacity summary'!AL165)="x",$BI46*AL46,VALUE('Capacity summary'!AL165)),0),AL46*$BI46),AL46*$BI46),0)</f>
        <v>0</v>
      </c>
      <c r="CP46" s="311">
        <f>IF($BI46&lt;&gt;"",IF('Capacity summary'!$D$14="Yes",IF(COUNTBLANK('Capacity summary'!$H165:$BG165)&lt;52,IF('Capacity summary'!AM165&lt;&gt;"",IF(LOWER('Capacity summary'!AM165)="x",$BI46*AM46,VALUE('Capacity summary'!AM165)),0),AM46*$BI46),AM46*$BI46),0)</f>
        <v>0</v>
      </c>
      <c r="CQ46" s="311">
        <f>IF($BI46&lt;&gt;"",IF('Capacity summary'!$D$14="Yes",IF(COUNTBLANK('Capacity summary'!$H165:$BG165)&lt;52,IF('Capacity summary'!AN165&lt;&gt;"",IF(LOWER('Capacity summary'!AN165)="x",$BI46*AN46,VALUE('Capacity summary'!AN165)),0),AN46*$BI46),AN46*$BI46),0)</f>
        <v>0</v>
      </c>
      <c r="CR46" s="311">
        <f>IF($BI46&lt;&gt;"",IF('Capacity summary'!$D$14="Yes",IF(COUNTBLANK('Capacity summary'!$H165:$BG165)&lt;52,IF('Capacity summary'!AO165&lt;&gt;"",IF(LOWER('Capacity summary'!AO165)="x",$BI46*AO46,VALUE('Capacity summary'!AO165)),0),AO46*$BI46),AO46*$BI46),0)</f>
        <v>0</v>
      </c>
      <c r="CS46" s="311">
        <f>IF($BI46&lt;&gt;"",IF('Capacity summary'!$D$14="Yes",IF(COUNTBLANK('Capacity summary'!$H165:$BG165)&lt;52,IF('Capacity summary'!AP165&lt;&gt;"",IF(LOWER('Capacity summary'!AP165)="x",$BI46*AP46,VALUE('Capacity summary'!AP165)),0),AP46*$BI46),AP46*$BI46),0)</f>
        <v>0</v>
      </c>
      <c r="CT46" s="311">
        <f>IF($BI46&lt;&gt;"",IF('Capacity summary'!$D$14="Yes",IF(COUNTBLANK('Capacity summary'!$H165:$BG165)&lt;52,IF('Capacity summary'!AQ165&lt;&gt;"",IF(LOWER('Capacity summary'!AQ165)="x",$BI46*AQ46,VALUE('Capacity summary'!AQ165)),0),AQ46*$BI46),AQ46*$BI46),0)</f>
        <v>0</v>
      </c>
      <c r="CU46" s="311">
        <f>IF($BI46&lt;&gt;"",IF('Capacity summary'!$D$14="Yes",IF(COUNTBLANK('Capacity summary'!$H165:$BG165)&lt;52,IF('Capacity summary'!AR165&lt;&gt;"",IF(LOWER('Capacity summary'!AR165)="x",$BI46*AR46,VALUE('Capacity summary'!AR165)),0),AR46*$BI46),AR46*$BI46),0)</f>
        <v>0</v>
      </c>
      <c r="CV46" s="311">
        <f>IF($BI46&lt;&gt;"",IF('Capacity summary'!$D$14="Yes",IF(COUNTBLANK('Capacity summary'!$H165:$BG165)&lt;52,IF('Capacity summary'!AS165&lt;&gt;"",IF(LOWER('Capacity summary'!AS165)="x",$BI46*AS46,VALUE('Capacity summary'!AS165)),0),AS46*$BI46),AS46*$BI46),0)</f>
        <v>0</v>
      </c>
      <c r="CW46" s="311">
        <f>IF($BI46&lt;&gt;"",IF('Capacity summary'!$D$14="Yes",IF(COUNTBLANK('Capacity summary'!$H165:$BG165)&lt;52,IF('Capacity summary'!AT165&lt;&gt;"",IF(LOWER('Capacity summary'!AT165)="x",$BI46*AT46,VALUE('Capacity summary'!AT165)),0),AT46*$BI46),AT46*$BI46),0)</f>
        <v>0</v>
      </c>
      <c r="CX46" s="311">
        <f>IF($BI46&lt;&gt;"",IF('Capacity summary'!$D$14="Yes",IF(COUNTBLANK('Capacity summary'!$H165:$BG165)&lt;52,IF('Capacity summary'!AU165&lt;&gt;"",IF(LOWER('Capacity summary'!AU165)="x",$BI46*AU46,VALUE('Capacity summary'!AU165)),0),AU46*$BI46),AU46*$BI46),0)</f>
        <v>0</v>
      </c>
      <c r="CY46" s="311">
        <f>IF($BI46&lt;&gt;"",IF('Capacity summary'!$D$14="Yes",IF(COUNTBLANK('Capacity summary'!$H165:$BG165)&lt;52,IF('Capacity summary'!AV165&lt;&gt;"",IF(LOWER('Capacity summary'!AV165)="x",$BI46*AV46,VALUE('Capacity summary'!AV165)),0),AV46*$BI46),AV46*$BI46),0)</f>
        <v>0</v>
      </c>
      <c r="CZ46" s="311">
        <f>IF($BI46&lt;&gt;"",IF('Capacity summary'!$D$14="Yes",IF(COUNTBLANK('Capacity summary'!$H165:$BG165)&lt;52,IF('Capacity summary'!AW165&lt;&gt;"",IF(LOWER('Capacity summary'!AW165)="x",$BI46*AW46,VALUE('Capacity summary'!AW165)),0),AW46*$BI46),AW46*$BI46),0)</f>
        <v>0</v>
      </c>
      <c r="DA46" s="311">
        <f>IF($BI46&lt;&gt;"",IF('Capacity summary'!$D$14="Yes",IF(COUNTBLANK('Capacity summary'!$H165:$BG165)&lt;52,IF('Capacity summary'!AX165&lt;&gt;"",IF(LOWER('Capacity summary'!AX165)="x",$BI46*AX46,VALUE('Capacity summary'!AX165)),0),AX46*$BI46),AX46*$BI46),0)</f>
        <v>0</v>
      </c>
      <c r="DB46" s="311">
        <f>IF($BI46&lt;&gt;"",IF('Capacity summary'!$D$14="Yes",IF(COUNTBLANK('Capacity summary'!$H165:$BG165)&lt;52,IF('Capacity summary'!AY165&lt;&gt;"",IF(LOWER('Capacity summary'!AY165)="x",$BI46*AY46,VALUE('Capacity summary'!AY165)),0),AY46*$BI46),AY46*$BI46),0)</f>
        <v>0</v>
      </c>
      <c r="DC46" s="311">
        <f>IF($BI46&lt;&gt;"",IF('Capacity summary'!$D$14="Yes",IF(COUNTBLANK('Capacity summary'!$H165:$BG165)&lt;52,IF('Capacity summary'!AZ165&lt;&gt;"",IF(LOWER('Capacity summary'!AZ165)="x",$BI46*AZ46,VALUE('Capacity summary'!AZ165)),0),AZ46*$BI46),AZ46*$BI46),0)</f>
        <v>0</v>
      </c>
      <c r="DD46" s="311">
        <f>IF($BI46&lt;&gt;"",IF('Capacity summary'!$D$14="Yes",IF(COUNTBLANK('Capacity summary'!$H165:$BG165)&lt;52,IF('Capacity summary'!BA165&lt;&gt;"",IF(LOWER('Capacity summary'!BA165)="x",$BI46*BA46,VALUE('Capacity summary'!BA165)),0),BA46*$BI46),BA46*$BI46),0)</f>
        <v>0</v>
      </c>
      <c r="DE46" s="311">
        <f>IF($BI46&lt;&gt;"",IF('Capacity summary'!$D$14="Yes",IF(COUNTBLANK('Capacity summary'!$H165:$BG165)&lt;52,IF('Capacity summary'!BB165&lt;&gt;"",IF(LOWER('Capacity summary'!BB165)="x",$BI46*BB46,VALUE('Capacity summary'!BB165)),0),BB46*$BI46),BB46*$BI46),0)</f>
        <v>0</v>
      </c>
      <c r="DF46" s="311">
        <f>IF($BI46&lt;&gt;"",IF('Capacity summary'!$D$14="Yes",IF(COUNTBLANK('Capacity summary'!$H165:$BG165)&lt;52,IF('Capacity summary'!BC165&lt;&gt;"",IF(LOWER('Capacity summary'!BC165)="x",$BI46*BC46,VALUE('Capacity summary'!BC165)),0),BC46*$BI46),BC46*$BI46),0)</f>
        <v>0</v>
      </c>
      <c r="DG46" s="311">
        <f>IF($BI46&lt;&gt;"",IF('Capacity summary'!$D$14="Yes",IF(COUNTBLANK('Capacity summary'!$H165:$BG165)&lt;52,IF('Capacity summary'!BD165&lt;&gt;"",IF(LOWER('Capacity summary'!BD165)="x",$BI46*BD46,VALUE('Capacity summary'!BD165)),0),BD46*$BI46),BD46*$BI46),0)</f>
        <v>0</v>
      </c>
      <c r="DH46" s="311">
        <f>IF($BI46&lt;&gt;"",IF('Capacity summary'!$D$14="Yes",IF(COUNTBLANK('Capacity summary'!$H165:$BG165)&lt;52,IF('Capacity summary'!BE165&lt;&gt;"",IF(LOWER('Capacity summary'!BE165)="x",$BI46*BE46,VALUE('Capacity summary'!BE165)),0),BE46*$BI46),BE46*$BI46),0)</f>
        <v>0</v>
      </c>
      <c r="DI46" s="311">
        <f>IF($BI46&lt;&gt;"",IF('Capacity summary'!$D$14="Yes",IF(COUNTBLANK('Capacity summary'!$H165:$BG165)&lt;52,IF('Capacity summary'!BF165&lt;&gt;"",IF(LOWER('Capacity summary'!BF165)="x",$BI46*BF46,VALUE('Capacity summary'!BF165)),0),BF46*$BI46),BF46*$BI46),0)</f>
        <v>0</v>
      </c>
      <c r="DJ46" s="311">
        <f>IF($BI46&lt;&gt;"",IF('Capacity summary'!$D$14="Yes",IF(COUNTBLANK('Capacity summary'!$H165:$BG165)&lt;52,IF('Capacity summary'!BG165&lt;&gt;"",IF(LOWER('Capacity summary'!BG165)="x",$BI46*BG46,VALUE('Capacity summary'!BG165)),0),BG46*$BI46),BG46*$BI46),0)</f>
        <v>0</v>
      </c>
      <c r="DK46" s="387">
        <f t="shared" si="2"/>
        <v>0</v>
      </c>
      <c r="DL46" s="136">
        <f t="shared" si="3"/>
        <v>0</v>
      </c>
      <c r="DM46" s="311" t="str">
        <f>Capacity!H58</f>
        <v/>
      </c>
      <c r="DQ46" s="5"/>
    </row>
    <row r="47" spans="1:121" x14ac:dyDescent="0.2">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1">
        <f>IF($BI47&lt;&gt;"",IF('Capacity summary'!$D$14="Yes",IF(COUNTBLANK('Capacity summary'!$H166:$BG166)&lt;52,IF('Capacity summary'!H166&lt;&gt;"",IF(LOWER('Capacity summary'!H166)="x",$BI47*H47,VALUE('Capacity summary'!H166)),0),H47*$BI47),H47*$BI47),0)</f>
        <v>0</v>
      </c>
      <c r="BL47" s="311">
        <f>IF($BI47&lt;&gt;"",IF('Capacity summary'!$D$14="Yes",IF(COUNTBLANK('Capacity summary'!$H166:$BG166)&lt;52,IF('Capacity summary'!I166&lt;&gt;"",IF(LOWER('Capacity summary'!I166)="x",$BI47*I47,VALUE('Capacity summary'!I166)),0),I47*$BI47),I47*$BI47),0)</f>
        <v>0</v>
      </c>
      <c r="BM47" s="311">
        <f>IF($BI47&lt;&gt;"",IF('Capacity summary'!$D$14="Yes",IF(COUNTBLANK('Capacity summary'!$H166:$BG166)&lt;52,IF('Capacity summary'!J166&lt;&gt;"",IF(LOWER('Capacity summary'!J166)="x",$BI47*J47,VALUE('Capacity summary'!J166)),0),J47*$BI47),J47*$BI47),0)</f>
        <v>0</v>
      </c>
      <c r="BN47" s="311">
        <f>IF($BI47&lt;&gt;"",IF('Capacity summary'!$D$14="Yes",IF(COUNTBLANK('Capacity summary'!$H166:$BG166)&lt;52,IF('Capacity summary'!K166&lt;&gt;"",IF(LOWER('Capacity summary'!K166)="x",$BI47*K47,VALUE('Capacity summary'!K166)),0),K47*$BI47),K47*$BI47),0)</f>
        <v>0</v>
      </c>
      <c r="BO47" s="311">
        <f>IF($BI47&lt;&gt;"",IF('Capacity summary'!$D$14="Yes",IF(COUNTBLANK('Capacity summary'!$H166:$BG166)&lt;52,IF('Capacity summary'!L166&lt;&gt;"",IF(LOWER('Capacity summary'!L166)="x",$BI47*L47,VALUE('Capacity summary'!L166)),0),L47*$BI47),L47*$BI47),0)</f>
        <v>0</v>
      </c>
      <c r="BP47" s="311">
        <f>IF($BI47&lt;&gt;"",IF('Capacity summary'!$D$14="Yes",IF(COUNTBLANK('Capacity summary'!$H166:$BG166)&lt;52,IF('Capacity summary'!M166&lt;&gt;"",IF(LOWER('Capacity summary'!M166)="x",$BI47*M47,VALUE('Capacity summary'!M166)),0),M47*$BI47),M47*$BI47),0)</f>
        <v>0</v>
      </c>
      <c r="BQ47" s="311">
        <f>IF($BI47&lt;&gt;"",IF('Capacity summary'!$D$14="Yes",IF(COUNTBLANK('Capacity summary'!$H166:$BG166)&lt;52,IF('Capacity summary'!N166&lt;&gt;"",IF(LOWER('Capacity summary'!N166)="x",$BI47*N47,VALUE('Capacity summary'!N166)),0),N47*$BI47),N47*$BI47),0)</f>
        <v>0</v>
      </c>
      <c r="BR47" s="311">
        <f>IF($BI47&lt;&gt;"",IF('Capacity summary'!$D$14="Yes",IF(COUNTBLANK('Capacity summary'!$H166:$BG166)&lt;52,IF('Capacity summary'!O166&lt;&gt;"",IF(LOWER('Capacity summary'!O166)="x",$BI47*O47,VALUE('Capacity summary'!O166)),0),O47*$BI47),O47*$BI47),0)</f>
        <v>0</v>
      </c>
      <c r="BS47" s="311">
        <f>IF($BI47&lt;&gt;"",IF('Capacity summary'!$D$14="Yes",IF(COUNTBLANK('Capacity summary'!$H166:$BG166)&lt;52,IF('Capacity summary'!P166&lt;&gt;"",IF(LOWER('Capacity summary'!P166)="x",$BI47*P47,VALUE('Capacity summary'!P166)),0),P47*$BI47),P47*$BI47),0)</f>
        <v>0</v>
      </c>
      <c r="BT47" s="311">
        <f>IF($BI47&lt;&gt;"",IF('Capacity summary'!$D$14="Yes",IF(COUNTBLANK('Capacity summary'!$H166:$BG166)&lt;52,IF('Capacity summary'!Q166&lt;&gt;"",IF(LOWER('Capacity summary'!Q166)="x",$BI47*Q47,VALUE('Capacity summary'!Q166)),0),Q47*$BI47),Q47*$BI47),0)</f>
        <v>0</v>
      </c>
      <c r="BU47" s="311">
        <f>IF($BI47&lt;&gt;"",IF('Capacity summary'!$D$14="Yes",IF(COUNTBLANK('Capacity summary'!$H166:$BG166)&lt;52,IF('Capacity summary'!R166&lt;&gt;"",IF(LOWER('Capacity summary'!R166)="x",$BI47*R47,VALUE('Capacity summary'!R166)),0),R47*$BI47),R47*$BI47),0)</f>
        <v>0</v>
      </c>
      <c r="BV47" s="311">
        <f>IF($BI47&lt;&gt;"",IF('Capacity summary'!$D$14="Yes",IF(COUNTBLANK('Capacity summary'!$H166:$BG166)&lt;52,IF('Capacity summary'!S166&lt;&gt;"",IF(LOWER('Capacity summary'!S166)="x",$BI47*S47,VALUE('Capacity summary'!S166)),0),S47*$BI47),S47*$BI47),0)</f>
        <v>0</v>
      </c>
      <c r="BW47" s="311">
        <f>IF($BI47&lt;&gt;"",IF('Capacity summary'!$D$14="Yes",IF(COUNTBLANK('Capacity summary'!$H166:$BG166)&lt;52,IF('Capacity summary'!T166&lt;&gt;"",IF(LOWER('Capacity summary'!T166)="x",$BI47*T47,VALUE('Capacity summary'!T166)),0),T47*$BI47),T47*$BI47),0)</f>
        <v>0</v>
      </c>
      <c r="BX47" s="311">
        <f>IF($BI47&lt;&gt;"",IF('Capacity summary'!$D$14="Yes",IF(COUNTBLANK('Capacity summary'!$H166:$BG166)&lt;52,IF('Capacity summary'!U166&lt;&gt;"",IF(LOWER('Capacity summary'!U166)="x",$BI47*U47,VALUE('Capacity summary'!U166)),0),U47*$BI47),U47*$BI47),0)</f>
        <v>0</v>
      </c>
      <c r="BY47" s="311">
        <f>IF($BI47&lt;&gt;"",IF('Capacity summary'!$D$14="Yes",IF(COUNTBLANK('Capacity summary'!$H166:$BG166)&lt;52,IF('Capacity summary'!V166&lt;&gt;"",IF(LOWER('Capacity summary'!V166)="x",$BI47*V47,VALUE('Capacity summary'!V166)),0),V47*$BI47),V47*$BI47),0)</f>
        <v>0</v>
      </c>
      <c r="BZ47" s="311">
        <f>IF($BI47&lt;&gt;"",IF('Capacity summary'!$D$14="Yes",IF(COUNTBLANK('Capacity summary'!$H166:$BG166)&lt;52,IF('Capacity summary'!W166&lt;&gt;"",IF(LOWER('Capacity summary'!W166)="x",$BI47*W47,VALUE('Capacity summary'!W166)),0),W47*$BI47),W47*$BI47),0)</f>
        <v>0</v>
      </c>
      <c r="CA47" s="311">
        <f>IF($BI47&lt;&gt;"",IF('Capacity summary'!$D$14="Yes",IF(COUNTBLANK('Capacity summary'!$H166:$BG166)&lt;52,IF('Capacity summary'!X166&lt;&gt;"",IF(LOWER('Capacity summary'!X166)="x",$BI47*X47,VALUE('Capacity summary'!X166)),0),X47*$BI47),X47*$BI47),0)</f>
        <v>0</v>
      </c>
      <c r="CB47" s="311">
        <f>IF($BI47&lt;&gt;"",IF('Capacity summary'!$D$14="Yes",IF(COUNTBLANK('Capacity summary'!$H166:$BG166)&lt;52,IF('Capacity summary'!Y166&lt;&gt;"",IF(LOWER('Capacity summary'!Y166)="x",$BI47*Y47,VALUE('Capacity summary'!Y166)),0),Y47*$BI47),Y47*$BI47),0)</f>
        <v>0</v>
      </c>
      <c r="CC47" s="311">
        <f>IF($BI47&lt;&gt;"",IF('Capacity summary'!$D$14="Yes",IF(COUNTBLANK('Capacity summary'!$H166:$BG166)&lt;52,IF('Capacity summary'!Z166&lt;&gt;"",IF(LOWER('Capacity summary'!Z166)="x",$BI47*Z47,VALUE('Capacity summary'!Z166)),0),Z47*$BI47),Z47*$BI47),0)</f>
        <v>0</v>
      </c>
      <c r="CD47" s="311">
        <f>IF($BI47&lt;&gt;"",IF('Capacity summary'!$D$14="Yes",IF(COUNTBLANK('Capacity summary'!$H166:$BG166)&lt;52,IF('Capacity summary'!AA166&lt;&gt;"",IF(LOWER('Capacity summary'!AA166)="x",$BI47*AA47,VALUE('Capacity summary'!AA166)),0),AA47*$BI47),AA47*$BI47),0)</f>
        <v>0</v>
      </c>
      <c r="CE47" s="311">
        <f>IF($BI47&lt;&gt;"",IF('Capacity summary'!$D$14="Yes",IF(COUNTBLANK('Capacity summary'!$H166:$BG166)&lt;52,IF('Capacity summary'!AB166&lt;&gt;"",IF(LOWER('Capacity summary'!AB166)="x",$BI47*AB47,VALUE('Capacity summary'!AB166)),0),AB47*$BI47),AB47*$BI47),0)</f>
        <v>0</v>
      </c>
      <c r="CF47" s="311">
        <f>IF($BI47&lt;&gt;"",IF('Capacity summary'!$D$14="Yes",IF(COUNTBLANK('Capacity summary'!$H166:$BG166)&lt;52,IF('Capacity summary'!AC166&lt;&gt;"",IF(LOWER('Capacity summary'!AC166)="x",$BI47*AC47,VALUE('Capacity summary'!AC166)),0),AC47*$BI47),AC47*$BI47),0)</f>
        <v>0</v>
      </c>
      <c r="CG47" s="311">
        <f>IF($BI47&lt;&gt;"",IF('Capacity summary'!$D$14="Yes",IF(COUNTBLANK('Capacity summary'!$H166:$BG166)&lt;52,IF('Capacity summary'!AD166&lt;&gt;"",IF(LOWER('Capacity summary'!AD166)="x",$BI47*AD47,VALUE('Capacity summary'!AD166)),0),AD47*$BI47),AD47*$BI47),0)</f>
        <v>0</v>
      </c>
      <c r="CH47" s="311">
        <f>IF($BI47&lt;&gt;"",IF('Capacity summary'!$D$14="Yes",IF(COUNTBLANK('Capacity summary'!$H166:$BG166)&lt;52,IF('Capacity summary'!AE166&lt;&gt;"",IF(LOWER('Capacity summary'!AE166)="x",$BI47*AE47,VALUE('Capacity summary'!AE166)),0),AE47*$BI47),AE47*$BI47),0)</f>
        <v>0</v>
      </c>
      <c r="CI47" s="311">
        <f>IF($BI47&lt;&gt;"",IF('Capacity summary'!$D$14="Yes",IF(COUNTBLANK('Capacity summary'!$H166:$BG166)&lt;52,IF('Capacity summary'!AF166&lt;&gt;"",IF(LOWER('Capacity summary'!AF166)="x",$BI47*AF47,VALUE('Capacity summary'!AF166)),0),AF47*$BI47),AF47*$BI47),0)</f>
        <v>0</v>
      </c>
      <c r="CJ47" s="311">
        <f>IF($BI47&lt;&gt;"",IF('Capacity summary'!$D$14="Yes",IF(COUNTBLANK('Capacity summary'!$H166:$BG166)&lt;52,IF('Capacity summary'!AG166&lt;&gt;"",IF(LOWER('Capacity summary'!AG166)="x",$BI47*AG47,VALUE('Capacity summary'!AG166)),0),AG47*$BI47),AG47*$BI47),0)</f>
        <v>0</v>
      </c>
      <c r="CK47" s="311">
        <f>IF($BI47&lt;&gt;"",IF('Capacity summary'!$D$14="Yes",IF(COUNTBLANK('Capacity summary'!$H166:$BG166)&lt;52,IF('Capacity summary'!AH166&lt;&gt;"",IF(LOWER('Capacity summary'!AH166)="x",$BI47*AH47,VALUE('Capacity summary'!AH166)),0),AH47*$BI47),AH47*$BI47),0)</f>
        <v>0</v>
      </c>
      <c r="CL47" s="311">
        <f>IF($BI47&lt;&gt;"",IF('Capacity summary'!$D$14="Yes",IF(COUNTBLANK('Capacity summary'!$H166:$BG166)&lt;52,IF('Capacity summary'!AI166&lt;&gt;"",IF(LOWER('Capacity summary'!AI166)="x",$BI47*AI47,VALUE('Capacity summary'!AI166)),0),AI47*$BI47),AI47*$BI47),0)</f>
        <v>0</v>
      </c>
      <c r="CM47" s="311">
        <f>IF($BI47&lt;&gt;"",IF('Capacity summary'!$D$14="Yes",IF(COUNTBLANK('Capacity summary'!$H166:$BG166)&lt;52,IF('Capacity summary'!AJ166&lt;&gt;"",IF(LOWER('Capacity summary'!AJ166)="x",$BI47*AJ47,VALUE('Capacity summary'!AJ166)),0),AJ47*$BI47),AJ47*$BI47),0)</f>
        <v>0</v>
      </c>
      <c r="CN47" s="311">
        <f>IF($BI47&lt;&gt;"",IF('Capacity summary'!$D$14="Yes",IF(COUNTBLANK('Capacity summary'!$H166:$BG166)&lt;52,IF('Capacity summary'!AK166&lt;&gt;"",IF(LOWER('Capacity summary'!AK166)="x",$BI47*AK47,VALUE('Capacity summary'!AK166)),0),AK47*$BI47),AK47*$BI47),0)</f>
        <v>0</v>
      </c>
      <c r="CO47" s="311">
        <f>IF($BI47&lt;&gt;"",IF('Capacity summary'!$D$14="Yes",IF(COUNTBLANK('Capacity summary'!$H166:$BG166)&lt;52,IF('Capacity summary'!AL166&lt;&gt;"",IF(LOWER('Capacity summary'!AL166)="x",$BI47*AL47,VALUE('Capacity summary'!AL166)),0),AL47*$BI47),AL47*$BI47),0)</f>
        <v>0</v>
      </c>
      <c r="CP47" s="311">
        <f>IF($BI47&lt;&gt;"",IF('Capacity summary'!$D$14="Yes",IF(COUNTBLANK('Capacity summary'!$H166:$BG166)&lt;52,IF('Capacity summary'!AM166&lt;&gt;"",IF(LOWER('Capacity summary'!AM166)="x",$BI47*AM47,VALUE('Capacity summary'!AM166)),0),AM47*$BI47),AM47*$BI47),0)</f>
        <v>0</v>
      </c>
      <c r="CQ47" s="311">
        <f>IF($BI47&lt;&gt;"",IF('Capacity summary'!$D$14="Yes",IF(COUNTBLANK('Capacity summary'!$H166:$BG166)&lt;52,IF('Capacity summary'!AN166&lt;&gt;"",IF(LOWER('Capacity summary'!AN166)="x",$BI47*AN47,VALUE('Capacity summary'!AN166)),0),AN47*$BI47),AN47*$BI47),0)</f>
        <v>0</v>
      </c>
      <c r="CR47" s="311">
        <f>IF($BI47&lt;&gt;"",IF('Capacity summary'!$D$14="Yes",IF(COUNTBLANK('Capacity summary'!$H166:$BG166)&lt;52,IF('Capacity summary'!AO166&lt;&gt;"",IF(LOWER('Capacity summary'!AO166)="x",$BI47*AO47,VALUE('Capacity summary'!AO166)),0),AO47*$BI47),AO47*$BI47),0)</f>
        <v>0</v>
      </c>
      <c r="CS47" s="311">
        <f>IF($BI47&lt;&gt;"",IF('Capacity summary'!$D$14="Yes",IF(COUNTBLANK('Capacity summary'!$H166:$BG166)&lt;52,IF('Capacity summary'!AP166&lt;&gt;"",IF(LOWER('Capacity summary'!AP166)="x",$BI47*AP47,VALUE('Capacity summary'!AP166)),0),AP47*$BI47),AP47*$BI47),0)</f>
        <v>0</v>
      </c>
      <c r="CT47" s="311">
        <f>IF($BI47&lt;&gt;"",IF('Capacity summary'!$D$14="Yes",IF(COUNTBLANK('Capacity summary'!$H166:$BG166)&lt;52,IF('Capacity summary'!AQ166&lt;&gt;"",IF(LOWER('Capacity summary'!AQ166)="x",$BI47*AQ47,VALUE('Capacity summary'!AQ166)),0),AQ47*$BI47),AQ47*$BI47),0)</f>
        <v>0</v>
      </c>
      <c r="CU47" s="311">
        <f>IF($BI47&lt;&gt;"",IF('Capacity summary'!$D$14="Yes",IF(COUNTBLANK('Capacity summary'!$H166:$BG166)&lt;52,IF('Capacity summary'!AR166&lt;&gt;"",IF(LOWER('Capacity summary'!AR166)="x",$BI47*AR47,VALUE('Capacity summary'!AR166)),0),AR47*$BI47),AR47*$BI47),0)</f>
        <v>0</v>
      </c>
      <c r="CV47" s="311">
        <f>IF($BI47&lt;&gt;"",IF('Capacity summary'!$D$14="Yes",IF(COUNTBLANK('Capacity summary'!$H166:$BG166)&lt;52,IF('Capacity summary'!AS166&lt;&gt;"",IF(LOWER('Capacity summary'!AS166)="x",$BI47*AS47,VALUE('Capacity summary'!AS166)),0),AS47*$BI47),AS47*$BI47),0)</f>
        <v>0</v>
      </c>
      <c r="CW47" s="311">
        <f>IF($BI47&lt;&gt;"",IF('Capacity summary'!$D$14="Yes",IF(COUNTBLANK('Capacity summary'!$H166:$BG166)&lt;52,IF('Capacity summary'!AT166&lt;&gt;"",IF(LOWER('Capacity summary'!AT166)="x",$BI47*AT47,VALUE('Capacity summary'!AT166)),0),AT47*$BI47),AT47*$BI47),0)</f>
        <v>0</v>
      </c>
      <c r="CX47" s="311">
        <f>IF($BI47&lt;&gt;"",IF('Capacity summary'!$D$14="Yes",IF(COUNTBLANK('Capacity summary'!$H166:$BG166)&lt;52,IF('Capacity summary'!AU166&lt;&gt;"",IF(LOWER('Capacity summary'!AU166)="x",$BI47*AU47,VALUE('Capacity summary'!AU166)),0),AU47*$BI47),AU47*$BI47),0)</f>
        <v>0</v>
      </c>
      <c r="CY47" s="311">
        <f>IF($BI47&lt;&gt;"",IF('Capacity summary'!$D$14="Yes",IF(COUNTBLANK('Capacity summary'!$H166:$BG166)&lt;52,IF('Capacity summary'!AV166&lt;&gt;"",IF(LOWER('Capacity summary'!AV166)="x",$BI47*AV47,VALUE('Capacity summary'!AV166)),0),AV47*$BI47),AV47*$BI47),0)</f>
        <v>0</v>
      </c>
      <c r="CZ47" s="311">
        <f>IF($BI47&lt;&gt;"",IF('Capacity summary'!$D$14="Yes",IF(COUNTBLANK('Capacity summary'!$H166:$BG166)&lt;52,IF('Capacity summary'!AW166&lt;&gt;"",IF(LOWER('Capacity summary'!AW166)="x",$BI47*AW47,VALUE('Capacity summary'!AW166)),0),AW47*$BI47),AW47*$BI47),0)</f>
        <v>0</v>
      </c>
      <c r="DA47" s="311">
        <f>IF($BI47&lt;&gt;"",IF('Capacity summary'!$D$14="Yes",IF(COUNTBLANK('Capacity summary'!$H166:$BG166)&lt;52,IF('Capacity summary'!AX166&lt;&gt;"",IF(LOWER('Capacity summary'!AX166)="x",$BI47*AX47,VALUE('Capacity summary'!AX166)),0),AX47*$BI47),AX47*$BI47),0)</f>
        <v>0</v>
      </c>
      <c r="DB47" s="311">
        <f>IF($BI47&lt;&gt;"",IF('Capacity summary'!$D$14="Yes",IF(COUNTBLANK('Capacity summary'!$H166:$BG166)&lt;52,IF('Capacity summary'!AY166&lt;&gt;"",IF(LOWER('Capacity summary'!AY166)="x",$BI47*AY47,VALUE('Capacity summary'!AY166)),0),AY47*$BI47),AY47*$BI47),0)</f>
        <v>0</v>
      </c>
      <c r="DC47" s="311">
        <f>IF($BI47&lt;&gt;"",IF('Capacity summary'!$D$14="Yes",IF(COUNTBLANK('Capacity summary'!$H166:$BG166)&lt;52,IF('Capacity summary'!AZ166&lt;&gt;"",IF(LOWER('Capacity summary'!AZ166)="x",$BI47*AZ47,VALUE('Capacity summary'!AZ166)),0),AZ47*$BI47),AZ47*$BI47),0)</f>
        <v>0</v>
      </c>
      <c r="DD47" s="311">
        <f>IF($BI47&lt;&gt;"",IF('Capacity summary'!$D$14="Yes",IF(COUNTBLANK('Capacity summary'!$H166:$BG166)&lt;52,IF('Capacity summary'!BA166&lt;&gt;"",IF(LOWER('Capacity summary'!BA166)="x",$BI47*BA47,VALUE('Capacity summary'!BA166)),0),BA47*$BI47),BA47*$BI47),0)</f>
        <v>0</v>
      </c>
      <c r="DE47" s="311">
        <f>IF($BI47&lt;&gt;"",IF('Capacity summary'!$D$14="Yes",IF(COUNTBLANK('Capacity summary'!$H166:$BG166)&lt;52,IF('Capacity summary'!BB166&lt;&gt;"",IF(LOWER('Capacity summary'!BB166)="x",$BI47*BB47,VALUE('Capacity summary'!BB166)),0),BB47*$BI47),BB47*$BI47),0)</f>
        <v>0</v>
      </c>
      <c r="DF47" s="311">
        <f>IF($BI47&lt;&gt;"",IF('Capacity summary'!$D$14="Yes",IF(COUNTBLANK('Capacity summary'!$H166:$BG166)&lt;52,IF('Capacity summary'!BC166&lt;&gt;"",IF(LOWER('Capacity summary'!BC166)="x",$BI47*BC47,VALUE('Capacity summary'!BC166)),0),BC47*$BI47),BC47*$BI47),0)</f>
        <v>0</v>
      </c>
      <c r="DG47" s="311">
        <f>IF($BI47&lt;&gt;"",IF('Capacity summary'!$D$14="Yes",IF(COUNTBLANK('Capacity summary'!$H166:$BG166)&lt;52,IF('Capacity summary'!BD166&lt;&gt;"",IF(LOWER('Capacity summary'!BD166)="x",$BI47*BD47,VALUE('Capacity summary'!BD166)),0),BD47*$BI47),BD47*$BI47),0)</f>
        <v>0</v>
      </c>
      <c r="DH47" s="311">
        <f>IF($BI47&lt;&gt;"",IF('Capacity summary'!$D$14="Yes",IF(COUNTBLANK('Capacity summary'!$H166:$BG166)&lt;52,IF('Capacity summary'!BE166&lt;&gt;"",IF(LOWER('Capacity summary'!BE166)="x",$BI47*BE47,VALUE('Capacity summary'!BE166)),0),BE47*$BI47),BE47*$BI47),0)</f>
        <v>0</v>
      </c>
      <c r="DI47" s="311">
        <f>IF($BI47&lt;&gt;"",IF('Capacity summary'!$D$14="Yes",IF(COUNTBLANK('Capacity summary'!$H166:$BG166)&lt;52,IF('Capacity summary'!BF166&lt;&gt;"",IF(LOWER('Capacity summary'!BF166)="x",$BI47*BF47,VALUE('Capacity summary'!BF166)),0),BF47*$BI47),BF47*$BI47),0)</f>
        <v>0</v>
      </c>
      <c r="DJ47" s="311">
        <f>IF($BI47&lt;&gt;"",IF('Capacity summary'!$D$14="Yes",IF(COUNTBLANK('Capacity summary'!$H166:$BG166)&lt;52,IF('Capacity summary'!BG166&lt;&gt;"",IF(LOWER('Capacity summary'!BG166)="x",$BI47*BG47,VALUE('Capacity summary'!BG166)),0),BG47*$BI47),BG47*$BI47),0)</f>
        <v>0</v>
      </c>
      <c r="DK47" s="387">
        <f t="shared" si="2"/>
        <v>0</v>
      </c>
      <c r="DL47" s="136">
        <f t="shared" si="3"/>
        <v>0</v>
      </c>
      <c r="DM47" s="311" t="str">
        <f>Capacity!H59</f>
        <v/>
      </c>
      <c r="DQ47" s="5"/>
    </row>
    <row r="48" spans="1:121" x14ac:dyDescent="0.2">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1">
        <f>IF($BI48&lt;&gt;"",IF('Capacity summary'!$D$14="Yes",IF(COUNTBLANK('Capacity summary'!$H167:$BG167)&lt;52,IF('Capacity summary'!H167&lt;&gt;"",IF(LOWER('Capacity summary'!H167)="x",$BI48*H48,VALUE('Capacity summary'!H167)),0),H48*$BI48),H48*$BI48),0)</f>
        <v>0</v>
      </c>
      <c r="BL48" s="311">
        <f>IF($BI48&lt;&gt;"",IF('Capacity summary'!$D$14="Yes",IF(COUNTBLANK('Capacity summary'!$H167:$BG167)&lt;52,IF('Capacity summary'!I167&lt;&gt;"",IF(LOWER('Capacity summary'!I167)="x",$BI48*I48,VALUE('Capacity summary'!I167)),0),I48*$BI48),I48*$BI48),0)</f>
        <v>0</v>
      </c>
      <c r="BM48" s="311">
        <f>IF($BI48&lt;&gt;"",IF('Capacity summary'!$D$14="Yes",IF(COUNTBLANK('Capacity summary'!$H167:$BG167)&lt;52,IF('Capacity summary'!J167&lt;&gt;"",IF(LOWER('Capacity summary'!J167)="x",$BI48*J48,VALUE('Capacity summary'!J167)),0),J48*$BI48),J48*$BI48),0)</f>
        <v>0</v>
      </c>
      <c r="BN48" s="311">
        <f>IF($BI48&lt;&gt;"",IF('Capacity summary'!$D$14="Yes",IF(COUNTBLANK('Capacity summary'!$H167:$BG167)&lt;52,IF('Capacity summary'!K167&lt;&gt;"",IF(LOWER('Capacity summary'!K167)="x",$BI48*K48,VALUE('Capacity summary'!K167)),0),K48*$BI48),K48*$BI48),0)</f>
        <v>0</v>
      </c>
      <c r="BO48" s="311">
        <f>IF($BI48&lt;&gt;"",IF('Capacity summary'!$D$14="Yes",IF(COUNTBLANK('Capacity summary'!$H167:$BG167)&lt;52,IF('Capacity summary'!L167&lt;&gt;"",IF(LOWER('Capacity summary'!L167)="x",$BI48*L48,VALUE('Capacity summary'!L167)),0),L48*$BI48),L48*$BI48),0)</f>
        <v>0</v>
      </c>
      <c r="BP48" s="311">
        <f>IF($BI48&lt;&gt;"",IF('Capacity summary'!$D$14="Yes",IF(COUNTBLANK('Capacity summary'!$H167:$BG167)&lt;52,IF('Capacity summary'!M167&lt;&gt;"",IF(LOWER('Capacity summary'!M167)="x",$BI48*M48,VALUE('Capacity summary'!M167)),0),M48*$BI48),M48*$BI48),0)</f>
        <v>0</v>
      </c>
      <c r="BQ48" s="311">
        <f>IF($BI48&lt;&gt;"",IF('Capacity summary'!$D$14="Yes",IF(COUNTBLANK('Capacity summary'!$H167:$BG167)&lt;52,IF('Capacity summary'!N167&lt;&gt;"",IF(LOWER('Capacity summary'!N167)="x",$BI48*N48,VALUE('Capacity summary'!N167)),0),N48*$BI48),N48*$BI48),0)</f>
        <v>0</v>
      </c>
      <c r="BR48" s="311">
        <f>IF($BI48&lt;&gt;"",IF('Capacity summary'!$D$14="Yes",IF(COUNTBLANK('Capacity summary'!$H167:$BG167)&lt;52,IF('Capacity summary'!O167&lt;&gt;"",IF(LOWER('Capacity summary'!O167)="x",$BI48*O48,VALUE('Capacity summary'!O167)),0),O48*$BI48),O48*$BI48),0)</f>
        <v>0</v>
      </c>
      <c r="BS48" s="311">
        <f>IF($BI48&lt;&gt;"",IF('Capacity summary'!$D$14="Yes",IF(COUNTBLANK('Capacity summary'!$H167:$BG167)&lt;52,IF('Capacity summary'!P167&lt;&gt;"",IF(LOWER('Capacity summary'!P167)="x",$BI48*P48,VALUE('Capacity summary'!P167)),0),P48*$BI48),P48*$BI48),0)</f>
        <v>0</v>
      </c>
      <c r="BT48" s="311">
        <f>IF($BI48&lt;&gt;"",IF('Capacity summary'!$D$14="Yes",IF(COUNTBLANK('Capacity summary'!$H167:$BG167)&lt;52,IF('Capacity summary'!Q167&lt;&gt;"",IF(LOWER('Capacity summary'!Q167)="x",$BI48*Q48,VALUE('Capacity summary'!Q167)),0),Q48*$BI48),Q48*$BI48),0)</f>
        <v>0</v>
      </c>
      <c r="BU48" s="311">
        <f>IF($BI48&lt;&gt;"",IF('Capacity summary'!$D$14="Yes",IF(COUNTBLANK('Capacity summary'!$H167:$BG167)&lt;52,IF('Capacity summary'!R167&lt;&gt;"",IF(LOWER('Capacity summary'!R167)="x",$BI48*R48,VALUE('Capacity summary'!R167)),0),R48*$BI48),R48*$BI48),0)</f>
        <v>0</v>
      </c>
      <c r="BV48" s="311">
        <f>IF($BI48&lt;&gt;"",IF('Capacity summary'!$D$14="Yes",IF(COUNTBLANK('Capacity summary'!$H167:$BG167)&lt;52,IF('Capacity summary'!S167&lt;&gt;"",IF(LOWER('Capacity summary'!S167)="x",$BI48*S48,VALUE('Capacity summary'!S167)),0),S48*$BI48),S48*$BI48),0)</f>
        <v>0</v>
      </c>
      <c r="BW48" s="311">
        <f>IF($BI48&lt;&gt;"",IF('Capacity summary'!$D$14="Yes",IF(COUNTBLANK('Capacity summary'!$H167:$BG167)&lt;52,IF('Capacity summary'!T167&lt;&gt;"",IF(LOWER('Capacity summary'!T167)="x",$BI48*T48,VALUE('Capacity summary'!T167)),0),T48*$BI48),T48*$BI48),0)</f>
        <v>0</v>
      </c>
      <c r="BX48" s="311">
        <f>IF($BI48&lt;&gt;"",IF('Capacity summary'!$D$14="Yes",IF(COUNTBLANK('Capacity summary'!$H167:$BG167)&lt;52,IF('Capacity summary'!U167&lt;&gt;"",IF(LOWER('Capacity summary'!U167)="x",$BI48*U48,VALUE('Capacity summary'!U167)),0),U48*$BI48),U48*$BI48),0)</f>
        <v>0</v>
      </c>
      <c r="BY48" s="311">
        <f>IF($BI48&lt;&gt;"",IF('Capacity summary'!$D$14="Yes",IF(COUNTBLANK('Capacity summary'!$H167:$BG167)&lt;52,IF('Capacity summary'!V167&lt;&gt;"",IF(LOWER('Capacity summary'!V167)="x",$BI48*V48,VALUE('Capacity summary'!V167)),0),V48*$BI48),V48*$BI48),0)</f>
        <v>0</v>
      </c>
      <c r="BZ48" s="311">
        <f>IF($BI48&lt;&gt;"",IF('Capacity summary'!$D$14="Yes",IF(COUNTBLANK('Capacity summary'!$H167:$BG167)&lt;52,IF('Capacity summary'!W167&lt;&gt;"",IF(LOWER('Capacity summary'!W167)="x",$BI48*W48,VALUE('Capacity summary'!W167)),0),W48*$BI48),W48*$BI48),0)</f>
        <v>0</v>
      </c>
      <c r="CA48" s="311">
        <f>IF($BI48&lt;&gt;"",IF('Capacity summary'!$D$14="Yes",IF(COUNTBLANK('Capacity summary'!$H167:$BG167)&lt;52,IF('Capacity summary'!X167&lt;&gt;"",IF(LOWER('Capacity summary'!X167)="x",$BI48*X48,VALUE('Capacity summary'!X167)),0),X48*$BI48),X48*$BI48),0)</f>
        <v>0</v>
      </c>
      <c r="CB48" s="311">
        <f>IF($BI48&lt;&gt;"",IF('Capacity summary'!$D$14="Yes",IF(COUNTBLANK('Capacity summary'!$H167:$BG167)&lt;52,IF('Capacity summary'!Y167&lt;&gt;"",IF(LOWER('Capacity summary'!Y167)="x",$BI48*Y48,VALUE('Capacity summary'!Y167)),0),Y48*$BI48),Y48*$BI48),0)</f>
        <v>0</v>
      </c>
      <c r="CC48" s="311">
        <f>IF($BI48&lt;&gt;"",IF('Capacity summary'!$D$14="Yes",IF(COUNTBLANK('Capacity summary'!$H167:$BG167)&lt;52,IF('Capacity summary'!Z167&lt;&gt;"",IF(LOWER('Capacity summary'!Z167)="x",$BI48*Z48,VALUE('Capacity summary'!Z167)),0),Z48*$BI48),Z48*$BI48),0)</f>
        <v>0</v>
      </c>
      <c r="CD48" s="311">
        <f>IF($BI48&lt;&gt;"",IF('Capacity summary'!$D$14="Yes",IF(COUNTBLANK('Capacity summary'!$H167:$BG167)&lt;52,IF('Capacity summary'!AA167&lt;&gt;"",IF(LOWER('Capacity summary'!AA167)="x",$BI48*AA48,VALUE('Capacity summary'!AA167)),0),AA48*$BI48),AA48*$BI48),0)</f>
        <v>0</v>
      </c>
      <c r="CE48" s="311">
        <f>IF($BI48&lt;&gt;"",IF('Capacity summary'!$D$14="Yes",IF(COUNTBLANK('Capacity summary'!$H167:$BG167)&lt;52,IF('Capacity summary'!AB167&lt;&gt;"",IF(LOWER('Capacity summary'!AB167)="x",$BI48*AB48,VALUE('Capacity summary'!AB167)),0),AB48*$BI48),AB48*$BI48),0)</f>
        <v>0</v>
      </c>
      <c r="CF48" s="311">
        <f>IF($BI48&lt;&gt;"",IF('Capacity summary'!$D$14="Yes",IF(COUNTBLANK('Capacity summary'!$H167:$BG167)&lt;52,IF('Capacity summary'!AC167&lt;&gt;"",IF(LOWER('Capacity summary'!AC167)="x",$BI48*AC48,VALUE('Capacity summary'!AC167)),0),AC48*$BI48),AC48*$BI48),0)</f>
        <v>0</v>
      </c>
      <c r="CG48" s="311">
        <f>IF($BI48&lt;&gt;"",IF('Capacity summary'!$D$14="Yes",IF(COUNTBLANK('Capacity summary'!$H167:$BG167)&lt;52,IF('Capacity summary'!AD167&lt;&gt;"",IF(LOWER('Capacity summary'!AD167)="x",$BI48*AD48,VALUE('Capacity summary'!AD167)),0),AD48*$BI48),AD48*$BI48),0)</f>
        <v>0</v>
      </c>
      <c r="CH48" s="311">
        <f>IF($BI48&lt;&gt;"",IF('Capacity summary'!$D$14="Yes",IF(COUNTBLANK('Capacity summary'!$H167:$BG167)&lt;52,IF('Capacity summary'!AE167&lt;&gt;"",IF(LOWER('Capacity summary'!AE167)="x",$BI48*AE48,VALUE('Capacity summary'!AE167)),0),AE48*$BI48),AE48*$BI48),0)</f>
        <v>0</v>
      </c>
      <c r="CI48" s="311">
        <f>IF($BI48&lt;&gt;"",IF('Capacity summary'!$D$14="Yes",IF(COUNTBLANK('Capacity summary'!$H167:$BG167)&lt;52,IF('Capacity summary'!AF167&lt;&gt;"",IF(LOWER('Capacity summary'!AF167)="x",$BI48*AF48,VALUE('Capacity summary'!AF167)),0),AF48*$BI48),AF48*$BI48),0)</f>
        <v>0</v>
      </c>
      <c r="CJ48" s="311">
        <f>IF($BI48&lt;&gt;"",IF('Capacity summary'!$D$14="Yes",IF(COUNTBLANK('Capacity summary'!$H167:$BG167)&lt;52,IF('Capacity summary'!AG167&lt;&gt;"",IF(LOWER('Capacity summary'!AG167)="x",$BI48*AG48,VALUE('Capacity summary'!AG167)),0),AG48*$BI48),AG48*$BI48),0)</f>
        <v>0</v>
      </c>
      <c r="CK48" s="311">
        <f>IF($BI48&lt;&gt;"",IF('Capacity summary'!$D$14="Yes",IF(COUNTBLANK('Capacity summary'!$H167:$BG167)&lt;52,IF('Capacity summary'!AH167&lt;&gt;"",IF(LOWER('Capacity summary'!AH167)="x",$BI48*AH48,VALUE('Capacity summary'!AH167)),0),AH48*$BI48),AH48*$BI48),0)</f>
        <v>0</v>
      </c>
      <c r="CL48" s="311">
        <f>IF($BI48&lt;&gt;"",IF('Capacity summary'!$D$14="Yes",IF(COUNTBLANK('Capacity summary'!$H167:$BG167)&lt;52,IF('Capacity summary'!AI167&lt;&gt;"",IF(LOWER('Capacity summary'!AI167)="x",$BI48*AI48,VALUE('Capacity summary'!AI167)),0),AI48*$BI48),AI48*$BI48),0)</f>
        <v>0</v>
      </c>
      <c r="CM48" s="311">
        <f>IF($BI48&lt;&gt;"",IF('Capacity summary'!$D$14="Yes",IF(COUNTBLANK('Capacity summary'!$H167:$BG167)&lt;52,IF('Capacity summary'!AJ167&lt;&gt;"",IF(LOWER('Capacity summary'!AJ167)="x",$BI48*AJ48,VALUE('Capacity summary'!AJ167)),0),AJ48*$BI48),AJ48*$BI48),0)</f>
        <v>0</v>
      </c>
      <c r="CN48" s="311">
        <f>IF($BI48&lt;&gt;"",IF('Capacity summary'!$D$14="Yes",IF(COUNTBLANK('Capacity summary'!$H167:$BG167)&lt;52,IF('Capacity summary'!AK167&lt;&gt;"",IF(LOWER('Capacity summary'!AK167)="x",$BI48*AK48,VALUE('Capacity summary'!AK167)),0),AK48*$BI48),AK48*$BI48),0)</f>
        <v>0</v>
      </c>
      <c r="CO48" s="311">
        <f>IF($BI48&lt;&gt;"",IF('Capacity summary'!$D$14="Yes",IF(COUNTBLANK('Capacity summary'!$H167:$BG167)&lt;52,IF('Capacity summary'!AL167&lt;&gt;"",IF(LOWER('Capacity summary'!AL167)="x",$BI48*AL48,VALUE('Capacity summary'!AL167)),0),AL48*$BI48),AL48*$BI48),0)</f>
        <v>0</v>
      </c>
      <c r="CP48" s="311">
        <f>IF($BI48&lt;&gt;"",IF('Capacity summary'!$D$14="Yes",IF(COUNTBLANK('Capacity summary'!$H167:$BG167)&lt;52,IF('Capacity summary'!AM167&lt;&gt;"",IF(LOWER('Capacity summary'!AM167)="x",$BI48*AM48,VALUE('Capacity summary'!AM167)),0),AM48*$BI48),AM48*$BI48),0)</f>
        <v>0</v>
      </c>
      <c r="CQ48" s="311">
        <f>IF($BI48&lt;&gt;"",IF('Capacity summary'!$D$14="Yes",IF(COUNTBLANK('Capacity summary'!$H167:$BG167)&lt;52,IF('Capacity summary'!AN167&lt;&gt;"",IF(LOWER('Capacity summary'!AN167)="x",$BI48*AN48,VALUE('Capacity summary'!AN167)),0),AN48*$BI48),AN48*$BI48),0)</f>
        <v>0</v>
      </c>
      <c r="CR48" s="311">
        <f>IF($BI48&lt;&gt;"",IF('Capacity summary'!$D$14="Yes",IF(COUNTBLANK('Capacity summary'!$H167:$BG167)&lt;52,IF('Capacity summary'!AO167&lt;&gt;"",IF(LOWER('Capacity summary'!AO167)="x",$BI48*AO48,VALUE('Capacity summary'!AO167)),0),AO48*$BI48),AO48*$BI48),0)</f>
        <v>0</v>
      </c>
      <c r="CS48" s="311">
        <f>IF($BI48&lt;&gt;"",IF('Capacity summary'!$D$14="Yes",IF(COUNTBLANK('Capacity summary'!$H167:$BG167)&lt;52,IF('Capacity summary'!AP167&lt;&gt;"",IF(LOWER('Capacity summary'!AP167)="x",$BI48*AP48,VALUE('Capacity summary'!AP167)),0),AP48*$BI48),AP48*$BI48),0)</f>
        <v>0</v>
      </c>
      <c r="CT48" s="311">
        <f>IF($BI48&lt;&gt;"",IF('Capacity summary'!$D$14="Yes",IF(COUNTBLANK('Capacity summary'!$H167:$BG167)&lt;52,IF('Capacity summary'!AQ167&lt;&gt;"",IF(LOWER('Capacity summary'!AQ167)="x",$BI48*AQ48,VALUE('Capacity summary'!AQ167)),0),AQ48*$BI48),AQ48*$BI48),0)</f>
        <v>0</v>
      </c>
      <c r="CU48" s="311">
        <f>IF($BI48&lt;&gt;"",IF('Capacity summary'!$D$14="Yes",IF(COUNTBLANK('Capacity summary'!$H167:$BG167)&lt;52,IF('Capacity summary'!AR167&lt;&gt;"",IF(LOWER('Capacity summary'!AR167)="x",$BI48*AR48,VALUE('Capacity summary'!AR167)),0),AR48*$BI48),AR48*$BI48),0)</f>
        <v>0</v>
      </c>
      <c r="CV48" s="311">
        <f>IF($BI48&lt;&gt;"",IF('Capacity summary'!$D$14="Yes",IF(COUNTBLANK('Capacity summary'!$H167:$BG167)&lt;52,IF('Capacity summary'!AS167&lt;&gt;"",IF(LOWER('Capacity summary'!AS167)="x",$BI48*AS48,VALUE('Capacity summary'!AS167)),0),AS48*$BI48),AS48*$BI48),0)</f>
        <v>0</v>
      </c>
      <c r="CW48" s="311">
        <f>IF($BI48&lt;&gt;"",IF('Capacity summary'!$D$14="Yes",IF(COUNTBLANK('Capacity summary'!$H167:$BG167)&lt;52,IF('Capacity summary'!AT167&lt;&gt;"",IF(LOWER('Capacity summary'!AT167)="x",$BI48*AT48,VALUE('Capacity summary'!AT167)),0),AT48*$BI48),AT48*$BI48),0)</f>
        <v>0</v>
      </c>
      <c r="CX48" s="311">
        <f>IF($BI48&lt;&gt;"",IF('Capacity summary'!$D$14="Yes",IF(COUNTBLANK('Capacity summary'!$H167:$BG167)&lt;52,IF('Capacity summary'!AU167&lt;&gt;"",IF(LOWER('Capacity summary'!AU167)="x",$BI48*AU48,VALUE('Capacity summary'!AU167)),0),AU48*$BI48),AU48*$BI48),0)</f>
        <v>0</v>
      </c>
      <c r="CY48" s="311">
        <f>IF($BI48&lt;&gt;"",IF('Capacity summary'!$D$14="Yes",IF(COUNTBLANK('Capacity summary'!$H167:$BG167)&lt;52,IF('Capacity summary'!AV167&lt;&gt;"",IF(LOWER('Capacity summary'!AV167)="x",$BI48*AV48,VALUE('Capacity summary'!AV167)),0),AV48*$BI48),AV48*$BI48),0)</f>
        <v>0</v>
      </c>
      <c r="CZ48" s="311">
        <f>IF($BI48&lt;&gt;"",IF('Capacity summary'!$D$14="Yes",IF(COUNTBLANK('Capacity summary'!$H167:$BG167)&lt;52,IF('Capacity summary'!AW167&lt;&gt;"",IF(LOWER('Capacity summary'!AW167)="x",$BI48*AW48,VALUE('Capacity summary'!AW167)),0),AW48*$BI48),AW48*$BI48),0)</f>
        <v>0</v>
      </c>
      <c r="DA48" s="311">
        <f>IF($BI48&lt;&gt;"",IF('Capacity summary'!$D$14="Yes",IF(COUNTBLANK('Capacity summary'!$H167:$BG167)&lt;52,IF('Capacity summary'!AX167&lt;&gt;"",IF(LOWER('Capacity summary'!AX167)="x",$BI48*AX48,VALUE('Capacity summary'!AX167)),0),AX48*$BI48),AX48*$BI48),0)</f>
        <v>0</v>
      </c>
      <c r="DB48" s="311">
        <f>IF($BI48&lt;&gt;"",IF('Capacity summary'!$D$14="Yes",IF(COUNTBLANK('Capacity summary'!$H167:$BG167)&lt;52,IF('Capacity summary'!AY167&lt;&gt;"",IF(LOWER('Capacity summary'!AY167)="x",$BI48*AY48,VALUE('Capacity summary'!AY167)),0),AY48*$BI48),AY48*$BI48),0)</f>
        <v>0</v>
      </c>
      <c r="DC48" s="311">
        <f>IF($BI48&lt;&gt;"",IF('Capacity summary'!$D$14="Yes",IF(COUNTBLANK('Capacity summary'!$H167:$BG167)&lt;52,IF('Capacity summary'!AZ167&lt;&gt;"",IF(LOWER('Capacity summary'!AZ167)="x",$BI48*AZ48,VALUE('Capacity summary'!AZ167)),0),AZ48*$BI48),AZ48*$BI48),0)</f>
        <v>0</v>
      </c>
      <c r="DD48" s="311">
        <f>IF($BI48&lt;&gt;"",IF('Capacity summary'!$D$14="Yes",IF(COUNTBLANK('Capacity summary'!$H167:$BG167)&lt;52,IF('Capacity summary'!BA167&lt;&gt;"",IF(LOWER('Capacity summary'!BA167)="x",$BI48*BA48,VALUE('Capacity summary'!BA167)),0),BA48*$BI48),BA48*$BI48),0)</f>
        <v>0</v>
      </c>
      <c r="DE48" s="311">
        <f>IF($BI48&lt;&gt;"",IF('Capacity summary'!$D$14="Yes",IF(COUNTBLANK('Capacity summary'!$H167:$BG167)&lt;52,IF('Capacity summary'!BB167&lt;&gt;"",IF(LOWER('Capacity summary'!BB167)="x",$BI48*BB48,VALUE('Capacity summary'!BB167)),0),BB48*$BI48),BB48*$BI48),0)</f>
        <v>0</v>
      </c>
      <c r="DF48" s="311">
        <f>IF($BI48&lt;&gt;"",IF('Capacity summary'!$D$14="Yes",IF(COUNTBLANK('Capacity summary'!$H167:$BG167)&lt;52,IF('Capacity summary'!BC167&lt;&gt;"",IF(LOWER('Capacity summary'!BC167)="x",$BI48*BC48,VALUE('Capacity summary'!BC167)),0),BC48*$BI48),BC48*$BI48),0)</f>
        <v>0</v>
      </c>
      <c r="DG48" s="311">
        <f>IF($BI48&lt;&gt;"",IF('Capacity summary'!$D$14="Yes",IF(COUNTBLANK('Capacity summary'!$H167:$BG167)&lt;52,IF('Capacity summary'!BD167&lt;&gt;"",IF(LOWER('Capacity summary'!BD167)="x",$BI48*BD48,VALUE('Capacity summary'!BD167)),0),BD48*$BI48),BD48*$BI48),0)</f>
        <v>0</v>
      </c>
      <c r="DH48" s="311">
        <f>IF($BI48&lt;&gt;"",IF('Capacity summary'!$D$14="Yes",IF(COUNTBLANK('Capacity summary'!$H167:$BG167)&lt;52,IF('Capacity summary'!BE167&lt;&gt;"",IF(LOWER('Capacity summary'!BE167)="x",$BI48*BE48,VALUE('Capacity summary'!BE167)),0),BE48*$BI48),BE48*$BI48),0)</f>
        <v>0</v>
      </c>
      <c r="DI48" s="311">
        <f>IF($BI48&lt;&gt;"",IF('Capacity summary'!$D$14="Yes",IF(COUNTBLANK('Capacity summary'!$H167:$BG167)&lt;52,IF('Capacity summary'!BF167&lt;&gt;"",IF(LOWER('Capacity summary'!BF167)="x",$BI48*BF48,VALUE('Capacity summary'!BF167)),0),BF48*$BI48),BF48*$BI48),0)</f>
        <v>0</v>
      </c>
      <c r="DJ48" s="311">
        <f>IF($BI48&lt;&gt;"",IF('Capacity summary'!$D$14="Yes",IF(COUNTBLANK('Capacity summary'!$H167:$BG167)&lt;52,IF('Capacity summary'!BG167&lt;&gt;"",IF(LOWER('Capacity summary'!BG167)="x",$BI48*BG48,VALUE('Capacity summary'!BG167)),0),BG48*$BI48),BG48*$BI48),0)</f>
        <v>0</v>
      </c>
      <c r="DK48" s="387">
        <f t="shared" si="2"/>
        <v>0</v>
      </c>
      <c r="DL48" s="136">
        <f t="shared" si="3"/>
        <v>0</v>
      </c>
      <c r="DM48" s="311" t="str">
        <f>Capacity!H60</f>
        <v/>
      </c>
      <c r="DQ48" s="5"/>
    </row>
    <row r="49" spans="1:121" x14ac:dyDescent="0.2">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1">
        <f>IF($BI49&lt;&gt;"",IF('Capacity summary'!$D$14="Yes",IF(COUNTBLANK('Capacity summary'!$H168:$BG168)&lt;52,IF('Capacity summary'!H168&lt;&gt;"",IF(LOWER('Capacity summary'!H168)="x",$BI49*H49,VALUE('Capacity summary'!H168)),0),H49*$BI49),H49*$BI49),0)</f>
        <v>0</v>
      </c>
      <c r="BL49" s="311">
        <f>IF($BI49&lt;&gt;"",IF('Capacity summary'!$D$14="Yes",IF(COUNTBLANK('Capacity summary'!$H168:$BG168)&lt;52,IF('Capacity summary'!I168&lt;&gt;"",IF(LOWER('Capacity summary'!I168)="x",$BI49*I49,VALUE('Capacity summary'!I168)),0),I49*$BI49),I49*$BI49),0)</f>
        <v>0</v>
      </c>
      <c r="BM49" s="311">
        <f>IF($BI49&lt;&gt;"",IF('Capacity summary'!$D$14="Yes",IF(COUNTBLANK('Capacity summary'!$H168:$BG168)&lt;52,IF('Capacity summary'!J168&lt;&gt;"",IF(LOWER('Capacity summary'!J168)="x",$BI49*J49,VALUE('Capacity summary'!J168)),0),J49*$BI49),J49*$BI49),0)</f>
        <v>0</v>
      </c>
      <c r="BN49" s="311">
        <f>IF($BI49&lt;&gt;"",IF('Capacity summary'!$D$14="Yes",IF(COUNTBLANK('Capacity summary'!$H168:$BG168)&lt;52,IF('Capacity summary'!K168&lt;&gt;"",IF(LOWER('Capacity summary'!K168)="x",$BI49*K49,VALUE('Capacity summary'!K168)),0),K49*$BI49),K49*$BI49),0)</f>
        <v>0</v>
      </c>
      <c r="BO49" s="311">
        <f>IF($BI49&lt;&gt;"",IF('Capacity summary'!$D$14="Yes",IF(COUNTBLANK('Capacity summary'!$H168:$BG168)&lt;52,IF('Capacity summary'!L168&lt;&gt;"",IF(LOWER('Capacity summary'!L168)="x",$BI49*L49,VALUE('Capacity summary'!L168)),0),L49*$BI49),L49*$BI49),0)</f>
        <v>0</v>
      </c>
      <c r="BP49" s="311">
        <f>IF($BI49&lt;&gt;"",IF('Capacity summary'!$D$14="Yes",IF(COUNTBLANK('Capacity summary'!$H168:$BG168)&lt;52,IF('Capacity summary'!M168&lt;&gt;"",IF(LOWER('Capacity summary'!M168)="x",$BI49*M49,VALUE('Capacity summary'!M168)),0),M49*$BI49),M49*$BI49),0)</f>
        <v>0</v>
      </c>
      <c r="BQ49" s="311">
        <f>IF($BI49&lt;&gt;"",IF('Capacity summary'!$D$14="Yes",IF(COUNTBLANK('Capacity summary'!$H168:$BG168)&lt;52,IF('Capacity summary'!N168&lt;&gt;"",IF(LOWER('Capacity summary'!N168)="x",$BI49*N49,VALUE('Capacity summary'!N168)),0),N49*$BI49),N49*$BI49),0)</f>
        <v>0</v>
      </c>
      <c r="BR49" s="311">
        <f>IF($BI49&lt;&gt;"",IF('Capacity summary'!$D$14="Yes",IF(COUNTBLANK('Capacity summary'!$H168:$BG168)&lt;52,IF('Capacity summary'!O168&lt;&gt;"",IF(LOWER('Capacity summary'!O168)="x",$BI49*O49,VALUE('Capacity summary'!O168)),0),O49*$BI49),O49*$BI49),0)</f>
        <v>0</v>
      </c>
      <c r="BS49" s="311">
        <f>IF($BI49&lt;&gt;"",IF('Capacity summary'!$D$14="Yes",IF(COUNTBLANK('Capacity summary'!$H168:$BG168)&lt;52,IF('Capacity summary'!P168&lt;&gt;"",IF(LOWER('Capacity summary'!P168)="x",$BI49*P49,VALUE('Capacity summary'!P168)),0),P49*$BI49),P49*$BI49),0)</f>
        <v>0</v>
      </c>
      <c r="BT49" s="311">
        <f>IF($BI49&lt;&gt;"",IF('Capacity summary'!$D$14="Yes",IF(COUNTBLANK('Capacity summary'!$H168:$BG168)&lt;52,IF('Capacity summary'!Q168&lt;&gt;"",IF(LOWER('Capacity summary'!Q168)="x",$BI49*Q49,VALUE('Capacity summary'!Q168)),0),Q49*$BI49),Q49*$BI49),0)</f>
        <v>0</v>
      </c>
      <c r="BU49" s="311">
        <f>IF($BI49&lt;&gt;"",IF('Capacity summary'!$D$14="Yes",IF(COUNTBLANK('Capacity summary'!$H168:$BG168)&lt;52,IF('Capacity summary'!R168&lt;&gt;"",IF(LOWER('Capacity summary'!R168)="x",$BI49*R49,VALUE('Capacity summary'!R168)),0),R49*$BI49),R49*$BI49),0)</f>
        <v>0</v>
      </c>
      <c r="BV49" s="311">
        <f>IF($BI49&lt;&gt;"",IF('Capacity summary'!$D$14="Yes",IF(COUNTBLANK('Capacity summary'!$H168:$BG168)&lt;52,IF('Capacity summary'!S168&lt;&gt;"",IF(LOWER('Capacity summary'!S168)="x",$BI49*S49,VALUE('Capacity summary'!S168)),0),S49*$BI49),S49*$BI49),0)</f>
        <v>0</v>
      </c>
      <c r="BW49" s="311">
        <f>IF($BI49&lt;&gt;"",IF('Capacity summary'!$D$14="Yes",IF(COUNTBLANK('Capacity summary'!$H168:$BG168)&lt;52,IF('Capacity summary'!T168&lt;&gt;"",IF(LOWER('Capacity summary'!T168)="x",$BI49*T49,VALUE('Capacity summary'!T168)),0),T49*$BI49),T49*$BI49),0)</f>
        <v>0</v>
      </c>
      <c r="BX49" s="311">
        <f>IF($BI49&lt;&gt;"",IF('Capacity summary'!$D$14="Yes",IF(COUNTBLANK('Capacity summary'!$H168:$BG168)&lt;52,IF('Capacity summary'!U168&lt;&gt;"",IF(LOWER('Capacity summary'!U168)="x",$BI49*U49,VALUE('Capacity summary'!U168)),0),U49*$BI49),U49*$BI49),0)</f>
        <v>0</v>
      </c>
      <c r="BY49" s="311">
        <f>IF($BI49&lt;&gt;"",IF('Capacity summary'!$D$14="Yes",IF(COUNTBLANK('Capacity summary'!$H168:$BG168)&lt;52,IF('Capacity summary'!V168&lt;&gt;"",IF(LOWER('Capacity summary'!V168)="x",$BI49*V49,VALUE('Capacity summary'!V168)),0),V49*$BI49),V49*$BI49),0)</f>
        <v>0</v>
      </c>
      <c r="BZ49" s="311">
        <f>IF($BI49&lt;&gt;"",IF('Capacity summary'!$D$14="Yes",IF(COUNTBLANK('Capacity summary'!$H168:$BG168)&lt;52,IF('Capacity summary'!W168&lt;&gt;"",IF(LOWER('Capacity summary'!W168)="x",$BI49*W49,VALUE('Capacity summary'!W168)),0),W49*$BI49),W49*$BI49),0)</f>
        <v>0</v>
      </c>
      <c r="CA49" s="311">
        <f>IF($BI49&lt;&gt;"",IF('Capacity summary'!$D$14="Yes",IF(COUNTBLANK('Capacity summary'!$H168:$BG168)&lt;52,IF('Capacity summary'!X168&lt;&gt;"",IF(LOWER('Capacity summary'!X168)="x",$BI49*X49,VALUE('Capacity summary'!X168)),0),X49*$BI49),X49*$BI49),0)</f>
        <v>0</v>
      </c>
      <c r="CB49" s="311">
        <f>IF($BI49&lt;&gt;"",IF('Capacity summary'!$D$14="Yes",IF(COUNTBLANK('Capacity summary'!$H168:$BG168)&lt;52,IF('Capacity summary'!Y168&lt;&gt;"",IF(LOWER('Capacity summary'!Y168)="x",$BI49*Y49,VALUE('Capacity summary'!Y168)),0),Y49*$BI49),Y49*$BI49),0)</f>
        <v>0</v>
      </c>
      <c r="CC49" s="311">
        <f>IF($BI49&lt;&gt;"",IF('Capacity summary'!$D$14="Yes",IF(COUNTBLANK('Capacity summary'!$H168:$BG168)&lt;52,IF('Capacity summary'!Z168&lt;&gt;"",IF(LOWER('Capacity summary'!Z168)="x",$BI49*Z49,VALUE('Capacity summary'!Z168)),0),Z49*$BI49),Z49*$BI49),0)</f>
        <v>0</v>
      </c>
      <c r="CD49" s="311">
        <f>IF($BI49&lt;&gt;"",IF('Capacity summary'!$D$14="Yes",IF(COUNTBLANK('Capacity summary'!$H168:$BG168)&lt;52,IF('Capacity summary'!AA168&lt;&gt;"",IF(LOWER('Capacity summary'!AA168)="x",$BI49*AA49,VALUE('Capacity summary'!AA168)),0),AA49*$BI49),AA49*$BI49),0)</f>
        <v>0</v>
      </c>
      <c r="CE49" s="311">
        <f>IF($BI49&lt;&gt;"",IF('Capacity summary'!$D$14="Yes",IF(COUNTBLANK('Capacity summary'!$H168:$BG168)&lt;52,IF('Capacity summary'!AB168&lt;&gt;"",IF(LOWER('Capacity summary'!AB168)="x",$BI49*AB49,VALUE('Capacity summary'!AB168)),0),AB49*$BI49),AB49*$BI49),0)</f>
        <v>0</v>
      </c>
      <c r="CF49" s="311">
        <f>IF($BI49&lt;&gt;"",IF('Capacity summary'!$D$14="Yes",IF(COUNTBLANK('Capacity summary'!$H168:$BG168)&lt;52,IF('Capacity summary'!AC168&lt;&gt;"",IF(LOWER('Capacity summary'!AC168)="x",$BI49*AC49,VALUE('Capacity summary'!AC168)),0),AC49*$BI49),AC49*$BI49),0)</f>
        <v>0</v>
      </c>
      <c r="CG49" s="311">
        <f>IF($BI49&lt;&gt;"",IF('Capacity summary'!$D$14="Yes",IF(COUNTBLANK('Capacity summary'!$H168:$BG168)&lt;52,IF('Capacity summary'!AD168&lt;&gt;"",IF(LOWER('Capacity summary'!AD168)="x",$BI49*AD49,VALUE('Capacity summary'!AD168)),0),AD49*$BI49),AD49*$BI49),0)</f>
        <v>0</v>
      </c>
      <c r="CH49" s="311">
        <f>IF($BI49&lt;&gt;"",IF('Capacity summary'!$D$14="Yes",IF(COUNTBLANK('Capacity summary'!$H168:$BG168)&lt;52,IF('Capacity summary'!AE168&lt;&gt;"",IF(LOWER('Capacity summary'!AE168)="x",$BI49*AE49,VALUE('Capacity summary'!AE168)),0),AE49*$BI49),AE49*$BI49),0)</f>
        <v>0</v>
      </c>
      <c r="CI49" s="311">
        <f>IF($BI49&lt;&gt;"",IF('Capacity summary'!$D$14="Yes",IF(COUNTBLANK('Capacity summary'!$H168:$BG168)&lt;52,IF('Capacity summary'!AF168&lt;&gt;"",IF(LOWER('Capacity summary'!AF168)="x",$BI49*AF49,VALUE('Capacity summary'!AF168)),0),AF49*$BI49),AF49*$BI49),0)</f>
        <v>0</v>
      </c>
      <c r="CJ49" s="311">
        <f>IF($BI49&lt;&gt;"",IF('Capacity summary'!$D$14="Yes",IF(COUNTBLANK('Capacity summary'!$H168:$BG168)&lt;52,IF('Capacity summary'!AG168&lt;&gt;"",IF(LOWER('Capacity summary'!AG168)="x",$BI49*AG49,VALUE('Capacity summary'!AG168)),0),AG49*$BI49),AG49*$BI49),0)</f>
        <v>0</v>
      </c>
      <c r="CK49" s="311">
        <f>IF($BI49&lt;&gt;"",IF('Capacity summary'!$D$14="Yes",IF(COUNTBLANK('Capacity summary'!$H168:$BG168)&lt;52,IF('Capacity summary'!AH168&lt;&gt;"",IF(LOWER('Capacity summary'!AH168)="x",$BI49*AH49,VALUE('Capacity summary'!AH168)),0),AH49*$BI49),AH49*$BI49),0)</f>
        <v>0</v>
      </c>
      <c r="CL49" s="311">
        <f>IF($BI49&lt;&gt;"",IF('Capacity summary'!$D$14="Yes",IF(COUNTBLANK('Capacity summary'!$H168:$BG168)&lt;52,IF('Capacity summary'!AI168&lt;&gt;"",IF(LOWER('Capacity summary'!AI168)="x",$BI49*AI49,VALUE('Capacity summary'!AI168)),0),AI49*$BI49),AI49*$BI49),0)</f>
        <v>0</v>
      </c>
      <c r="CM49" s="311">
        <f>IF($BI49&lt;&gt;"",IF('Capacity summary'!$D$14="Yes",IF(COUNTBLANK('Capacity summary'!$H168:$BG168)&lt;52,IF('Capacity summary'!AJ168&lt;&gt;"",IF(LOWER('Capacity summary'!AJ168)="x",$BI49*AJ49,VALUE('Capacity summary'!AJ168)),0),AJ49*$BI49),AJ49*$BI49),0)</f>
        <v>0</v>
      </c>
      <c r="CN49" s="311">
        <f>IF($BI49&lt;&gt;"",IF('Capacity summary'!$D$14="Yes",IF(COUNTBLANK('Capacity summary'!$H168:$BG168)&lt;52,IF('Capacity summary'!AK168&lt;&gt;"",IF(LOWER('Capacity summary'!AK168)="x",$BI49*AK49,VALUE('Capacity summary'!AK168)),0),AK49*$BI49),AK49*$BI49),0)</f>
        <v>0</v>
      </c>
      <c r="CO49" s="311">
        <f>IF($BI49&lt;&gt;"",IF('Capacity summary'!$D$14="Yes",IF(COUNTBLANK('Capacity summary'!$H168:$BG168)&lt;52,IF('Capacity summary'!AL168&lt;&gt;"",IF(LOWER('Capacity summary'!AL168)="x",$BI49*AL49,VALUE('Capacity summary'!AL168)),0),AL49*$BI49),AL49*$BI49),0)</f>
        <v>0</v>
      </c>
      <c r="CP49" s="311">
        <f>IF($BI49&lt;&gt;"",IF('Capacity summary'!$D$14="Yes",IF(COUNTBLANK('Capacity summary'!$H168:$BG168)&lt;52,IF('Capacity summary'!AM168&lt;&gt;"",IF(LOWER('Capacity summary'!AM168)="x",$BI49*AM49,VALUE('Capacity summary'!AM168)),0),AM49*$BI49),AM49*$BI49),0)</f>
        <v>0</v>
      </c>
      <c r="CQ49" s="311">
        <f>IF($BI49&lt;&gt;"",IF('Capacity summary'!$D$14="Yes",IF(COUNTBLANK('Capacity summary'!$H168:$BG168)&lt;52,IF('Capacity summary'!AN168&lt;&gt;"",IF(LOWER('Capacity summary'!AN168)="x",$BI49*AN49,VALUE('Capacity summary'!AN168)),0),AN49*$BI49),AN49*$BI49),0)</f>
        <v>0</v>
      </c>
      <c r="CR49" s="311">
        <f>IF($BI49&lt;&gt;"",IF('Capacity summary'!$D$14="Yes",IF(COUNTBLANK('Capacity summary'!$H168:$BG168)&lt;52,IF('Capacity summary'!AO168&lt;&gt;"",IF(LOWER('Capacity summary'!AO168)="x",$BI49*AO49,VALUE('Capacity summary'!AO168)),0),AO49*$BI49),AO49*$BI49),0)</f>
        <v>0</v>
      </c>
      <c r="CS49" s="311">
        <f>IF($BI49&lt;&gt;"",IF('Capacity summary'!$D$14="Yes",IF(COUNTBLANK('Capacity summary'!$H168:$BG168)&lt;52,IF('Capacity summary'!AP168&lt;&gt;"",IF(LOWER('Capacity summary'!AP168)="x",$BI49*AP49,VALUE('Capacity summary'!AP168)),0),AP49*$BI49),AP49*$BI49),0)</f>
        <v>0</v>
      </c>
      <c r="CT49" s="311">
        <f>IF($BI49&lt;&gt;"",IF('Capacity summary'!$D$14="Yes",IF(COUNTBLANK('Capacity summary'!$H168:$BG168)&lt;52,IF('Capacity summary'!AQ168&lt;&gt;"",IF(LOWER('Capacity summary'!AQ168)="x",$BI49*AQ49,VALUE('Capacity summary'!AQ168)),0),AQ49*$BI49),AQ49*$BI49),0)</f>
        <v>0</v>
      </c>
      <c r="CU49" s="311">
        <f>IF($BI49&lt;&gt;"",IF('Capacity summary'!$D$14="Yes",IF(COUNTBLANK('Capacity summary'!$H168:$BG168)&lt;52,IF('Capacity summary'!AR168&lt;&gt;"",IF(LOWER('Capacity summary'!AR168)="x",$BI49*AR49,VALUE('Capacity summary'!AR168)),0),AR49*$BI49),AR49*$BI49),0)</f>
        <v>0</v>
      </c>
      <c r="CV49" s="311">
        <f>IF($BI49&lt;&gt;"",IF('Capacity summary'!$D$14="Yes",IF(COUNTBLANK('Capacity summary'!$H168:$BG168)&lt;52,IF('Capacity summary'!AS168&lt;&gt;"",IF(LOWER('Capacity summary'!AS168)="x",$BI49*AS49,VALUE('Capacity summary'!AS168)),0),AS49*$BI49),AS49*$BI49),0)</f>
        <v>0</v>
      </c>
      <c r="CW49" s="311">
        <f>IF($BI49&lt;&gt;"",IF('Capacity summary'!$D$14="Yes",IF(COUNTBLANK('Capacity summary'!$H168:$BG168)&lt;52,IF('Capacity summary'!AT168&lt;&gt;"",IF(LOWER('Capacity summary'!AT168)="x",$BI49*AT49,VALUE('Capacity summary'!AT168)),0),AT49*$BI49),AT49*$BI49),0)</f>
        <v>0</v>
      </c>
      <c r="CX49" s="311">
        <f>IF($BI49&lt;&gt;"",IF('Capacity summary'!$D$14="Yes",IF(COUNTBLANK('Capacity summary'!$H168:$BG168)&lt;52,IF('Capacity summary'!AU168&lt;&gt;"",IF(LOWER('Capacity summary'!AU168)="x",$BI49*AU49,VALUE('Capacity summary'!AU168)),0),AU49*$BI49),AU49*$BI49),0)</f>
        <v>0</v>
      </c>
      <c r="CY49" s="311">
        <f>IF($BI49&lt;&gt;"",IF('Capacity summary'!$D$14="Yes",IF(COUNTBLANK('Capacity summary'!$H168:$BG168)&lt;52,IF('Capacity summary'!AV168&lt;&gt;"",IF(LOWER('Capacity summary'!AV168)="x",$BI49*AV49,VALUE('Capacity summary'!AV168)),0),AV49*$BI49),AV49*$BI49),0)</f>
        <v>0</v>
      </c>
      <c r="CZ49" s="311">
        <f>IF($BI49&lt;&gt;"",IF('Capacity summary'!$D$14="Yes",IF(COUNTBLANK('Capacity summary'!$H168:$BG168)&lt;52,IF('Capacity summary'!AW168&lt;&gt;"",IF(LOWER('Capacity summary'!AW168)="x",$BI49*AW49,VALUE('Capacity summary'!AW168)),0),AW49*$BI49),AW49*$BI49),0)</f>
        <v>0</v>
      </c>
      <c r="DA49" s="311">
        <f>IF($BI49&lt;&gt;"",IF('Capacity summary'!$D$14="Yes",IF(COUNTBLANK('Capacity summary'!$H168:$BG168)&lt;52,IF('Capacity summary'!AX168&lt;&gt;"",IF(LOWER('Capacity summary'!AX168)="x",$BI49*AX49,VALUE('Capacity summary'!AX168)),0),AX49*$BI49),AX49*$BI49),0)</f>
        <v>0</v>
      </c>
      <c r="DB49" s="311">
        <f>IF($BI49&lt;&gt;"",IF('Capacity summary'!$D$14="Yes",IF(COUNTBLANK('Capacity summary'!$H168:$BG168)&lt;52,IF('Capacity summary'!AY168&lt;&gt;"",IF(LOWER('Capacity summary'!AY168)="x",$BI49*AY49,VALUE('Capacity summary'!AY168)),0),AY49*$BI49),AY49*$BI49),0)</f>
        <v>0</v>
      </c>
      <c r="DC49" s="311">
        <f>IF($BI49&lt;&gt;"",IF('Capacity summary'!$D$14="Yes",IF(COUNTBLANK('Capacity summary'!$H168:$BG168)&lt;52,IF('Capacity summary'!AZ168&lt;&gt;"",IF(LOWER('Capacity summary'!AZ168)="x",$BI49*AZ49,VALUE('Capacity summary'!AZ168)),0),AZ49*$BI49),AZ49*$BI49),0)</f>
        <v>0</v>
      </c>
      <c r="DD49" s="311">
        <f>IF($BI49&lt;&gt;"",IF('Capacity summary'!$D$14="Yes",IF(COUNTBLANK('Capacity summary'!$H168:$BG168)&lt;52,IF('Capacity summary'!BA168&lt;&gt;"",IF(LOWER('Capacity summary'!BA168)="x",$BI49*BA49,VALUE('Capacity summary'!BA168)),0),BA49*$BI49),BA49*$BI49),0)</f>
        <v>0</v>
      </c>
      <c r="DE49" s="311">
        <f>IF($BI49&lt;&gt;"",IF('Capacity summary'!$D$14="Yes",IF(COUNTBLANK('Capacity summary'!$H168:$BG168)&lt;52,IF('Capacity summary'!BB168&lt;&gt;"",IF(LOWER('Capacity summary'!BB168)="x",$BI49*BB49,VALUE('Capacity summary'!BB168)),0),BB49*$BI49),BB49*$BI49),0)</f>
        <v>0</v>
      </c>
      <c r="DF49" s="311">
        <f>IF($BI49&lt;&gt;"",IF('Capacity summary'!$D$14="Yes",IF(COUNTBLANK('Capacity summary'!$H168:$BG168)&lt;52,IF('Capacity summary'!BC168&lt;&gt;"",IF(LOWER('Capacity summary'!BC168)="x",$BI49*BC49,VALUE('Capacity summary'!BC168)),0),BC49*$BI49),BC49*$BI49),0)</f>
        <v>0</v>
      </c>
      <c r="DG49" s="311">
        <f>IF($BI49&lt;&gt;"",IF('Capacity summary'!$D$14="Yes",IF(COUNTBLANK('Capacity summary'!$H168:$BG168)&lt;52,IF('Capacity summary'!BD168&lt;&gt;"",IF(LOWER('Capacity summary'!BD168)="x",$BI49*BD49,VALUE('Capacity summary'!BD168)),0),BD49*$BI49),BD49*$BI49),0)</f>
        <v>0</v>
      </c>
      <c r="DH49" s="311">
        <f>IF($BI49&lt;&gt;"",IF('Capacity summary'!$D$14="Yes",IF(COUNTBLANK('Capacity summary'!$H168:$BG168)&lt;52,IF('Capacity summary'!BE168&lt;&gt;"",IF(LOWER('Capacity summary'!BE168)="x",$BI49*BE49,VALUE('Capacity summary'!BE168)),0),BE49*$BI49),BE49*$BI49),0)</f>
        <v>0</v>
      </c>
      <c r="DI49" s="311">
        <f>IF($BI49&lt;&gt;"",IF('Capacity summary'!$D$14="Yes",IF(COUNTBLANK('Capacity summary'!$H168:$BG168)&lt;52,IF('Capacity summary'!BF168&lt;&gt;"",IF(LOWER('Capacity summary'!BF168)="x",$BI49*BF49,VALUE('Capacity summary'!BF168)),0),BF49*$BI49),BF49*$BI49),0)</f>
        <v>0</v>
      </c>
      <c r="DJ49" s="311">
        <f>IF($BI49&lt;&gt;"",IF('Capacity summary'!$D$14="Yes",IF(COUNTBLANK('Capacity summary'!$H168:$BG168)&lt;52,IF('Capacity summary'!BG168&lt;&gt;"",IF(LOWER('Capacity summary'!BG168)="x",$BI49*BG49,VALUE('Capacity summary'!BG168)),0),BG49*$BI49),BG49*$BI49),0)</f>
        <v>0</v>
      </c>
      <c r="DK49" s="387">
        <f t="shared" si="2"/>
        <v>0</v>
      </c>
      <c r="DL49" s="136">
        <f t="shared" si="3"/>
        <v>0</v>
      </c>
      <c r="DM49" s="311" t="str">
        <f>Capacity!H61</f>
        <v/>
      </c>
      <c r="DQ49" s="5"/>
    </row>
    <row r="50" spans="1:121" x14ac:dyDescent="0.2">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1">
        <f>IF($BI50&lt;&gt;"",IF('Capacity summary'!$D$14="Yes",IF(COUNTBLANK('Capacity summary'!$H169:$BG169)&lt;52,IF('Capacity summary'!H169&lt;&gt;"",IF(LOWER('Capacity summary'!H169)="x",$BI50*H50,VALUE('Capacity summary'!H169)),0),H50*$BI50),H50*$BI50),0)</f>
        <v>0</v>
      </c>
      <c r="BL50" s="311">
        <f>IF($BI50&lt;&gt;"",IF('Capacity summary'!$D$14="Yes",IF(COUNTBLANK('Capacity summary'!$H169:$BG169)&lt;52,IF('Capacity summary'!I169&lt;&gt;"",IF(LOWER('Capacity summary'!I169)="x",$BI50*I50,VALUE('Capacity summary'!I169)),0),I50*$BI50),I50*$BI50),0)</f>
        <v>0</v>
      </c>
      <c r="BM50" s="311">
        <f>IF($BI50&lt;&gt;"",IF('Capacity summary'!$D$14="Yes",IF(COUNTBLANK('Capacity summary'!$H169:$BG169)&lt;52,IF('Capacity summary'!J169&lt;&gt;"",IF(LOWER('Capacity summary'!J169)="x",$BI50*J50,VALUE('Capacity summary'!J169)),0),J50*$BI50),J50*$BI50),0)</f>
        <v>0</v>
      </c>
      <c r="BN50" s="311">
        <f>IF($BI50&lt;&gt;"",IF('Capacity summary'!$D$14="Yes",IF(COUNTBLANK('Capacity summary'!$H169:$BG169)&lt;52,IF('Capacity summary'!K169&lt;&gt;"",IF(LOWER('Capacity summary'!K169)="x",$BI50*K50,VALUE('Capacity summary'!K169)),0),K50*$BI50),K50*$BI50),0)</f>
        <v>0</v>
      </c>
      <c r="BO50" s="311">
        <f>IF($BI50&lt;&gt;"",IF('Capacity summary'!$D$14="Yes",IF(COUNTBLANK('Capacity summary'!$H169:$BG169)&lt;52,IF('Capacity summary'!L169&lt;&gt;"",IF(LOWER('Capacity summary'!L169)="x",$BI50*L50,VALUE('Capacity summary'!L169)),0),L50*$BI50),L50*$BI50),0)</f>
        <v>0</v>
      </c>
      <c r="BP50" s="311">
        <f>IF($BI50&lt;&gt;"",IF('Capacity summary'!$D$14="Yes",IF(COUNTBLANK('Capacity summary'!$H169:$BG169)&lt;52,IF('Capacity summary'!M169&lt;&gt;"",IF(LOWER('Capacity summary'!M169)="x",$BI50*M50,VALUE('Capacity summary'!M169)),0),M50*$BI50),M50*$BI50),0)</f>
        <v>0</v>
      </c>
      <c r="BQ50" s="311">
        <f>IF($BI50&lt;&gt;"",IF('Capacity summary'!$D$14="Yes",IF(COUNTBLANK('Capacity summary'!$H169:$BG169)&lt;52,IF('Capacity summary'!N169&lt;&gt;"",IF(LOWER('Capacity summary'!N169)="x",$BI50*N50,VALUE('Capacity summary'!N169)),0),N50*$BI50),N50*$BI50),0)</f>
        <v>0</v>
      </c>
      <c r="BR50" s="311">
        <f>IF($BI50&lt;&gt;"",IF('Capacity summary'!$D$14="Yes",IF(COUNTBLANK('Capacity summary'!$H169:$BG169)&lt;52,IF('Capacity summary'!O169&lt;&gt;"",IF(LOWER('Capacity summary'!O169)="x",$BI50*O50,VALUE('Capacity summary'!O169)),0),O50*$BI50),O50*$BI50),0)</f>
        <v>0</v>
      </c>
      <c r="BS50" s="311">
        <f>IF($BI50&lt;&gt;"",IF('Capacity summary'!$D$14="Yes",IF(COUNTBLANK('Capacity summary'!$H169:$BG169)&lt;52,IF('Capacity summary'!P169&lt;&gt;"",IF(LOWER('Capacity summary'!P169)="x",$BI50*P50,VALUE('Capacity summary'!P169)),0),P50*$BI50),P50*$BI50),0)</f>
        <v>0</v>
      </c>
      <c r="BT50" s="311">
        <f>IF($BI50&lt;&gt;"",IF('Capacity summary'!$D$14="Yes",IF(COUNTBLANK('Capacity summary'!$H169:$BG169)&lt;52,IF('Capacity summary'!Q169&lt;&gt;"",IF(LOWER('Capacity summary'!Q169)="x",$BI50*Q50,VALUE('Capacity summary'!Q169)),0),Q50*$BI50),Q50*$BI50),0)</f>
        <v>0</v>
      </c>
      <c r="BU50" s="311">
        <f>IF($BI50&lt;&gt;"",IF('Capacity summary'!$D$14="Yes",IF(COUNTBLANK('Capacity summary'!$H169:$BG169)&lt;52,IF('Capacity summary'!R169&lt;&gt;"",IF(LOWER('Capacity summary'!R169)="x",$BI50*R50,VALUE('Capacity summary'!R169)),0),R50*$BI50),R50*$BI50),0)</f>
        <v>0</v>
      </c>
      <c r="BV50" s="311">
        <f>IF($BI50&lt;&gt;"",IF('Capacity summary'!$D$14="Yes",IF(COUNTBLANK('Capacity summary'!$H169:$BG169)&lt;52,IF('Capacity summary'!S169&lt;&gt;"",IF(LOWER('Capacity summary'!S169)="x",$BI50*S50,VALUE('Capacity summary'!S169)),0),S50*$BI50),S50*$BI50),0)</f>
        <v>0</v>
      </c>
      <c r="BW50" s="311">
        <f>IF($BI50&lt;&gt;"",IF('Capacity summary'!$D$14="Yes",IF(COUNTBLANK('Capacity summary'!$H169:$BG169)&lt;52,IF('Capacity summary'!T169&lt;&gt;"",IF(LOWER('Capacity summary'!T169)="x",$BI50*T50,VALUE('Capacity summary'!T169)),0),T50*$BI50),T50*$BI50),0)</f>
        <v>0</v>
      </c>
      <c r="BX50" s="311">
        <f>IF($BI50&lt;&gt;"",IF('Capacity summary'!$D$14="Yes",IF(COUNTBLANK('Capacity summary'!$H169:$BG169)&lt;52,IF('Capacity summary'!U169&lt;&gt;"",IF(LOWER('Capacity summary'!U169)="x",$BI50*U50,VALUE('Capacity summary'!U169)),0),U50*$BI50),U50*$BI50),0)</f>
        <v>0</v>
      </c>
      <c r="BY50" s="311">
        <f>IF($BI50&lt;&gt;"",IF('Capacity summary'!$D$14="Yes",IF(COUNTBLANK('Capacity summary'!$H169:$BG169)&lt;52,IF('Capacity summary'!V169&lt;&gt;"",IF(LOWER('Capacity summary'!V169)="x",$BI50*V50,VALUE('Capacity summary'!V169)),0),V50*$BI50),V50*$BI50),0)</f>
        <v>0</v>
      </c>
      <c r="BZ50" s="311">
        <f>IF($BI50&lt;&gt;"",IF('Capacity summary'!$D$14="Yes",IF(COUNTBLANK('Capacity summary'!$H169:$BG169)&lt;52,IF('Capacity summary'!W169&lt;&gt;"",IF(LOWER('Capacity summary'!W169)="x",$BI50*W50,VALUE('Capacity summary'!W169)),0),W50*$BI50),W50*$BI50),0)</f>
        <v>0</v>
      </c>
      <c r="CA50" s="311">
        <f>IF($BI50&lt;&gt;"",IF('Capacity summary'!$D$14="Yes",IF(COUNTBLANK('Capacity summary'!$H169:$BG169)&lt;52,IF('Capacity summary'!X169&lt;&gt;"",IF(LOWER('Capacity summary'!X169)="x",$BI50*X50,VALUE('Capacity summary'!X169)),0),X50*$BI50),X50*$BI50),0)</f>
        <v>0</v>
      </c>
      <c r="CB50" s="311">
        <f>IF($BI50&lt;&gt;"",IF('Capacity summary'!$D$14="Yes",IF(COUNTBLANK('Capacity summary'!$H169:$BG169)&lt;52,IF('Capacity summary'!Y169&lt;&gt;"",IF(LOWER('Capacity summary'!Y169)="x",$BI50*Y50,VALUE('Capacity summary'!Y169)),0),Y50*$BI50),Y50*$BI50),0)</f>
        <v>0</v>
      </c>
      <c r="CC50" s="311">
        <f>IF($BI50&lt;&gt;"",IF('Capacity summary'!$D$14="Yes",IF(COUNTBLANK('Capacity summary'!$H169:$BG169)&lt;52,IF('Capacity summary'!Z169&lt;&gt;"",IF(LOWER('Capacity summary'!Z169)="x",$BI50*Z50,VALUE('Capacity summary'!Z169)),0),Z50*$BI50),Z50*$BI50),0)</f>
        <v>0</v>
      </c>
      <c r="CD50" s="311">
        <f>IF($BI50&lt;&gt;"",IF('Capacity summary'!$D$14="Yes",IF(COUNTBLANK('Capacity summary'!$H169:$BG169)&lt;52,IF('Capacity summary'!AA169&lt;&gt;"",IF(LOWER('Capacity summary'!AA169)="x",$BI50*AA50,VALUE('Capacity summary'!AA169)),0),AA50*$BI50),AA50*$BI50),0)</f>
        <v>0</v>
      </c>
      <c r="CE50" s="311">
        <f>IF($BI50&lt;&gt;"",IF('Capacity summary'!$D$14="Yes",IF(COUNTBLANK('Capacity summary'!$H169:$BG169)&lt;52,IF('Capacity summary'!AB169&lt;&gt;"",IF(LOWER('Capacity summary'!AB169)="x",$BI50*AB50,VALUE('Capacity summary'!AB169)),0),AB50*$BI50),AB50*$BI50),0)</f>
        <v>0</v>
      </c>
      <c r="CF50" s="311">
        <f>IF($BI50&lt;&gt;"",IF('Capacity summary'!$D$14="Yes",IF(COUNTBLANK('Capacity summary'!$H169:$BG169)&lt;52,IF('Capacity summary'!AC169&lt;&gt;"",IF(LOWER('Capacity summary'!AC169)="x",$BI50*AC50,VALUE('Capacity summary'!AC169)),0),AC50*$BI50),AC50*$BI50),0)</f>
        <v>0</v>
      </c>
      <c r="CG50" s="311">
        <f>IF($BI50&lt;&gt;"",IF('Capacity summary'!$D$14="Yes",IF(COUNTBLANK('Capacity summary'!$H169:$BG169)&lt;52,IF('Capacity summary'!AD169&lt;&gt;"",IF(LOWER('Capacity summary'!AD169)="x",$BI50*AD50,VALUE('Capacity summary'!AD169)),0),AD50*$BI50),AD50*$BI50),0)</f>
        <v>0</v>
      </c>
      <c r="CH50" s="311">
        <f>IF($BI50&lt;&gt;"",IF('Capacity summary'!$D$14="Yes",IF(COUNTBLANK('Capacity summary'!$H169:$BG169)&lt;52,IF('Capacity summary'!AE169&lt;&gt;"",IF(LOWER('Capacity summary'!AE169)="x",$BI50*AE50,VALUE('Capacity summary'!AE169)),0),AE50*$BI50),AE50*$BI50),0)</f>
        <v>0</v>
      </c>
      <c r="CI50" s="311">
        <f>IF($BI50&lt;&gt;"",IF('Capacity summary'!$D$14="Yes",IF(COUNTBLANK('Capacity summary'!$H169:$BG169)&lt;52,IF('Capacity summary'!AF169&lt;&gt;"",IF(LOWER('Capacity summary'!AF169)="x",$BI50*AF50,VALUE('Capacity summary'!AF169)),0),AF50*$BI50),AF50*$BI50),0)</f>
        <v>0</v>
      </c>
      <c r="CJ50" s="311">
        <f>IF($BI50&lt;&gt;"",IF('Capacity summary'!$D$14="Yes",IF(COUNTBLANK('Capacity summary'!$H169:$BG169)&lt;52,IF('Capacity summary'!AG169&lt;&gt;"",IF(LOWER('Capacity summary'!AG169)="x",$BI50*AG50,VALUE('Capacity summary'!AG169)),0),AG50*$BI50),AG50*$BI50),0)</f>
        <v>0</v>
      </c>
      <c r="CK50" s="311">
        <f>IF($BI50&lt;&gt;"",IF('Capacity summary'!$D$14="Yes",IF(COUNTBLANK('Capacity summary'!$H169:$BG169)&lt;52,IF('Capacity summary'!AH169&lt;&gt;"",IF(LOWER('Capacity summary'!AH169)="x",$BI50*AH50,VALUE('Capacity summary'!AH169)),0),AH50*$BI50),AH50*$BI50),0)</f>
        <v>0</v>
      </c>
      <c r="CL50" s="311">
        <f>IF($BI50&lt;&gt;"",IF('Capacity summary'!$D$14="Yes",IF(COUNTBLANK('Capacity summary'!$H169:$BG169)&lt;52,IF('Capacity summary'!AI169&lt;&gt;"",IF(LOWER('Capacity summary'!AI169)="x",$BI50*AI50,VALUE('Capacity summary'!AI169)),0),AI50*$BI50),AI50*$BI50),0)</f>
        <v>0</v>
      </c>
      <c r="CM50" s="311">
        <f>IF($BI50&lt;&gt;"",IF('Capacity summary'!$D$14="Yes",IF(COUNTBLANK('Capacity summary'!$H169:$BG169)&lt;52,IF('Capacity summary'!AJ169&lt;&gt;"",IF(LOWER('Capacity summary'!AJ169)="x",$BI50*AJ50,VALUE('Capacity summary'!AJ169)),0),AJ50*$BI50),AJ50*$BI50),0)</f>
        <v>0</v>
      </c>
      <c r="CN50" s="311">
        <f>IF($BI50&lt;&gt;"",IF('Capacity summary'!$D$14="Yes",IF(COUNTBLANK('Capacity summary'!$H169:$BG169)&lt;52,IF('Capacity summary'!AK169&lt;&gt;"",IF(LOWER('Capacity summary'!AK169)="x",$BI50*AK50,VALUE('Capacity summary'!AK169)),0),AK50*$BI50),AK50*$BI50),0)</f>
        <v>0</v>
      </c>
      <c r="CO50" s="311">
        <f>IF($BI50&lt;&gt;"",IF('Capacity summary'!$D$14="Yes",IF(COUNTBLANK('Capacity summary'!$H169:$BG169)&lt;52,IF('Capacity summary'!AL169&lt;&gt;"",IF(LOWER('Capacity summary'!AL169)="x",$BI50*AL50,VALUE('Capacity summary'!AL169)),0),AL50*$BI50),AL50*$BI50),0)</f>
        <v>0</v>
      </c>
      <c r="CP50" s="311">
        <f>IF($BI50&lt;&gt;"",IF('Capacity summary'!$D$14="Yes",IF(COUNTBLANK('Capacity summary'!$H169:$BG169)&lt;52,IF('Capacity summary'!AM169&lt;&gt;"",IF(LOWER('Capacity summary'!AM169)="x",$BI50*AM50,VALUE('Capacity summary'!AM169)),0),AM50*$BI50),AM50*$BI50),0)</f>
        <v>0</v>
      </c>
      <c r="CQ50" s="311">
        <f>IF($BI50&lt;&gt;"",IF('Capacity summary'!$D$14="Yes",IF(COUNTBLANK('Capacity summary'!$H169:$BG169)&lt;52,IF('Capacity summary'!AN169&lt;&gt;"",IF(LOWER('Capacity summary'!AN169)="x",$BI50*AN50,VALUE('Capacity summary'!AN169)),0),AN50*$BI50),AN50*$BI50),0)</f>
        <v>0</v>
      </c>
      <c r="CR50" s="311">
        <f>IF($BI50&lt;&gt;"",IF('Capacity summary'!$D$14="Yes",IF(COUNTBLANK('Capacity summary'!$H169:$BG169)&lt;52,IF('Capacity summary'!AO169&lt;&gt;"",IF(LOWER('Capacity summary'!AO169)="x",$BI50*AO50,VALUE('Capacity summary'!AO169)),0),AO50*$BI50),AO50*$BI50),0)</f>
        <v>0</v>
      </c>
      <c r="CS50" s="311">
        <f>IF($BI50&lt;&gt;"",IF('Capacity summary'!$D$14="Yes",IF(COUNTBLANK('Capacity summary'!$H169:$BG169)&lt;52,IF('Capacity summary'!AP169&lt;&gt;"",IF(LOWER('Capacity summary'!AP169)="x",$BI50*AP50,VALUE('Capacity summary'!AP169)),0),AP50*$BI50),AP50*$BI50),0)</f>
        <v>0</v>
      </c>
      <c r="CT50" s="311">
        <f>IF($BI50&lt;&gt;"",IF('Capacity summary'!$D$14="Yes",IF(COUNTBLANK('Capacity summary'!$H169:$BG169)&lt;52,IF('Capacity summary'!AQ169&lt;&gt;"",IF(LOWER('Capacity summary'!AQ169)="x",$BI50*AQ50,VALUE('Capacity summary'!AQ169)),0),AQ50*$BI50),AQ50*$BI50),0)</f>
        <v>0</v>
      </c>
      <c r="CU50" s="311">
        <f>IF($BI50&lt;&gt;"",IF('Capacity summary'!$D$14="Yes",IF(COUNTBLANK('Capacity summary'!$H169:$BG169)&lt;52,IF('Capacity summary'!AR169&lt;&gt;"",IF(LOWER('Capacity summary'!AR169)="x",$BI50*AR50,VALUE('Capacity summary'!AR169)),0),AR50*$BI50),AR50*$BI50),0)</f>
        <v>0</v>
      </c>
      <c r="CV50" s="311">
        <f>IF($BI50&lt;&gt;"",IF('Capacity summary'!$D$14="Yes",IF(COUNTBLANK('Capacity summary'!$H169:$BG169)&lt;52,IF('Capacity summary'!AS169&lt;&gt;"",IF(LOWER('Capacity summary'!AS169)="x",$BI50*AS50,VALUE('Capacity summary'!AS169)),0),AS50*$BI50),AS50*$BI50),0)</f>
        <v>0</v>
      </c>
      <c r="CW50" s="311">
        <f>IF($BI50&lt;&gt;"",IF('Capacity summary'!$D$14="Yes",IF(COUNTBLANK('Capacity summary'!$H169:$BG169)&lt;52,IF('Capacity summary'!AT169&lt;&gt;"",IF(LOWER('Capacity summary'!AT169)="x",$BI50*AT50,VALUE('Capacity summary'!AT169)),0),AT50*$BI50),AT50*$BI50),0)</f>
        <v>0</v>
      </c>
      <c r="CX50" s="311">
        <f>IF($BI50&lt;&gt;"",IF('Capacity summary'!$D$14="Yes",IF(COUNTBLANK('Capacity summary'!$H169:$BG169)&lt;52,IF('Capacity summary'!AU169&lt;&gt;"",IF(LOWER('Capacity summary'!AU169)="x",$BI50*AU50,VALUE('Capacity summary'!AU169)),0),AU50*$BI50),AU50*$BI50),0)</f>
        <v>0</v>
      </c>
      <c r="CY50" s="311">
        <f>IF($BI50&lt;&gt;"",IF('Capacity summary'!$D$14="Yes",IF(COUNTBLANK('Capacity summary'!$H169:$BG169)&lt;52,IF('Capacity summary'!AV169&lt;&gt;"",IF(LOWER('Capacity summary'!AV169)="x",$BI50*AV50,VALUE('Capacity summary'!AV169)),0),AV50*$BI50),AV50*$BI50),0)</f>
        <v>0</v>
      </c>
      <c r="CZ50" s="311">
        <f>IF($BI50&lt;&gt;"",IF('Capacity summary'!$D$14="Yes",IF(COUNTBLANK('Capacity summary'!$H169:$BG169)&lt;52,IF('Capacity summary'!AW169&lt;&gt;"",IF(LOWER('Capacity summary'!AW169)="x",$BI50*AW50,VALUE('Capacity summary'!AW169)),0),AW50*$BI50),AW50*$BI50),0)</f>
        <v>0</v>
      </c>
      <c r="DA50" s="311">
        <f>IF($BI50&lt;&gt;"",IF('Capacity summary'!$D$14="Yes",IF(COUNTBLANK('Capacity summary'!$H169:$BG169)&lt;52,IF('Capacity summary'!AX169&lt;&gt;"",IF(LOWER('Capacity summary'!AX169)="x",$BI50*AX50,VALUE('Capacity summary'!AX169)),0),AX50*$BI50),AX50*$BI50),0)</f>
        <v>0</v>
      </c>
      <c r="DB50" s="311">
        <f>IF($BI50&lt;&gt;"",IF('Capacity summary'!$D$14="Yes",IF(COUNTBLANK('Capacity summary'!$H169:$BG169)&lt;52,IF('Capacity summary'!AY169&lt;&gt;"",IF(LOWER('Capacity summary'!AY169)="x",$BI50*AY50,VALUE('Capacity summary'!AY169)),0),AY50*$BI50),AY50*$BI50),0)</f>
        <v>0</v>
      </c>
      <c r="DC50" s="311">
        <f>IF($BI50&lt;&gt;"",IF('Capacity summary'!$D$14="Yes",IF(COUNTBLANK('Capacity summary'!$H169:$BG169)&lt;52,IF('Capacity summary'!AZ169&lt;&gt;"",IF(LOWER('Capacity summary'!AZ169)="x",$BI50*AZ50,VALUE('Capacity summary'!AZ169)),0),AZ50*$BI50),AZ50*$BI50),0)</f>
        <v>0</v>
      </c>
      <c r="DD50" s="311">
        <f>IF($BI50&lt;&gt;"",IF('Capacity summary'!$D$14="Yes",IF(COUNTBLANK('Capacity summary'!$H169:$BG169)&lt;52,IF('Capacity summary'!BA169&lt;&gt;"",IF(LOWER('Capacity summary'!BA169)="x",$BI50*BA50,VALUE('Capacity summary'!BA169)),0),BA50*$BI50),BA50*$BI50),0)</f>
        <v>0</v>
      </c>
      <c r="DE50" s="311">
        <f>IF($BI50&lt;&gt;"",IF('Capacity summary'!$D$14="Yes",IF(COUNTBLANK('Capacity summary'!$H169:$BG169)&lt;52,IF('Capacity summary'!BB169&lt;&gt;"",IF(LOWER('Capacity summary'!BB169)="x",$BI50*BB50,VALUE('Capacity summary'!BB169)),0),BB50*$BI50),BB50*$BI50),0)</f>
        <v>0</v>
      </c>
      <c r="DF50" s="311">
        <f>IF($BI50&lt;&gt;"",IF('Capacity summary'!$D$14="Yes",IF(COUNTBLANK('Capacity summary'!$H169:$BG169)&lt;52,IF('Capacity summary'!BC169&lt;&gt;"",IF(LOWER('Capacity summary'!BC169)="x",$BI50*BC50,VALUE('Capacity summary'!BC169)),0),BC50*$BI50),BC50*$BI50),0)</f>
        <v>0</v>
      </c>
      <c r="DG50" s="311">
        <f>IF($BI50&lt;&gt;"",IF('Capacity summary'!$D$14="Yes",IF(COUNTBLANK('Capacity summary'!$H169:$BG169)&lt;52,IF('Capacity summary'!BD169&lt;&gt;"",IF(LOWER('Capacity summary'!BD169)="x",$BI50*BD50,VALUE('Capacity summary'!BD169)),0),BD50*$BI50),BD50*$BI50),0)</f>
        <v>0</v>
      </c>
      <c r="DH50" s="311">
        <f>IF($BI50&lt;&gt;"",IF('Capacity summary'!$D$14="Yes",IF(COUNTBLANK('Capacity summary'!$H169:$BG169)&lt;52,IF('Capacity summary'!BE169&lt;&gt;"",IF(LOWER('Capacity summary'!BE169)="x",$BI50*BE50,VALUE('Capacity summary'!BE169)),0),BE50*$BI50),BE50*$BI50),0)</f>
        <v>0</v>
      </c>
      <c r="DI50" s="311">
        <f>IF($BI50&lt;&gt;"",IF('Capacity summary'!$D$14="Yes",IF(COUNTBLANK('Capacity summary'!$H169:$BG169)&lt;52,IF('Capacity summary'!BF169&lt;&gt;"",IF(LOWER('Capacity summary'!BF169)="x",$BI50*BF50,VALUE('Capacity summary'!BF169)),0),BF50*$BI50),BF50*$BI50),0)</f>
        <v>0</v>
      </c>
      <c r="DJ50" s="311">
        <f>IF($BI50&lt;&gt;"",IF('Capacity summary'!$D$14="Yes",IF(COUNTBLANK('Capacity summary'!$H169:$BG169)&lt;52,IF('Capacity summary'!BG169&lt;&gt;"",IF(LOWER('Capacity summary'!BG169)="x",$BI50*BG50,VALUE('Capacity summary'!BG169)),0),BG50*$BI50),BG50*$BI50),0)</f>
        <v>0</v>
      </c>
      <c r="DK50" s="387">
        <f t="shared" si="2"/>
        <v>0</v>
      </c>
      <c r="DL50" s="136">
        <f t="shared" si="3"/>
        <v>0</v>
      </c>
      <c r="DM50" s="311" t="str">
        <f>Capacity!H62</f>
        <v/>
      </c>
      <c r="DQ50" s="5"/>
    </row>
    <row r="51" spans="1:121" x14ac:dyDescent="0.2">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1">
        <f>IF($BI51&lt;&gt;"",IF('Capacity summary'!$D$14="Yes",IF(COUNTBLANK('Capacity summary'!$H170:$BG170)&lt;52,IF('Capacity summary'!H170&lt;&gt;"",IF(LOWER('Capacity summary'!H170)="x",$BI51*H51,VALUE('Capacity summary'!H170)),0),H51*$BI51),H51*$BI51),0)</f>
        <v>0</v>
      </c>
      <c r="BL51" s="311">
        <f>IF($BI51&lt;&gt;"",IF('Capacity summary'!$D$14="Yes",IF(COUNTBLANK('Capacity summary'!$H170:$BG170)&lt;52,IF('Capacity summary'!I170&lt;&gt;"",IF(LOWER('Capacity summary'!I170)="x",$BI51*I51,VALUE('Capacity summary'!I170)),0),I51*$BI51),I51*$BI51),0)</f>
        <v>0</v>
      </c>
      <c r="BM51" s="311">
        <f>IF($BI51&lt;&gt;"",IF('Capacity summary'!$D$14="Yes",IF(COUNTBLANK('Capacity summary'!$H170:$BG170)&lt;52,IF('Capacity summary'!J170&lt;&gt;"",IF(LOWER('Capacity summary'!J170)="x",$BI51*J51,VALUE('Capacity summary'!J170)),0),J51*$BI51),J51*$BI51),0)</f>
        <v>0</v>
      </c>
      <c r="BN51" s="311">
        <f>IF($BI51&lt;&gt;"",IF('Capacity summary'!$D$14="Yes",IF(COUNTBLANK('Capacity summary'!$H170:$BG170)&lt;52,IF('Capacity summary'!K170&lt;&gt;"",IF(LOWER('Capacity summary'!K170)="x",$BI51*K51,VALUE('Capacity summary'!K170)),0),K51*$BI51),K51*$BI51),0)</f>
        <v>0</v>
      </c>
      <c r="BO51" s="311">
        <f>IF($BI51&lt;&gt;"",IF('Capacity summary'!$D$14="Yes",IF(COUNTBLANK('Capacity summary'!$H170:$BG170)&lt;52,IF('Capacity summary'!L170&lt;&gt;"",IF(LOWER('Capacity summary'!L170)="x",$BI51*L51,VALUE('Capacity summary'!L170)),0),L51*$BI51),L51*$BI51),0)</f>
        <v>0</v>
      </c>
      <c r="BP51" s="311">
        <f>IF($BI51&lt;&gt;"",IF('Capacity summary'!$D$14="Yes",IF(COUNTBLANK('Capacity summary'!$H170:$BG170)&lt;52,IF('Capacity summary'!M170&lt;&gt;"",IF(LOWER('Capacity summary'!M170)="x",$BI51*M51,VALUE('Capacity summary'!M170)),0),M51*$BI51),M51*$BI51),0)</f>
        <v>0</v>
      </c>
      <c r="BQ51" s="311">
        <f>IF($BI51&lt;&gt;"",IF('Capacity summary'!$D$14="Yes",IF(COUNTBLANK('Capacity summary'!$H170:$BG170)&lt;52,IF('Capacity summary'!N170&lt;&gt;"",IF(LOWER('Capacity summary'!N170)="x",$BI51*N51,VALUE('Capacity summary'!N170)),0),N51*$BI51),N51*$BI51),0)</f>
        <v>0</v>
      </c>
      <c r="BR51" s="311">
        <f>IF($BI51&lt;&gt;"",IF('Capacity summary'!$D$14="Yes",IF(COUNTBLANK('Capacity summary'!$H170:$BG170)&lt;52,IF('Capacity summary'!O170&lt;&gt;"",IF(LOWER('Capacity summary'!O170)="x",$BI51*O51,VALUE('Capacity summary'!O170)),0),O51*$BI51),O51*$BI51),0)</f>
        <v>0</v>
      </c>
      <c r="BS51" s="311">
        <f>IF($BI51&lt;&gt;"",IF('Capacity summary'!$D$14="Yes",IF(COUNTBLANK('Capacity summary'!$H170:$BG170)&lt;52,IF('Capacity summary'!P170&lt;&gt;"",IF(LOWER('Capacity summary'!P170)="x",$BI51*P51,VALUE('Capacity summary'!P170)),0),P51*$BI51),P51*$BI51),0)</f>
        <v>0</v>
      </c>
      <c r="BT51" s="311">
        <f>IF($BI51&lt;&gt;"",IF('Capacity summary'!$D$14="Yes",IF(COUNTBLANK('Capacity summary'!$H170:$BG170)&lt;52,IF('Capacity summary'!Q170&lt;&gt;"",IF(LOWER('Capacity summary'!Q170)="x",$BI51*Q51,VALUE('Capacity summary'!Q170)),0),Q51*$BI51),Q51*$BI51),0)</f>
        <v>0</v>
      </c>
      <c r="BU51" s="311">
        <f>IF($BI51&lt;&gt;"",IF('Capacity summary'!$D$14="Yes",IF(COUNTBLANK('Capacity summary'!$H170:$BG170)&lt;52,IF('Capacity summary'!R170&lt;&gt;"",IF(LOWER('Capacity summary'!R170)="x",$BI51*R51,VALUE('Capacity summary'!R170)),0),R51*$BI51),R51*$BI51),0)</f>
        <v>0</v>
      </c>
      <c r="BV51" s="311">
        <f>IF($BI51&lt;&gt;"",IF('Capacity summary'!$D$14="Yes",IF(COUNTBLANK('Capacity summary'!$H170:$BG170)&lt;52,IF('Capacity summary'!S170&lt;&gt;"",IF(LOWER('Capacity summary'!S170)="x",$BI51*S51,VALUE('Capacity summary'!S170)),0),S51*$BI51),S51*$BI51),0)</f>
        <v>0</v>
      </c>
      <c r="BW51" s="311">
        <f>IF($BI51&lt;&gt;"",IF('Capacity summary'!$D$14="Yes",IF(COUNTBLANK('Capacity summary'!$H170:$BG170)&lt;52,IF('Capacity summary'!T170&lt;&gt;"",IF(LOWER('Capacity summary'!T170)="x",$BI51*T51,VALUE('Capacity summary'!T170)),0),T51*$BI51),T51*$BI51),0)</f>
        <v>0</v>
      </c>
      <c r="BX51" s="311">
        <f>IF($BI51&lt;&gt;"",IF('Capacity summary'!$D$14="Yes",IF(COUNTBLANK('Capacity summary'!$H170:$BG170)&lt;52,IF('Capacity summary'!U170&lt;&gt;"",IF(LOWER('Capacity summary'!U170)="x",$BI51*U51,VALUE('Capacity summary'!U170)),0),U51*$BI51),U51*$BI51),0)</f>
        <v>0</v>
      </c>
      <c r="BY51" s="311">
        <f>IF($BI51&lt;&gt;"",IF('Capacity summary'!$D$14="Yes",IF(COUNTBLANK('Capacity summary'!$H170:$BG170)&lt;52,IF('Capacity summary'!V170&lt;&gt;"",IF(LOWER('Capacity summary'!V170)="x",$BI51*V51,VALUE('Capacity summary'!V170)),0),V51*$BI51),V51*$BI51),0)</f>
        <v>0</v>
      </c>
      <c r="BZ51" s="311">
        <f>IF($BI51&lt;&gt;"",IF('Capacity summary'!$D$14="Yes",IF(COUNTBLANK('Capacity summary'!$H170:$BG170)&lt;52,IF('Capacity summary'!W170&lt;&gt;"",IF(LOWER('Capacity summary'!W170)="x",$BI51*W51,VALUE('Capacity summary'!W170)),0),W51*$BI51),W51*$BI51),0)</f>
        <v>0</v>
      </c>
      <c r="CA51" s="311">
        <f>IF($BI51&lt;&gt;"",IF('Capacity summary'!$D$14="Yes",IF(COUNTBLANK('Capacity summary'!$H170:$BG170)&lt;52,IF('Capacity summary'!X170&lt;&gt;"",IF(LOWER('Capacity summary'!X170)="x",$BI51*X51,VALUE('Capacity summary'!X170)),0),X51*$BI51),X51*$BI51),0)</f>
        <v>0</v>
      </c>
      <c r="CB51" s="311">
        <f>IF($BI51&lt;&gt;"",IF('Capacity summary'!$D$14="Yes",IF(COUNTBLANK('Capacity summary'!$H170:$BG170)&lt;52,IF('Capacity summary'!Y170&lt;&gt;"",IF(LOWER('Capacity summary'!Y170)="x",$BI51*Y51,VALUE('Capacity summary'!Y170)),0),Y51*$BI51),Y51*$BI51),0)</f>
        <v>0</v>
      </c>
      <c r="CC51" s="311">
        <f>IF($BI51&lt;&gt;"",IF('Capacity summary'!$D$14="Yes",IF(COUNTBLANK('Capacity summary'!$H170:$BG170)&lt;52,IF('Capacity summary'!Z170&lt;&gt;"",IF(LOWER('Capacity summary'!Z170)="x",$BI51*Z51,VALUE('Capacity summary'!Z170)),0),Z51*$BI51),Z51*$BI51),0)</f>
        <v>0</v>
      </c>
      <c r="CD51" s="311">
        <f>IF($BI51&lt;&gt;"",IF('Capacity summary'!$D$14="Yes",IF(COUNTBLANK('Capacity summary'!$H170:$BG170)&lt;52,IF('Capacity summary'!AA170&lt;&gt;"",IF(LOWER('Capacity summary'!AA170)="x",$BI51*AA51,VALUE('Capacity summary'!AA170)),0),AA51*$BI51),AA51*$BI51),0)</f>
        <v>0</v>
      </c>
      <c r="CE51" s="311">
        <f>IF($BI51&lt;&gt;"",IF('Capacity summary'!$D$14="Yes",IF(COUNTBLANK('Capacity summary'!$H170:$BG170)&lt;52,IF('Capacity summary'!AB170&lt;&gt;"",IF(LOWER('Capacity summary'!AB170)="x",$BI51*AB51,VALUE('Capacity summary'!AB170)),0),AB51*$BI51),AB51*$BI51),0)</f>
        <v>0</v>
      </c>
      <c r="CF51" s="311">
        <f>IF($BI51&lt;&gt;"",IF('Capacity summary'!$D$14="Yes",IF(COUNTBLANK('Capacity summary'!$H170:$BG170)&lt;52,IF('Capacity summary'!AC170&lt;&gt;"",IF(LOWER('Capacity summary'!AC170)="x",$BI51*AC51,VALUE('Capacity summary'!AC170)),0),AC51*$BI51),AC51*$BI51),0)</f>
        <v>0</v>
      </c>
      <c r="CG51" s="311">
        <f>IF($BI51&lt;&gt;"",IF('Capacity summary'!$D$14="Yes",IF(COUNTBLANK('Capacity summary'!$H170:$BG170)&lt;52,IF('Capacity summary'!AD170&lt;&gt;"",IF(LOWER('Capacity summary'!AD170)="x",$BI51*AD51,VALUE('Capacity summary'!AD170)),0),AD51*$BI51),AD51*$BI51),0)</f>
        <v>0</v>
      </c>
      <c r="CH51" s="311">
        <f>IF($BI51&lt;&gt;"",IF('Capacity summary'!$D$14="Yes",IF(COUNTBLANK('Capacity summary'!$H170:$BG170)&lt;52,IF('Capacity summary'!AE170&lt;&gt;"",IF(LOWER('Capacity summary'!AE170)="x",$BI51*AE51,VALUE('Capacity summary'!AE170)),0),AE51*$BI51),AE51*$BI51),0)</f>
        <v>0</v>
      </c>
      <c r="CI51" s="311">
        <f>IF($BI51&lt;&gt;"",IF('Capacity summary'!$D$14="Yes",IF(COUNTBLANK('Capacity summary'!$H170:$BG170)&lt;52,IF('Capacity summary'!AF170&lt;&gt;"",IF(LOWER('Capacity summary'!AF170)="x",$BI51*AF51,VALUE('Capacity summary'!AF170)),0),AF51*$BI51),AF51*$BI51),0)</f>
        <v>0</v>
      </c>
      <c r="CJ51" s="311">
        <f>IF($BI51&lt;&gt;"",IF('Capacity summary'!$D$14="Yes",IF(COUNTBLANK('Capacity summary'!$H170:$BG170)&lt;52,IF('Capacity summary'!AG170&lt;&gt;"",IF(LOWER('Capacity summary'!AG170)="x",$BI51*AG51,VALUE('Capacity summary'!AG170)),0),AG51*$BI51),AG51*$BI51),0)</f>
        <v>0</v>
      </c>
      <c r="CK51" s="311">
        <f>IF($BI51&lt;&gt;"",IF('Capacity summary'!$D$14="Yes",IF(COUNTBLANK('Capacity summary'!$H170:$BG170)&lt;52,IF('Capacity summary'!AH170&lt;&gt;"",IF(LOWER('Capacity summary'!AH170)="x",$BI51*AH51,VALUE('Capacity summary'!AH170)),0),AH51*$BI51),AH51*$BI51),0)</f>
        <v>0</v>
      </c>
      <c r="CL51" s="311">
        <f>IF($BI51&lt;&gt;"",IF('Capacity summary'!$D$14="Yes",IF(COUNTBLANK('Capacity summary'!$H170:$BG170)&lt;52,IF('Capacity summary'!AI170&lt;&gt;"",IF(LOWER('Capacity summary'!AI170)="x",$BI51*AI51,VALUE('Capacity summary'!AI170)),0),AI51*$BI51),AI51*$BI51),0)</f>
        <v>0</v>
      </c>
      <c r="CM51" s="311">
        <f>IF($BI51&lt;&gt;"",IF('Capacity summary'!$D$14="Yes",IF(COUNTBLANK('Capacity summary'!$H170:$BG170)&lt;52,IF('Capacity summary'!AJ170&lt;&gt;"",IF(LOWER('Capacity summary'!AJ170)="x",$BI51*AJ51,VALUE('Capacity summary'!AJ170)),0),AJ51*$BI51),AJ51*$BI51),0)</f>
        <v>0</v>
      </c>
      <c r="CN51" s="311">
        <f>IF($BI51&lt;&gt;"",IF('Capacity summary'!$D$14="Yes",IF(COUNTBLANK('Capacity summary'!$H170:$BG170)&lt;52,IF('Capacity summary'!AK170&lt;&gt;"",IF(LOWER('Capacity summary'!AK170)="x",$BI51*AK51,VALUE('Capacity summary'!AK170)),0),AK51*$BI51),AK51*$BI51),0)</f>
        <v>0</v>
      </c>
      <c r="CO51" s="311">
        <f>IF($BI51&lt;&gt;"",IF('Capacity summary'!$D$14="Yes",IF(COUNTBLANK('Capacity summary'!$H170:$BG170)&lt;52,IF('Capacity summary'!AL170&lt;&gt;"",IF(LOWER('Capacity summary'!AL170)="x",$BI51*AL51,VALUE('Capacity summary'!AL170)),0),AL51*$BI51),AL51*$BI51),0)</f>
        <v>0</v>
      </c>
      <c r="CP51" s="311">
        <f>IF($BI51&lt;&gt;"",IF('Capacity summary'!$D$14="Yes",IF(COUNTBLANK('Capacity summary'!$H170:$BG170)&lt;52,IF('Capacity summary'!AM170&lt;&gt;"",IF(LOWER('Capacity summary'!AM170)="x",$BI51*AM51,VALUE('Capacity summary'!AM170)),0),AM51*$BI51),AM51*$BI51),0)</f>
        <v>0</v>
      </c>
      <c r="CQ51" s="311">
        <f>IF($BI51&lt;&gt;"",IF('Capacity summary'!$D$14="Yes",IF(COUNTBLANK('Capacity summary'!$H170:$BG170)&lt;52,IF('Capacity summary'!AN170&lt;&gt;"",IF(LOWER('Capacity summary'!AN170)="x",$BI51*AN51,VALUE('Capacity summary'!AN170)),0),AN51*$BI51),AN51*$BI51),0)</f>
        <v>0</v>
      </c>
      <c r="CR51" s="311">
        <f>IF($BI51&lt;&gt;"",IF('Capacity summary'!$D$14="Yes",IF(COUNTBLANK('Capacity summary'!$H170:$BG170)&lt;52,IF('Capacity summary'!AO170&lt;&gt;"",IF(LOWER('Capacity summary'!AO170)="x",$BI51*AO51,VALUE('Capacity summary'!AO170)),0),AO51*$BI51),AO51*$BI51),0)</f>
        <v>0</v>
      </c>
      <c r="CS51" s="311">
        <f>IF($BI51&lt;&gt;"",IF('Capacity summary'!$D$14="Yes",IF(COUNTBLANK('Capacity summary'!$H170:$BG170)&lt;52,IF('Capacity summary'!AP170&lt;&gt;"",IF(LOWER('Capacity summary'!AP170)="x",$BI51*AP51,VALUE('Capacity summary'!AP170)),0),AP51*$BI51),AP51*$BI51),0)</f>
        <v>0</v>
      </c>
      <c r="CT51" s="311">
        <f>IF($BI51&lt;&gt;"",IF('Capacity summary'!$D$14="Yes",IF(COUNTBLANK('Capacity summary'!$H170:$BG170)&lt;52,IF('Capacity summary'!AQ170&lt;&gt;"",IF(LOWER('Capacity summary'!AQ170)="x",$BI51*AQ51,VALUE('Capacity summary'!AQ170)),0),AQ51*$BI51),AQ51*$BI51),0)</f>
        <v>0</v>
      </c>
      <c r="CU51" s="311">
        <f>IF($BI51&lt;&gt;"",IF('Capacity summary'!$D$14="Yes",IF(COUNTBLANK('Capacity summary'!$H170:$BG170)&lt;52,IF('Capacity summary'!AR170&lt;&gt;"",IF(LOWER('Capacity summary'!AR170)="x",$BI51*AR51,VALUE('Capacity summary'!AR170)),0),AR51*$BI51),AR51*$BI51),0)</f>
        <v>0</v>
      </c>
      <c r="CV51" s="311">
        <f>IF($BI51&lt;&gt;"",IF('Capacity summary'!$D$14="Yes",IF(COUNTBLANK('Capacity summary'!$H170:$BG170)&lt;52,IF('Capacity summary'!AS170&lt;&gt;"",IF(LOWER('Capacity summary'!AS170)="x",$BI51*AS51,VALUE('Capacity summary'!AS170)),0),AS51*$BI51),AS51*$BI51),0)</f>
        <v>0</v>
      </c>
      <c r="CW51" s="311">
        <f>IF($BI51&lt;&gt;"",IF('Capacity summary'!$D$14="Yes",IF(COUNTBLANK('Capacity summary'!$H170:$BG170)&lt;52,IF('Capacity summary'!AT170&lt;&gt;"",IF(LOWER('Capacity summary'!AT170)="x",$BI51*AT51,VALUE('Capacity summary'!AT170)),0),AT51*$BI51),AT51*$BI51),0)</f>
        <v>0</v>
      </c>
      <c r="CX51" s="311">
        <f>IF($BI51&lt;&gt;"",IF('Capacity summary'!$D$14="Yes",IF(COUNTBLANK('Capacity summary'!$H170:$BG170)&lt;52,IF('Capacity summary'!AU170&lt;&gt;"",IF(LOWER('Capacity summary'!AU170)="x",$BI51*AU51,VALUE('Capacity summary'!AU170)),0),AU51*$BI51),AU51*$BI51),0)</f>
        <v>0</v>
      </c>
      <c r="CY51" s="311">
        <f>IF($BI51&lt;&gt;"",IF('Capacity summary'!$D$14="Yes",IF(COUNTBLANK('Capacity summary'!$H170:$BG170)&lt;52,IF('Capacity summary'!AV170&lt;&gt;"",IF(LOWER('Capacity summary'!AV170)="x",$BI51*AV51,VALUE('Capacity summary'!AV170)),0),AV51*$BI51),AV51*$BI51),0)</f>
        <v>0</v>
      </c>
      <c r="CZ51" s="311">
        <f>IF($BI51&lt;&gt;"",IF('Capacity summary'!$D$14="Yes",IF(COUNTBLANK('Capacity summary'!$H170:$BG170)&lt;52,IF('Capacity summary'!AW170&lt;&gt;"",IF(LOWER('Capacity summary'!AW170)="x",$BI51*AW51,VALUE('Capacity summary'!AW170)),0),AW51*$BI51),AW51*$BI51),0)</f>
        <v>0</v>
      </c>
      <c r="DA51" s="311">
        <f>IF($BI51&lt;&gt;"",IF('Capacity summary'!$D$14="Yes",IF(COUNTBLANK('Capacity summary'!$H170:$BG170)&lt;52,IF('Capacity summary'!AX170&lt;&gt;"",IF(LOWER('Capacity summary'!AX170)="x",$BI51*AX51,VALUE('Capacity summary'!AX170)),0),AX51*$BI51),AX51*$BI51),0)</f>
        <v>0</v>
      </c>
      <c r="DB51" s="311">
        <f>IF($BI51&lt;&gt;"",IF('Capacity summary'!$D$14="Yes",IF(COUNTBLANK('Capacity summary'!$H170:$BG170)&lt;52,IF('Capacity summary'!AY170&lt;&gt;"",IF(LOWER('Capacity summary'!AY170)="x",$BI51*AY51,VALUE('Capacity summary'!AY170)),0),AY51*$BI51),AY51*$BI51),0)</f>
        <v>0</v>
      </c>
      <c r="DC51" s="311">
        <f>IF($BI51&lt;&gt;"",IF('Capacity summary'!$D$14="Yes",IF(COUNTBLANK('Capacity summary'!$H170:$BG170)&lt;52,IF('Capacity summary'!AZ170&lt;&gt;"",IF(LOWER('Capacity summary'!AZ170)="x",$BI51*AZ51,VALUE('Capacity summary'!AZ170)),0),AZ51*$BI51),AZ51*$BI51),0)</f>
        <v>0</v>
      </c>
      <c r="DD51" s="311">
        <f>IF($BI51&lt;&gt;"",IF('Capacity summary'!$D$14="Yes",IF(COUNTBLANK('Capacity summary'!$H170:$BG170)&lt;52,IF('Capacity summary'!BA170&lt;&gt;"",IF(LOWER('Capacity summary'!BA170)="x",$BI51*BA51,VALUE('Capacity summary'!BA170)),0),BA51*$BI51),BA51*$BI51),0)</f>
        <v>0</v>
      </c>
      <c r="DE51" s="311">
        <f>IF($BI51&lt;&gt;"",IF('Capacity summary'!$D$14="Yes",IF(COUNTBLANK('Capacity summary'!$H170:$BG170)&lt;52,IF('Capacity summary'!BB170&lt;&gt;"",IF(LOWER('Capacity summary'!BB170)="x",$BI51*BB51,VALUE('Capacity summary'!BB170)),0),BB51*$BI51),BB51*$BI51),0)</f>
        <v>0</v>
      </c>
      <c r="DF51" s="311">
        <f>IF($BI51&lt;&gt;"",IF('Capacity summary'!$D$14="Yes",IF(COUNTBLANK('Capacity summary'!$H170:$BG170)&lt;52,IF('Capacity summary'!BC170&lt;&gt;"",IF(LOWER('Capacity summary'!BC170)="x",$BI51*BC51,VALUE('Capacity summary'!BC170)),0),BC51*$BI51),BC51*$BI51),0)</f>
        <v>0</v>
      </c>
      <c r="DG51" s="311">
        <f>IF($BI51&lt;&gt;"",IF('Capacity summary'!$D$14="Yes",IF(COUNTBLANK('Capacity summary'!$H170:$BG170)&lt;52,IF('Capacity summary'!BD170&lt;&gt;"",IF(LOWER('Capacity summary'!BD170)="x",$BI51*BD51,VALUE('Capacity summary'!BD170)),0),BD51*$BI51),BD51*$BI51),0)</f>
        <v>0</v>
      </c>
      <c r="DH51" s="311">
        <f>IF($BI51&lt;&gt;"",IF('Capacity summary'!$D$14="Yes",IF(COUNTBLANK('Capacity summary'!$H170:$BG170)&lt;52,IF('Capacity summary'!BE170&lt;&gt;"",IF(LOWER('Capacity summary'!BE170)="x",$BI51*BE51,VALUE('Capacity summary'!BE170)),0),BE51*$BI51),BE51*$BI51),0)</f>
        <v>0</v>
      </c>
      <c r="DI51" s="311">
        <f>IF($BI51&lt;&gt;"",IF('Capacity summary'!$D$14="Yes",IF(COUNTBLANK('Capacity summary'!$H170:$BG170)&lt;52,IF('Capacity summary'!BF170&lt;&gt;"",IF(LOWER('Capacity summary'!BF170)="x",$BI51*BF51,VALUE('Capacity summary'!BF170)),0),BF51*$BI51),BF51*$BI51),0)</f>
        <v>0</v>
      </c>
      <c r="DJ51" s="311">
        <f>IF($BI51&lt;&gt;"",IF('Capacity summary'!$D$14="Yes",IF(COUNTBLANK('Capacity summary'!$H170:$BG170)&lt;52,IF('Capacity summary'!BG170&lt;&gt;"",IF(LOWER('Capacity summary'!BG170)="x",$BI51*BG51,VALUE('Capacity summary'!BG170)),0),BG51*$BI51),BG51*$BI51),0)</f>
        <v>0</v>
      </c>
      <c r="DK51" s="387">
        <f t="shared" si="2"/>
        <v>0</v>
      </c>
      <c r="DL51" s="136">
        <f t="shared" si="3"/>
        <v>0</v>
      </c>
      <c r="DM51" s="311" t="str">
        <f>Capacity!H63</f>
        <v/>
      </c>
      <c r="DQ51" s="5"/>
    </row>
    <row r="52" spans="1:121" x14ac:dyDescent="0.2">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1">
        <f>IF($BI52&lt;&gt;"",IF('Capacity summary'!$D$14="Yes",IF(COUNTBLANK('Capacity summary'!$H171:$BG171)&lt;52,IF('Capacity summary'!H171&lt;&gt;"",IF(LOWER('Capacity summary'!H171)="x",$BI52*H52,VALUE('Capacity summary'!H171)),0),H52*$BI52),H52*$BI52),0)</f>
        <v>0</v>
      </c>
      <c r="BL52" s="311">
        <f>IF($BI52&lt;&gt;"",IF('Capacity summary'!$D$14="Yes",IF(COUNTBLANK('Capacity summary'!$H171:$BG171)&lt;52,IF('Capacity summary'!I171&lt;&gt;"",IF(LOWER('Capacity summary'!I171)="x",$BI52*I52,VALUE('Capacity summary'!I171)),0),I52*$BI52),I52*$BI52),0)</f>
        <v>0</v>
      </c>
      <c r="BM52" s="311">
        <f>IF($BI52&lt;&gt;"",IF('Capacity summary'!$D$14="Yes",IF(COUNTBLANK('Capacity summary'!$H171:$BG171)&lt;52,IF('Capacity summary'!J171&lt;&gt;"",IF(LOWER('Capacity summary'!J171)="x",$BI52*J52,VALUE('Capacity summary'!J171)),0),J52*$BI52),J52*$BI52),0)</f>
        <v>0</v>
      </c>
      <c r="BN52" s="311">
        <f>IF($BI52&lt;&gt;"",IF('Capacity summary'!$D$14="Yes",IF(COUNTBLANK('Capacity summary'!$H171:$BG171)&lt;52,IF('Capacity summary'!K171&lt;&gt;"",IF(LOWER('Capacity summary'!K171)="x",$BI52*K52,VALUE('Capacity summary'!K171)),0),K52*$BI52),K52*$BI52),0)</f>
        <v>0</v>
      </c>
      <c r="BO52" s="311">
        <f>IF($BI52&lt;&gt;"",IF('Capacity summary'!$D$14="Yes",IF(COUNTBLANK('Capacity summary'!$H171:$BG171)&lt;52,IF('Capacity summary'!L171&lt;&gt;"",IF(LOWER('Capacity summary'!L171)="x",$BI52*L52,VALUE('Capacity summary'!L171)),0),L52*$BI52),L52*$BI52),0)</f>
        <v>0</v>
      </c>
      <c r="BP52" s="311">
        <f>IF($BI52&lt;&gt;"",IF('Capacity summary'!$D$14="Yes",IF(COUNTBLANK('Capacity summary'!$H171:$BG171)&lt;52,IF('Capacity summary'!M171&lt;&gt;"",IF(LOWER('Capacity summary'!M171)="x",$BI52*M52,VALUE('Capacity summary'!M171)),0),M52*$BI52),M52*$BI52),0)</f>
        <v>0</v>
      </c>
      <c r="BQ52" s="311">
        <f>IF($BI52&lt;&gt;"",IF('Capacity summary'!$D$14="Yes",IF(COUNTBLANK('Capacity summary'!$H171:$BG171)&lt;52,IF('Capacity summary'!N171&lt;&gt;"",IF(LOWER('Capacity summary'!N171)="x",$BI52*N52,VALUE('Capacity summary'!N171)),0),N52*$BI52),N52*$BI52),0)</f>
        <v>0</v>
      </c>
      <c r="BR52" s="311">
        <f>IF($BI52&lt;&gt;"",IF('Capacity summary'!$D$14="Yes",IF(COUNTBLANK('Capacity summary'!$H171:$BG171)&lt;52,IF('Capacity summary'!O171&lt;&gt;"",IF(LOWER('Capacity summary'!O171)="x",$BI52*O52,VALUE('Capacity summary'!O171)),0),O52*$BI52),O52*$BI52),0)</f>
        <v>0</v>
      </c>
      <c r="BS52" s="311">
        <f>IF($BI52&lt;&gt;"",IF('Capacity summary'!$D$14="Yes",IF(COUNTBLANK('Capacity summary'!$H171:$BG171)&lt;52,IF('Capacity summary'!P171&lt;&gt;"",IF(LOWER('Capacity summary'!P171)="x",$BI52*P52,VALUE('Capacity summary'!P171)),0),P52*$BI52),P52*$BI52),0)</f>
        <v>0</v>
      </c>
      <c r="BT52" s="311">
        <f>IF($BI52&lt;&gt;"",IF('Capacity summary'!$D$14="Yes",IF(COUNTBLANK('Capacity summary'!$H171:$BG171)&lt;52,IF('Capacity summary'!Q171&lt;&gt;"",IF(LOWER('Capacity summary'!Q171)="x",$BI52*Q52,VALUE('Capacity summary'!Q171)),0),Q52*$BI52),Q52*$BI52),0)</f>
        <v>0</v>
      </c>
      <c r="BU52" s="311">
        <f>IF($BI52&lt;&gt;"",IF('Capacity summary'!$D$14="Yes",IF(COUNTBLANK('Capacity summary'!$H171:$BG171)&lt;52,IF('Capacity summary'!R171&lt;&gt;"",IF(LOWER('Capacity summary'!R171)="x",$BI52*R52,VALUE('Capacity summary'!R171)),0),R52*$BI52),R52*$BI52),0)</f>
        <v>0</v>
      </c>
      <c r="BV52" s="311">
        <f>IF($BI52&lt;&gt;"",IF('Capacity summary'!$D$14="Yes",IF(COUNTBLANK('Capacity summary'!$H171:$BG171)&lt;52,IF('Capacity summary'!S171&lt;&gt;"",IF(LOWER('Capacity summary'!S171)="x",$BI52*S52,VALUE('Capacity summary'!S171)),0),S52*$BI52),S52*$BI52),0)</f>
        <v>0</v>
      </c>
      <c r="BW52" s="311">
        <f>IF($BI52&lt;&gt;"",IF('Capacity summary'!$D$14="Yes",IF(COUNTBLANK('Capacity summary'!$H171:$BG171)&lt;52,IF('Capacity summary'!T171&lt;&gt;"",IF(LOWER('Capacity summary'!T171)="x",$BI52*T52,VALUE('Capacity summary'!T171)),0),T52*$BI52),T52*$BI52),0)</f>
        <v>0</v>
      </c>
      <c r="BX52" s="311">
        <f>IF($BI52&lt;&gt;"",IF('Capacity summary'!$D$14="Yes",IF(COUNTBLANK('Capacity summary'!$H171:$BG171)&lt;52,IF('Capacity summary'!U171&lt;&gt;"",IF(LOWER('Capacity summary'!U171)="x",$BI52*U52,VALUE('Capacity summary'!U171)),0),U52*$BI52),U52*$BI52),0)</f>
        <v>0</v>
      </c>
      <c r="BY52" s="311">
        <f>IF($BI52&lt;&gt;"",IF('Capacity summary'!$D$14="Yes",IF(COUNTBLANK('Capacity summary'!$H171:$BG171)&lt;52,IF('Capacity summary'!V171&lt;&gt;"",IF(LOWER('Capacity summary'!V171)="x",$BI52*V52,VALUE('Capacity summary'!V171)),0),V52*$BI52),V52*$BI52),0)</f>
        <v>0</v>
      </c>
      <c r="BZ52" s="311">
        <f>IF($BI52&lt;&gt;"",IF('Capacity summary'!$D$14="Yes",IF(COUNTBLANK('Capacity summary'!$H171:$BG171)&lt;52,IF('Capacity summary'!W171&lt;&gt;"",IF(LOWER('Capacity summary'!W171)="x",$BI52*W52,VALUE('Capacity summary'!W171)),0),W52*$BI52),W52*$BI52),0)</f>
        <v>0</v>
      </c>
      <c r="CA52" s="311">
        <f>IF($BI52&lt;&gt;"",IF('Capacity summary'!$D$14="Yes",IF(COUNTBLANK('Capacity summary'!$H171:$BG171)&lt;52,IF('Capacity summary'!X171&lt;&gt;"",IF(LOWER('Capacity summary'!X171)="x",$BI52*X52,VALUE('Capacity summary'!X171)),0),X52*$BI52),X52*$BI52),0)</f>
        <v>0</v>
      </c>
      <c r="CB52" s="311">
        <f>IF($BI52&lt;&gt;"",IF('Capacity summary'!$D$14="Yes",IF(COUNTBLANK('Capacity summary'!$H171:$BG171)&lt;52,IF('Capacity summary'!Y171&lt;&gt;"",IF(LOWER('Capacity summary'!Y171)="x",$BI52*Y52,VALUE('Capacity summary'!Y171)),0),Y52*$BI52),Y52*$BI52),0)</f>
        <v>0</v>
      </c>
      <c r="CC52" s="311">
        <f>IF($BI52&lt;&gt;"",IF('Capacity summary'!$D$14="Yes",IF(COUNTBLANK('Capacity summary'!$H171:$BG171)&lt;52,IF('Capacity summary'!Z171&lt;&gt;"",IF(LOWER('Capacity summary'!Z171)="x",$BI52*Z52,VALUE('Capacity summary'!Z171)),0),Z52*$BI52),Z52*$BI52),0)</f>
        <v>0</v>
      </c>
      <c r="CD52" s="311">
        <f>IF($BI52&lt;&gt;"",IF('Capacity summary'!$D$14="Yes",IF(COUNTBLANK('Capacity summary'!$H171:$BG171)&lt;52,IF('Capacity summary'!AA171&lt;&gt;"",IF(LOWER('Capacity summary'!AA171)="x",$BI52*AA52,VALUE('Capacity summary'!AA171)),0),AA52*$BI52),AA52*$BI52),0)</f>
        <v>0</v>
      </c>
      <c r="CE52" s="311">
        <f>IF($BI52&lt;&gt;"",IF('Capacity summary'!$D$14="Yes",IF(COUNTBLANK('Capacity summary'!$H171:$BG171)&lt;52,IF('Capacity summary'!AB171&lt;&gt;"",IF(LOWER('Capacity summary'!AB171)="x",$BI52*AB52,VALUE('Capacity summary'!AB171)),0),AB52*$BI52),AB52*$BI52),0)</f>
        <v>0</v>
      </c>
      <c r="CF52" s="311">
        <f>IF($BI52&lt;&gt;"",IF('Capacity summary'!$D$14="Yes",IF(COUNTBLANK('Capacity summary'!$H171:$BG171)&lt;52,IF('Capacity summary'!AC171&lt;&gt;"",IF(LOWER('Capacity summary'!AC171)="x",$BI52*AC52,VALUE('Capacity summary'!AC171)),0),AC52*$BI52),AC52*$BI52),0)</f>
        <v>0</v>
      </c>
      <c r="CG52" s="311">
        <f>IF($BI52&lt;&gt;"",IF('Capacity summary'!$D$14="Yes",IF(COUNTBLANK('Capacity summary'!$H171:$BG171)&lt;52,IF('Capacity summary'!AD171&lt;&gt;"",IF(LOWER('Capacity summary'!AD171)="x",$BI52*AD52,VALUE('Capacity summary'!AD171)),0),AD52*$BI52),AD52*$BI52),0)</f>
        <v>0</v>
      </c>
      <c r="CH52" s="311">
        <f>IF($BI52&lt;&gt;"",IF('Capacity summary'!$D$14="Yes",IF(COUNTBLANK('Capacity summary'!$H171:$BG171)&lt;52,IF('Capacity summary'!AE171&lt;&gt;"",IF(LOWER('Capacity summary'!AE171)="x",$BI52*AE52,VALUE('Capacity summary'!AE171)),0),AE52*$BI52),AE52*$BI52),0)</f>
        <v>0</v>
      </c>
      <c r="CI52" s="311">
        <f>IF($BI52&lt;&gt;"",IF('Capacity summary'!$D$14="Yes",IF(COUNTBLANK('Capacity summary'!$H171:$BG171)&lt;52,IF('Capacity summary'!AF171&lt;&gt;"",IF(LOWER('Capacity summary'!AF171)="x",$BI52*AF52,VALUE('Capacity summary'!AF171)),0),AF52*$BI52),AF52*$BI52),0)</f>
        <v>0</v>
      </c>
      <c r="CJ52" s="311">
        <f>IF($BI52&lt;&gt;"",IF('Capacity summary'!$D$14="Yes",IF(COUNTBLANK('Capacity summary'!$H171:$BG171)&lt;52,IF('Capacity summary'!AG171&lt;&gt;"",IF(LOWER('Capacity summary'!AG171)="x",$BI52*AG52,VALUE('Capacity summary'!AG171)),0),AG52*$BI52),AG52*$BI52),0)</f>
        <v>0</v>
      </c>
      <c r="CK52" s="311">
        <f>IF($BI52&lt;&gt;"",IF('Capacity summary'!$D$14="Yes",IF(COUNTBLANK('Capacity summary'!$H171:$BG171)&lt;52,IF('Capacity summary'!AH171&lt;&gt;"",IF(LOWER('Capacity summary'!AH171)="x",$BI52*AH52,VALUE('Capacity summary'!AH171)),0),AH52*$BI52),AH52*$BI52),0)</f>
        <v>0</v>
      </c>
      <c r="CL52" s="311">
        <f>IF($BI52&lt;&gt;"",IF('Capacity summary'!$D$14="Yes",IF(COUNTBLANK('Capacity summary'!$H171:$BG171)&lt;52,IF('Capacity summary'!AI171&lt;&gt;"",IF(LOWER('Capacity summary'!AI171)="x",$BI52*AI52,VALUE('Capacity summary'!AI171)),0),AI52*$BI52),AI52*$BI52),0)</f>
        <v>0</v>
      </c>
      <c r="CM52" s="311">
        <f>IF($BI52&lt;&gt;"",IF('Capacity summary'!$D$14="Yes",IF(COUNTBLANK('Capacity summary'!$H171:$BG171)&lt;52,IF('Capacity summary'!AJ171&lt;&gt;"",IF(LOWER('Capacity summary'!AJ171)="x",$BI52*AJ52,VALUE('Capacity summary'!AJ171)),0),AJ52*$BI52),AJ52*$BI52),0)</f>
        <v>0</v>
      </c>
      <c r="CN52" s="311">
        <f>IF($BI52&lt;&gt;"",IF('Capacity summary'!$D$14="Yes",IF(COUNTBLANK('Capacity summary'!$H171:$BG171)&lt;52,IF('Capacity summary'!AK171&lt;&gt;"",IF(LOWER('Capacity summary'!AK171)="x",$BI52*AK52,VALUE('Capacity summary'!AK171)),0),AK52*$BI52),AK52*$BI52),0)</f>
        <v>0</v>
      </c>
      <c r="CO52" s="311">
        <f>IF($BI52&lt;&gt;"",IF('Capacity summary'!$D$14="Yes",IF(COUNTBLANK('Capacity summary'!$H171:$BG171)&lt;52,IF('Capacity summary'!AL171&lt;&gt;"",IF(LOWER('Capacity summary'!AL171)="x",$BI52*AL52,VALUE('Capacity summary'!AL171)),0),AL52*$BI52),AL52*$BI52),0)</f>
        <v>0</v>
      </c>
      <c r="CP52" s="311">
        <f>IF($BI52&lt;&gt;"",IF('Capacity summary'!$D$14="Yes",IF(COUNTBLANK('Capacity summary'!$H171:$BG171)&lt;52,IF('Capacity summary'!AM171&lt;&gt;"",IF(LOWER('Capacity summary'!AM171)="x",$BI52*AM52,VALUE('Capacity summary'!AM171)),0),AM52*$BI52),AM52*$BI52),0)</f>
        <v>0</v>
      </c>
      <c r="CQ52" s="311">
        <f>IF($BI52&lt;&gt;"",IF('Capacity summary'!$D$14="Yes",IF(COUNTBLANK('Capacity summary'!$H171:$BG171)&lt;52,IF('Capacity summary'!AN171&lt;&gt;"",IF(LOWER('Capacity summary'!AN171)="x",$BI52*AN52,VALUE('Capacity summary'!AN171)),0),AN52*$BI52),AN52*$BI52),0)</f>
        <v>0</v>
      </c>
      <c r="CR52" s="311">
        <f>IF($BI52&lt;&gt;"",IF('Capacity summary'!$D$14="Yes",IF(COUNTBLANK('Capacity summary'!$H171:$BG171)&lt;52,IF('Capacity summary'!AO171&lt;&gt;"",IF(LOWER('Capacity summary'!AO171)="x",$BI52*AO52,VALUE('Capacity summary'!AO171)),0),AO52*$BI52),AO52*$BI52),0)</f>
        <v>0</v>
      </c>
      <c r="CS52" s="311">
        <f>IF($BI52&lt;&gt;"",IF('Capacity summary'!$D$14="Yes",IF(COUNTBLANK('Capacity summary'!$H171:$BG171)&lt;52,IF('Capacity summary'!AP171&lt;&gt;"",IF(LOWER('Capacity summary'!AP171)="x",$BI52*AP52,VALUE('Capacity summary'!AP171)),0),AP52*$BI52),AP52*$BI52),0)</f>
        <v>0</v>
      </c>
      <c r="CT52" s="311">
        <f>IF($BI52&lt;&gt;"",IF('Capacity summary'!$D$14="Yes",IF(COUNTBLANK('Capacity summary'!$H171:$BG171)&lt;52,IF('Capacity summary'!AQ171&lt;&gt;"",IF(LOWER('Capacity summary'!AQ171)="x",$BI52*AQ52,VALUE('Capacity summary'!AQ171)),0),AQ52*$BI52),AQ52*$BI52),0)</f>
        <v>0</v>
      </c>
      <c r="CU52" s="311">
        <f>IF($BI52&lt;&gt;"",IF('Capacity summary'!$D$14="Yes",IF(COUNTBLANK('Capacity summary'!$H171:$BG171)&lt;52,IF('Capacity summary'!AR171&lt;&gt;"",IF(LOWER('Capacity summary'!AR171)="x",$BI52*AR52,VALUE('Capacity summary'!AR171)),0),AR52*$BI52),AR52*$BI52),0)</f>
        <v>0</v>
      </c>
      <c r="CV52" s="311">
        <f>IF($BI52&lt;&gt;"",IF('Capacity summary'!$D$14="Yes",IF(COUNTBLANK('Capacity summary'!$H171:$BG171)&lt;52,IF('Capacity summary'!AS171&lt;&gt;"",IF(LOWER('Capacity summary'!AS171)="x",$BI52*AS52,VALUE('Capacity summary'!AS171)),0),AS52*$BI52),AS52*$BI52),0)</f>
        <v>0</v>
      </c>
      <c r="CW52" s="311">
        <f>IF($BI52&lt;&gt;"",IF('Capacity summary'!$D$14="Yes",IF(COUNTBLANK('Capacity summary'!$H171:$BG171)&lt;52,IF('Capacity summary'!AT171&lt;&gt;"",IF(LOWER('Capacity summary'!AT171)="x",$BI52*AT52,VALUE('Capacity summary'!AT171)),0),AT52*$BI52),AT52*$BI52),0)</f>
        <v>0</v>
      </c>
      <c r="CX52" s="311">
        <f>IF($BI52&lt;&gt;"",IF('Capacity summary'!$D$14="Yes",IF(COUNTBLANK('Capacity summary'!$H171:$BG171)&lt;52,IF('Capacity summary'!AU171&lt;&gt;"",IF(LOWER('Capacity summary'!AU171)="x",$BI52*AU52,VALUE('Capacity summary'!AU171)),0),AU52*$BI52),AU52*$BI52),0)</f>
        <v>0</v>
      </c>
      <c r="CY52" s="311">
        <f>IF($BI52&lt;&gt;"",IF('Capacity summary'!$D$14="Yes",IF(COUNTBLANK('Capacity summary'!$H171:$BG171)&lt;52,IF('Capacity summary'!AV171&lt;&gt;"",IF(LOWER('Capacity summary'!AV171)="x",$BI52*AV52,VALUE('Capacity summary'!AV171)),0),AV52*$BI52),AV52*$BI52),0)</f>
        <v>0</v>
      </c>
      <c r="CZ52" s="311">
        <f>IF($BI52&lt;&gt;"",IF('Capacity summary'!$D$14="Yes",IF(COUNTBLANK('Capacity summary'!$H171:$BG171)&lt;52,IF('Capacity summary'!AW171&lt;&gt;"",IF(LOWER('Capacity summary'!AW171)="x",$BI52*AW52,VALUE('Capacity summary'!AW171)),0),AW52*$BI52),AW52*$BI52),0)</f>
        <v>0</v>
      </c>
      <c r="DA52" s="311">
        <f>IF($BI52&lt;&gt;"",IF('Capacity summary'!$D$14="Yes",IF(COUNTBLANK('Capacity summary'!$H171:$BG171)&lt;52,IF('Capacity summary'!AX171&lt;&gt;"",IF(LOWER('Capacity summary'!AX171)="x",$BI52*AX52,VALUE('Capacity summary'!AX171)),0),AX52*$BI52),AX52*$BI52),0)</f>
        <v>0</v>
      </c>
      <c r="DB52" s="311">
        <f>IF($BI52&lt;&gt;"",IF('Capacity summary'!$D$14="Yes",IF(COUNTBLANK('Capacity summary'!$H171:$BG171)&lt;52,IF('Capacity summary'!AY171&lt;&gt;"",IF(LOWER('Capacity summary'!AY171)="x",$BI52*AY52,VALUE('Capacity summary'!AY171)),0),AY52*$BI52),AY52*$BI52),0)</f>
        <v>0</v>
      </c>
      <c r="DC52" s="311">
        <f>IF($BI52&lt;&gt;"",IF('Capacity summary'!$D$14="Yes",IF(COUNTBLANK('Capacity summary'!$H171:$BG171)&lt;52,IF('Capacity summary'!AZ171&lt;&gt;"",IF(LOWER('Capacity summary'!AZ171)="x",$BI52*AZ52,VALUE('Capacity summary'!AZ171)),0),AZ52*$BI52),AZ52*$BI52),0)</f>
        <v>0</v>
      </c>
      <c r="DD52" s="311">
        <f>IF($BI52&lt;&gt;"",IF('Capacity summary'!$D$14="Yes",IF(COUNTBLANK('Capacity summary'!$H171:$BG171)&lt;52,IF('Capacity summary'!BA171&lt;&gt;"",IF(LOWER('Capacity summary'!BA171)="x",$BI52*BA52,VALUE('Capacity summary'!BA171)),0),BA52*$BI52),BA52*$BI52),0)</f>
        <v>0</v>
      </c>
      <c r="DE52" s="311">
        <f>IF($BI52&lt;&gt;"",IF('Capacity summary'!$D$14="Yes",IF(COUNTBLANK('Capacity summary'!$H171:$BG171)&lt;52,IF('Capacity summary'!BB171&lt;&gt;"",IF(LOWER('Capacity summary'!BB171)="x",$BI52*BB52,VALUE('Capacity summary'!BB171)),0),BB52*$BI52),BB52*$BI52),0)</f>
        <v>0</v>
      </c>
      <c r="DF52" s="311">
        <f>IF($BI52&lt;&gt;"",IF('Capacity summary'!$D$14="Yes",IF(COUNTBLANK('Capacity summary'!$H171:$BG171)&lt;52,IF('Capacity summary'!BC171&lt;&gt;"",IF(LOWER('Capacity summary'!BC171)="x",$BI52*BC52,VALUE('Capacity summary'!BC171)),0),BC52*$BI52),BC52*$BI52),0)</f>
        <v>0</v>
      </c>
      <c r="DG52" s="311">
        <f>IF($BI52&lt;&gt;"",IF('Capacity summary'!$D$14="Yes",IF(COUNTBLANK('Capacity summary'!$H171:$BG171)&lt;52,IF('Capacity summary'!BD171&lt;&gt;"",IF(LOWER('Capacity summary'!BD171)="x",$BI52*BD52,VALUE('Capacity summary'!BD171)),0),BD52*$BI52),BD52*$BI52),0)</f>
        <v>0</v>
      </c>
      <c r="DH52" s="311">
        <f>IF($BI52&lt;&gt;"",IF('Capacity summary'!$D$14="Yes",IF(COUNTBLANK('Capacity summary'!$H171:$BG171)&lt;52,IF('Capacity summary'!BE171&lt;&gt;"",IF(LOWER('Capacity summary'!BE171)="x",$BI52*BE52,VALUE('Capacity summary'!BE171)),0),BE52*$BI52),BE52*$BI52),0)</f>
        <v>0</v>
      </c>
      <c r="DI52" s="311">
        <f>IF($BI52&lt;&gt;"",IF('Capacity summary'!$D$14="Yes",IF(COUNTBLANK('Capacity summary'!$H171:$BG171)&lt;52,IF('Capacity summary'!BF171&lt;&gt;"",IF(LOWER('Capacity summary'!BF171)="x",$BI52*BF52,VALUE('Capacity summary'!BF171)),0),BF52*$BI52),BF52*$BI52),0)</f>
        <v>0</v>
      </c>
      <c r="DJ52" s="311">
        <f>IF($BI52&lt;&gt;"",IF('Capacity summary'!$D$14="Yes",IF(COUNTBLANK('Capacity summary'!$H171:$BG171)&lt;52,IF('Capacity summary'!BG171&lt;&gt;"",IF(LOWER('Capacity summary'!BG171)="x",$BI52*BG52,VALUE('Capacity summary'!BG171)),0),BG52*$BI52),BG52*$BI52),0)</f>
        <v>0</v>
      </c>
      <c r="DK52" s="387">
        <f t="shared" si="2"/>
        <v>0</v>
      </c>
      <c r="DL52" s="136">
        <f t="shared" si="3"/>
        <v>0</v>
      </c>
      <c r="DM52" s="311" t="str">
        <f>Capacity!H64</f>
        <v/>
      </c>
      <c r="DQ52" s="5"/>
    </row>
    <row r="53" spans="1:121" x14ac:dyDescent="0.2">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1">
        <f>IF($BI53&lt;&gt;"",IF('Capacity summary'!$D$14="Yes",IF(COUNTBLANK('Capacity summary'!$H172:$BG172)&lt;52,IF('Capacity summary'!H172&lt;&gt;"",IF(LOWER('Capacity summary'!H172)="x",$BI53*H53,VALUE('Capacity summary'!H172)),0),H53*$BI53),H53*$BI53),0)</f>
        <v>0</v>
      </c>
      <c r="BL53" s="311">
        <f>IF($BI53&lt;&gt;"",IF('Capacity summary'!$D$14="Yes",IF(COUNTBLANK('Capacity summary'!$H172:$BG172)&lt;52,IF('Capacity summary'!I172&lt;&gt;"",IF(LOWER('Capacity summary'!I172)="x",$BI53*I53,VALUE('Capacity summary'!I172)),0),I53*$BI53),I53*$BI53),0)</f>
        <v>0</v>
      </c>
      <c r="BM53" s="311">
        <f>IF($BI53&lt;&gt;"",IF('Capacity summary'!$D$14="Yes",IF(COUNTBLANK('Capacity summary'!$H172:$BG172)&lt;52,IF('Capacity summary'!J172&lt;&gt;"",IF(LOWER('Capacity summary'!J172)="x",$BI53*J53,VALUE('Capacity summary'!J172)),0),J53*$BI53),J53*$BI53),0)</f>
        <v>0</v>
      </c>
      <c r="BN53" s="311">
        <f>IF($BI53&lt;&gt;"",IF('Capacity summary'!$D$14="Yes",IF(COUNTBLANK('Capacity summary'!$H172:$BG172)&lt;52,IF('Capacity summary'!K172&lt;&gt;"",IF(LOWER('Capacity summary'!K172)="x",$BI53*K53,VALUE('Capacity summary'!K172)),0),K53*$BI53),K53*$BI53),0)</f>
        <v>0</v>
      </c>
      <c r="BO53" s="311">
        <f>IF($BI53&lt;&gt;"",IF('Capacity summary'!$D$14="Yes",IF(COUNTBLANK('Capacity summary'!$H172:$BG172)&lt;52,IF('Capacity summary'!L172&lt;&gt;"",IF(LOWER('Capacity summary'!L172)="x",$BI53*L53,VALUE('Capacity summary'!L172)),0),L53*$BI53),L53*$BI53),0)</f>
        <v>0</v>
      </c>
      <c r="BP53" s="311">
        <f>IF($BI53&lt;&gt;"",IF('Capacity summary'!$D$14="Yes",IF(COUNTBLANK('Capacity summary'!$H172:$BG172)&lt;52,IF('Capacity summary'!M172&lt;&gt;"",IF(LOWER('Capacity summary'!M172)="x",$BI53*M53,VALUE('Capacity summary'!M172)),0),M53*$BI53),M53*$BI53),0)</f>
        <v>0</v>
      </c>
      <c r="BQ53" s="311">
        <f>IF($BI53&lt;&gt;"",IF('Capacity summary'!$D$14="Yes",IF(COUNTBLANK('Capacity summary'!$H172:$BG172)&lt;52,IF('Capacity summary'!N172&lt;&gt;"",IF(LOWER('Capacity summary'!N172)="x",$BI53*N53,VALUE('Capacity summary'!N172)),0),N53*$BI53),N53*$BI53),0)</f>
        <v>0</v>
      </c>
      <c r="BR53" s="311">
        <f>IF($BI53&lt;&gt;"",IF('Capacity summary'!$D$14="Yes",IF(COUNTBLANK('Capacity summary'!$H172:$BG172)&lt;52,IF('Capacity summary'!O172&lt;&gt;"",IF(LOWER('Capacity summary'!O172)="x",$BI53*O53,VALUE('Capacity summary'!O172)),0),O53*$BI53),O53*$BI53),0)</f>
        <v>0</v>
      </c>
      <c r="BS53" s="311">
        <f>IF($BI53&lt;&gt;"",IF('Capacity summary'!$D$14="Yes",IF(COUNTBLANK('Capacity summary'!$H172:$BG172)&lt;52,IF('Capacity summary'!P172&lt;&gt;"",IF(LOWER('Capacity summary'!P172)="x",$BI53*P53,VALUE('Capacity summary'!P172)),0),P53*$BI53),P53*$BI53),0)</f>
        <v>0</v>
      </c>
      <c r="BT53" s="311">
        <f>IF($BI53&lt;&gt;"",IF('Capacity summary'!$D$14="Yes",IF(COUNTBLANK('Capacity summary'!$H172:$BG172)&lt;52,IF('Capacity summary'!Q172&lt;&gt;"",IF(LOWER('Capacity summary'!Q172)="x",$BI53*Q53,VALUE('Capacity summary'!Q172)),0),Q53*$BI53),Q53*$BI53),0)</f>
        <v>0</v>
      </c>
      <c r="BU53" s="311">
        <f>IF($BI53&lt;&gt;"",IF('Capacity summary'!$D$14="Yes",IF(COUNTBLANK('Capacity summary'!$H172:$BG172)&lt;52,IF('Capacity summary'!R172&lt;&gt;"",IF(LOWER('Capacity summary'!R172)="x",$BI53*R53,VALUE('Capacity summary'!R172)),0),R53*$BI53),R53*$BI53),0)</f>
        <v>0</v>
      </c>
      <c r="BV53" s="311">
        <f>IF($BI53&lt;&gt;"",IF('Capacity summary'!$D$14="Yes",IF(COUNTBLANK('Capacity summary'!$H172:$BG172)&lt;52,IF('Capacity summary'!S172&lt;&gt;"",IF(LOWER('Capacity summary'!S172)="x",$BI53*S53,VALUE('Capacity summary'!S172)),0),S53*$BI53),S53*$BI53),0)</f>
        <v>0</v>
      </c>
      <c r="BW53" s="311">
        <f>IF($BI53&lt;&gt;"",IF('Capacity summary'!$D$14="Yes",IF(COUNTBLANK('Capacity summary'!$H172:$BG172)&lt;52,IF('Capacity summary'!T172&lt;&gt;"",IF(LOWER('Capacity summary'!T172)="x",$BI53*T53,VALUE('Capacity summary'!T172)),0),T53*$BI53),T53*$BI53),0)</f>
        <v>0</v>
      </c>
      <c r="BX53" s="311">
        <f>IF($BI53&lt;&gt;"",IF('Capacity summary'!$D$14="Yes",IF(COUNTBLANK('Capacity summary'!$H172:$BG172)&lt;52,IF('Capacity summary'!U172&lt;&gt;"",IF(LOWER('Capacity summary'!U172)="x",$BI53*U53,VALUE('Capacity summary'!U172)),0),U53*$BI53),U53*$BI53),0)</f>
        <v>0</v>
      </c>
      <c r="BY53" s="311">
        <f>IF($BI53&lt;&gt;"",IF('Capacity summary'!$D$14="Yes",IF(COUNTBLANK('Capacity summary'!$H172:$BG172)&lt;52,IF('Capacity summary'!V172&lt;&gt;"",IF(LOWER('Capacity summary'!V172)="x",$BI53*V53,VALUE('Capacity summary'!V172)),0),V53*$BI53),V53*$BI53),0)</f>
        <v>0</v>
      </c>
      <c r="BZ53" s="311">
        <f>IF($BI53&lt;&gt;"",IF('Capacity summary'!$D$14="Yes",IF(COUNTBLANK('Capacity summary'!$H172:$BG172)&lt;52,IF('Capacity summary'!W172&lt;&gt;"",IF(LOWER('Capacity summary'!W172)="x",$BI53*W53,VALUE('Capacity summary'!W172)),0),W53*$BI53),W53*$BI53),0)</f>
        <v>0</v>
      </c>
      <c r="CA53" s="311">
        <f>IF($BI53&lt;&gt;"",IF('Capacity summary'!$D$14="Yes",IF(COUNTBLANK('Capacity summary'!$H172:$BG172)&lt;52,IF('Capacity summary'!X172&lt;&gt;"",IF(LOWER('Capacity summary'!X172)="x",$BI53*X53,VALUE('Capacity summary'!X172)),0),X53*$BI53),X53*$BI53),0)</f>
        <v>0</v>
      </c>
      <c r="CB53" s="311">
        <f>IF($BI53&lt;&gt;"",IF('Capacity summary'!$D$14="Yes",IF(COUNTBLANK('Capacity summary'!$H172:$BG172)&lt;52,IF('Capacity summary'!Y172&lt;&gt;"",IF(LOWER('Capacity summary'!Y172)="x",$BI53*Y53,VALUE('Capacity summary'!Y172)),0),Y53*$BI53),Y53*$BI53),0)</f>
        <v>0</v>
      </c>
      <c r="CC53" s="311">
        <f>IF($BI53&lt;&gt;"",IF('Capacity summary'!$D$14="Yes",IF(COUNTBLANK('Capacity summary'!$H172:$BG172)&lt;52,IF('Capacity summary'!Z172&lt;&gt;"",IF(LOWER('Capacity summary'!Z172)="x",$BI53*Z53,VALUE('Capacity summary'!Z172)),0),Z53*$BI53),Z53*$BI53),0)</f>
        <v>0</v>
      </c>
      <c r="CD53" s="311">
        <f>IF($BI53&lt;&gt;"",IF('Capacity summary'!$D$14="Yes",IF(COUNTBLANK('Capacity summary'!$H172:$BG172)&lt;52,IF('Capacity summary'!AA172&lt;&gt;"",IF(LOWER('Capacity summary'!AA172)="x",$BI53*AA53,VALUE('Capacity summary'!AA172)),0),AA53*$BI53),AA53*$BI53),0)</f>
        <v>0</v>
      </c>
      <c r="CE53" s="311">
        <f>IF($BI53&lt;&gt;"",IF('Capacity summary'!$D$14="Yes",IF(COUNTBLANK('Capacity summary'!$H172:$BG172)&lt;52,IF('Capacity summary'!AB172&lt;&gt;"",IF(LOWER('Capacity summary'!AB172)="x",$BI53*AB53,VALUE('Capacity summary'!AB172)),0),AB53*$BI53),AB53*$BI53),0)</f>
        <v>0</v>
      </c>
      <c r="CF53" s="311">
        <f>IF($BI53&lt;&gt;"",IF('Capacity summary'!$D$14="Yes",IF(COUNTBLANK('Capacity summary'!$H172:$BG172)&lt;52,IF('Capacity summary'!AC172&lt;&gt;"",IF(LOWER('Capacity summary'!AC172)="x",$BI53*AC53,VALUE('Capacity summary'!AC172)),0),AC53*$BI53),AC53*$BI53),0)</f>
        <v>0</v>
      </c>
      <c r="CG53" s="311">
        <f>IF($BI53&lt;&gt;"",IF('Capacity summary'!$D$14="Yes",IF(COUNTBLANK('Capacity summary'!$H172:$BG172)&lt;52,IF('Capacity summary'!AD172&lt;&gt;"",IF(LOWER('Capacity summary'!AD172)="x",$BI53*AD53,VALUE('Capacity summary'!AD172)),0),AD53*$BI53),AD53*$BI53),0)</f>
        <v>0</v>
      </c>
      <c r="CH53" s="311">
        <f>IF($BI53&lt;&gt;"",IF('Capacity summary'!$D$14="Yes",IF(COUNTBLANK('Capacity summary'!$H172:$BG172)&lt;52,IF('Capacity summary'!AE172&lt;&gt;"",IF(LOWER('Capacity summary'!AE172)="x",$BI53*AE53,VALUE('Capacity summary'!AE172)),0),AE53*$BI53),AE53*$BI53),0)</f>
        <v>0</v>
      </c>
      <c r="CI53" s="311">
        <f>IF($BI53&lt;&gt;"",IF('Capacity summary'!$D$14="Yes",IF(COUNTBLANK('Capacity summary'!$H172:$BG172)&lt;52,IF('Capacity summary'!AF172&lt;&gt;"",IF(LOWER('Capacity summary'!AF172)="x",$BI53*AF53,VALUE('Capacity summary'!AF172)),0),AF53*$BI53),AF53*$BI53),0)</f>
        <v>0</v>
      </c>
      <c r="CJ53" s="311">
        <f>IF($BI53&lt;&gt;"",IF('Capacity summary'!$D$14="Yes",IF(COUNTBLANK('Capacity summary'!$H172:$BG172)&lt;52,IF('Capacity summary'!AG172&lt;&gt;"",IF(LOWER('Capacity summary'!AG172)="x",$BI53*AG53,VALUE('Capacity summary'!AG172)),0),AG53*$BI53),AG53*$BI53),0)</f>
        <v>0</v>
      </c>
      <c r="CK53" s="311">
        <f>IF($BI53&lt;&gt;"",IF('Capacity summary'!$D$14="Yes",IF(COUNTBLANK('Capacity summary'!$H172:$BG172)&lt;52,IF('Capacity summary'!AH172&lt;&gt;"",IF(LOWER('Capacity summary'!AH172)="x",$BI53*AH53,VALUE('Capacity summary'!AH172)),0),AH53*$BI53),AH53*$BI53),0)</f>
        <v>0</v>
      </c>
      <c r="CL53" s="311">
        <f>IF($BI53&lt;&gt;"",IF('Capacity summary'!$D$14="Yes",IF(COUNTBLANK('Capacity summary'!$H172:$BG172)&lt;52,IF('Capacity summary'!AI172&lt;&gt;"",IF(LOWER('Capacity summary'!AI172)="x",$BI53*AI53,VALUE('Capacity summary'!AI172)),0),AI53*$BI53),AI53*$BI53),0)</f>
        <v>0</v>
      </c>
      <c r="CM53" s="311">
        <f>IF($BI53&lt;&gt;"",IF('Capacity summary'!$D$14="Yes",IF(COUNTBLANK('Capacity summary'!$H172:$BG172)&lt;52,IF('Capacity summary'!AJ172&lt;&gt;"",IF(LOWER('Capacity summary'!AJ172)="x",$BI53*AJ53,VALUE('Capacity summary'!AJ172)),0),AJ53*$BI53),AJ53*$BI53),0)</f>
        <v>0</v>
      </c>
      <c r="CN53" s="311">
        <f>IF($BI53&lt;&gt;"",IF('Capacity summary'!$D$14="Yes",IF(COUNTBLANK('Capacity summary'!$H172:$BG172)&lt;52,IF('Capacity summary'!AK172&lt;&gt;"",IF(LOWER('Capacity summary'!AK172)="x",$BI53*AK53,VALUE('Capacity summary'!AK172)),0),AK53*$BI53),AK53*$BI53),0)</f>
        <v>0</v>
      </c>
      <c r="CO53" s="311">
        <f>IF($BI53&lt;&gt;"",IF('Capacity summary'!$D$14="Yes",IF(COUNTBLANK('Capacity summary'!$H172:$BG172)&lt;52,IF('Capacity summary'!AL172&lt;&gt;"",IF(LOWER('Capacity summary'!AL172)="x",$BI53*AL53,VALUE('Capacity summary'!AL172)),0),AL53*$BI53),AL53*$BI53),0)</f>
        <v>0</v>
      </c>
      <c r="CP53" s="311">
        <f>IF($BI53&lt;&gt;"",IF('Capacity summary'!$D$14="Yes",IF(COUNTBLANK('Capacity summary'!$H172:$BG172)&lt;52,IF('Capacity summary'!AM172&lt;&gt;"",IF(LOWER('Capacity summary'!AM172)="x",$BI53*AM53,VALUE('Capacity summary'!AM172)),0),AM53*$BI53),AM53*$BI53),0)</f>
        <v>0</v>
      </c>
      <c r="CQ53" s="311">
        <f>IF($BI53&lt;&gt;"",IF('Capacity summary'!$D$14="Yes",IF(COUNTBLANK('Capacity summary'!$H172:$BG172)&lt;52,IF('Capacity summary'!AN172&lt;&gt;"",IF(LOWER('Capacity summary'!AN172)="x",$BI53*AN53,VALUE('Capacity summary'!AN172)),0),AN53*$BI53),AN53*$BI53),0)</f>
        <v>0</v>
      </c>
      <c r="CR53" s="311">
        <f>IF($BI53&lt;&gt;"",IF('Capacity summary'!$D$14="Yes",IF(COUNTBLANK('Capacity summary'!$H172:$BG172)&lt;52,IF('Capacity summary'!AO172&lt;&gt;"",IF(LOWER('Capacity summary'!AO172)="x",$BI53*AO53,VALUE('Capacity summary'!AO172)),0),AO53*$BI53),AO53*$BI53),0)</f>
        <v>0</v>
      </c>
      <c r="CS53" s="311">
        <f>IF($BI53&lt;&gt;"",IF('Capacity summary'!$D$14="Yes",IF(COUNTBLANK('Capacity summary'!$H172:$BG172)&lt;52,IF('Capacity summary'!AP172&lt;&gt;"",IF(LOWER('Capacity summary'!AP172)="x",$BI53*AP53,VALUE('Capacity summary'!AP172)),0),AP53*$BI53),AP53*$BI53),0)</f>
        <v>0</v>
      </c>
      <c r="CT53" s="311">
        <f>IF($BI53&lt;&gt;"",IF('Capacity summary'!$D$14="Yes",IF(COUNTBLANK('Capacity summary'!$H172:$BG172)&lt;52,IF('Capacity summary'!AQ172&lt;&gt;"",IF(LOWER('Capacity summary'!AQ172)="x",$BI53*AQ53,VALUE('Capacity summary'!AQ172)),0),AQ53*$BI53),AQ53*$BI53),0)</f>
        <v>0</v>
      </c>
      <c r="CU53" s="311">
        <f>IF($BI53&lt;&gt;"",IF('Capacity summary'!$D$14="Yes",IF(COUNTBLANK('Capacity summary'!$H172:$BG172)&lt;52,IF('Capacity summary'!AR172&lt;&gt;"",IF(LOWER('Capacity summary'!AR172)="x",$BI53*AR53,VALUE('Capacity summary'!AR172)),0),AR53*$BI53),AR53*$BI53),0)</f>
        <v>0</v>
      </c>
      <c r="CV53" s="311">
        <f>IF($BI53&lt;&gt;"",IF('Capacity summary'!$D$14="Yes",IF(COUNTBLANK('Capacity summary'!$H172:$BG172)&lt;52,IF('Capacity summary'!AS172&lt;&gt;"",IF(LOWER('Capacity summary'!AS172)="x",$BI53*AS53,VALUE('Capacity summary'!AS172)),0),AS53*$BI53),AS53*$BI53),0)</f>
        <v>0</v>
      </c>
      <c r="CW53" s="311">
        <f>IF($BI53&lt;&gt;"",IF('Capacity summary'!$D$14="Yes",IF(COUNTBLANK('Capacity summary'!$H172:$BG172)&lt;52,IF('Capacity summary'!AT172&lt;&gt;"",IF(LOWER('Capacity summary'!AT172)="x",$BI53*AT53,VALUE('Capacity summary'!AT172)),0),AT53*$BI53),AT53*$BI53),0)</f>
        <v>0</v>
      </c>
      <c r="CX53" s="311">
        <f>IF($BI53&lt;&gt;"",IF('Capacity summary'!$D$14="Yes",IF(COUNTBLANK('Capacity summary'!$H172:$BG172)&lt;52,IF('Capacity summary'!AU172&lt;&gt;"",IF(LOWER('Capacity summary'!AU172)="x",$BI53*AU53,VALUE('Capacity summary'!AU172)),0),AU53*$BI53),AU53*$BI53),0)</f>
        <v>0</v>
      </c>
      <c r="CY53" s="311">
        <f>IF($BI53&lt;&gt;"",IF('Capacity summary'!$D$14="Yes",IF(COUNTBLANK('Capacity summary'!$H172:$BG172)&lt;52,IF('Capacity summary'!AV172&lt;&gt;"",IF(LOWER('Capacity summary'!AV172)="x",$BI53*AV53,VALUE('Capacity summary'!AV172)),0),AV53*$BI53),AV53*$BI53),0)</f>
        <v>0</v>
      </c>
      <c r="CZ53" s="311">
        <f>IF($BI53&lt;&gt;"",IF('Capacity summary'!$D$14="Yes",IF(COUNTBLANK('Capacity summary'!$H172:$BG172)&lt;52,IF('Capacity summary'!AW172&lt;&gt;"",IF(LOWER('Capacity summary'!AW172)="x",$BI53*AW53,VALUE('Capacity summary'!AW172)),0),AW53*$BI53),AW53*$BI53),0)</f>
        <v>0</v>
      </c>
      <c r="DA53" s="311">
        <f>IF($BI53&lt;&gt;"",IF('Capacity summary'!$D$14="Yes",IF(COUNTBLANK('Capacity summary'!$H172:$BG172)&lt;52,IF('Capacity summary'!AX172&lt;&gt;"",IF(LOWER('Capacity summary'!AX172)="x",$BI53*AX53,VALUE('Capacity summary'!AX172)),0),AX53*$BI53),AX53*$BI53),0)</f>
        <v>0</v>
      </c>
      <c r="DB53" s="311">
        <f>IF($BI53&lt;&gt;"",IF('Capacity summary'!$D$14="Yes",IF(COUNTBLANK('Capacity summary'!$H172:$BG172)&lt;52,IF('Capacity summary'!AY172&lt;&gt;"",IF(LOWER('Capacity summary'!AY172)="x",$BI53*AY53,VALUE('Capacity summary'!AY172)),0),AY53*$BI53),AY53*$BI53),0)</f>
        <v>0</v>
      </c>
      <c r="DC53" s="311">
        <f>IF($BI53&lt;&gt;"",IF('Capacity summary'!$D$14="Yes",IF(COUNTBLANK('Capacity summary'!$H172:$BG172)&lt;52,IF('Capacity summary'!AZ172&lt;&gt;"",IF(LOWER('Capacity summary'!AZ172)="x",$BI53*AZ53,VALUE('Capacity summary'!AZ172)),0),AZ53*$BI53),AZ53*$BI53),0)</f>
        <v>0</v>
      </c>
      <c r="DD53" s="311">
        <f>IF($BI53&lt;&gt;"",IF('Capacity summary'!$D$14="Yes",IF(COUNTBLANK('Capacity summary'!$H172:$BG172)&lt;52,IF('Capacity summary'!BA172&lt;&gt;"",IF(LOWER('Capacity summary'!BA172)="x",$BI53*BA53,VALUE('Capacity summary'!BA172)),0),BA53*$BI53),BA53*$BI53),0)</f>
        <v>0</v>
      </c>
      <c r="DE53" s="311">
        <f>IF($BI53&lt;&gt;"",IF('Capacity summary'!$D$14="Yes",IF(COUNTBLANK('Capacity summary'!$H172:$BG172)&lt;52,IF('Capacity summary'!BB172&lt;&gt;"",IF(LOWER('Capacity summary'!BB172)="x",$BI53*BB53,VALUE('Capacity summary'!BB172)),0),BB53*$BI53),BB53*$BI53),0)</f>
        <v>0</v>
      </c>
      <c r="DF53" s="311">
        <f>IF($BI53&lt;&gt;"",IF('Capacity summary'!$D$14="Yes",IF(COUNTBLANK('Capacity summary'!$H172:$BG172)&lt;52,IF('Capacity summary'!BC172&lt;&gt;"",IF(LOWER('Capacity summary'!BC172)="x",$BI53*BC53,VALUE('Capacity summary'!BC172)),0),BC53*$BI53),BC53*$BI53),0)</f>
        <v>0</v>
      </c>
      <c r="DG53" s="311">
        <f>IF($BI53&lt;&gt;"",IF('Capacity summary'!$D$14="Yes",IF(COUNTBLANK('Capacity summary'!$H172:$BG172)&lt;52,IF('Capacity summary'!BD172&lt;&gt;"",IF(LOWER('Capacity summary'!BD172)="x",$BI53*BD53,VALUE('Capacity summary'!BD172)),0),BD53*$BI53),BD53*$BI53),0)</f>
        <v>0</v>
      </c>
      <c r="DH53" s="311">
        <f>IF($BI53&lt;&gt;"",IF('Capacity summary'!$D$14="Yes",IF(COUNTBLANK('Capacity summary'!$H172:$BG172)&lt;52,IF('Capacity summary'!BE172&lt;&gt;"",IF(LOWER('Capacity summary'!BE172)="x",$BI53*BE53,VALUE('Capacity summary'!BE172)),0),BE53*$BI53),BE53*$BI53),0)</f>
        <v>0</v>
      </c>
      <c r="DI53" s="311">
        <f>IF($BI53&lt;&gt;"",IF('Capacity summary'!$D$14="Yes",IF(COUNTBLANK('Capacity summary'!$H172:$BG172)&lt;52,IF('Capacity summary'!BF172&lt;&gt;"",IF(LOWER('Capacity summary'!BF172)="x",$BI53*BF53,VALUE('Capacity summary'!BF172)),0),BF53*$BI53),BF53*$BI53),0)</f>
        <v>0</v>
      </c>
      <c r="DJ53" s="311">
        <f>IF($BI53&lt;&gt;"",IF('Capacity summary'!$D$14="Yes",IF(COUNTBLANK('Capacity summary'!$H172:$BG172)&lt;52,IF('Capacity summary'!BG172&lt;&gt;"",IF(LOWER('Capacity summary'!BG172)="x",$BI53*BG53,VALUE('Capacity summary'!BG172)),0),BG53*$BI53),BG53*$BI53),0)</f>
        <v>0</v>
      </c>
      <c r="DK53" s="387">
        <f t="shared" si="2"/>
        <v>0</v>
      </c>
      <c r="DL53" s="136">
        <f t="shared" si="3"/>
        <v>0</v>
      </c>
      <c r="DM53" s="311" t="str">
        <f>Capacity!H65</f>
        <v/>
      </c>
      <c r="DQ53" s="5"/>
    </row>
    <row r="54" spans="1:121" x14ac:dyDescent="0.2">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1">
        <f>IF($BI54&lt;&gt;"",IF('Capacity summary'!$D$14="Yes",IF(COUNTBLANK('Capacity summary'!$H173:$BG173)&lt;52,IF('Capacity summary'!H173&lt;&gt;"",IF(LOWER('Capacity summary'!H173)="x",$BI54*H54,VALUE('Capacity summary'!H173)),0),H54*$BI54),H54*$BI54),0)</f>
        <v>0</v>
      </c>
      <c r="BL54" s="311">
        <f>IF($BI54&lt;&gt;"",IF('Capacity summary'!$D$14="Yes",IF(COUNTBLANK('Capacity summary'!$H173:$BG173)&lt;52,IF('Capacity summary'!I173&lt;&gt;"",IF(LOWER('Capacity summary'!I173)="x",$BI54*I54,VALUE('Capacity summary'!I173)),0),I54*$BI54),I54*$BI54),0)</f>
        <v>0</v>
      </c>
      <c r="BM54" s="311">
        <f>IF($BI54&lt;&gt;"",IF('Capacity summary'!$D$14="Yes",IF(COUNTBLANK('Capacity summary'!$H173:$BG173)&lt;52,IF('Capacity summary'!J173&lt;&gt;"",IF(LOWER('Capacity summary'!J173)="x",$BI54*J54,VALUE('Capacity summary'!J173)),0),J54*$BI54),J54*$BI54),0)</f>
        <v>0</v>
      </c>
      <c r="BN54" s="311">
        <f>IF($BI54&lt;&gt;"",IF('Capacity summary'!$D$14="Yes",IF(COUNTBLANK('Capacity summary'!$H173:$BG173)&lt;52,IF('Capacity summary'!K173&lt;&gt;"",IF(LOWER('Capacity summary'!K173)="x",$BI54*K54,VALUE('Capacity summary'!K173)),0),K54*$BI54),K54*$BI54),0)</f>
        <v>0</v>
      </c>
      <c r="BO54" s="311">
        <f>IF($BI54&lt;&gt;"",IF('Capacity summary'!$D$14="Yes",IF(COUNTBLANK('Capacity summary'!$H173:$BG173)&lt;52,IF('Capacity summary'!L173&lt;&gt;"",IF(LOWER('Capacity summary'!L173)="x",$BI54*L54,VALUE('Capacity summary'!L173)),0),L54*$BI54),L54*$BI54),0)</f>
        <v>0</v>
      </c>
      <c r="BP54" s="311">
        <f>IF($BI54&lt;&gt;"",IF('Capacity summary'!$D$14="Yes",IF(COUNTBLANK('Capacity summary'!$H173:$BG173)&lt;52,IF('Capacity summary'!M173&lt;&gt;"",IF(LOWER('Capacity summary'!M173)="x",$BI54*M54,VALUE('Capacity summary'!M173)),0),M54*$BI54),M54*$BI54),0)</f>
        <v>0</v>
      </c>
      <c r="BQ54" s="311">
        <f>IF($BI54&lt;&gt;"",IF('Capacity summary'!$D$14="Yes",IF(COUNTBLANK('Capacity summary'!$H173:$BG173)&lt;52,IF('Capacity summary'!N173&lt;&gt;"",IF(LOWER('Capacity summary'!N173)="x",$BI54*N54,VALUE('Capacity summary'!N173)),0),N54*$BI54),N54*$BI54),0)</f>
        <v>0</v>
      </c>
      <c r="BR54" s="311">
        <f>IF($BI54&lt;&gt;"",IF('Capacity summary'!$D$14="Yes",IF(COUNTBLANK('Capacity summary'!$H173:$BG173)&lt;52,IF('Capacity summary'!O173&lt;&gt;"",IF(LOWER('Capacity summary'!O173)="x",$BI54*O54,VALUE('Capacity summary'!O173)),0),O54*$BI54),O54*$BI54),0)</f>
        <v>0</v>
      </c>
      <c r="BS54" s="311">
        <f>IF($BI54&lt;&gt;"",IF('Capacity summary'!$D$14="Yes",IF(COUNTBLANK('Capacity summary'!$H173:$BG173)&lt;52,IF('Capacity summary'!P173&lt;&gt;"",IF(LOWER('Capacity summary'!P173)="x",$BI54*P54,VALUE('Capacity summary'!P173)),0),P54*$BI54),P54*$BI54),0)</f>
        <v>0</v>
      </c>
      <c r="BT54" s="311">
        <f>IF($BI54&lt;&gt;"",IF('Capacity summary'!$D$14="Yes",IF(COUNTBLANK('Capacity summary'!$H173:$BG173)&lt;52,IF('Capacity summary'!Q173&lt;&gt;"",IF(LOWER('Capacity summary'!Q173)="x",$BI54*Q54,VALUE('Capacity summary'!Q173)),0),Q54*$BI54),Q54*$BI54),0)</f>
        <v>0</v>
      </c>
      <c r="BU54" s="311">
        <f>IF($BI54&lt;&gt;"",IF('Capacity summary'!$D$14="Yes",IF(COUNTBLANK('Capacity summary'!$H173:$BG173)&lt;52,IF('Capacity summary'!R173&lt;&gt;"",IF(LOWER('Capacity summary'!R173)="x",$BI54*R54,VALUE('Capacity summary'!R173)),0),R54*$BI54),R54*$BI54),0)</f>
        <v>0</v>
      </c>
      <c r="BV54" s="311">
        <f>IF($BI54&lt;&gt;"",IF('Capacity summary'!$D$14="Yes",IF(COUNTBLANK('Capacity summary'!$H173:$BG173)&lt;52,IF('Capacity summary'!S173&lt;&gt;"",IF(LOWER('Capacity summary'!S173)="x",$BI54*S54,VALUE('Capacity summary'!S173)),0),S54*$BI54),S54*$BI54),0)</f>
        <v>0</v>
      </c>
      <c r="BW54" s="311">
        <f>IF($BI54&lt;&gt;"",IF('Capacity summary'!$D$14="Yes",IF(COUNTBLANK('Capacity summary'!$H173:$BG173)&lt;52,IF('Capacity summary'!T173&lt;&gt;"",IF(LOWER('Capacity summary'!T173)="x",$BI54*T54,VALUE('Capacity summary'!T173)),0),T54*$BI54),T54*$BI54),0)</f>
        <v>0</v>
      </c>
      <c r="BX54" s="311">
        <f>IF($BI54&lt;&gt;"",IF('Capacity summary'!$D$14="Yes",IF(COUNTBLANK('Capacity summary'!$H173:$BG173)&lt;52,IF('Capacity summary'!U173&lt;&gt;"",IF(LOWER('Capacity summary'!U173)="x",$BI54*U54,VALUE('Capacity summary'!U173)),0),U54*$BI54),U54*$BI54),0)</f>
        <v>0</v>
      </c>
      <c r="BY54" s="311">
        <f>IF($BI54&lt;&gt;"",IF('Capacity summary'!$D$14="Yes",IF(COUNTBLANK('Capacity summary'!$H173:$BG173)&lt;52,IF('Capacity summary'!V173&lt;&gt;"",IF(LOWER('Capacity summary'!V173)="x",$BI54*V54,VALUE('Capacity summary'!V173)),0),V54*$BI54),V54*$BI54),0)</f>
        <v>0</v>
      </c>
      <c r="BZ54" s="311">
        <f>IF($BI54&lt;&gt;"",IF('Capacity summary'!$D$14="Yes",IF(COUNTBLANK('Capacity summary'!$H173:$BG173)&lt;52,IF('Capacity summary'!W173&lt;&gt;"",IF(LOWER('Capacity summary'!W173)="x",$BI54*W54,VALUE('Capacity summary'!W173)),0),W54*$BI54),W54*$BI54),0)</f>
        <v>0</v>
      </c>
      <c r="CA54" s="311">
        <f>IF($BI54&lt;&gt;"",IF('Capacity summary'!$D$14="Yes",IF(COUNTBLANK('Capacity summary'!$H173:$BG173)&lt;52,IF('Capacity summary'!X173&lt;&gt;"",IF(LOWER('Capacity summary'!X173)="x",$BI54*X54,VALUE('Capacity summary'!X173)),0),X54*$BI54),X54*$BI54),0)</f>
        <v>0</v>
      </c>
      <c r="CB54" s="311">
        <f>IF($BI54&lt;&gt;"",IF('Capacity summary'!$D$14="Yes",IF(COUNTBLANK('Capacity summary'!$H173:$BG173)&lt;52,IF('Capacity summary'!Y173&lt;&gt;"",IF(LOWER('Capacity summary'!Y173)="x",$BI54*Y54,VALUE('Capacity summary'!Y173)),0),Y54*$BI54),Y54*$BI54),0)</f>
        <v>0</v>
      </c>
      <c r="CC54" s="311">
        <f>IF($BI54&lt;&gt;"",IF('Capacity summary'!$D$14="Yes",IF(COUNTBLANK('Capacity summary'!$H173:$BG173)&lt;52,IF('Capacity summary'!Z173&lt;&gt;"",IF(LOWER('Capacity summary'!Z173)="x",$BI54*Z54,VALUE('Capacity summary'!Z173)),0),Z54*$BI54),Z54*$BI54),0)</f>
        <v>0</v>
      </c>
      <c r="CD54" s="311">
        <f>IF($BI54&lt;&gt;"",IF('Capacity summary'!$D$14="Yes",IF(COUNTBLANK('Capacity summary'!$H173:$BG173)&lt;52,IF('Capacity summary'!AA173&lt;&gt;"",IF(LOWER('Capacity summary'!AA173)="x",$BI54*AA54,VALUE('Capacity summary'!AA173)),0),AA54*$BI54),AA54*$BI54),0)</f>
        <v>0</v>
      </c>
      <c r="CE54" s="311">
        <f>IF($BI54&lt;&gt;"",IF('Capacity summary'!$D$14="Yes",IF(COUNTBLANK('Capacity summary'!$H173:$BG173)&lt;52,IF('Capacity summary'!AB173&lt;&gt;"",IF(LOWER('Capacity summary'!AB173)="x",$BI54*AB54,VALUE('Capacity summary'!AB173)),0),AB54*$BI54),AB54*$BI54),0)</f>
        <v>0</v>
      </c>
      <c r="CF54" s="311">
        <f>IF($BI54&lt;&gt;"",IF('Capacity summary'!$D$14="Yes",IF(COUNTBLANK('Capacity summary'!$H173:$BG173)&lt;52,IF('Capacity summary'!AC173&lt;&gt;"",IF(LOWER('Capacity summary'!AC173)="x",$BI54*AC54,VALUE('Capacity summary'!AC173)),0),AC54*$BI54),AC54*$BI54),0)</f>
        <v>0</v>
      </c>
      <c r="CG54" s="311">
        <f>IF($BI54&lt;&gt;"",IF('Capacity summary'!$D$14="Yes",IF(COUNTBLANK('Capacity summary'!$H173:$BG173)&lt;52,IF('Capacity summary'!AD173&lt;&gt;"",IF(LOWER('Capacity summary'!AD173)="x",$BI54*AD54,VALUE('Capacity summary'!AD173)),0),AD54*$BI54),AD54*$BI54),0)</f>
        <v>0</v>
      </c>
      <c r="CH54" s="311">
        <f>IF($BI54&lt;&gt;"",IF('Capacity summary'!$D$14="Yes",IF(COUNTBLANK('Capacity summary'!$H173:$BG173)&lt;52,IF('Capacity summary'!AE173&lt;&gt;"",IF(LOWER('Capacity summary'!AE173)="x",$BI54*AE54,VALUE('Capacity summary'!AE173)),0),AE54*$BI54),AE54*$BI54),0)</f>
        <v>0</v>
      </c>
      <c r="CI54" s="311">
        <f>IF($BI54&lt;&gt;"",IF('Capacity summary'!$D$14="Yes",IF(COUNTBLANK('Capacity summary'!$H173:$BG173)&lt;52,IF('Capacity summary'!AF173&lt;&gt;"",IF(LOWER('Capacity summary'!AF173)="x",$BI54*AF54,VALUE('Capacity summary'!AF173)),0),AF54*$BI54),AF54*$BI54),0)</f>
        <v>0</v>
      </c>
      <c r="CJ54" s="311">
        <f>IF($BI54&lt;&gt;"",IF('Capacity summary'!$D$14="Yes",IF(COUNTBLANK('Capacity summary'!$H173:$BG173)&lt;52,IF('Capacity summary'!AG173&lt;&gt;"",IF(LOWER('Capacity summary'!AG173)="x",$BI54*AG54,VALUE('Capacity summary'!AG173)),0),AG54*$BI54),AG54*$BI54),0)</f>
        <v>0</v>
      </c>
      <c r="CK54" s="311">
        <f>IF($BI54&lt;&gt;"",IF('Capacity summary'!$D$14="Yes",IF(COUNTBLANK('Capacity summary'!$H173:$BG173)&lt;52,IF('Capacity summary'!AH173&lt;&gt;"",IF(LOWER('Capacity summary'!AH173)="x",$BI54*AH54,VALUE('Capacity summary'!AH173)),0),AH54*$BI54),AH54*$BI54),0)</f>
        <v>0</v>
      </c>
      <c r="CL54" s="311">
        <f>IF($BI54&lt;&gt;"",IF('Capacity summary'!$D$14="Yes",IF(COUNTBLANK('Capacity summary'!$H173:$BG173)&lt;52,IF('Capacity summary'!AI173&lt;&gt;"",IF(LOWER('Capacity summary'!AI173)="x",$BI54*AI54,VALUE('Capacity summary'!AI173)),0),AI54*$BI54),AI54*$BI54),0)</f>
        <v>0</v>
      </c>
      <c r="CM54" s="311">
        <f>IF($BI54&lt;&gt;"",IF('Capacity summary'!$D$14="Yes",IF(COUNTBLANK('Capacity summary'!$H173:$BG173)&lt;52,IF('Capacity summary'!AJ173&lt;&gt;"",IF(LOWER('Capacity summary'!AJ173)="x",$BI54*AJ54,VALUE('Capacity summary'!AJ173)),0),AJ54*$BI54),AJ54*$BI54),0)</f>
        <v>0</v>
      </c>
      <c r="CN54" s="311">
        <f>IF($BI54&lt;&gt;"",IF('Capacity summary'!$D$14="Yes",IF(COUNTBLANK('Capacity summary'!$H173:$BG173)&lt;52,IF('Capacity summary'!AK173&lt;&gt;"",IF(LOWER('Capacity summary'!AK173)="x",$BI54*AK54,VALUE('Capacity summary'!AK173)),0),AK54*$BI54),AK54*$BI54),0)</f>
        <v>0</v>
      </c>
      <c r="CO54" s="311">
        <f>IF($BI54&lt;&gt;"",IF('Capacity summary'!$D$14="Yes",IF(COUNTBLANK('Capacity summary'!$H173:$BG173)&lt;52,IF('Capacity summary'!AL173&lt;&gt;"",IF(LOWER('Capacity summary'!AL173)="x",$BI54*AL54,VALUE('Capacity summary'!AL173)),0),AL54*$BI54),AL54*$BI54),0)</f>
        <v>0</v>
      </c>
      <c r="CP54" s="311">
        <f>IF($BI54&lt;&gt;"",IF('Capacity summary'!$D$14="Yes",IF(COUNTBLANK('Capacity summary'!$H173:$BG173)&lt;52,IF('Capacity summary'!AM173&lt;&gt;"",IF(LOWER('Capacity summary'!AM173)="x",$BI54*AM54,VALUE('Capacity summary'!AM173)),0),AM54*$BI54),AM54*$BI54),0)</f>
        <v>0</v>
      </c>
      <c r="CQ54" s="311">
        <f>IF($BI54&lt;&gt;"",IF('Capacity summary'!$D$14="Yes",IF(COUNTBLANK('Capacity summary'!$H173:$BG173)&lt;52,IF('Capacity summary'!AN173&lt;&gt;"",IF(LOWER('Capacity summary'!AN173)="x",$BI54*AN54,VALUE('Capacity summary'!AN173)),0),AN54*$BI54),AN54*$BI54),0)</f>
        <v>0</v>
      </c>
      <c r="CR54" s="311">
        <f>IF($BI54&lt;&gt;"",IF('Capacity summary'!$D$14="Yes",IF(COUNTBLANK('Capacity summary'!$H173:$BG173)&lt;52,IF('Capacity summary'!AO173&lt;&gt;"",IF(LOWER('Capacity summary'!AO173)="x",$BI54*AO54,VALUE('Capacity summary'!AO173)),0),AO54*$BI54),AO54*$BI54),0)</f>
        <v>0</v>
      </c>
      <c r="CS54" s="311">
        <f>IF($BI54&lt;&gt;"",IF('Capacity summary'!$D$14="Yes",IF(COUNTBLANK('Capacity summary'!$H173:$BG173)&lt;52,IF('Capacity summary'!AP173&lt;&gt;"",IF(LOWER('Capacity summary'!AP173)="x",$BI54*AP54,VALUE('Capacity summary'!AP173)),0),AP54*$BI54),AP54*$BI54),0)</f>
        <v>0</v>
      </c>
      <c r="CT54" s="311">
        <f>IF($BI54&lt;&gt;"",IF('Capacity summary'!$D$14="Yes",IF(COUNTBLANK('Capacity summary'!$H173:$BG173)&lt;52,IF('Capacity summary'!AQ173&lt;&gt;"",IF(LOWER('Capacity summary'!AQ173)="x",$BI54*AQ54,VALUE('Capacity summary'!AQ173)),0),AQ54*$BI54),AQ54*$BI54),0)</f>
        <v>0</v>
      </c>
      <c r="CU54" s="311">
        <f>IF($BI54&lt;&gt;"",IF('Capacity summary'!$D$14="Yes",IF(COUNTBLANK('Capacity summary'!$H173:$BG173)&lt;52,IF('Capacity summary'!AR173&lt;&gt;"",IF(LOWER('Capacity summary'!AR173)="x",$BI54*AR54,VALUE('Capacity summary'!AR173)),0),AR54*$BI54),AR54*$BI54),0)</f>
        <v>0</v>
      </c>
      <c r="CV54" s="311">
        <f>IF($BI54&lt;&gt;"",IF('Capacity summary'!$D$14="Yes",IF(COUNTBLANK('Capacity summary'!$H173:$BG173)&lt;52,IF('Capacity summary'!AS173&lt;&gt;"",IF(LOWER('Capacity summary'!AS173)="x",$BI54*AS54,VALUE('Capacity summary'!AS173)),0),AS54*$BI54),AS54*$BI54),0)</f>
        <v>0</v>
      </c>
      <c r="CW54" s="311">
        <f>IF($BI54&lt;&gt;"",IF('Capacity summary'!$D$14="Yes",IF(COUNTBLANK('Capacity summary'!$H173:$BG173)&lt;52,IF('Capacity summary'!AT173&lt;&gt;"",IF(LOWER('Capacity summary'!AT173)="x",$BI54*AT54,VALUE('Capacity summary'!AT173)),0),AT54*$BI54),AT54*$BI54),0)</f>
        <v>0</v>
      </c>
      <c r="CX54" s="311">
        <f>IF($BI54&lt;&gt;"",IF('Capacity summary'!$D$14="Yes",IF(COUNTBLANK('Capacity summary'!$H173:$BG173)&lt;52,IF('Capacity summary'!AU173&lt;&gt;"",IF(LOWER('Capacity summary'!AU173)="x",$BI54*AU54,VALUE('Capacity summary'!AU173)),0),AU54*$BI54),AU54*$BI54),0)</f>
        <v>0</v>
      </c>
      <c r="CY54" s="311">
        <f>IF($BI54&lt;&gt;"",IF('Capacity summary'!$D$14="Yes",IF(COUNTBLANK('Capacity summary'!$H173:$BG173)&lt;52,IF('Capacity summary'!AV173&lt;&gt;"",IF(LOWER('Capacity summary'!AV173)="x",$BI54*AV54,VALUE('Capacity summary'!AV173)),0),AV54*$BI54),AV54*$BI54),0)</f>
        <v>0</v>
      </c>
      <c r="CZ54" s="311">
        <f>IF($BI54&lt;&gt;"",IF('Capacity summary'!$D$14="Yes",IF(COUNTBLANK('Capacity summary'!$H173:$BG173)&lt;52,IF('Capacity summary'!AW173&lt;&gt;"",IF(LOWER('Capacity summary'!AW173)="x",$BI54*AW54,VALUE('Capacity summary'!AW173)),0),AW54*$BI54),AW54*$BI54),0)</f>
        <v>0</v>
      </c>
      <c r="DA54" s="311">
        <f>IF($BI54&lt;&gt;"",IF('Capacity summary'!$D$14="Yes",IF(COUNTBLANK('Capacity summary'!$H173:$BG173)&lt;52,IF('Capacity summary'!AX173&lt;&gt;"",IF(LOWER('Capacity summary'!AX173)="x",$BI54*AX54,VALUE('Capacity summary'!AX173)),0),AX54*$BI54),AX54*$BI54),0)</f>
        <v>0</v>
      </c>
      <c r="DB54" s="311">
        <f>IF($BI54&lt;&gt;"",IF('Capacity summary'!$D$14="Yes",IF(COUNTBLANK('Capacity summary'!$H173:$BG173)&lt;52,IF('Capacity summary'!AY173&lt;&gt;"",IF(LOWER('Capacity summary'!AY173)="x",$BI54*AY54,VALUE('Capacity summary'!AY173)),0),AY54*$BI54),AY54*$BI54),0)</f>
        <v>0</v>
      </c>
      <c r="DC54" s="311">
        <f>IF($BI54&lt;&gt;"",IF('Capacity summary'!$D$14="Yes",IF(COUNTBLANK('Capacity summary'!$H173:$BG173)&lt;52,IF('Capacity summary'!AZ173&lt;&gt;"",IF(LOWER('Capacity summary'!AZ173)="x",$BI54*AZ54,VALUE('Capacity summary'!AZ173)),0),AZ54*$BI54),AZ54*$BI54),0)</f>
        <v>0</v>
      </c>
      <c r="DD54" s="311">
        <f>IF($BI54&lt;&gt;"",IF('Capacity summary'!$D$14="Yes",IF(COUNTBLANK('Capacity summary'!$H173:$BG173)&lt;52,IF('Capacity summary'!BA173&lt;&gt;"",IF(LOWER('Capacity summary'!BA173)="x",$BI54*BA54,VALUE('Capacity summary'!BA173)),0),BA54*$BI54),BA54*$BI54),0)</f>
        <v>0</v>
      </c>
      <c r="DE54" s="311">
        <f>IF($BI54&lt;&gt;"",IF('Capacity summary'!$D$14="Yes",IF(COUNTBLANK('Capacity summary'!$H173:$BG173)&lt;52,IF('Capacity summary'!BB173&lt;&gt;"",IF(LOWER('Capacity summary'!BB173)="x",$BI54*BB54,VALUE('Capacity summary'!BB173)),0),BB54*$BI54),BB54*$BI54),0)</f>
        <v>0</v>
      </c>
      <c r="DF54" s="311">
        <f>IF($BI54&lt;&gt;"",IF('Capacity summary'!$D$14="Yes",IF(COUNTBLANK('Capacity summary'!$H173:$BG173)&lt;52,IF('Capacity summary'!BC173&lt;&gt;"",IF(LOWER('Capacity summary'!BC173)="x",$BI54*BC54,VALUE('Capacity summary'!BC173)),0),BC54*$BI54),BC54*$BI54),0)</f>
        <v>0</v>
      </c>
      <c r="DG54" s="311">
        <f>IF($BI54&lt;&gt;"",IF('Capacity summary'!$D$14="Yes",IF(COUNTBLANK('Capacity summary'!$H173:$BG173)&lt;52,IF('Capacity summary'!BD173&lt;&gt;"",IF(LOWER('Capacity summary'!BD173)="x",$BI54*BD54,VALUE('Capacity summary'!BD173)),0),BD54*$BI54),BD54*$BI54),0)</f>
        <v>0</v>
      </c>
      <c r="DH54" s="311">
        <f>IF($BI54&lt;&gt;"",IF('Capacity summary'!$D$14="Yes",IF(COUNTBLANK('Capacity summary'!$H173:$BG173)&lt;52,IF('Capacity summary'!BE173&lt;&gt;"",IF(LOWER('Capacity summary'!BE173)="x",$BI54*BE54,VALUE('Capacity summary'!BE173)),0),BE54*$BI54),BE54*$BI54),0)</f>
        <v>0</v>
      </c>
      <c r="DI54" s="311">
        <f>IF($BI54&lt;&gt;"",IF('Capacity summary'!$D$14="Yes",IF(COUNTBLANK('Capacity summary'!$H173:$BG173)&lt;52,IF('Capacity summary'!BF173&lt;&gt;"",IF(LOWER('Capacity summary'!BF173)="x",$BI54*BF54,VALUE('Capacity summary'!BF173)),0),BF54*$BI54),BF54*$BI54),0)</f>
        <v>0</v>
      </c>
      <c r="DJ54" s="311">
        <f>IF($BI54&lt;&gt;"",IF('Capacity summary'!$D$14="Yes",IF(COUNTBLANK('Capacity summary'!$H173:$BG173)&lt;52,IF('Capacity summary'!BG173&lt;&gt;"",IF(LOWER('Capacity summary'!BG173)="x",$BI54*BG54,VALUE('Capacity summary'!BG173)),0),BG54*$BI54),BG54*$BI54),0)</f>
        <v>0</v>
      </c>
      <c r="DK54" s="387">
        <f t="shared" si="2"/>
        <v>0</v>
      </c>
      <c r="DL54" s="136">
        <f t="shared" si="3"/>
        <v>0</v>
      </c>
      <c r="DM54" s="311" t="str">
        <f>Capacity!H66</f>
        <v/>
      </c>
      <c r="DQ54" s="5"/>
    </row>
    <row r="55" spans="1:121" x14ac:dyDescent="0.2">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1">
        <f>IF($BI55&lt;&gt;"",IF('Capacity summary'!$D$14="Yes",IF(COUNTBLANK('Capacity summary'!$H174:$BG174)&lt;52,IF('Capacity summary'!H174&lt;&gt;"",IF(LOWER('Capacity summary'!H174)="x",$BI55*H55,VALUE('Capacity summary'!H174)),0),H55*$BI55),H55*$BI55),0)</f>
        <v>0</v>
      </c>
      <c r="BL55" s="311">
        <f>IF($BI55&lt;&gt;"",IF('Capacity summary'!$D$14="Yes",IF(COUNTBLANK('Capacity summary'!$H174:$BG174)&lt;52,IF('Capacity summary'!I174&lt;&gt;"",IF(LOWER('Capacity summary'!I174)="x",$BI55*I55,VALUE('Capacity summary'!I174)),0),I55*$BI55),I55*$BI55),0)</f>
        <v>0</v>
      </c>
      <c r="BM55" s="311">
        <f>IF($BI55&lt;&gt;"",IF('Capacity summary'!$D$14="Yes",IF(COUNTBLANK('Capacity summary'!$H174:$BG174)&lt;52,IF('Capacity summary'!J174&lt;&gt;"",IF(LOWER('Capacity summary'!J174)="x",$BI55*J55,VALUE('Capacity summary'!J174)),0),J55*$BI55),J55*$BI55),0)</f>
        <v>0</v>
      </c>
      <c r="BN55" s="311">
        <f>IF($BI55&lt;&gt;"",IF('Capacity summary'!$D$14="Yes",IF(COUNTBLANK('Capacity summary'!$H174:$BG174)&lt;52,IF('Capacity summary'!K174&lt;&gt;"",IF(LOWER('Capacity summary'!K174)="x",$BI55*K55,VALUE('Capacity summary'!K174)),0),K55*$BI55),K55*$BI55),0)</f>
        <v>0</v>
      </c>
      <c r="BO55" s="311">
        <f>IF($BI55&lt;&gt;"",IF('Capacity summary'!$D$14="Yes",IF(COUNTBLANK('Capacity summary'!$H174:$BG174)&lt;52,IF('Capacity summary'!L174&lt;&gt;"",IF(LOWER('Capacity summary'!L174)="x",$BI55*L55,VALUE('Capacity summary'!L174)),0),L55*$BI55),L55*$BI55),0)</f>
        <v>0</v>
      </c>
      <c r="BP55" s="311">
        <f>IF($BI55&lt;&gt;"",IF('Capacity summary'!$D$14="Yes",IF(COUNTBLANK('Capacity summary'!$H174:$BG174)&lt;52,IF('Capacity summary'!M174&lt;&gt;"",IF(LOWER('Capacity summary'!M174)="x",$BI55*M55,VALUE('Capacity summary'!M174)),0),M55*$BI55),M55*$BI55),0)</f>
        <v>0</v>
      </c>
      <c r="BQ55" s="311">
        <f>IF($BI55&lt;&gt;"",IF('Capacity summary'!$D$14="Yes",IF(COUNTBLANK('Capacity summary'!$H174:$BG174)&lt;52,IF('Capacity summary'!N174&lt;&gt;"",IF(LOWER('Capacity summary'!N174)="x",$BI55*N55,VALUE('Capacity summary'!N174)),0),N55*$BI55),N55*$BI55),0)</f>
        <v>0</v>
      </c>
      <c r="BR55" s="311">
        <f>IF($BI55&lt;&gt;"",IF('Capacity summary'!$D$14="Yes",IF(COUNTBLANK('Capacity summary'!$H174:$BG174)&lt;52,IF('Capacity summary'!O174&lt;&gt;"",IF(LOWER('Capacity summary'!O174)="x",$BI55*O55,VALUE('Capacity summary'!O174)),0),O55*$BI55),O55*$BI55),0)</f>
        <v>0</v>
      </c>
      <c r="BS55" s="311">
        <f>IF($BI55&lt;&gt;"",IF('Capacity summary'!$D$14="Yes",IF(COUNTBLANK('Capacity summary'!$H174:$BG174)&lt;52,IF('Capacity summary'!P174&lt;&gt;"",IF(LOWER('Capacity summary'!P174)="x",$BI55*P55,VALUE('Capacity summary'!P174)),0),P55*$BI55),P55*$BI55),0)</f>
        <v>0</v>
      </c>
      <c r="BT55" s="311">
        <f>IF($BI55&lt;&gt;"",IF('Capacity summary'!$D$14="Yes",IF(COUNTBLANK('Capacity summary'!$H174:$BG174)&lt;52,IF('Capacity summary'!Q174&lt;&gt;"",IF(LOWER('Capacity summary'!Q174)="x",$BI55*Q55,VALUE('Capacity summary'!Q174)),0),Q55*$BI55),Q55*$BI55),0)</f>
        <v>0</v>
      </c>
      <c r="BU55" s="311">
        <f>IF($BI55&lt;&gt;"",IF('Capacity summary'!$D$14="Yes",IF(COUNTBLANK('Capacity summary'!$H174:$BG174)&lt;52,IF('Capacity summary'!R174&lt;&gt;"",IF(LOWER('Capacity summary'!R174)="x",$BI55*R55,VALUE('Capacity summary'!R174)),0),R55*$BI55),R55*$BI55),0)</f>
        <v>0</v>
      </c>
      <c r="BV55" s="311">
        <f>IF($BI55&lt;&gt;"",IF('Capacity summary'!$D$14="Yes",IF(COUNTBLANK('Capacity summary'!$H174:$BG174)&lt;52,IF('Capacity summary'!S174&lt;&gt;"",IF(LOWER('Capacity summary'!S174)="x",$BI55*S55,VALUE('Capacity summary'!S174)),0),S55*$BI55),S55*$BI55),0)</f>
        <v>0</v>
      </c>
      <c r="BW55" s="311">
        <f>IF($BI55&lt;&gt;"",IF('Capacity summary'!$D$14="Yes",IF(COUNTBLANK('Capacity summary'!$H174:$BG174)&lt;52,IF('Capacity summary'!T174&lt;&gt;"",IF(LOWER('Capacity summary'!T174)="x",$BI55*T55,VALUE('Capacity summary'!T174)),0),T55*$BI55),T55*$BI55),0)</f>
        <v>0</v>
      </c>
      <c r="BX55" s="311">
        <f>IF($BI55&lt;&gt;"",IF('Capacity summary'!$D$14="Yes",IF(COUNTBLANK('Capacity summary'!$H174:$BG174)&lt;52,IF('Capacity summary'!U174&lt;&gt;"",IF(LOWER('Capacity summary'!U174)="x",$BI55*U55,VALUE('Capacity summary'!U174)),0),U55*$BI55),U55*$BI55),0)</f>
        <v>0</v>
      </c>
      <c r="BY55" s="311">
        <f>IF($BI55&lt;&gt;"",IF('Capacity summary'!$D$14="Yes",IF(COUNTBLANK('Capacity summary'!$H174:$BG174)&lt;52,IF('Capacity summary'!V174&lt;&gt;"",IF(LOWER('Capacity summary'!V174)="x",$BI55*V55,VALUE('Capacity summary'!V174)),0),V55*$BI55),V55*$BI55),0)</f>
        <v>0</v>
      </c>
      <c r="BZ55" s="311">
        <f>IF($BI55&lt;&gt;"",IF('Capacity summary'!$D$14="Yes",IF(COUNTBLANK('Capacity summary'!$H174:$BG174)&lt;52,IF('Capacity summary'!W174&lt;&gt;"",IF(LOWER('Capacity summary'!W174)="x",$BI55*W55,VALUE('Capacity summary'!W174)),0),W55*$BI55),W55*$BI55),0)</f>
        <v>0</v>
      </c>
      <c r="CA55" s="311">
        <f>IF($BI55&lt;&gt;"",IF('Capacity summary'!$D$14="Yes",IF(COUNTBLANK('Capacity summary'!$H174:$BG174)&lt;52,IF('Capacity summary'!X174&lt;&gt;"",IF(LOWER('Capacity summary'!X174)="x",$BI55*X55,VALUE('Capacity summary'!X174)),0),X55*$BI55),X55*$BI55),0)</f>
        <v>0</v>
      </c>
      <c r="CB55" s="311">
        <f>IF($BI55&lt;&gt;"",IF('Capacity summary'!$D$14="Yes",IF(COUNTBLANK('Capacity summary'!$H174:$BG174)&lt;52,IF('Capacity summary'!Y174&lt;&gt;"",IF(LOWER('Capacity summary'!Y174)="x",$BI55*Y55,VALUE('Capacity summary'!Y174)),0),Y55*$BI55),Y55*$BI55),0)</f>
        <v>0</v>
      </c>
      <c r="CC55" s="311">
        <f>IF($BI55&lt;&gt;"",IF('Capacity summary'!$D$14="Yes",IF(COUNTBLANK('Capacity summary'!$H174:$BG174)&lt;52,IF('Capacity summary'!Z174&lt;&gt;"",IF(LOWER('Capacity summary'!Z174)="x",$BI55*Z55,VALUE('Capacity summary'!Z174)),0),Z55*$BI55),Z55*$BI55),0)</f>
        <v>0</v>
      </c>
      <c r="CD55" s="311">
        <f>IF($BI55&lt;&gt;"",IF('Capacity summary'!$D$14="Yes",IF(COUNTBLANK('Capacity summary'!$H174:$BG174)&lt;52,IF('Capacity summary'!AA174&lt;&gt;"",IF(LOWER('Capacity summary'!AA174)="x",$BI55*AA55,VALUE('Capacity summary'!AA174)),0),AA55*$BI55),AA55*$BI55),0)</f>
        <v>0</v>
      </c>
      <c r="CE55" s="311">
        <f>IF($BI55&lt;&gt;"",IF('Capacity summary'!$D$14="Yes",IF(COUNTBLANK('Capacity summary'!$H174:$BG174)&lt;52,IF('Capacity summary'!AB174&lt;&gt;"",IF(LOWER('Capacity summary'!AB174)="x",$BI55*AB55,VALUE('Capacity summary'!AB174)),0),AB55*$BI55),AB55*$BI55),0)</f>
        <v>0</v>
      </c>
      <c r="CF55" s="311">
        <f>IF($BI55&lt;&gt;"",IF('Capacity summary'!$D$14="Yes",IF(COUNTBLANK('Capacity summary'!$H174:$BG174)&lt;52,IF('Capacity summary'!AC174&lt;&gt;"",IF(LOWER('Capacity summary'!AC174)="x",$BI55*AC55,VALUE('Capacity summary'!AC174)),0),AC55*$BI55),AC55*$BI55),0)</f>
        <v>0</v>
      </c>
      <c r="CG55" s="311">
        <f>IF($BI55&lt;&gt;"",IF('Capacity summary'!$D$14="Yes",IF(COUNTBLANK('Capacity summary'!$H174:$BG174)&lt;52,IF('Capacity summary'!AD174&lt;&gt;"",IF(LOWER('Capacity summary'!AD174)="x",$BI55*AD55,VALUE('Capacity summary'!AD174)),0),AD55*$BI55),AD55*$BI55),0)</f>
        <v>0</v>
      </c>
      <c r="CH55" s="311">
        <f>IF($BI55&lt;&gt;"",IF('Capacity summary'!$D$14="Yes",IF(COUNTBLANK('Capacity summary'!$H174:$BG174)&lt;52,IF('Capacity summary'!AE174&lt;&gt;"",IF(LOWER('Capacity summary'!AE174)="x",$BI55*AE55,VALUE('Capacity summary'!AE174)),0),AE55*$BI55),AE55*$BI55),0)</f>
        <v>0</v>
      </c>
      <c r="CI55" s="311">
        <f>IF($BI55&lt;&gt;"",IF('Capacity summary'!$D$14="Yes",IF(COUNTBLANK('Capacity summary'!$H174:$BG174)&lt;52,IF('Capacity summary'!AF174&lt;&gt;"",IF(LOWER('Capacity summary'!AF174)="x",$BI55*AF55,VALUE('Capacity summary'!AF174)),0),AF55*$BI55),AF55*$BI55),0)</f>
        <v>0</v>
      </c>
      <c r="CJ55" s="311">
        <f>IF($BI55&lt;&gt;"",IF('Capacity summary'!$D$14="Yes",IF(COUNTBLANK('Capacity summary'!$H174:$BG174)&lt;52,IF('Capacity summary'!AG174&lt;&gt;"",IF(LOWER('Capacity summary'!AG174)="x",$BI55*AG55,VALUE('Capacity summary'!AG174)),0),AG55*$BI55),AG55*$BI55),0)</f>
        <v>0</v>
      </c>
      <c r="CK55" s="311">
        <f>IF($BI55&lt;&gt;"",IF('Capacity summary'!$D$14="Yes",IF(COUNTBLANK('Capacity summary'!$H174:$BG174)&lt;52,IF('Capacity summary'!AH174&lt;&gt;"",IF(LOWER('Capacity summary'!AH174)="x",$BI55*AH55,VALUE('Capacity summary'!AH174)),0),AH55*$BI55),AH55*$BI55),0)</f>
        <v>0</v>
      </c>
      <c r="CL55" s="311">
        <f>IF($BI55&lt;&gt;"",IF('Capacity summary'!$D$14="Yes",IF(COUNTBLANK('Capacity summary'!$H174:$BG174)&lt;52,IF('Capacity summary'!AI174&lt;&gt;"",IF(LOWER('Capacity summary'!AI174)="x",$BI55*AI55,VALUE('Capacity summary'!AI174)),0),AI55*$BI55),AI55*$BI55),0)</f>
        <v>0</v>
      </c>
      <c r="CM55" s="311">
        <f>IF($BI55&lt;&gt;"",IF('Capacity summary'!$D$14="Yes",IF(COUNTBLANK('Capacity summary'!$H174:$BG174)&lt;52,IF('Capacity summary'!AJ174&lt;&gt;"",IF(LOWER('Capacity summary'!AJ174)="x",$BI55*AJ55,VALUE('Capacity summary'!AJ174)),0),AJ55*$BI55),AJ55*$BI55),0)</f>
        <v>0</v>
      </c>
      <c r="CN55" s="311">
        <f>IF($BI55&lt;&gt;"",IF('Capacity summary'!$D$14="Yes",IF(COUNTBLANK('Capacity summary'!$H174:$BG174)&lt;52,IF('Capacity summary'!AK174&lt;&gt;"",IF(LOWER('Capacity summary'!AK174)="x",$BI55*AK55,VALUE('Capacity summary'!AK174)),0),AK55*$BI55),AK55*$BI55),0)</f>
        <v>0</v>
      </c>
      <c r="CO55" s="311">
        <f>IF($BI55&lt;&gt;"",IF('Capacity summary'!$D$14="Yes",IF(COUNTBLANK('Capacity summary'!$H174:$BG174)&lt;52,IF('Capacity summary'!AL174&lt;&gt;"",IF(LOWER('Capacity summary'!AL174)="x",$BI55*AL55,VALUE('Capacity summary'!AL174)),0),AL55*$BI55),AL55*$BI55),0)</f>
        <v>0</v>
      </c>
      <c r="CP55" s="311">
        <f>IF($BI55&lt;&gt;"",IF('Capacity summary'!$D$14="Yes",IF(COUNTBLANK('Capacity summary'!$H174:$BG174)&lt;52,IF('Capacity summary'!AM174&lt;&gt;"",IF(LOWER('Capacity summary'!AM174)="x",$BI55*AM55,VALUE('Capacity summary'!AM174)),0),AM55*$BI55),AM55*$BI55),0)</f>
        <v>0</v>
      </c>
      <c r="CQ55" s="311">
        <f>IF($BI55&lt;&gt;"",IF('Capacity summary'!$D$14="Yes",IF(COUNTBLANK('Capacity summary'!$H174:$BG174)&lt;52,IF('Capacity summary'!AN174&lt;&gt;"",IF(LOWER('Capacity summary'!AN174)="x",$BI55*AN55,VALUE('Capacity summary'!AN174)),0),AN55*$BI55),AN55*$BI55),0)</f>
        <v>0</v>
      </c>
      <c r="CR55" s="311">
        <f>IF($BI55&lt;&gt;"",IF('Capacity summary'!$D$14="Yes",IF(COUNTBLANK('Capacity summary'!$H174:$BG174)&lt;52,IF('Capacity summary'!AO174&lt;&gt;"",IF(LOWER('Capacity summary'!AO174)="x",$BI55*AO55,VALUE('Capacity summary'!AO174)),0),AO55*$BI55),AO55*$BI55),0)</f>
        <v>0</v>
      </c>
      <c r="CS55" s="311">
        <f>IF($BI55&lt;&gt;"",IF('Capacity summary'!$D$14="Yes",IF(COUNTBLANK('Capacity summary'!$H174:$BG174)&lt;52,IF('Capacity summary'!AP174&lt;&gt;"",IF(LOWER('Capacity summary'!AP174)="x",$BI55*AP55,VALUE('Capacity summary'!AP174)),0),AP55*$BI55),AP55*$BI55),0)</f>
        <v>0</v>
      </c>
      <c r="CT55" s="311">
        <f>IF($BI55&lt;&gt;"",IF('Capacity summary'!$D$14="Yes",IF(COUNTBLANK('Capacity summary'!$H174:$BG174)&lt;52,IF('Capacity summary'!AQ174&lt;&gt;"",IF(LOWER('Capacity summary'!AQ174)="x",$BI55*AQ55,VALUE('Capacity summary'!AQ174)),0),AQ55*$BI55),AQ55*$BI55),0)</f>
        <v>0</v>
      </c>
      <c r="CU55" s="311">
        <f>IF($BI55&lt;&gt;"",IF('Capacity summary'!$D$14="Yes",IF(COUNTBLANK('Capacity summary'!$H174:$BG174)&lt;52,IF('Capacity summary'!AR174&lt;&gt;"",IF(LOWER('Capacity summary'!AR174)="x",$BI55*AR55,VALUE('Capacity summary'!AR174)),0),AR55*$BI55),AR55*$BI55),0)</f>
        <v>0</v>
      </c>
      <c r="CV55" s="311">
        <f>IF($BI55&lt;&gt;"",IF('Capacity summary'!$D$14="Yes",IF(COUNTBLANK('Capacity summary'!$H174:$BG174)&lt;52,IF('Capacity summary'!AS174&lt;&gt;"",IF(LOWER('Capacity summary'!AS174)="x",$BI55*AS55,VALUE('Capacity summary'!AS174)),0),AS55*$BI55),AS55*$BI55),0)</f>
        <v>0</v>
      </c>
      <c r="CW55" s="311">
        <f>IF($BI55&lt;&gt;"",IF('Capacity summary'!$D$14="Yes",IF(COUNTBLANK('Capacity summary'!$H174:$BG174)&lt;52,IF('Capacity summary'!AT174&lt;&gt;"",IF(LOWER('Capacity summary'!AT174)="x",$BI55*AT55,VALUE('Capacity summary'!AT174)),0),AT55*$BI55),AT55*$BI55),0)</f>
        <v>0</v>
      </c>
      <c r="CX55" s="311">
        <f>IF($BI55&lt;&gt;"",IF('Capacity summary'!$D$14="Yes",IF(COUNTBLANK('Capacity summary'!$H174:$BG174)&lt;52,IF('Capacity summary'!AU174&lt;&gt;"",IF(LOWER('Capacity summary'!AU174)="x",$BI55*AU55,VALUE('Capacity summary'!AU174)),0),AU55*$BI55),AU55*$BI55),0)</f>
        <v>0</v>
      </c>
      <c r="CY55" s="311">
        <f>IF($BI55&lt;&gt;"",IF('Capacity summary'!$D$14="Yes",IF(COUNTBLANK('Capacity summary'!$H174:$BG174)&lt;52,IF('Capacity summary'!AV174&lt;&gt;"",IF(LOWER('Capacity summary'!AV174)="x",$BI55*AV55,VALUE('Capacity summary'!AV174)),0),AV55*$BI55),AV55*$BI55),0)</f>
        <v>0</v>
      </c>
      <c r="CZ55" s="311">
        <f>IF($BI55&lt;&gt;"",IF('Capacity summary'!$D$14="Yes",IF(COUNTBLANK('Capacity summary'!$H174:$BG174)&lt;52,IF('Capacity summary'!AW174&lt;&gt;"",IF(LOWER('Capacity summary'!AW174)="x",$BI55*AW55,VALUE('Capacity summary'!AW174)),0),AW55*$BI55),AW55*$BI55),0)</f>
        <v>0</v>
      </c>
      <c r="DA55" s="311">
        <f>IF($BI55&lt;&gt;"",IF('Capacity summary'!$D$14="Yes",IF(COUNTBLANK('Capacity summary'!$H174:$BG174)&lt;52,IF('Capacity summary'!AX174&lt;&gt;"",IF(LOWER('Capacity summary'!AX174)="x",$BI55*AX55,VALUE('Capacity summary'!AX174)),0),AX55*$BI55),AX55*$BI55),0)</f>
        <v>0</v>
      </c>
      <c r="DB55" s="311">
        <f>IF($BI55&lt;&gt;"",IF('Capacity summary'!$D$14="Yes",IF(COUNTBLANK('Capacity summary'!$H174:$BG174)&lt;52,IF('Capacity summary'!AY174&lt;&gt;"",IF(LOWER('Capacity summary'!AY174)="x",$BI55*AY55,VALUE('Capacity summary'!AY174)),0),AY55*$BI55),AY55*$BI55),0)</f>
        <v>0</v>
      </c>
      <c r="DC55" s="311">
        <f>IF($BI55&lt;&gt;"",IF('Capacity summary'!$D$14="Yes",IF(COUNTBLANK('Capacity summary'!$H174:$BG174)&lt;52,IF('Capacity summary'!AZ174&lt;&gt;"",IF(LOWER('Capacity summary'!AZ174)="x",$BI55*AZ55,VALUE('Capacity summary'!AZ174)),0),AZ55*$BI55),AZ55*$BI55),0)</f>
        <v>0</v>
      </c>
      <c r="DD55" s="311">
        <f>IF($BI55&lt;&gt;"",IF('Capacity summary'!$D$14="Yes",IF(COUNTBLANK('Capacity summary'!$H174:$BG174)&lt;52,IF('Capacity summary'!BA174&lt;&gt;"",IF(LOWER('Capacity summary'!BA174)="x",$BI55*BA55,VALUE('Capacity summary'!BA174)),0),BA55*$BI55),BA55*$BI55),0)</f>
        <v>0</v>
      </c>
      <c r="DE55" s="311">
        <f>IF($BI55&lt;&gt;"",IF('Capacity summary'!$D$14="Yes",IF(COUNTBLANK('Capacity summary'!$H174:$BG174)&lt;52,IF('Capacity summary'!BB174&lt;&gt;"",IF(LOWER('Capacity summary'!BB174)="x",$BI55*BB55,VALUE('Capacity summary'!BB174)),0),BB55*$BI55),BB55*$BI55),0)</f>
        <v>0</v>
      </c>
      <c r="DF55" s="311">
        <f>IF($BI55&lt;&gt;"",IF('Capacity summary'!$D$14="Yes",IF(COUNTBLANK('Capacity summary'!$H174:$BG174)&lt;52,IF('Capacity summary'!BC174&lt;&gt;"",IF(LOWER('Capacity summary'!BC174)="x",$BI55*BC55,VALUE('Capacity summary'!BC174)),0),BC55*$BI55),BC55*$BI55),0)</f>
        <v>0</v>
      </c>
      <c r="DG55" s="311">
        <f>IF($BI55&lt;&gt;"",IF('Capacity summary'!$D$14="Yes",IF(COUNTBLANK('Capacity summary'!$H174:$BG174)&lt;52,IF('Capacity summary'!BD174&lt;&gt;"",IF(LOWER('Capacity summary'!BD174)="x",$BI55*BD55,VALUE('Capacity summary'!BD174)),0),BD55*$BI55),BD55*$BI55),0)</f>
        <v>0</v>
      </c>
      <c r="DH55" s="311">
        <f>IF($BI55&lt;&gt;"",IF('Capacity summary'!$D$14="Yes",IF(COUNTBLANK('Capacity summary'!$H174:$BG174)&lt;52,IF('Capacity summary'!BE174&lt;&gt;"",IF(LOWER('Capacity summary'!BE174)="x",$BI55*BE55,VALUE('Capacity summary'!BE174)),0),BE55*$BI55),BE55*$BI55),0)</f>
        <v>0</v>
      </c>
      <c r="DI55" s="311">
        <f>IF($BI55&lt;&gt;"",IF('Capacity summary'!$D$14="Yes",IF(COUNTBLANK('Capacity summary'!$H174:$BG174)&lt;52,IF('Capacity summary'!BF174&lt;&gt;"",IF(LOWER('Capacity summary'!BF174)="x",$BI55*BF55,VALUE('Capacity summary'!BF174)),0),BF55*$BI55),BF55*$BI55),0)</f>
        <v>0</v>
      </c>
      <c r="DJ55" s="311">
        <f>IF($BI55&lt;&gt;"",IF('Capacity summary'!$D$14="Yes",IF(COUNTBLANK('Capacity summary'!$H174:$BG174)&lt;52,IF('Capacity summary'!BG174&lt;&gt;"",IF(LOWER('Capacity summary'!BG174)="x",$BI55*BG55,VALUE('Capacity summary'!BG174)),0),BG55*$BI55),BG55*$BI55),0)</f>
        <v>0</v>
      </c>
      <c r="DK55" s="387">
        <f t="shared" si="2"/>
        <v>0</v>
      </c>
      <c r="DL55" s="136">
        <f t="shared" si="3"/>
        <v>0</v>
      </c>
      <c r="DM55" s="311" t="str">
        <f>Capacity!H67</f>
        <v/>
      </c>
      <c r="DQ55" s="5"/>
    </row>
    <row r="56" spans="1:121" x14ac:dyDescent="0.2">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1">
        <f>IF($BI56&lt;&gt;"",IF('Capacity summary'!$D$14="Yes",IF(COUNTBLANK('Capacity summary'!$H175:$BG175)&lt;52,IF('Capacity summary'!H175&lt;&gt;"",IF(LOWER('Capacity summary'!H175)="x",$BI56*H56,VALUE('Capacity summary'!H175)),0),H56*$BI56),H56*$BI56),0)</f>
        <v>0</v>
      </c>
      <c r="BL56" s="311">
        <f>IF($BI56&lt;&gt;"",IF('Capacity summary'!$D$14="Yes",IF(COUNTBLANK('Capacity summary'!$H175:$BG175)&lt;52,IF('Capacity summary'!I175&lt;&gt;"",IF(LOWER('Capacity summary'!I175)="x",$BI56*I56,VALUE('Capacity summary'!I175)),0),I56*$BI56),I56*$BI56),0)</f>
        <v>0</v>
      </c>
      <c r="BM56" s="311">
        <f>IF($BI56&lt;&gt;"",IF('Capacity summary'!$D$14="Yes",IF(COUNTBLANK('Capacity summary'!$H175:$BG175)&lt;52,IF('Capacity summary'!J175&lt;&gt;"",IF(LOWER('Capacity summary'!J175)="x",$BI56*J56,VALUE('Capacity summary'!J175)),0),J56*$BI56),J56*$BI56),0)</f>
        <v>0</v>
      </c>
      <c r="BN56" s="311">
        <f>IF($BI56&lt;&gt;"",IF('Capacity summary'!$D$14="Yes",IF(COUNTBLANK('Capacity summary'!$H175:$BG175)&lt;52,IF('Capacity summary'!K175&lt;&gt;"",IF(LOWER('Capacity summary'!K175)="x",$BI56*K56,VALUE('Capacity summary'!K175)),0),K56*$BI56),K56*$BI56),0)</f>
        <v>0</v>
      </c>
      <c r="BO56" s="311">
        <f>IF($BI56&lt;&gt;"",IF('Capacity summary'!$D$14="Yes",IF(COUNTBLANK('Capacity summary'!$H175:$BG175)&lt;52,IF('Capacity summary'!L175&lt;&gt;"",IF(LOWER('Capacity summary'!L175)="x",$BI56*L56,VALUE('Capacity summary'!L175)),0),L56*$BI56),L56*$BI56),0)</f>
        <v>0</v>
      </c>
      <c r="BP56" s="311">
        <f>IF($BI56&lt;&gt;"",IF('Capacity summary'!$D$14="Yes",IF(COUNTBLANK('Capacity summary'!$H175:$BG175)&lt;52,IF('Capacity summary'!M175&lt;&gt;"",IF(LOWER('Capacity summary'!M175)="x",$BI56*M56,VALUE('Capacity summary'!M175)),0),M56*$BI56),M56*$BI56),0)</f>
        <v>0</v>
      </c>
      <c r="BQ56" s="311">
        <f>IF($BI56&lt;&gt;"",IF('Capacity summary'!$D$14="Yes",IF(COUNTBLANK('Capacity summary'!$H175:$BG175)&lt;52,IF('Capacity summary'!N175&lt;&gt;"",IF(LOWER('Capacity summary'!N175)="x",$BI56*N56,VALUE('Capacity summary'!N175)),0),N56*$BI56),N56*$BI56),0)</f>
        <v>0</v>
      </c>
      <c r="BR56" s="311">
        <f>IF($BI56&lt;&gt;"",IF('Capacity summary'!$D$14="Yes",IF(COUNTBLANK('Capacity summary'!$H175:$BG175)&lt;52,IF('Capacity summary'!O175&lt;&gt;"",IF(LOWER('Capacity summary'!O175)="x",$BI56*O56,VALUE('Capacity summary'!O175)),0),O56*$BI56),O56*$BI56),0)</f>
        <v>0</v>
      </c>
      <c r="BS56" s="311">
        <f>IF($BI56&lt;&gt;"",IF('Capacity summary'!$D$14="Yes",IF(COUNTBLANK('Capacity summary'!$H175:$BG175)&lt;52,IF('Capacity summary'!P175&lt;&gt;"",IF(LOWER('Capacity summary'!P175)="x",$BI56*P56,VALUE('Capacity summary'!P175)),0),P56*$BI56),P56*$BI56),0)</f>
        <v>0</v>
      </c>
      <c r="BT56" s="311">
        <f>IF($BI56&lt;&gt;"",IF('Capacity summary'!$D$14="Yes",IF(COUNTBLANK('Capacity summary'!$H175:$BG175)&lt;52,IF('Capacity summary'!Q175&lt;&gt;"",IF(LOWER('Capacity summary'!Q175)="x",$BI56*Q56,VALUE('Capacity summary'!Q175)),0),Q56*$BI56),Q56*$BI56),0)</f>
        <v>0</v>
      </c>
      <c r="BU56" s="311">
        <f>IF($BI56&lt;&gt;"",IF('Capacity summary'!$D$14="Yes",IF(COUNTBLANK('Capacity summary'!$H175:$BG175)&lt;52,IF('Capacity summary'!R175&lt;&gt;"",IF(LOWER('Capacity summary'!R175)="x",$BI56*R56,VALUE('Capacity summary'!R175)),0),R56*$BI56),R56*$BI56),0)</f>
        <v>0</v>
      </c>
      <c r="BV56" s="311">
        <f>IF($BI56&lt;&gt;"",IF('Capacity summary'!$D$14="Yes",IF(COUNTBLANK('Capacity summary'!$H175:$BG175)&lt;52,IF('Capacity summary'!S175&lt;&gt;"",IF(LOWER('Capacity summary'!S175)="x",$BI56*S56,VALUE('Capacity summary'!S175)),0),S56*$BI56),S56*$BI56),0)</f>
        <v>0</v>
      </c>
      <c r="BW56" s="311">
        <f>IF($BI56&lt;&gt;"",IF('Capacity summary'!$D$14="Yes",IF(COUNTBLANK('Capacity summary'!$H175:$BG175)&lt;52,IF('Capacity summary'!T175&lt;&gt;"",IF(LOWER('Capacity summary'!T175)="x",$BI56*T56,VALUE('Capacity summary'!T175)),0),T56*$BI56),T56*$BI56),0)</f>
        <v>0</v>
      </c>
      <c r="BX56" s="311">
        <f>IF($BI56&lt;&gt;"",IF('Capacity summary'!$D$14="Yes",IF(COUNTBLANK('Capacity summary'!$H175:$BG175)&lt;52,IF('Capacity summary'!U175&lt;&gt;"",IF(LOWER('Capacity summary'!U175)="x",$BI56*U56,VALUE('Capacity summary'!U175)),0),U56*$BI56),U56*$BI56),0)</f>
        <v>0</v>
      </c>
      <c r="BY56" s="311">
        <f>IF($BI56&lt;&gt;"",IF('Capacity summary'!$D$14="Yes",IF(COUNTBLANK('Capacity summary'!$H175:$BG175)&lt;52,IF('Capacity summary'!V175&lt;&gt;"",IF(LOWER('Capacity summary'!V175)="x",$BI56*V56,VALUE('Capacity summary'!V175)),0),V56*$BI56),V56*$BI56),0)</f>
        <v>0</v>
      </c>
      <c r="BZ56" s="311">
        <f>IF($BI56&lt;&gt;"",IF('Capacity summary'!$D$14="Yes",IF(COUNTBLANK('Capacity summary'!$H175:$BG175)&lt;52,IF('Capacity summary'!W175&lt;&gt;"",IF(LOWER('Capacity summary'!W175)="x",$BI56*W56,VALUE('Capacity summary'!W175)),0),W56*$BI56),W56*$BI56),0)</f>
        <v>0</v>
      </c>
      <c r="CA56" s="311">
        <f>IF($BI56&lt;&gt;"",IF('Capacity summary'!$D$14="Yes",IF(COUNTBLANK('Capacity summary'!$H175:$BG175)&lt;52,IF('Capacity summary'!X175&lt;&gt;"",IF(LOWER('Capacity summary'!X175)="x",$BI56*X56,VALUE('Capacity summary'!X175)),0),X56*$BI56),X56*$BI56),0)</f>
        <v>0</v>
      </c>
      <c r="CB56" s="311">
        <f>IF($BI56&lt;&gt;"",IF('Capacity summary'!$D$14="Yes",IF(COUNTBLANK('Capacity summary'!$H175:$BG175)&lt;52,IF('Capacity summary'!Y175&lt;&gt;"",IF(LOWER('Capacity summary'!Y175)="x",$BI56*Y56,VALUE('Capacity summary'!Y175)),0),Y56*$BI56),Y56*$BI56),0)</f>
        <v>0</v>
      </c>
      <c r="CC56" s="311">
        <f>IF($BI56&lt;&gt;"",IF('Capacity summary'!$D$14="Yes",IF(COUNTBLANK('Capacity summary'!$H175:$BG175)&lt;52,IF('Capacity summary'!Z175&lt;&gt;"",IF(LOWER('Capacity summary'!Z175)="x",$BI56*Z56,VALUE('Capacity summary'!Z175)),0),Z56*$BI56),Z56*$BI56),0)</f>
        <v>0</v>
      </c>
      <c r="CD56" s="311">
        <f>IF($BI56&lt;&gt;"",IF('Capacity summary'!$D$14="Yes",IF(COUNTBLANK('Capacity summary'!$H175:$BG175)&lt;52,IF('Capacity summary'!AA175&lt;&gt;"",IF(LOWER('Capacity summary'!AA175)="x",$BI56*AA56,VALUE('Capacity summary'!AA175)),0),AA56*$BI56),AA56*$BI56),0)</f>
        <v>0</v>
      </c>
      <c r="CE56" s="311">
        <f>IF($BI56&lt;&gt;"",IF('Capacity summary'!$D$14="Yes",IF(COUNTBLANK('Capacity summary'!$H175:$BG175)&lt;52,IF('Capacity summary'!AB175&lt;&gt;"",IF(LOWER('Capacity summary'!AB175)="x",$BI56*AB56,VALUE('Capacity summary'!AB175)),0),AB56*$BI56),AB56*$BI56),0)</f>
        <v>0</v>
      </c>
      <c r="CF56" s="311">
        <f>IF($BI56&lt;&gt;"",IF('Capacity summary'!$D$14="Yes",IF(COUNTBLANK('Capacity summary'!$H175:$BG175)&lt;52,IF('Capacity summary'!AC175&lt;&gt;"",IF(LOWER('Capacity summary'!AC175)="x",$BI56*AC56,VALUE('Capacity summary'!AC175)),0),AC56*$BI56),AC56*$BI56),0)</f>
        <v>0</v>
      </c>
      <c r="CG56" s="311">
        <f>IF($BI56&lt;&gt;"",IF('Capacity summary'!$D$14="Yes",IF(COUNTBLANK('Capacity summary'!$H175:$BG175)&lt;52,IF('Capacity summary'!AD175&lt;&gt;"",IF(LOWER('Capacity summary'!AD175)="x",$BI56*AD56,VALUE('Capacity summary'!AD175)),0),AD56*$BI56),AD56*$BI56),0)</f>
        <v>0</v>
      </c>
      <c r="CH56" s="311">
        <f>IF($BI56&lt;&gt;"",IF('Capacity summary'!$D$14="Yes",IF(COUNTBLANK('Capacity summary'!$H175:$BG175)&lt;52,IF('Capacity summary'!AE175&lt;&gt;"",IF(LOWER('Capacity summary'!AE175)="x",$BI56*AE56,VALUE('Capacity summary'!AE175)),0),AE56*$BI56),AE56*$BI56),0)</f>
        <v>0</v>
      </c>
      <c r="CI56" s="311">
        <f>IF($BI56&lt;&gt;"",IF('Capacity summary'!$D$14="Yes",IF(COUNTBLANK('Capacity summary'!$H175:$BG175)&lt;52,IF('Capacity summary'!AF175&lt;&gt;"",IF(LOWER('Capacity summary'!AF175)="x",$BI56*AF56,VALUE('Capacity summary'!AF175)),0),AF56*$BI56),AF56*$BI56),0)</f>
        <v>0</v>
      </c>
      <c r="CJ56" s="311">
        <f>IF($BI56&lt;&gt;"",IF('Capacity summary'!$D$14="Yes",IF(COUNTBLANK('Capacity summary'!$H175:$BG175)&lt;52,IF('Capacity summary'!AG175&lt;&gt;"",IF(LOWER('Capacity summary'!AG175)="x",$BI56*AG56,VALUE('Capacity summary'!AG175)),0),AG56*$BI56),AG56*$BI56),0)</f>
        <v>0</v>
      </c>
      <c r="CK56" s="311">
        <f>IF($BI56&lt;&gt;"",IF('Capacity summary'!$D$14="Yes",IF(COUNTBLANK('Capacity summary'!$H175:$BG175)&lt;52,IF('Capacity summary'!AH175&lt;&gt;"",IF(LOWER('Capacity summary'!AH175)="x",$BI56*AH56,VALUE('Capacity summary'!AH175)),0),AH56*$BI56),AH56*$BI56),0)</f>
        <v>0</v>
      </c>
      <c r="CL56" s="311">
        <f>IF($BI56&lt;&gt;"",IF('Capacity summary'!$D$14="Yes",IF(COUNTBLANK('Capacity summary'!$H175:$BG175)&lt;52,IF('Capacity summary'!AI175&lt;&gt;"",IF(LOWER('Capacity summary'!AI175)="x",$BI56*AI56,VALUE('Capacity summary'!AI175)),0),AI56*$BI56),AI56*$BI56),0)</f>
        <v>0</v>
      </c>
      <c r="CM56" s="311">
        <f>IF($BI56&lt;&gt;"",IF('Capacity summary'!$D$14="Yes",IF(COUNTBLANK('Capacity summary'!$H175:$BG175)&lt;52,IF('Capacity summary'!AJ175&lt;&gt;"",IF(LOWER('Capacity summary'!AJ175)="x",$BI56*AJ56,VALUE('Capacity summary'!AJ175)),0),AJ56*$BI56),AJ56*$BI56),0)</f>
        <v>0</v>
      </c>
      <c r="CN56" s="311">
        <f>IF($BI56&lt;&gt;"",IF('Capacity summary'!$D$14="Yes",IF(COUNTBLANK('Capacity summary'!$H175:$BG175)&lt;52,IF('Capacity summary'!AK175&lt;&gt;"",IF(LOWER('Capacity summary'!AK175)="x",$BI56*AK56,VALUE('Capacity summary'!AK175)),0),AK56*$BI56),AK56*$BI56),0)</f>
        <v>0</v>
      </c>
      <c r="CO56" s="311">
        <f>IF($BI56&lt;&gt;"",IF('Capacity summary'!$D$14="Yes",IF(COUNTBLANK('Capacity summary'!$H175:$BG175)&lt;52,IF('Capacity summary'!AL175&lt;&gt;"",IF(LOWER('Capacity summary'!AL175)="x",$BI56*AL56,VALUE('Capacity summary'!AL175)),0),AL56*$BI56),AL56*$BI56),0)</f>
        <v>0</v>
      </c>
      <c r="CP56" s="311">
        <f>IF($BI56&lt;&gt;"",IF('Capacity summary'!$D$14="Yes",IF(COUNTBLANK('Capacity summary'!$H175:$BG175)&lt;52,IF('Capacity summary'!AM175&lt;&gt;"",IF(LOWER('Capacity summary'!AM175)="x",$BI56*AM56,VALUE('Capacity summary'!AM175)),0),AM56*$BI56),AM56*$BI56),0)</f>
        <v>0</v>
      </c>
      <c r="CQ56" s="311">
        <f>IF($BI56&lt;&gt;"",IF('Capacity summary'!$D$14="Yes",IF(COUNTBLANK('Capacity summary'!$H175:$BG175)&lt;52,IF('Capacity summary'!AN175&lt;&gt;"",IF(LOWER('Capacity summary'!AN175)="x",$BI56*AN56,VALUE('Capacity summary'!AN175)),0),AN56*$BI56),AN56*$BI56),0)</f>
        <v>0</v>
      </c>
      <c r="CR56" s="311">
        <f>IF($BI56&lt;&gt;"",IF('Capacity summary'!$D$14="Yes",IF(COUNTBLANK('Capacity summary'!$H175:$BG175)&lt;52,IF('Capacity summary'!AO175&lt;&gt;"",IF(LOWER('Capacity summary'!AO175)="x",$BI56*AO56,VALUE('Capacity summary'!AO175)),0),AO56*$BI56),AO56*$BI56),0)</f>
        <v>0</v>
      </c>
      <c r="CS56" s="311">
        <f>IF($BI56&lt;&gt;"",IF('Capacity summary'!$D$14="Yes",IF(COUNTBLANK('Capacity summary'!$H175:$BG175)&lt;52,IF('Capacity summary'!AP175&lt;&gt;"",IF(LOWER('Capacity summary'!AP175)="x",$BI56*AP56,VALUE('Capacity summary'!AP175)),0),AP56*$BI56),AP56*$BI56),0)</f>
        <v>0</v>
      </c>
      <c r="CT56" s="311">
        <f>IF($BI56&lt;&gt;"",IF('Capacity summary'!$D$14="Yes",IF(COUNTBLANK('Capacity summary'!$H175:$BG175)&lt;52,IF('Capacity summary'!AQ175&lt;&gt;"",IF(LOWER('Capacity summary'!AQ175)="x",$BI56*AQ56,VALUE('Capacity summary'!AQ175)),0),AQ56*$BI56),AQ56*$BI56),0)</f>
        <v>0</v>
      </c>
      <c r="CU56" s="311">
        <f>IF($BI56&lt;&gt;"",IF('Capacity summary'!$D$14="Yes",IF(COUNTBLANK('Capacity summary'!$H175:$BG175)&lt;52,IF('Capacity summary'!AR175&lt;&gt;"",IF(LOWER('Capacity summary'!AR175)="x",$BI56*AR56,VALUE('Capacity summary'!AR175)),0),AR56*$BI56),AR56*$BI56),0)</f>
        <v>0</v>
      </c>
      <c r="CV56" s="311">
        <f>IF($BI56&lt;&gt;"",IF('Capacity summary'!$D$14="Yes",IF(COUNTBLANK('Capacity summary'!$H175:$BG175)&lt;52,IF('Capacity summary'!AS175&lt;&gt;"",IF(LOWER('Capacity summary'!AS175)="x",$BI56*AS56,VALUE('Capacity summary'!AS175)),0),AS56*$BI56),AS56*$BI56),0)</f>
        <v>0</v>
      </c>
      <c r="CW56" s="311">
        <f>IF($BI56&lt;&gt;"",IF('Capacity summary'!$D$14="Yes",IF(COUNTBLANK('Capacity summary'!$H175:$BG175)&lt;52,IF('Capacity summary'!AT175&lt;&gt;"",IF(LOWER('Capacity summary'!AT175)="x",$BI56*AT56,VALUE('Capacity summary'!AT175)),0),AT56*$BI56),AT56*$BI56),0)</f>
        <v>0</v>
      </c>
      <c r="CX56" s="311">
        <f>IF($BI56&lt;&gt;"",IF('Capacity summary'!$D$14="Yes",IF(COUNTBLANK('Capacity summary'!$H175:$BG175)&lt;52,IF('Capacity summary'!AU175&lt;&gt;"",IF(LOWER('Capacity summary'!AU175)="x",$BI56*AU56,VALUE('Capacity summary'!AU175)),0),AU56*$BI56),AU56*$BI56),0)</f>
        <v>0</v>
      </c>
      <c r="CY56" s="311">
        <f>IF($BI56&lt;&gt;"",IF('Capacity summary'!$D$14="Yes",IF(COUNTBLANK('Capacity summary'!$H175:$BG175)&lt;52,IF('Capacity summary'!AV175&lt;&gt;"",IF(LOWER('Capacity summary'!AV175)="x",$BI56*AV56,VALUE('Capacity summary'!AV175)),0),AV56*$BI56),AV56*$BI56),0)</f>
        <v>0</v>
      </c>
      <c r="CZ56" s="311">
        <f>IF($BI56&lt;&gt;"",IF('Capacity summary'!$D$14="Yes",IF(COUNTBLANK('Capacity summary'!$H175:$BG175)&lt;52,IF('Capacity summary'!AW175&lt;&gt;"",IF(LOWER('Capacity summary'!AW175)="x",$BI56*AW56,VALUE('Capacity summary'!AW175)),0),AW56*$BI56),AW56*$BI56),0)</f>
        <v>0</v>
      </c>
      <c r="DA56" s="311">
        <f>IF($BI56&lt;&gt;"",IF('Capacity summary'!$D$14="Yes",IF(COUNTBLANK('Capacity summary'!$H175:$BG175)&lt;52,IF('Capacity summary'!AX175&lt;&gt;"",IF(LOWER('Capacity summary'!AX175)="x",$BI56*AX56,VALUE('Capacity summary'!AX175)),0),AX56*$BI56),AX56*$BI56),0)</f>
        <v>0</v>
      </c>
      <c r="DB56" s="311">
        <f>IF($BI56&lt;&gt;"",IF('Capacity summary'!$D$14="Yes",IF(COUNTBLANK('Capacity summary'!$H175:$BG175)&lt;52,IF('Capacity summary'!AY175&lt;&gt;"",IF(LOWER('Capacity summary'!AY175)="x",$BI56*AY56,VALUE('Capacity summary'!AY175)),0),AY56*$BI56),AY56*$BI56),0)</f>
        <v>0</v>
      </c>
      <c r="DC56" s="311">
        <f>IF($BI56&lt;&gt;"",IF('Capacity summary'!$D$14="Yes",IF(COUNTBLANK('Capacity summary'!$H175:$BG175)&lt;52,IF('Capacity summary'!AZ175&lt;&gt;"",IF(LOWER('Capacity summary'!AZ175)="x",$BI56*AZ56,VALUE('Capacity summary'!AZ175)),0),AZ56*$BI56),AZ56*$BI56),0)</f>
        <v>0</v>
      </c>
      <c r="DD56" s="311">
        <f>IF($BI56&lt;&gt;"",IF('Capacity summary'!$D$14="Yes",IF(COUNTBLANK('Capacity summary'!$H175:$BG175)&lt;52,IF('Capacity summary'!BA175&lt;&gt;"",IF(LOWER('Capacity summary'!BA175)="x",$BI56*BA56,VALUE('Capacity summary'!BA175)),0),BA56*$BI56),BA56*$BI56),0)</f>
        <v>0</v>
      </c>
      <c r="DE56" s="311">
        <f>IF($BI56&lt;&gt;"",IF('Capacity summary'!$D$14="Yes",IF(COUNTBLANK('Capacity summary'!$H175:$BG175)&lt;52,IF('Capacity summary'!BB175&lt;&gt;"",IF(LOWER('Capacity summary'!BB175)="x",$BI56*BB56,VALUE('Capacity summary'!BB175)),0),BB56*$BI56),BB56*$BI56),0)</f>
        <v>0</v>
      </c>
      <c r="DF56" s="311">
        <f>IF($BI56&lt;&gt;"",IF('Capacity summary'!$D$14="Yes",IF(COUNTBLANK('Capacity summary'!$H175:$BG175)&lt;52,IF('Capacity summary'!BC175&lt;&gt;"",IF(LOWER('Capacity summary'!BC175)="x",$BI56*BC56,VALUE('Capacity summary'!BC175)),0),BC56*$BI56),BC56*$BI56),0)</f>
        <v>0</v>
      </c>
      <c r="DG56" s="311">
        <f>IF($BI56&lt;&gt;"",IF('Capacity summary'!$D$14="Yes",IF(COUNTBLANK('Capacity summary'!$H175:$BG175)&lt;52,IF('Capacity summary'!BD175&lt;&gt;"",IF(LOWER('Capacity summary'!BD175)="x",$BI56*BD56,VALUE('Capacity summary'!BD175)),0),BD56*$BI56),BD56*$BI56),0)</f>
        <v>0</v>
      </c>
      <c r="DH56" s="311">
        <f>IF($BI56&lt;&gt;"",IF('Capacity summary'!$D$14="Yes",IF(COUNTBLANK('Capacity summary'!$H175:$BG175)&lt;52,IF('Capacity summary'!BE175&lt;&gt;"",IF(LOWER('Capacity summary'!BE175)="x",$BI56*BE56,VALUE('Capacity summary'!BE175)),0),BE56*$BI56),BE56*$BI56),0)</f>
        <v>0</v>
      </c>
      <c r="DI56" s="311">
        <f>IF($BI56&lt;&gt;"",IF('Capacity summary'!$D$14="Yes",IF(COUNTBLANK('Capacity summary'!$H175:$BG175)&lt;52,IF('Capacity summary'!BF175&lt;&gt;"",IF(LOWER('Capacity summary'!BF175)="x",$BI56*BF56,VALUE('Capacity summary'!BF175)),0),BF56*$BI56),BF56*$BI56),0)</f>
        <v>0</v>
      </c>
      <c r="DJ56" s="311">
        <f>IF($BI56&lt;&gt;"",IF('Capacity summary'!$D$14="Yes",IF(COUNTBLANK('Capacity summary'!$H175:$BG175)&lt;52,IF('Capacity summary'!BG175&lt;&gt;"",IF(LOWER('Capacity summary'!BG175)="x",$BI56*BG56,VALUE('Capacity summary'!BG175)),0),BG56*$BI56),BG56*$BI56),0)</f>
        <v>0</v>
      </c>
      <c r="DK56" s="387">
        <f t="shared" si="2"/>
        <v>0</v>
      </c>
      <c r="DL56" s="136">
        <f t="shared" si="3"/>
        <v>0</v>
      </c>
      <c r="DM56" s="311" t="str">
        <f>Capacity!H68</f>
        <v/>
      </c>
      <c r="DQ56" s="5"/>
    </row>
    <row r="57" spans="1:121" x14ac:dyDescent="0.2">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1">
        <f>IF($BI57&lt;&gt;"",IF('Capacity summary'!$D$14="Yes",IF(COUNTBLANK('Capacity summary'!$H176:$BG176)&lt;52,IF('Capacity summary'!H176&lt;&gt;"",IF(LOWER('Capacity summary'!H176)="x",$BI57*H57,VALUE('Capacity summary'!H176)),0),H57*$BI57),H57*$BI57),0)</f>
        <v>0</v>
      </c>
      <c r="BL57" s="311">
        <f>IF($BI57&lt;&gt;"",IF('Capacity summary'!$D$14="Yes",IF(COUNTBLANK('Capacity summary'!$H176:$BG176)&lt;52,IF('Capacity summary'!I176&lt;&gt;"",IF(LOWER('Capacity summary'!I176)="x",$BI57*I57,VALUE('Capacity summary'!I176)),0),I57*$BI57),I57*$BI57),0)</f>
        <v>0</v>
      </c>
      <c r="BM57" s="311">
        <f>IF($BI57&lt;&gt;"",IF('Capacity summary'!$D$14="Yes",IF(COUNTBLANK('Capacity summary'!$H176:$BG176)&lt;52,IF('Capacity summary'!J176&lt;&gt;"",IF(LOWER('Capacity summary'!J176)="x",$BI57*J57,VALUE('Capacity summary'!J176)),0),J57*$BI57),J57*$BI57),0)</f>
        <v>0</v>
      </c>
      <c r="BN57" s="311">
        <f>IF($BI57&lt;&gt;"",IF('Capacity summary'!$D$14="Yes",IF(COUNTBLANK('Capacity summary'!$H176:$BG176)&lt;52,IF('Capacity summary'!K176&lt;&gt;"",IF(LOWER('Capacity summary'!K176)="x",$BI57*K57,VALUE('Capacity summary'!K176)),0),K57*$BI57),K57*$BI57),0)</f>
        <v>0</v>
      </c>
      <c r="BO57" s="311">
        <f>IF($BI57&lt;&gt;"",IF('Capacity summary'!$D$14="Yes",IF(COUNTBLANK('Capacity summary'!$H176:$BG176)&lt;52,IF('Capacity summary'!L176&lt;&gt;"",IF(LOWER('Capacity summary'!L176)="x",$BI57*L57,VALUE('Capacity summary'!L176)),0),L57*$BI57),L57*$BI57),0)</f>
        <v>0</v>
      </c>
      <c r="BP57" s="311">
        <f>IF($BI57&lt;&gt;"",IF('Capacity summary'!$D$14="Yes",IF(COUNTBLANK('Capacity summary'!$H176:$BG176)&lt;52,IF('Capacity summary'!M176&lt;&gt;"",IF(LOWER('Capacity summary'!M176)="x",$BI57*M57,VALUE('Capacity summary'!M176)),0),M57*$BI57),M57*$BI57),0)</f>
        <v>0</v>
      </c>
      <c r="BQ57" s="311">
        <f>IF($BI57&lt;&gt;"",IF('Capacity summary'!$D$14="Yes",IF(COUNTBLANK('Capacity summary'!$H176:$BG176)&lt;52,IF('Capacity summary'!N176&lt;&gt;"",IF(LOWER('Capacity summary'!N176)="x",$BI57*N57,VALUE('Capacity summary'!N176)),0),N57*$BI57),N57*$BI57),0)</f>
        <v>0</v>
      </c>
      <c r="BR57" s="311">
        <f>IF($BI57&lt;&gt;"",IF('Capacity summary'!$D$14="Yes",IF(COUNTBLANK('Capacity summary'!$H176:$BG176)&lt;52,IF('Capacity summary'!O176&lt;&gt;"",IF(LOWER('Capacity summary'!O176)="x",$BI57*O57,VALUE('Capacity summary'!O176)),0),O57*$BI57),O57*$BI57),0)</f>
        <v>0</v>
      </c>
      <c r="BS57" s="311">
        <f>IF($BI57&lt;&gt;"",IF('Capacity summary'!$D$14="Yes",IF(COUNTBLANK('Capacity summary'!$H176:$BG176)&lt;52,IF('Capacity summary'!P176&lt;&gt;"",IF(LOWER('Capacity summary'!P176)="x",$BI57*P57,VALUE('Capacity summary'!P176)),0),P57*$BI57),P57*$BI57),0)</f>
        <v>0</v>
      </c>
      <c r="BT57" s="311">
        <f>IF($BI57&lt;&gt;"",IF('Capacity summary'!$D$14="Yes",IF(COUNTBLANK('Capacity summary'!$H176:$BG176)&lt;52,IF('Capacity summary'!Q176&lt;&gt;"",IF(LOWER('Capacity summary'!Q176)="x",$BI57*Q57,VALUE('Capacity summary'!Q176)),0),Q57*$BI57),Q57*$BI57),0)</f>
        <v>0</v>
      </c>
      <c r="BU57" s="311">
        <f>IF($BI57&lt;&gt;"",IF('Capacity summary'!$D$14="Yes",IF(COUNTBLANK('Capacity summary'!$H176:$BG176)&lt;52,IF('Capacity summary'!R176&lt;&gt;"",IF(LOWER('Capacity summary'!R176)="x",$BI57*R57,VALUE('Capacity summary'!R176)),0),R57*$BI57),R57*$BI57),0)</f>
        <v>0</v>
      </c>
      <c r="BV57" s="311">
        <f>IF($BI57&lt;&gt;"",IF('Capacity summary'!$D$14="Yes",IF(COUNTBLANK('Capacity summary'!$H176:$BG176)&lt;52,IF('Capacity summary'!S176&lt;&gt;"",IF(LOWER('Capacity summary'!S176)="x",$BI57*S57,VALUE('Capacity summary'!S176)),0),S57*$BI57),S57*$BI57),0)</f>
        <v>0</v>
      </c>
      <c r="BW57" s="311">
        <f>IF($BI57&lt;&gt;"",IF('Capacity summary'!$D$14="Yes",IF(COUNTBLANK('Capacity summary'!$H176:$BG176)&lt;52,IF('Capacity summary'!T176&lt;&gt;"",IF(LOWER('Capacity summary'!T176)="x",$BI57*T57,VALUE('Capacity summary'!T176)),0),T57*$BI57),T57*$BI57),0)</f>
        <v>0</v>
      </c>
      <c r="BX57" s="311">
        <f>IF($BI57&lt;&gt;"",IF('Capacity summary'!$D$14="Yes",IF(COUNTBLANK('Capacity summary'!$H176:$BG176)&lt;52,IF('Capacity summary'!U176&lt;&gt;"",IF(LOWER('Capacity summary'!U176)="x",$BI57*U57,VALUE('Capacity summary'!U176)),0),U57*$BI57),U57*$BI57),0)</f>
        <v>0</v>
      </c>
      <c r="BY57" s="311">
        <f>IF($BI57&lt;&gt;"",IF('Capacity summary'!$D$14="Yes",IF(COUNTBLANK('Capacity summary'!$H176:$BG176)&lt;52,IF('Capacity summary'!V176&lt;&gt;"",IF(LOWER('Capacity summary'!V176)="x",$BI57*V57,VALUE('Capacity summary'!V176)),0),V57*$BI57),V57*$BI57),0)</f>
        <v>0</v>
      </c>
      <c r="BZ57" s="311">
        <f>IF($BI57&lt;&gt;"",IF('Capacity summary'!$D$14="Yes",IF(COUNTBLANK('Capacity summary'!$H176:$BG176)&lt;52,IF('Capacity summary'!W176&lt;&gt;"",IF(LOWER('Capacity summary'!W176)="x",$BI57*W57,VALUE('Capacity summary'!W176)),0),W57*$BI57),W57*$BI57),0)</f>
        <v>0</v>
      </c>
      <c r="CA57" s="311">
        <f>IF($BI57&lt;&gt;"",IF('Capacity summary'!$D$14="Yes",IF(COUNTBLANK('Capacity summary'!$H176:$BG176)&lt;52,IF('Capacity summary'!X176&lt;&gt;"",IF(LOWER('Capacity summary'!X176)="x",$BI57*X57,VALUE('Capacity summary'!X176)),0),X57*$BI57),X57*$BI57),0)</f>
        <v>0</v>
      </c>
      <c r="CB57" s="311">
        <f>IF($BI57&lt;&gt;"",IF('Capacity summary'!$D$14="Yes",IF(COUNTBLANK('Capacity summary'!$H176:$BG176)&lt;52,IF('Capacity summary'!Y176&lt;&gt;"",IF(LOWER('Capacity summary'!Y176)="x",$BI57*Y57,VALUE('Capacity summary'!Y176)),0),Y57*$BI57),Y57*$BI57),0)</f>
        <v>0</v>
      </c>
      <c r="CC57" s="311">
        <f>IF($BI57&lt;&gt;"",IF('Capacity summary'!$D$14="Yes",IF(COUNTBLANK('Capacity summary'!$H176:$BG176)&lt;52,IF('Capacity summary'!Z176&lt;&gt;"",IF(LOWER('Capacity summary'!Z176)="x",$BI57*Z57,VALUE('Capacity summary'!Z176)),0),Z57*$BI57),Z57*$BI57),0)</f>
        <v>0</v>
      </c>
      <c r="CD57" s="311">
        <f>IF($BI57&lt;&gt;"",IF('Capacity summary'!$D$14="Yes",IF(COUNTBLANK('Capacity summary'!$H176:$BG176)&lt;52,IF('Capacity summary'!AA176&lt;&gt;"",IF(LOWER('Capacity summary'!AA176)="x",$BI57*AA57,VALUE('Capacity summary'!AA176)),0),AA57*$BI57),AA57*$BI57),0)</f>
        <v>0</v>
      </c>
      <c r="CE57" s="311">
        <f>IF($BI57&lt;&gt;"",IF('Capacity summary'!$D$14="Yes",IF(COUNTBLANK('Capacity summary'!$H176:$BG176)&lt;52,IF('Capacity summary'!AB176&lt;&gt;"",IF(LOWER('Capacity summary'!AB176)="x",$BI57*AB57,VALUE('Capacity summary'!AB176)),0),AB57*$BI57),AB57*$BI57),0)</f>
        <v>0</v>
      </c>
      <c r="CF57" s="311">
        <f>IF($BI57&lt;&gt;"",IF('Capacity summary'!$D$14="Yes",IF(COUNTBLANK('Capacity summary'!$H176:$BG176)&lt;52,IF('Capacity summary'!AC176&lt;&gt;"",IF(LOWER('Capacity summary'!AC176)="x",$BI57*AC57,VALUE('Capacity summary'!AC176)),0),AC57*$BI57),AC57*$BI57),0)</f>
        <v>0</v>
      </c>
      <c r="CG57" s="311">
        <f>IF($BI57&lt;&gt;"",IF('Capacity summary'!$D$14="Yes",IF(COUNTBLANK('Capacity summary'!$H176:$BG176)&lt;52,IF('Capacity summary'!AD176&lt;&gt;"",IF(LOWER('Capacity summary'!AD176)="x",$BI57*AD57,VALUE('Capacity summary'!AD176)),0),AD57*$BI57),AD57*$BI57),0)</f>
        <v>0</v>
      </c>
      <c r="CH57" s="311">
        <f>IF($BI57&lt;&gt;"",IF('Capacity summary'!$D$14="Yes",IF(COUNTBLANK('Capacity summary'!$H176:$BG176)&lt;52,IF('Capacity summary'!AE176&lt;&gt;"",IF(LOWER('Capacity summary'!AE176)="x",$BI57*AE57,VALUE('Capacity summary'!AE176)),0),AE57*$BI57),AE57*$BI57),0)</f>
        <v>0</v>
      </c>
      <c r="CI57" s="311">
        <f>IF($BI57&lt;&gt;"",IF('Capacity summary'!$D$14="Yes",IF(COUNTBLANK('Capacity summary'!$H176:$BG176)&lt;52,IF('Capacity summary'!AF176&lt;&gt;"",IF(LOWER('Capacity summary'!AF176)="x",$BI57*AF57,VALUE('Capacity summary'!AF176)),0),AF57*$BI57),AF57*$BI57),0)</f>
        <v>0</v>
      </c>
      <c r="CJ57" s="311">
        <f>IF($BI57&lt;&gt;"",IF('Capacity summary'!$D$14="Yes",IF(COUNTBLANK('Capacity summary'!$H176:$BG176)&lt;52,IF('Capacity summary'!AG176&lt;&gt;"",IF(LOWER('Capacity summary'!AG176)="x",$BI57*AG57,VALUE('Capacity summary'!AG176)),0),AG57*$BI57),AG57*$BI57),0)</f>
        <v>0</v>
      </c>
      <c r="CK57" s="311">
        <f>IF($BI57&lt;&gt;"",IF('Capacity summary'!$D$14="Yes",IF(COUNTBLANK('Capacity summary'!$H176:$BG176)&lt;52,IF('Capacity summary'!AH176&lt;&gt;"",IF(LOWER('Capacity summary'!AH176)="x",$BI57*AH57,VALUE('Capacity summary'!AH176)),0),AH57*$BI57),AH57*$BI57),0)</f>
        <v>0</v>
      </c>
      <c r="CL57" s="311">
        <f>IF($BI57&lt;&gt;"",IF('Capacity summary'!$D$14="Yes",IF(COUNTBLANK('Capacity summary'!$H176:$BG176)&lt;52,IF('Capacity summary'!AI176&lt;&gt;"",IF(LOWER('Capacity summary'!AI176)="x",$BI57*AI57,VALUE('Capacity summary'!AI176)),0),AI57*$BI57),AI57*$BI57),0)</f>
        <v>0</v>
      </c>
      <c r="CM57" s="311">
        <f>IF($BI57&lt;&gt;"",IF('Capacity summary'!$D$14="Yes",IF(COUNTBLANK('Capacity summary'!$H176:$BG176)&lt;52,IF('Capacity summary'!AJ176&lt;&gt;"",IF(LOWER('Capacity summary'!AJ176)="x",$BI57*AJ57,VALUE('Capacity summary'!AJ176)),0),AJ57*$BI57),AJ57*$BI57),0)</f>
        <v>0</v>
      </c>
      <c r="CN57" s="311">
        <f>IF($BI57&lt;&gt;"",IF('Capacity summary'!$D$14="Yes",IF(COUNTBLANK('Capacity summary'!$H176:$BG176)&lt;52,IF('Capacity summary'!AK176&lt;&gt;"",IF(LOWER('Capacity summary'!AK176)="x",$BI57*AK57,VALUE('Capacity summary'!AK176)),0),AK57*$BI57),AK57*$BI57),0)</f>
        <v>0</v>
      </c>
      <c r="CO57" s="311">
        <f>IF($BI57&lt;&gt;"",IF('Capacity summary'!$D$14="Yes",IF(COUNTBLANK('Capacity summary'!$H176:$BG176)&lt;52,IF('Capacity summary'!AL176&lt;&gt;"",IF(LOWER('Capacity summary'!AL176)="x",$BI57*AL57,VALUE('Capacity summary'!AL176)),0),AL57*$BI57),AL57*$BI57),0)</f>
        <v>0</v>
      </c>
      <c r="CP57" s="311">
        <f>IF($BI57&lt;&gt;"",IF('Capacity summary'!$D$14="Yes",IF(COUNTBLANK('Capacity summary'!$H176:$BG176)&lt;52,IF('Capacity summary'!AM176&lt;&gt;"",IF(LOWER('Capacity summary'!AM176)="x",$BI57*AM57,VALUE('Capacity summary'!AM176)),0),AM57*$BI57),AM57*$BI57),0)</f>
        <v>0</v>
      </c>
      <c r="CQ57" s="311">
        <f>IF($BI57&lt;&gt;"",IF('Capacity summary'!$D$14="Yes",IF(COUNTBLANK('Capacity summary'!$H176:$BG176)&lt;52,IF('Capacity summary'!AN176&lt;&gt;"",IF(LOWER('Capacity summary'!AN176)="x",$BI57*AN57,VALUE('Capacity summary'!AN176)),0),AN57*$BI57),AN57*$BI57),0)</f>
        <v>0</v>
      </c>
      <c r="CR57" s="311">
        <f>IF($BI57&lt;&gt;"",IF('Capacity summary'!$D$14="Yes",IF(COUNTBLANK('Capacity summary'!$H176:$BG176)&lt;52,IF('Capacity summary'!AO176&lt;&gt;"",IF(LOWER('Capacity summary'!AO176)="x",$BI57*AO57,VALUE('Capacity summary'!AO176)),0),AO57*$BI57),AO57*$BI57),0)</f>
        <v>0</v>
      </c>
      <c r="CS57" s="311">
        <f>IF($BI57&lt;&gt;"",IF('Capacity summary'!$D$14="Yes",IF(COUNTBLANK('Capacity summary'!$H176:$BG176)&lt;52,IF('Capacity summary'!AP176&lt;&gt;"",IF(LOWER('Capacity summary'!AP176)="x",$BI57*AP57,VALUE('Capacity summary'!AP176)),0),AP57*$BI57),AP57*$BI57),0)</f>
        <v>0</v>
      </c>
      <c r="CT57" s="311">
        <f>IF($BI57&lt;&gt;"",IF('Capacity summary'!$D$14="Yes",IF(COUNTBLANK('Capacity summary'!$H176:$BG176)&lt;52,IF('Capacity summary'!AQ176&lt;&gt;"",IF(LOWER('Capacity summary'!AQ176)="x",$BI57*AQ57,VALUE('Capacity summary'!AQ176)),0),AQ57*$BI57),AQ57*$BI57),0)</f>
        <v>0</v>
      </c>
      <c r="CU57" s="311">
        <f>IF($BI57&lt;&gt;"",IF('Capacity summary'!$D$14="Yes",IF(COUNTBLANK('Capacity summary'!$H176:$BG176)&lt;52,IF('Capacity summary'!AR176&lt;&gt;"",IF(LOWER('Capacity summary'!AR176)="x",$BI57*AR57,VALUE('Capacity summary'!AR176)),0),AR57*$BI57),AR57*$BI57),0)</f>
        <v>0</v>
      </c>
      <c r="CV57" s="311">
        <f>IF($BI57&lt;&gt;"",IF('Capacity summary'!$D$14="Yes",IF(COUNTBLANK('Capacity summary'!$H176:$BG176)&lt;52,IF('Capacity summary'!AS176&lt;&gt;"",IF(LOWER('Capacity summary'!AS176)="x",$BI57*AS57,VALUE('Capacity summary'!AS176)),0),AS57*$BI57),AS57*$BI57),0)</f>
        <v>0</v>
      </c>
      <c r="CW57" s="311">
        <f>IF($BI57&lt;&gt;"",IF('Capacity summary'!$D$14="Yes",IF(COUNTBLANK('Capacity summary'!$H176:$BG176)&lt;52,IF('Capacity summary'!AT176&lt;&gt;"",IF(LOWER('Capacity summary'!AT176)="x",$BI57*AT57,VALUE('Capacity summary'!AT176)),0),AT57*$BI57),AT57*$BI57),0)</f>
        <v>0</v>
      </c>
      <c r="CX57" s="311">
        <f>IF($BI57&lt;&gt;"",IF('Capacity summary'!$D$14="Yes",IF(COUNTBLANK('Capacity summary'!$H176:$BG176)&lt;52,IF('Capacity summary'!AU176&lt;&gt;"",IF(LOWER('Capacity summary'!AU176)="x",$BI57*AU57,VALUE('Capacity summary'!AU176)),0),AU57*$BI57),AU57*$BI57),0)</f>
        <v>0</v>
      </c>
      <c r="CY57" s="311">
        <f>IF($BI57&lt;&gt;"",IF('Capacity summary'!$D$14="Yes",IF(COUNTBLANK('Capacity summary'!$H176:$BG176)&lt;52,IF('Capacity summary'!AV176&lt;&gt;"",IF(LOWER('Capacity summary'!AV176)="x",$BI57*AV57,VALUE('Capacity summary'!AV176)),0),AV57*$BI57),AV57*$BI57),0)</f>
        <v>0</v>
      </c>
      <c r="CZ57" s="311">
        <f>IF($BI57&lt;&gt;"",IF('Capacity summary'!$D$14="Yes",IF(COUNTBLANK('Capacity summary'!$H176:$BG176)&lt;52,IF('Capacity summary'!AW176&lt;&gt;"",IF(LOWER('Capacity summary'!AW176)="x",$BI57*AW57,VALUE('Capacity summary'!AW176)),0),AW57*$BI57),AW57*$BI57),0)</f>
        <v>0</v>
      </c>
      <c r="DA57" s="311">
        <f>IF($BI57&lt;&gt;"",IF('Capacity summary'!$D$14="Yes",IF(COUNTBLANK('Capacity summary'!$H176:$BG176)&lt;52,IF('Capacity summary'!AX176&lt;&gt;"",IF(LOWER('Capacity summary'!AX176)="x",$BI57*AX57,VALUE('Capacity summary'!AX176)),0),AX57*$BI57),AX57*$BI57),0)</f>
        <v>0</v>
      </c>
      <c r="DB57" s="311">
        <f>IF($BI57&lt;&gt;"",IF('Capacity summary'!$D$14="Yes",IF(COUNTBLANK('Capacity summary'!$H176:$BG176)&lt;52,IF('Capacity summary'!AY176&lt;&gt;"",IF(LOWER('Capacity summary'!AY176)="x",$BI57*AY57,VALUE('Capacity summary'!AY176)),0),AY57*$BI57),AY57*$BI57),0)</f>
        <v>0</v>
      </c>
      <c r="DC57" s="311">
        <f>IF($BI57&lt;&gt;"",IF('Capacity summary'!$D$14="Yes",IF(COUNTBLANK('Capacity summary'!$H176:$BG176)&lt;52,IF('Capacity summary'!AZ176&lt;&gt;"",IF(LOWER('Capacity summary'!AZ176)="x",$BI57*AZ57,VALUE('Capacity summary'!AZ176)),0),AZ57*$BI57),AZ57*$BI57),0)</f>
        <v>0</v>
      </c>
      <c r="DD57" s="311">
        <f>IF($BI57&lt;&gt;"",IF('Capacity summary'!$D$14="Yes",IF(COUNTBLANK('Capacity summary'!$H176:$BG176)&lt;52,IF('Capacity summary'!BA176&lt;&gt;"",IF(LOWER('Capacity summary'!BA176)="x",$BI57*BA57,VALUE('Capacity summary'!BA176)),0),BA57*$BI57),BA57*$BI57),0)</f>
        <v>0</v>
      </c>
      <c r="DE57" s="311">
        <f>IF($BI57&lt;&gt;"",IF('Capacity summary'!$D$14="Yes",IF(COUNTBLANK('Capacity summary'!$H176:$BG176)&lt;52,IF('Capacity summary'!BB176&lt;&gt;"",IF(LOWER('Capacity summary'!BB176)="x",$BI57*BB57,VALUE('Capacity summary'!BB176)),0),BB57*$BI57),BB57*$BI57),0)</f>
        <v>0</v>
      </c>
      <c r="DF57" s="311">
        <f>IF($BI57&lt;&gt;"",IF('Capacity summary'!$D$14="Yes",IF(COUNTBLANK('Capacity summary'!$H176:$BG176)&lt;52,IF('Capacity summary'!BC176&lt;&gt;"",IF(LOWER('Capacity summary'!BC176)="x",$BI57*BC57,VALUE('Capacity summary'!BC176)),0),BC57*$BI57),BC57*$BI57),0)</f>
        <v>0</v>
      </c>
      <c r="DG57" s="311">
        <f>IF($BI57&lt;&gt;"",IF('Capacity summary'!$D$14="Yes",IF(COUNTBLANK('Capacity summary'!$H176:$BG176)&lt;52,IF('Capacity summary'!BD176&lt;&gt;"",IF(LOWER('Capacity summary'!BD176)="x",$BI57*BD57,VALUE('Capacity summary'!BD176)),0),BD57*$BI57),BD57*$BI57),0)</f>
        <v>0</v>
      </c>
      <c r="DH57" s="311">
        <f>IF($BI57&lt;&gt;"",IF('Capacity summary'!$D$14="Yes",IF(COUNTBLANK('Capacity summary'!$H176:$BG176)&lt;52,IF('Capacity summary'!BE176&lt;&gt;"",IF(LOWER('Capacity summary'!BE176)="x",$BI57*BE57,VALUE('Capacity summary'!BE176)),0),BE57*$BI57),BE57*$BI57),0)</f>
        <v>0</v>
      </c>
      <c r="DI57" s="311">
        <f>IF($BI57&lt;&gt;"",IF('Capacity summary'!$D$14="Yes",IF(COUNTBLANK('Capacity summary'!$H176:$BG176)&lt;52,IF('Capacity summary'!BF176&lt;&gt;"",IF(LOWER('Capacity summary'!BF176)="x",$BI57*BF57,VALUE('Capacity summary'!BF176)),0),BF57*$BI57),BF57*$BI57),0)</f>
        <v>0</v>
      </c>
      <c r="DJ57" s="311">
        <f>IF($BI57&lt;&gt;"",IF('Capacity summary'!$D$14="Yes",IF(COUNTBLANK('Capacity summary'!$H176:$BG176)&lt;52,IF('Capacity summary'!BG176&lt;&gt;"",IF(LOWER('Capacity summary'!BG176)="x",$BI57*BG57,VALUE('Capacity summary'!BG176)),0),BG57*$BI57),BG57*$BI57),0)</f>
        <v>0</v>
      </c>
      <c r="DK57" s="387">
        <f t="shared" si="2"/>
        <v>0</v>
      </c>
      <c r="DL57" s="136">
        <f t="shared" si="3"/>
        <v>0</v>
      </c>
      <c r="DM57" s="311" t="str">
        <f>Capacity!H69</f>
        <v/>
      </c>
    </row>
    <row r="58" spans="1:121" x14ac:dyDescent="0.2">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1">
        <f>IF($BI58&lt;&gt;"",IF('Capacity summary'!$D$14="Yes",IF(COUNTBLANK('Capacity summary'!$H177:$BG177)&lt;52,IF('Capacity summary'!H177&lt;&gt;"",IF(LOWER('Capacity summary'!H177)="x",$BI58*H58,VALUE('Capacity summary'!H177)),0),H58*$BI58),H58*$BI58),0)</f>
        <v>0</v>
      </c>
      <c r="BL58" s="311">
        <f>IF($BI58&lt;&gt;"",IF('Capacity summary'!$D$14="Yes",IF(COUNTBLANK('Capacity summary'!$H177:$BG177)&lt;52,IF('Capacity summary'!I177&lt;&gt;"",IF(LOWER('Capacity summary'!I177)="x",$BI58*I58,VALUE('Capacity summary'!I177)),0),I58*$BI58),I58*$BI58),0)</f>
        <v>0</v>
      </c>
      <c r="BM58" s="311">
        <f>IF($BI58&lt;&gt;"",IF('Capacity summary'!$D$14="Yes",IF(COUNTBLANK('Capacity summary'!$H177:$BG177)&lt;52,IF('Capacity summary'!J177&lt;&gt;"",IF(LOWER('Capacity summary'!J177)="x",$BI58*J58,VALUE('Capacity summary'!J177)),0),J58*$BI58),J58*$BI58),0)</f>
        <v>0</v>
      </c>
      <c r="BN58" s="311">
        <f>IF($BI58&lt;&gt;"",IF('Capacity summary'!$D$14="Yes",IF(COUNTBLANK('Capacity summary'!$H177:$BG177)&lt;52,IF('Capacity summary'!K177&lt;&gt;"",IF(LOWER('Capacity summary'!K177)="x",$BI58*K58,VALUE('Capacity summary'!K177)),0),K58*$BI58),K58*$BI58),0)</f>
        <v>0</v>
      </c>
      <c r="BO58" s="311">
        <f>IF($BI58&lt;&gt;"",IF('Capacity summary'!$D$14="Yes",IF(COUNTBLANK('Capacity summary'!$H177:$BG177)&lt;52,IF('Capacity summary'!L177&lt;&gt;"",IF(LOWER('Capacity summary'!L177)="x",$BI58*L58,VALUE('Capacity summary'!L177)),0),L58*$BI58),L58*$BI58),0)</f>
        <v>0</v>
      </c>
      <c r="BP58" s="311">
        <f>IF($BI58&lt;&gt;"",IF('Capacity summary'!$D$14="Yes",IF(COUNTBLANK('Capacity summary'!$H177:$BG177)&lt;52,IF('Capacity summary'!M177&lt;&gt;"",IF(LOWER('Capacity summary'!M177)="x",$BI58*M58,VALUE('Capacity summary'!M177)),0),M58*$BI58),M58*$BI58),0)</f>
        <v>0</v>
      </c>
      <c r="BQ58" s="311">
        <f>IF($BI58&lt;&gt;"",IF('Capacity summary'!$D$14="Yes",IF(COUNTBLANK('Capacity summary'!$H177:$BG177)&lt;52,IF('Capacity summary'!N177&lt;&gt;"",IF(LOWER('Capacity summary'!N177)="x",$BI58*N58,VALUE('Capacity summary'!N177)),0),N58*$BI58),N58*$BI58),0)</f>
        <v>0</v>
      </c>
      <c r="BR58" s="311">
        <f>IF($BI58&lt;&gt;"",IF('Capacity summary'!$D$14="Yes",IF(COUNTBLANK('Capacity summary'!$H177:$BG177)&lt;52,IF('Capacity summary'!O177&lt;&gt;"",IF(LOWER('Capacity summary'!O177)="x",$BI58*O58,VALUE('Capacity summary'!O177)),0),O58*$BI58),O58*$BI58),0)</f>
        <v>0</v>
      </c>
      <c r="BS58" s="311">
        <f>IF($BI58&lt;&gt;"",IF('Capacity summary'!$D$14="Yes",IF(COUNTBLANK('Capacity summary'!$H177:$BG177)&lt;52,IF('Capacity summary'!P177&lt;&gt;"",IF(LOWER('Capacity summary'!P177)="x",$BI58*P58,VALUE('Capacity summary'!P177)),0),P58*$BI58),P58*$BI58),0)</f>
        <v>0</v>
      </c>
      <c r="BT58" s="311">
        <f>IF($BI58&lt;&gt;"",IF('Capacity summary'!$D$14="Yes",IF(COUNTBLANK('Capacity summary'!$H177:$BG177)&lt;52,IF('Capacity summary'!Q177&lt;&gt;"",IF(LOWER('Capacity summary'!Q177)="x",$BI58*Q58,VALUE('Capacity summary'!Q177)),0),Q58*$BI58),Q58*$BI58),0)</f>
        <v>0</v>
      </c>
      <c r="BU58" s="311">
        <f>IF($BI58&lt;&gt;"",IF('Capacity summary'!$D$14="Yes",IF(COUNTBLANK('Capacity summary'!$H177:$BG177)&lt;52,IF('Capacity summary'!R177&lt;&gt;"",IF(LOWER('Capacity summary'!R177)="x",$BI58*R58,VALUE('Capacity summary'!R177)),0),R58*$BI58),R58*$BI58),0)</f>
        <v>0</v>
      </c>
      <c r="BV58" s="311">
        <f>IF($BI58&lt;&gt;"",IF('Capacity summary'!$D$14="Yes",IF(COUNTBLANK('Capacity summary'!$H177:$BG177)&lt;52,IF('Capacity summary'!S177&lt;&gt;"",IF(LOWER('Capacity summary'!S177)="x",$BI58*S58,VALUE('Capacity summary'!S177)),0),S58*$BI58),S58*$BI58),0)</f>
        <v>0</v>
      </c>
      <c r="BW58" s="311">
        <f>IF($BI58&lt;&gt;"",IF('Capacity summary'!$D$14="Yes",IF(COUNTBLANK('Capacity summary'!$H177:$BG177)&lt;52,IF('Capacity summary'!T177&lt;&gt;"",IF(LOWER('Capacity summary'!T177)="x",$BI58*T58,VALUE('Capacity summary'!T177)),0),T58*$BI58),T58*$BI58),0)</f>
        <v>0</v>
      </c>
      <c r="BX58" s="311">
        <f>IF($BI58&lt;&gt;"",IF('Capacity summary'!$D$14="Yes",IF(COUNTBLANK('Capacity summary'!$H177:$BG177)&lt;52,IF('Capacity summary'!U177&lt;&gt;"",IF(LOWER('Capacity summary'!U177)="x",$BI58*U58,VALUE('Capacity summary'!U177)),0),U58*$BI58),U58*$BI58),0)</f>
        <v>0</v>
      </c>
      <c r="BY58" s="311">
        <f>IF($BI58&lt;&gt;"",IF('Capacity summary'!$D$14="Yes",IF(COUNTBLANK('Capacity summary'!$H177:$BG177)&lt;52,IF('Capacity summary'!V177&lt;&gt;"",IF(LOWER('Capacity summary'!V177)="x",$BI58*V58,VALUE('Capacity summary'!V177)),0),V58*$BI58),V58*$BI58),0)</f>
        <v>0</v>
      </c>
      <c r="BZ58" s="311">
        <f>IF($BI58&lt;&gt;"",IF('Capacity summary'!$D$14="Yes",IF(COUNTBLANK('Capacity summary'!$H177:$BG177)&lt;52,IF('Capacity summary'!W177&lt;&gt;"",IF(LOWER('Capacity summary'!W177)="x",$BI58*W58,VALUE('Capacity summary'!W177)),0),W58*$BI58),W58*$BI58),0)</f>
        <v>0</v>
      </c>
      <c r="CA58" s="311">
        <f>IF($BI58&lt;&gt;"",IF('Capacity summary'!$D$14="Yes",IF(COUNTBLANK('Capacity summary'!$H177:$BG177)&lt;52,IF('Capacity summary'!X177&lt;&gt;"",IF(LOWER('Capacity summary'!X177)="x",$BI58*X58,VALUE('Capacity summary'!X177)),0),X58*$BI58),X58*$BI58),0)</f>
        <v>0</v>
      </c>
      <c r="CB58" s="311">
        <f>IF($BI58&lt;&gt;"",IF('Capacity summary'!$D$14="Yes",IF(COUNTBLANK('Capacity summary'!$H177:$BG177)&lt;52,IF('Capacity summary'!Y177&lt;&gt;"",IF(LOWER('Capacity summary'!Y177)="x",$BI58*Y58,VALUE('Capacity summary'!Y177)),0),Y58*$BI58),Y58*$BI58),0)</f>
        <v>0</v>
      </c>
      <c r="CC58" s="311">
        <f>IF($BI58&lt;&gt;"",IF('Capacity summary'!$D$14="Yes",IF(COUNTBLANK('Capacity summary'!$H177:$BG177)&lt;52,IF('Capacity summary'!Z177&lt;&gt;"",IF(LOWER('Capacity summary'!Z177)="x",$BI58*Z58,VALUE('Capacity summary'!Z177)),0),Z58*$BI58),Z58*$BI58),0)</f>
        <v>0</v>
      </c>
      <c r="CD58" s="311">
        <f>IF($BI58&lt;&gt;"",IF('Capacity summary'!$D$14="Yes",IF(COUNTBLANK('Capacity summary'!$H177:$BG177)&lt;52,IF('Capacity summary'!AA177&lt;&gt;"",IF(LOWER('Capacity summary'!AA177)="x",$BI58*AA58,VALUE('Capacity summary'!AA177)),0),AA58*$BI58),AA58*$BI58),0)</f>
        <v>0</v>
      </c>
      <c r="CE58" s="311">
        <f>IF($BI58&lt;&gt;"",IF('Capacity summary'!$D$14="Yes",IF(COUNTBLANK('Capacity summary'!$H177:$BG177)&lt;52,IF('Capacity summary'!AB177&lt;&gt;"",IF(LOWER('Capacity summary'!AB177)="x",$BI58*AB58,VALUE('Capacity summary'!AB177)),0),AB58*$BI58),AB58*$BI58),0)</f>
        <v>0</v>
      </c>
      <c r="CF58" s="311">
        <f>IF($BI58&lt;&gt;"",IF('Capacity summary'!$D$14="Yes",IF(COUNTBLANK('Capacity summary'!$H177:$BG177)&lt;52,IF('Capacity summary'!AC177&lt;&gt;"",IF(LOWER('Capacity summary'!AC177)="x",$BI58*AC58,VALUE('Capacity summary'!AC177)),0),AC58*$BI58),AC58*$BI58),0)</f>
        <v>0</v>
      </c>
      <c r="CG58" s="311">
        <f>IF($BI58&lt;&gt;"",IF('Capacity summary'!$D$14="Yes",IF(COUNTBLANK('Capacity summary'!$H177:$BG177)&lt;52,IF('Capacity summary'!AD177&lt;&gt;"",IF(LOWER('Capacity summary'!AD177)="x",$BI58*AD58,VALUE('Capacity summary'!AD177)),0),AD58*$BI58),AD58*$BI58),0)</f>
        <v>0</v>
      </c>
      <c r="CH58" s="311">
        <f>IF($BI58&lt;&gt;"",IF('Capacity summary'!$D$14="Yes",IF(COUNTBLANK('Capacity summary'!$H177:$BG177)&lt;52,IF('Capacity summary'!AE177&lt;&gt;"",IF(LOWER('Capacity summary'!AE177)="x",$BI58*AE58,VALUE('Capacity summary'!AE177)),0),AE58*$BI58),AE58*$BI58),0)</f>
        <v>0</v>
      </c>
      <c r="CI58" s="311">
        <f>IF($BI58&lt;&gt;"",IF('Capacity summary'!$D$14="Yes",IF(COUNTBLANK('Capacity summary'!$H177:$BG177)&lt;52,IF('Capacity summary'!AF177&lt;&gt;"",IF(LOWER('Capacity summary'!AF177)="x",$BI58*AF58,VALUE('Capacity summary'!AF177)),0),AF58*$BI58),AF58*$BI58),0)</f>
        <v>0</v>
      </c>
      <c r="CJ58" s="311">
        <f>IF($BI58&lt;&gt;"",IF('Capacity summary'!$D$14="Yes",IF(COUNTBLANK('Capacity summary'!$H177:$BG177)&lt;52,IF('Capacity summary'!AG177&lt;&gt;"",IF(LOWER('Capacity summary'!AG177)="x",$BI58*AG58,VALUE('Capacity summary'!AG177)),0),AG58*$BI58),AG58*$BI58),0)</f>
        <v>0</v>
      </c>
      <c r="CK58" s="311">
        <f>IF($BI58&lt;&gt;"",IF('Capacity summary'!$D$14="Yes",IF(COUNTBLANK('Capacity summary'!$H177:$BG177)&lt;52,IF('Capacity summary'!AH177&lt;&gt;"",IF(LOWER('Capacity summary'!AH177)="x",$BI58*AH58,VALUE('Capacity summary'!AH177)),0),AH58*$BI58),AH58*$BI58),0)</f>
        <v>0</v>
      </c>
      <c r="CL58" s="311">
        <f>IF($BI58&lt;&gt;"",IF('Capacity summary'!$D$14="Yes",IF(COUNTBLANK('Capacity summary'!$H177:$BG177)&lt;52,IF('Capacity summary'!AI177&lt;&gt;"",IF(LOWER('Capacity summary'!AI177)="x",$BI58*AI58,VALUE('Capacity summary'!AI177)),0),AI58*$BI58),AI58*$BI58),0)</f>
        <v>0</v>
      </c>
      <c r="CM58" s="311">
        <f>IF($BI58&lt;&gt;"",IF('Capacity summary'!$D$14="Yes",IF(COUNTBLANK('Capacity summary'!$H177:$BG177)&lt;52,IF('Capacity summary'!AJ177&lt;&gt;"",IF(LOWER('Capacity summary'!AJ177)="x",$BI58*AJ58,VALUE('Capacity summary'!AJ177)),0),AJ58*$BI58),AJ58*$BI58),0)</f>
        <v>0</v>
      </c>
      <c r="CN58" s="311">
        <f>IF($BI58&lt;&gt;"",IF('Capacity summary'!$D$14="Yes",IF(COUNTBLANK('Capacity summary'!$H177:$BG177)&lt;52,IF('Capacity summary'!AK177&lt;&gt;"",IF(LOWER('Capacity summary'!AK177)="x",$BI58*AK58,VALUE('Capacity summary'!AK177)),0),AK58*$BI58),AK58*$BI58),0)</f>
        <v>0</v>
      </c>
      <c r="CO58" s="311">
        <f>IF($BI58&lt;&gt;"",IF('Capacity summary'!$D$14="Yes",IF(COUNTBLANK('Capacity summary'!$H177:$BG177)&lt;52,IF('Capacity summary'!AL177&lt;&gt;"",IF(LOWER('Capacity summary'!AL177)="x",$BI58*AL58,VALUE('Capacity summary'!AL177)),0),AL58*$BI58),AL58*$BI58),0)</f>
        <v>0</v>
      </c>
      <c r="CP58" s="311">
        <f>IF($BI58&lt;&gt;"",IF('Capacity summary'!$D$14="Yes",IF(COUNTBLANK('Capacity summary'!$H177:$BG177)&lt;52,IF('Capacity summary'!AM177&lt;&gt;"",IF(LOWER('Capacity summary'!AM177)="x",$BI58*AM58,VALUE('Capacity summary'!AM177)),0),AM58*$BI58),AM58*$BI58),0)</f>
        <v>0</v>
      </c>
      <c r="CQ58" s="311">
        <f>IF($BI58&lt;&gt;"",IF('Capacity summary'!$D$14="Yes",IF(COUNTBLANK('Capacity summary'!$H177:$BG177)&lt;52,IF('Capacity summary'!AN177&lt;&gt;"",IF(LOWER('Capacity summary'!AN177)="x",$BI58*AN58,VALUE('Capacity summary'!AN177)),0),AN58*$BI58),AN58*$BI58),0)</f>
        <v>0</v>
      </c>
      <c r="CR58" s="311">
        <f>IF($BI58&lt;&gt;"",IF('Capacity summary'!$D$14="Yes",IF(COUNTBLANK('Capacity summary'!$H177:$BG177)&lt;52,IF('Capacity summary'!AO177&lt;&gt;"",IF(LOWER('Capacity summary'!AO177)="x",$BI58*AO58,VALUE('Capacity summary'!AO177)),0),AO58*$BI58),AO58*$BI58),0)</f>
        <v>0</v>
      </c>
      <c r="CS58" s="311">
        <f>IF($BI58&lt;&gt;"",IF('Capacity summary'!$D$14="Yes",IF(COUNTBLANK('Capacity summary'!$H177:$BG177)&lt;52,IF('Capacity summary'!AP177&lt;&gt;"",IF(LOWER('Capacity summary'!AP177)="x",$BI58*AP58,VALUE('Capacity summary'!AP177)),0),AP58*$BI58),AP58*$BI58),0)</f>
        <v>0</v>
      </c>
      <c r="CT58" s="311">
        <f>IF($BI58&lt;&gt;"",IF('Capacity summary'!$D$14="Yes",IF(COUNTBLANK('Capacity summary'!$H177:$BG177)&lt;52,IF('Capacity summary'!AQ177&lt;&gt;"",IF(LOWER('Capacity summary'!AQ177)="x",$BI58*AQ58,VALUE('Capacity summary'!AQ177)),0),AQ58*$BI58),AQ58*$BI58),0)</f>
        <v>0</v>
      </c>
      <c r="CU58" s="311">
        <f>IF($BI58&lt;&gt;"",IF('Capacity summary'!$D$14="Yes",IF(COUNTBLANK('Capacity summary'!$H177:$BG177)&lt;52,IF('Capacity summary'!AR177&lt;&gt;"",IF(LOWER('Capacity summary'!AR177)="x",$BI58*AR58,VALUE('Capacity summary'!AR177)),0),AR58*$BI58),AR58*$BI58),0)</f>
        <v>0</v>
      </c>
      <c r="CV58" s="311">
        <f>IF($BI58&lt;&gt;"",IF('Capacity summary'!$D$14="Yes",IF(COUNTBLANK('Capacity summary'!$H177:$BG177)&lt;52,IF('Capacity summary'!AS177&lt;&gt;"",IF(LOWER('Capacity summary'!AS177)="x",$BI58*AS58,VALUE('Capacity summary'!AS177)),0),AS58*$BI58),AS58*$BI58),0)</f>
        <v>0</v>
      </c>
      <c r="CW58" s="311">
        <f>IF($BI58&lt;&gt;"",IF('Capacity summary'!$D$14="Yes",IF(COUNTBLANK('Capacity summary'!$H177:$BG177)&lt;52,IF('Capacity summary'!AT177&lt;&gt;"",IF(LOWER('Capacity summary'!AT177)="x",$BI58*AT58,VALUE('Capacity summary'!AT177)),0),AT58*$BI58),AT58*$BI58),0)</f>
        <v>0</v>
      </c>
      <c r="CX58" s="311">
        <f>IF($BI58&lt;&gt;"",IF('Capacity summary'!$D$14="Yes",IF(COUNTBLANK('Capacity summary'!$H177:$BG177)&lt;52,IF('Capacity summary'!AU177&lt;&gt;"",IF(LOWER('Capacity summary'!AU177)="x",$BI58*AU58,VALUE('Capacity summary'!AU177)),0),AU58*$BI58),AU58*$BI58),0)</f>
        <v>0</v>
      </c>
      <c r="CY58" s="311">
        <f>IF($BI58&lt;&gt;"",IF('Capacity summary'!$D$14="Yes",IF(COUNTBLANK('Capacity summary'!$H177:$BG177)&lt;52,IF('Capacity summary'!AV177&lt;&gt;"",IF(LOWER('Capacity summary'!AV177)="x",$BI58*AV58,VALUE('Capacity summary'!AV177)),0),AV58*$BI58),AV58*$BI58),0)</f>
        <v>0</v>
      </c>
      <c r="CZ58" s="311">
        <f>IF($BI58&lt;&gt;"",IF('Capacity summary'!$D$14="Yes",IF(COUNTBLANK('Capacity summary'!$H177:$BG177)&lt;52,IF('Capacity summary'!AW177&lt;&gt;"",IF(LOWER('Capacity summary'!AW177)="x",$BI58*AW58,VALUE('Capacity summary'!AW177)),0),AW58*$BI58),AW58*$BI58),0)</f>
        <v>0</v>
      </c>
      <c r="DA58" s="311">
        <f>IF($BI58&lt;&gt;"",IF('Capacity summary'!$D$14="Yes",IF(COUNTBLANK('Capacity summary'!$H177:$BG177)&lt;52,IF('Capacity summary'!AX177&lt;&gt;"",IF(LOWER('Capacity summary'!AX177)="x",$BI58*AX58,VALUE('Capacity summary'!AX177)),0),AX58*$BI58),AX58*$BI58),0)</f>
        <v>0</v>
      </c>
      <c r="DB58" s="311">
        <f>IF($BI58&lt;&gt;"",IF('Capacity summary'!$D$14="Yes",IF(COUNTBLANK('Capacity summary'!$H177:$BG177)&lt;52,IF('Capacity summary'!AY177&lt;&gt;"",IF(LOWER('Capacity summary'!AY177)="x",$BI58*AY58,VALUE('Capacity summary'!AY177)),0),AY58*$BI58),AY58*$BI58),0)</f>
        <v>0</v>
      </c>
      <c r="DC58" s="311">
        <f>IF($BI58&lt;&gt;"",IF('Capacity summary'!$D$14="Yes",IF(COUNTBLANK('Capacity summary'!$H177:$BG177)&lt;52,IF('Capacity summary'!AZ177&lt;&gt;"",IF(LOWER('Capacity summary'!AZ177)="x",$BI58*AZ58,VALUE('Capacity summary'!AZ177)),0),AZ58*$BI58),AZ58*$BI58),0)</f>
        <v>0</v>
      </c>
      <c r="DD58" s="311">
        <f>IF($BI58&lt;&gt;"",IF('Capacity summary'!$D$14="Yes",IF(COUNTBLANK('Capacity summary'!$H177:$BG177)&lt;52,IF('Capacity summary'!BA177&lt;&gt;"",IF(LOWER('Capacity summary'!BA177)="x",$BI58*BA58,VALUE('Capacity summary'!BA177)),0),BA58*$BI58),BA58*$BI58),0)</f>
        <v>0</v>
      </c>
      <c r="DE58" s="311">
        <f>IF($BI58&lt;&gt;"",IF('Capacity summary'!$D$14="Yes",IF(COUNTBLANK('Capacity summary'!$H177:$BG177)&lt;52,IF('Capacity summary'!BB177&lt;&gt;"",IF(LOWER('Capacity summary'!BB177)="x",$BI58*BB58,VALUE('Capacity summary'!BB177)),0),BB58*$BI58),BB58*$BI58),0)</f>
        <v>0</v>
      </c>
      <c r="DF58" s="311">
        <f>IF($BI58&lt;&gt;"",IF('Capacity summary'!$D$14="Yes",IF(COUNTBLANK('Capacity summary'!$H177:$BG177)&lt;52,IF('Capacity summary'!BC177&lt;&gt;"",IF(LOWER('Capacity summary'!BC177)="x",$BI58*BC58,VALUE('Capacity summary'!BC177)),0),BC58*$BI58),BC58*$BI58),0)</f>
        <v>0</v>
      </c>
      <c r="DG58" s="311">
        <f>IF($BI58&lt;&gt;"",IF('Capacity summary'!$D$14="Yes",IF(COUNTBLANK('Capacity summary'!$H177:$BG177)&lt;52,IF('Capacity summary'!BD177&lt;&gt;"",IF(LOWER('Capacity summary'!BD177)="x",$BI58*BD58,VALUE('Capacity summary'!BD177)),0),BD58*$BI58),BD58*$BI58),0)</f>
        <v>0</v>
      </c>
      <c r="DH58" s="311">
        <f>IF($BI58&lt;&gt;"",IF('Capacity summary'!$D$14="Yes",IF(COUNTBLANK('Capacity summary'!$H177:$BG177)&lt;52,IF('Capacity summary'!BE177&lt;&gt;"",IF(LOWER('Capacity summary'!BE177)="x",$BI58*BE58,VALUE('Capacity summary'!BE177)),0),BE58*$BI58),BE58*$BI58),0)</f>
        <v>0</v>
      </c>
      <c r="DI58" s="311">
        <f>IF($BI58&lt;&gt;"",IF('Capacity summary'!$D$14="Yes",IF(COUNTBLANK('Capacity summary'!$H177:$BG177)&lt;52,IF('Capacity summary'!BF177&lt;&gt;"",IF(LOWER('Capacity summary'!BF177)="x",$BI58*BF58,VALUE('Capacity summary'!BF177)),0),BF58*$BI58),BF58*$BI58),0)</f>
        <v>0</v>
      </c>
      <c r="DJ58" s="311">
        <f>IF($BI58&lt;&gt;"",IF('Capacity summary'!$D$14="Yes",IF(COUNTBLANK('Capacity summary'!$H177:$BG177)&lt;52,IF('Capacity summary'!BG177&lt;&gt;"",IF(LOWER('Capacity summary'!BG177)="x",$BI58*BG58,VALUE('Capacity summary'!BG177)),0),BG58*$BI58),BG58*$BI58),0)</f>
        <v>0</v>
      </c>
      <c r="DK58" s="387">
        <f t="shared" si="2"/>
        <v>0</v>
      </c>
      <c r="DL58" s="136">
        <f t="shared" si="3"/>
        <v>0</v>
      </c>
      <c r="DM58" s="311" t="str">
        <f>Capacity!H70</f>
        <v/>
      </c>
    </row>
    <row r="59" spans="1:121" x14ac:dyDescent="0.2">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1">
        <f>IF($BI59&lt;&gt;"",IF('Capacity summary'!$D$14="Yes",IF(COUNTBLANK('Capacity summary'!$H178:$BG178)&lt;52,IF('Capacity summary'!H178&lt;&gt;"",IF(LOWER('Capacity summary'!H178)="x",$BI59*H59,VALUE('Capacity summary'!H178)),0),H59*$BI59),H59*$BI59),0)</f>
        <v>0</v>
      </c>
      <c r="BL59" s="311">
        <f>IF($BI59&lt;&gt;"",IF('Capacity summary'!$D$14="Yes",IF(COUNTBLANK('Capacity summary'!$H178:$BG178)&lt;52,IF('Capacity summary'!I178&lt;&gt;"",IF(LOWER('Capacity summary'!I178)="x",$BI59*I59,VALUE('Capacity summary'!I178)),0),I59*$BI59),I59*$BI59),0)</f>
        <v>0</v>
      </c>
      <c r="BM59" s="311">
        <f>IF($BI59&lt;&gt;"",IF('Capacity summary'!$D$14="Yes",IF(COUNTBLANK('Capacity summary'!$H178:$BG178)&lt;52,IF('Capacity summary'!J178&lt;&gt;"",IF(LOWER('Capacity summary'!J178)="x",$BI59*J59,VALUE('Capacity summary'!J178)),0),J59*$BI59),J59*$BI59),0)</f>
        <v>0</v>
      </c>
      <c r="BN59" s="311">
        <f>IF($BI59&lt;&gt;"",IF('Capacity summary'!$D$14="Yes",IF(COUNTBLANK('Capacity summary'!$H178:$BG178)&lt;52,IF('Capacity summary'!K178&lt;&gt;"",IF(LOWER('Capacity summary'!K178)="x",$BI59*K59,VALUE('Capacity summary'!K178)),0),K59*$BI59),K59*$BI59),0)</f>
        <v>0</v>
      </c>
      <c r="BO59" s="311">
        <f>IF($BI59&lt;&gt;"",IF('Capacity summary'!$D$14="Yes",IF(COUNTBLANK('Capacity summary'!$H178:$BG178)&lt;52,IF('Capacity summary'!L178&lt;&gt;"",IF(LOWER('Capacity summary'!L178)="x",$BI59*L59,VALUE('Capacity summary'!L178)),0),L59*$BI59),L59*$BI59),0)</f>
        <v>0</v>
      </c>
      <c r="BP59" s="311">
        <f>IF($BI59&lt;&gt;"",IF('Capacity summary'!$D$14="Yes",IF(COUNTBLANK('Capacity summary'!$H178:$BG178)&lt;52,IF('Capacity summary'!M178&lt;&gt;"",IF(LOWER('Capacity summary'!M178)="x",$BI59*M59,VALUE('Capacity summary'!M178)),0),M59*$BI59),M59*$BI59),0)</f>
        <v>0</v>
      </c>
      <c r="BQ59" s="311">
        <f>IF($BI59&lt;&gt;"",IF('Capacity summary'!$D$14="Yes",IF(COUNTBLANK('Capacity summary'!$H178:$BG178)&lt;52,IF('Capacity summary'!N178&lt;&gt;"",IF(LOWER('Capacity summary'!N178)="x",$BI59*N59,VALUE('Capacity summary'!N178)),0),N59*$BI59),N59*$BI59),0)</f>
        <v>0</v>
      </c>
      <c r="BR59" s="311">
        <f>IF($BI59&lt;&gt;"",IF('Capacity summary'!$D$14="Yes",IF(COUNTBLANK('Capacity summary'!$H178:$BG178)&lt;52,IF('Capacity summary'!O178&lt;&gt;"",IF(LOWER('Capacity summary'!O178)="x",$BI59*O59,VALUE('Capacity summary'!O178)),0),O59*$BI59),O59*$BI59),0)</f>
        <v>0</v>
      </c>
      <c r="BS59" s="311">
        <f>IF($BI59&lt;&gt;"",IF('Capacity summary'!$D$14="Yes",IF(COUNTBLANK('Capacity summary'!$H178:$BG178)&lt;52,IF('Capacity summary'!P178&lt;&gt;"",IF(LOWER('Capacity summary'!P178)="x",$BI59*P59,VALUE('Capacity summary'!P178)),0),P59*$BI59),P59*$BI59),0)</f>
        <v>0</v>
      </c>
      <c r="BT59" s="311">
        <f>IF($BI59&lt;&gt;"",IF('Capacity summary'!$D$14="Yes",IF(COUNTBLANK('Capacity summary'!$H178:$BG178)&lt;52,IF('Capacity summary'!Q178&lt;&gt;"",IF(LOWER('Capacity summary'!Q178)="x",$BI59*Q59,VALUE('Capacity summary'!Q178)),0),Q59*$BI59),Q59*$BI59),0)</f>
        <v>0</v>
      </c>
      <c r="BU59" s="311">
        <f>IF($BI59&lt;&gt;"",IF('Capacity summary'!$D$14="Yes",IF(COUNTBLANK('Capacity summary'!$H178:$BG178)&lt;52,IF('Capacity summary'!R178&lt;&gt;"",IF(LOWER('Capacity summary'!R178)="x",$BI59*R59,VALUE('Capacity summary'!R178)),0),R59*$BI59),R59*$BI59),0)</f>
        <v>0</v>
      </c>
      <c r="BV59" s="311">
        <f>IF($BI59&lt;&gt;"",IF('Capacity summary'!$D$14="Yes",IF(COUNTBLANK('Capacity summary'!$H178:$BG178)&lt;52,IF('Capacity summary'!S178&lt;&gt;"",IF(LOWER('Capacity summary'!S178)="x",$BI59*S59,VALUE('Capacity summary'!S178)),0),S59*$BI59),S59*$BI59),0)</f>
        <v>0</v>
      </c>
      <c r="BW59" s="311">
        <f>IF($BI59&lt;&gt;"",IF('Capacity summary'!$D$14="Yes",IF(COUNTBLANK('Capacity summary'!$H178:$BG178)&lt;52,IF('Capacity summary'!T178&lt;&gt;"",IF(LOWER('Capacity summary'!T178)="x",$BI59*T59,VALUE('Capacity summary'!T178)),0),T59*$BI59),T59*$BI59),0)</f>
        <v>0</v>
      </c>
      <c r="BX59" s="311">
        <f>IF($BI59&lt;&gt;"",IF('Capacity summary'!$D$14="Yes",IF(COUNTBLANK('Capacity summary'!$H178:$BG178)&lt;52,IF('Capacity summary'!U178&lt;&gt;"",IF(LOWER('Capacity summary'!U178)="x",$BI59*U59,VALUE('Capacity summary'!U178)),0),U59*$BI59),U59*$BI59),0)</f>
        <v>0</v>
      </c>
      <c r="BY59" s="311">
        <f>IF($BI59&lt;&gt;"",IF('Capacity summary'!$D$14="Yes",IF(COUNTBLANK('Capacity summary'!$H178:$BG178)&lt;52,IF('Capacity summary'!V178&lt;&gt;"",IF(LOWER('Capacity summary'!V178)="x",$BI59*V59,VALUE('Capacity summary'!V178)),0),V59*$BI59),V59*$BI59),0)</f>
        <v>0</v>
      </c>
      <c r="BZ59" s="311">
        <f>IF($BI59&lt;&gt;"",IF('Capacity summary'!$D$14="Yes",IF(COUNTBLANK('Capacity summary'!$H178:$BG178)&lt;52,IF('Capacity summary'!W178&lt;&gt;"",IF(LOWER('Capacity summary'!W178)="x",$BI59*W59,VALUE('Capacity summary'!W178)),0),W59*$BI59),W59*$BI59),0)</f>
        <v>0</v>
      </c>
      <c r="CA59" s="311">
        <f>IF($BI59&lt;&gt;"",IF('Capacity summary'!$D$14="Yes",IF(COUNTBLANK('Capacity summary'!$H178:$BG178)&lt;52,IF('Capacity summary'!X178&lt;&gt;"",IF(LOWER('Capacity summary'!X178)="x",$BI59*X59,VALUE('Capacity summary'!X178)),0),X59*$BI59),X59*$BI59),0)</f>
        <v>0</v>
      </c>
      <c r="CB59" s="311">
        <f>IF($BI59&lt;&gt;"",IF('Capacity summary'!$D$14="Yes",IF(COUNTBLANK('Capacity summary'!$H178:$BG178)&lt;52,IF('Capacity summary'!Y178&lt;&gt;"",IF(LOWER('Capacity summary'!Y178)="x",$BI59*Y59,VALUE('Capacity summary'!Y178)),0),Y59*$BI59),Y59*$BI59),0)</f>
        <v>0</v>
      </c>
      <c r="CC59" s="311">
        <f>IF($BI59&lt;&gt;"",IF('Capacity summary'!$D$14="Yes",IF(COUNTBLANK('Capacity summary'!$H178:$BG178)&lt;52,IF('Capacity summary'!Z178&lt;&gt;"",IF(LOWER('Capacity summary'!Z178)="x",$BI59*Z59,VALUE('Capacity summary'!Z178)),0),Z59*$BI59),Z59*$BI59),0)</f>
        <v>0</v>
      </c>
      <c r="CD59" s="311">
        <f>IF($BI59&lt;&gt;"",IF('Capacity summary'!$D$14="Yes",IF(COUNTBLANK('Capacity summary'!$H178:$BG178)&lt;52,IF('Capacity summary'!AA178&lt;&gt;"",IF(LOWER('Capacity summary'!AA178)="x",$BI59*AA59,VALUE('Capacity summary'!AA178)),0),AA59*$BI59),AA59*$BI59),0)</f>
        <v>0</v>
      </c>
      <c r="CE59" s="311">
        <f>IF($BI59&lt;&gt;"",IF('Capacity summary'!$D$14="Yes",IF(COUNTBLANK('Capacity summary'!$H178:$BG178)&lt;52,IF('Capacity summary'!AB178&lt;&gt;"",IF(LOWER('Capacity summary'!AB178)="x",$BI59*AB59,VALUE('Capacity summary'!AB178)),0),AB59*$BI59),AB59*$BI59),0)</f>
        <v>0</v>
      </c>
      <c r="CF59" s="311">
        <f>IF($BI59&lt;&gt;"",IF('Capacity summary'!$D$14="Yes",IF(COUNTBLANK('Capacity summary'!$H178:$BG178)&lt;52,IF('Capacity summary'!AC178&lt;&gt;"",IF(LOWER('Capacity summary'!AC178)="x",$BI59*AC59,VALUE('Capacity summary'!AC178)),0),AC59*$BI59),AC59*$BI59),0)</f>
        <v>0</v>
      </c>
      <c r="CG59" s="311">
        <f>IF($BI59&lt;&gt;"",IF('Capacity summary'!$D$14="Yes",IF(COUNTBLANK('Capacity summary'!$H178:$BG178)&lt;52,IF('Capacity summary'!AD178&lt;&gt;"",IF(LOWER('Capacity summary'!AD178)="x",$BI59*AD59,VALUE('Capacity summary'!AD178)),0),AD59*$BI59),AD59*$BI59),0)</f>
        <v>0</v>
      </c>
      <c r="CH59" s="311">
        <f>IF($BI59&lt;&gt;"",IF('Capacity summary'!$D$14="Yes",IF(COUNTBLANK('Capacity summary'!$H178:$BG178)&lt;52,IF('Capacity summary'!AE178&lt;&gt;"",IF(LOWER('Capacity summary'!AE178)="x",$BI59*AE59,VALUE('Capacity summary'!AE178)),0),AE59*$BI59),AE59*$BI59),0)</f>
        <v>0</v>
      </c>
      <c r="CI59" s="311">
        <f>IF($BI59&lt;&gt;"",IF('Capacity summary'!$D$14="Yes",IF(COUNTBLANK('Capacity summary'!$H178:$BG178)&lt;52,IF('Capacity summary'!AF178&lt;&gt;"",IF(LOWER('Capacity summary'!AF178)="x",$BI59*AF59,VALUE('Capacity summary'!AF178)),0),AF59*$BI59),AF59*$BI59),0)</f>
        <v>0</v>
      </c>
      <c r="CJ59" s="311">
        <f>IF($BI59&lt;&gt;"",IF('Capacity summary'!$D$14="Yes",IF(COUNTBLANK('Capacity summary'!$H178:$BG178)&lt;52,IF('Capacity summary'!AG178&lt;&gt;"",IF(LOWER('Capacity summary'!AG178)="x",$BI59*AG59,VALUE('Capacity summary'!AG178)),0),AG59*$BI59),AG59*$BI59),0)</f>
        <v>0</v>
      </c>
      <c r="CK59" s="311">
        <f>IF($BI59&lt;&gt;"",IF('Capacity summary'!$D$14="Yes",IF(COUNTBLANK('Capacity summary'!$H178:$BG178)&lt;52,IF('Capacity summary'!AH178&lt;&gt;"",IF(LOWER('Capacity summary'!AH178)="x",$BI59*AH59,VALUE('Capacity summary'!AH178)),0),AH59*$BI59),AH59*$BI59),0)</f>
        <v>0</v>
      </c>
      <c r="CL59" s="311">
        <f>IF($BI59&lt;&gt;"",IF('Capacity summary'!$D$14="Yes",IF(COUNTBLANK('Capacity summary'!$H178:$BG178)&lt;52,IF('Capacity summary'!AI178&lt;&gt;"",IF(LOWER('Capacity summary'!AI178)="x",$BI59*AI59,VALUE('Capacity summary'!AI178)),0),AI59*$BI59),AI59*$BI59),0)</f>
        <v>0</v>
      </c>
      <c r="CM59" s="311">
        <f>IF($BI59&lt;&gt;"",IF('Capacity summary'!$D$14="Yes",IF(COUNTBLANK('Capacity summary'!$H178:$BG178)&lt;52,IF('Capacity summary'!AJ178&lt;&gt;"",IF(LOWER('Capacity summary'!AJ178)="x",$BI59*AJ59,VALUE('Capacity summary'!AJ178)),0),AJ59*$BI59),AJ59*$BI59),0)</f>
        <v>0</v>
      </c>
      <c r="CN59" s="311">
        <f>IF($BI59&lt;&gt;"",IF('Capacity summary'!$D$14="Yes",IF(COUNTBLANK('Capacity summary'!$H178:$BG178)&lt;52,IF('Capacity summary'!AK178&lt;&gt;"",IF(LOWER('Capacity summary'!AK178)="x",$BI59*AK59,VALUE('Capacity summary'!AK178)),0),AK59*$BI59),AK59*$BI59),0)</f>
        <v>0</v>
      </c>
      <c r="CO59" s="311">
        <f>IF($BI59&lt;&gt;"",IF('Capacity summary'!$D$14="Yes",IF(COUNTBLANK('Capacity summary'!$H178:$BG178)&lt;52,IF('Capacity summary'!AL178&lt;&gt;"",IF(LOWER('Capacity summary'!AL178)="x",$BI59*AL59,VALUE('Capacity summary'!AL178)),0),AL59*$BI59),AL59*$BI59),0)</f>
        <v>0</v>
      </c>
      <c r="CP59" s="311">
        <f>IF($BI59&lt;&gt;"",IF('Capacity summary'!$D$14="Yes",IF(COUNTBLANK('Capacity summary'!$H178:$BG178)&lt;52,IF('Capacity summary'!AM178&lt;&gt;"",IF(LOWER('Capacity summary'!AM178)="x",$BI59*AM59,VALUE('Capacity summary'!AM178)),0),AM59*$BI59),AM59*$BI59),0)</f>
        <v>0</v>
      </c>
      <c r="CQ59" s="311">
        <f>IF($BI59&lt;&gt;"",IF('Capacity summary'!$D$14="Yes",IF(COUNTBLANK('Capacity summary'!$H178:$BG178)&lt;52,IF('Capacity summary'!AN178&lt;&gt;"",IF(LOWER('Capacity summary'!AN178)="x",$BI59*AN59,VALUE('Capacity summary'!AN178)),0),AN59*$BI59),AN59*$BI59),0)</f>
        <v>0</v>
      </c>
      <c r="CR59" s="311">
        <f>IF($BI59&lt;&gt;"",IF('Capacity summary'!$D$14="Yes",IF(COUNTBLANK('Capacity summary'!$H178:$BG178)&lt;52,IF('Capacity summary'!AO178&lt;&gt;"",IF(LOWER('Capacity summary'!AO178)="x",$BI59*AO59,VALUE('Capacity summary'!AO178)),0),AO59*$BI59),AO59*$BI59),0)</f>
        <v>0</v>
      </c>
      <c r="CS59" s="311">
        <f>IF($BI59&lt;&gt;"",IF('Capacity summary'!$D$14="Yes",IF(COUNTBLANK('Capacity summary'!$H178:$BG178)&lt;52,IF('Capacity summary'!AP178&lt;&gt;"",IF(LOWER('Capacity summary'!AP178)="x",$BI59*AP59,VALUE('Capacity summary'!AP178)),0),AP59*$BI59),AP59*$BI59),0)</f>
        <v>0</v>
      </c>
      <c r="CT59" s="311">
        <f>IF($BI59&lt;&gt;"",IF('Capacity summary'!$D$14="Yes",IF(COUNTBLANK('Capacity summary'!$H178:$BG178)&lt;52,IF('Capacity summary'!AQ178&lt;&gt;"",IF(LOWER('Capacity summary'!AQ178)="x",$BI59*AQ59,VALUE('Capacity summary'!AQ178)),0),AQ59*$BI59),AQ59*$BI59),0)</f>
        <v>0</v>
      </c>
      <c r="CU59" s="311">
        <f>IF($BI59&lt;&gt;"",IF('Capacity summary'!$D$14="Yes",IF(COUNTBLANK('Capacity summary'!$H178:$BG178)&lt;52,IF('Capacity summary'!AR178&lt;&gt;"",IF(LOWER('Capacity summary'!AR178)="x",$BI59*AR59,VALUE('Capacity summary'!AR178)),0),AR59*$BI59),AR59*$BI59),0)</f>
        <v>0</v>
      </c>
      <c r="CV59" s="311">
        <f>IF($BI59&lt;&gt;"",IF('Capacity summary'!$D$14="Yes",IF(COUNTBLANK('Capacity summary'!$H178:$BG178)&lt;52,IF('Capacity summary'!AS178&lt;&gt;"",IF(LOWER('Capacity summary'!AS178)="x",$BI59*AS59,VALUE('Capacity summary'!AS178)),0),AS59*$BI59),AS59*$BI59),0)</f>
        <v>0</v>
      </c>
      <c r="CW59" s="311">
        <f>IF($BI59&lt;&gt;"",IF('Capacity summary'!$D$14="Yes",IF(COUNTBLANK('Capacity summary'!$H178:$BG178)&lt;52,IF('Capacity summary'!AT178&lt;&gt;"",IF(LOWER('Capacity summary'!AT178)="x",$BI59*AT59,VALUE('Capacity summary'!AT178)),0),AT59*$BI59),AT59*$BI59),0)</f>
        <v>0</v>
      </c>
      <c r="CX59" s="311">
        <f>IF($BI59&lt;&gt;"",IF('Capacity summary'!$D$14="Yes",IF(COUNTBLANK('Capacity summary'!$H178:$BG178)&lt;52,IF('Capacity summary'!AU178&lt;&gt;"",IF(LOWER('Capacity summary'!AU178)="x",$BI59*AU59,VALUE('Capacity summary'!AU178)),0),AU59*$BI59),AU59*$BI59),0)</f>
        <v>0</v>
      </c>
      <c r="CY59" s="311">
        <f>IF($BI59&lt;&gt;"",IF('Capacity summary'!$D$14="Yes",IF(COUNTBLANK('Capacity summary'!$H178:$BG178)&lt;52,IF('Capacity summary'!AV178&lt;&gt;"",IF(LOWER('Capacity summary'!AV178)="x",$BI59*AV59,VALUE('Capacity summary'!AV178)),0),AV59*$BI59),AV59*$BI59),0)</f>
        <v>0</v>
      </c>
      <c r="CZ59" s="311">
        <f>IF($BI59&lt;&gt;"",IF('Capacity summary'!$D$14="Yes",IF(COUNTBLANK('Capacity summary'!$H178:$BG178)&lt;52,IF('Capacity summary'!AW178&lt;&gt;"",IF(LOWER('Capacity summary'!AW178)="x",$BI59*AW59,VALUE('Capacity summary'!AW178)),0),AW59*$BI59),AW59*$BI59),0)</f>
        <v>0</v>
      </c>
      <c r="DA59" s="311">
        <f>IF($BI59&lt;&gt;"",IF('Capacity summary'!$D$14="Yes",IF(COUNTBLANK('Capacity summary'!$H178:$BG178)&lt;52,IF('Capacity summary'!AX178&lt;&gt;"",IF(LOWER('Capacity summary'!AX178)="x",$BI59*AX59,VALUE('Capacity summary'!AX178)),0),AX59*$BI59),AX59*$BI59),0)</f>
        <v>0</v>
      </c>
      <c r="DB59" s="311">
        <f>IF($BI59&lt;&gt;"",IF('Capacity summary'!$D$14="Yes",IF(COUNTBLANK('Capacity summary'!$H178:$BG178)&lt;52,IF('Capacity summary'!AY178&lt;&gt;"",IF(LOWER('Capacity summary'!AY178)="x",$BI59*AY59,VALUE('Capacity summary'!AY178)),0),AY59*$BI59),AY59*$BI59),0)</f>
        <v>0</v>
      </c>
      <c r="DC59" s="311">
        <f>IF($BI59&lt;&gt;"",IF('Capacity summary'!$D$14="Yes",IF(COUNTBLANK('Capacity summary'!$H178:$BG178)&lt;52,IF('Capacity summary'!AZ178&lt;&gt;"",IF(LOWER('Capacity summary'!AZ178)="x",$BI59*AZ59,VALUE('Capacity summary'!AZ178)),0),AZ59*$BI59),AZ59*$BI59),0)</f>
        <v>0</v>
      </c>
      <c r="DD59" s="311">
        <f>IF($BI59&lt;&gt;"",IF('Capacity summary'!$D$14="Yes",IF(COUNTBLANK('Capacity summary'!$H178:$BG178)&lt;52,IF('Capacity summary'!BA178&lt;&gt;"",IF(LOWER('Capacity summary'!BA178)="x",$BI59*BA59,VALUE('Capacity summary'!BA178)),0),BA59*$BI59),BA59*$BI59),0)</f>
        <v>0</v>
      </c>
      <c r="DE59" s="311">
        <f>IF($BI59&lt;&gt;"",IF('Capacity summary'!$D$14="Yes",IF(COUNTBLANK('Capacity summary'!$H178:$BG178)&lt;52,IF('Capacity summary'!BB178&lt;&gt;"",IF(LOWER('Capacity summary'!BB178)="x",$BI59*BB59,VALUE('Capacity summary'!BB178)),0),BB59*$BI59),BB59*$BI59),0)</f>
        <v>0</v>
      </c>
      <c r="DF59" s="311">
        <f>IF($BI59&lt;&gt;"",IF('Capacity summary'!$D$14="Yes",IF(COUNTBLANK('Capacity summary'!$H178:$BG178)&lt;52,IF('Capacity summary'!BC178&lt;&gt;"",IF(LOWER('Capacity summary'!BC178)="x",$BI59*BC59,VALUE('Capacity summary'!BC178)),0),BC59*$BI59),BC59*$BI59),0)</f>
        <v>0</v>
      </c>
      <c r="DG59" s="311">
        <f>IF($BI59&lt;&gt;"",IF('Capacity summary'!$D$14="Yes",IF(COUNTBLANK('Capacity summary'!$H178:$BG178)&lt;52,IF('Capacity summary'!BD178&lt;&gt;"",IF(LOWER('Capacity summary'!BD178)="x",$BI59*BD59,VALUE('Capacity summary'!BD178)),0),BD59*$BI59),BD59*$BI59),0)</f>
        <v>0</v>
      </c>
      <c r="DH59" s="311">
        <f>IF($BI59&lt;&gt;"",IF('Capacity summary'!$D$14="Yes",IF(COUNTBLANK('Capacity summary'!$H178:$BG178)&lt;52,IF('Capacity summary'!BE178&lt;&gt;"",IF(LOWER('Capacity summary'!BE178)="x",$BI59*BE59,VALUE('Capacity summary'!BE178)),0),BE59*$BI59),BE59*$BI59),0)</f>
        <v>0</v>
      </c>
      <c r="DI59" s="311">
        <f>IF($BI59&lt;&gt;"",IF('Capacity summary'!$D$14="Yes",IF(COUNTBLANK('Capacity summary'!$H178:$BG178)&lt;52,IF('Capacity summary'!BF178&lt;&gt;"",IF(LOWER('Capacity summary'!BF178)="x",$BI59*BF59,VALUE('Capacity summary'!BF178)),0),BF59*$BI59),BF59*$BI59),0)</f>
        <v>0</v>
      </c>
      <c r="DJ59" s="311">
        <f>IF($BI59&lt;&gt;"",IF('Capacity summary'!$D$14="Yes",IF(COUNTBLANK('Capacity summary'!$H178:$BG178)&lt;52,IF('Capacity summary'!BG178&lt;&gt;"",IF(LOWER('Capacity summary'!BG178)="x",$BI59*BG59,VALUE('Capacity summary'!BG178)),0),BG59*$BI59),BG59*$BI59),0)</f>
        <v>0</v>
      </c>
      <c r="DK59" s="387">
        <f t="shared" si="2"/>
        <v>0</v>
      </c>
      <c r="DL59" s="136">
        <f t="shared" si="3"/>
        <v>0</v>
      </c>
      <c r="DM59" s="311" t="str">
        <f>Capacity!H71</f>
        <v/>
      </c>
    </row>
    <row r="60" spans="1:121" x14ac:dyDescent="0.2">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1">
        <f>IF($BI60&lt;&gt;"",IF('Capacity summary'!$D$14="Yes",IF(COUNTBLANK('Capacity summary'!$H179:$BG179)&lt;52,IF('Capacity summary'!H179&lt;&gt;"",IF(LOWER('Capacity summary'!H179)="x",$BI60*H60,VALUE('Capacity summary'!H179)),0),H60*$BI60),H60*$BI60),0)</f>
        <v>0</v>
      </c>
      <c r="BL60" s="311">
        <f>IF($BI60&lt;&gt;"",IF('Capacity summary'!$D$14="Yes",IF(COUNTBLANK('Capacity summary'!$H179:$BG179)&lt;52,IF('Capacity summary'!I179&lt;&gt;"",IF(LOWER('Capacity summary'!I179)="x",$BI60*I60,VALUE('Capacity summary'!I179)),0),I60*$BI60),I60*$BI60),0)</f>
        <v>0</v>
      </c>
      <c r="BM60" s="311">
        <f>IF($BI60&lt;&gt;"",IF('Capacity summary'!$D$14="Yes",IF(COUNTBLANK('Capacity summary'!$H179:$BG179)&lt;52,IF('Capacity summary'!J179&lt;&gt;"",IF(LOWER('Capacity summary'!J179)="x",$BI60*J60,VALUE('Capacity summary'!J179)),0),J60*$BI60),J60*$BI60),0)</f>
        <v>0</v>
      </c>
      <c r="BN60" s="311">
        <f>IF($BI60&lt;&gt;"",IF('Capacity summary'!$D$14="Yes",IF(COUNTBLANK('Capacity summary'!$H179:$BG179)&lt;52,IF('Capacity summary'!K179&lt;&gt;"",IF(LOWER('Capacity summary'!K179)="x",$BI60*K60,VALUE('Capacity summary'!K179)),0),K60*$BI60),K60*$BI60),0)</f>
        <v>0</v>
      </c>
      <c r="BO60" s="311">
        <f>IF($BI60&lt;&gt;"",IF('Capacity summary'!$D$14="Yes",IF(COUNTBLANK('Capacity summary'!$H179:$BG179)&lt;52,IF('Capacity summary'!L179&lt;&gt;"",IF(LOWER('Capacity summary'!L179)="x",$BI60*L60,VALUE('Capacity summary'!L179)),0),L60*$BI60),L60*$BI60),0)</f>
        <v>0</v>
      </c>
      <c r="BP60" s="311">
        <f>IF($BI60&lt;&gt;"",IF('Capacity summary'!$D$14="Yes",IF(COUNTBLANK('Capacity summary'!$H179:$BG179)&lt;52,IF('Capacity summary'!M179&lt;&gt;"",IF(LOWER('Capacity summary'!M179)="x",$BI60*M60,VALUE('Capacity summary'!M179)),0),M60*$BI60),M60*$BI60),0)</f>
        <v>0</v>
      </c>
      <c r="BQ60" s="311">
        <f>IF($BI60&lt;&gt;"",IF('Capacity summary'!$D$14="Yes",IF(COUNTBLANK('Capacity summary'!$H179:$BG179)&lt;52,IF('Capacity summary'!N179&lt;&gt;"",IF(LOWER('Capacity summary'!N179)="x",$BI60*N60,VALUE('Capacity summary'!N179)),0),N60*$BI60),N60*$BI60),0)</f>
        <v>0</v>
      </c>
      <c r="BR60" s="311">
        <f>IF($BI60&lt;&gt;"",IF('Capacity summary'!$D$14="Yes",IF(COUNTBLANK('Capacity summary'!$H179:$BG179)&lt;52,IF('Capacity summary'!O179&lt;&gt;"",IF(LOWER('Capacity summary'!O179)="x",$BI60*O60,VALUE('Capacity summary'!O179)),0),O60*$BI60),O60*$BI60),0)</f>
        <v>0</v>
      </c>
      <c r="BS60" s="311">
        <f>IF($BI60&lt;&gt;"",IF('Capacity summary'!$D$14="Yes",IF(COUNTBLANK('Capacity summary'!$H179:$BG179)&lt;52,IF('Capacity summary'!P179&lt;&gt;"",IF(LOWER('Capacity summary'!P179)="x",$BI60*P60,VALUE('Capacity summary'!P179)),0),P60*$BI60),P60*$BI60),0)</f>
        <v>0</v>
      </c>
      <c r="BT60" s="311">
        <f>IF($BI60&lt;&gt;"",IF('Capacity summary'!$D$14="Yes",IF(COUNTBLANK('Capacity summary'!$H179:$BG179)&lt;52,IF('Capacity summary'!Q179&lt;&gt;"",IF(LOWER('Capacity summary'!Q179)="x",$BI60*Q60,VALUE('Capacity summary'!Q179)),0),Q60*$BI60),Q60*$BI60),0)</f>
        <v>0</v>
      </c>
      <c r="BU60" s="311">
        <f>IF($BI60&lt;&gt;"",IF('Capacity summary'!$D$14="Yes",IF(COUNTBLANK('Capacity summary'!$H179:$BG179)&lt;52,IF('Capacity summary'!R179&lt;&gt;"",IF(LOWER('Capacity summary'!R179)="x",$BI60*R60,VALUE('Capacity summary'!R179)),0),R60*$BI60),R60*$BI60),0)</f>
        <v>0</v>
      </c>
      <c r="BV60" s="311">
        <f>IF($BI60&lt;&gt;"",IF('Capacity summary'!$D$14="Yes",IF(COUNTBLANK('Capacity summary'!$H179:$BG179)&lt;52,IF('Capacity summary'!S179&lt;&gt;"",IF(LOWER('Capacity summary'!S179)="x",$BI60*S60,VALUE('Capacity summary'!S179)),0),S60*$BI60),S60*$BI60),0)</f>
        <v>0</v>
      </c>
      <c r="BW60" s="311">
        <f>IF($BI60&lt;&gt;"",IF('Capacity summary'!$D$14="Yes",IF(COUNTBLANK('Capacity summary'!$H179:$BG179)&lt;52,IF('Capacity summary'!T179&lt;&gt;"",IF(LOWER('Capacity summary'!T179)="x",$BI60*T60,VALUE('Capacity summary'!T179)),0),T60*$BI60),T60*$BI60),0)</f>
        <v>0</v>
      </c>
      <c r="BX60" s="311">
        <f>IF($BI60&lt;&gt;"",IF('Capacity summary'!$D$14="Yes",IF(COUNTBLANK('Capacity summary'!$H179:$BG179)&lt;52,IF('Capacity summary'!U179&lt;&gt;"",IF(LOWER('Capacity summary'!U179)="x",$BI60*U60,VALUE('Capacity summary'!U179)),0),U60*$BI60),U60*$BI60),0)</f>
        <v>0</v>
      </c>
      <c r="BY60" s="311">
        <f>IF($BI60&lt;&gt;"",IF('Capacity summary'!$D$14="Yes",IF(COUNTBLANK('Capacity summary'!$H179:$BG179)&lt;52,IF('Capacity summary'!V179&lt;&gt;"",IF(LOWER('Capacity summary'!V179)="x",$BI60*V60,VALUE('Capacity summary'!V179)),0),V60*$BI60),V60*$BI60),0)</f>
        <v>0</v>
      </c>
      <c r="BZ60" s="311">
        <f>IF($BI60&lt;&gt;"",IF('Capacity summary'!$D$14="Yes",IF(COUNTBLANK('Capacity summary'!$H179:$BG179)&lt;52,IF('Capacity summary'!W179&lt;&gt;"",IF(LOWER('Capacity summary'!W179)="x",$BI60*W60,VALUE('Capacity summary'!W179)),0),W60*$BI60),W60*$BI60),0)</f>
        <v>0</v>
      </c>
      <c r="CA60" s="311">
        <f>IF($BI60&lt;&gt;"",IF('Capacity summary'!$D$14="Yes",IF(COUNTBLANK('Capacity summary'!$H179:$BG179)&lt;52,IF('Capacity summary'!X179&lt;&gt;"",IF(LOWER('Capacity summary'!X179)="x",$BI60*X60,VALUE('Capacity summary'!X179)),0),X60*$BI60),X60*$BI60),0)</f>
        <v>0</v>
      </c>
      <c r="CB60" s="311">
        <f>IF($BI60&lt;&gt;"",IF('Capacity summary'!$D$14="Yes",IF(COUNTBLANK('Capacity summary'!$H179:$BG179)&lt;52,IF('Capacity summary'!Y179&lt;&gt;"",IF(LOWER('Capacity summary'!Y179)="x",$BI60*Y60,VALUE('Capacity summary'!Y179)),0),Y60*$BI60),Y60*$BI60),0)</f>
        <v>0</v>
      </c>
      <c r="CC60" s="311">
        <f>IF($BI60&lt;&gt;"",IF('Capacity summary'!$D$14="Yes",IF(COUNTBLANK('Capacity summary'!$H179:$BG179)&lt;52,IF('Capacity summary'!Z179&lt;&gt;"",IF(LOWER('Capacity summary'!Z179)="x",$BI60*Z60,VALUE('Capacity summary'!Z179)),0),Z60*$BI60),Z60*$BI60),0)</f>
        <v>0</v>
      </c>
      <c r="CD60" s="311">
        <f>IF($BI60&lt;&gt;"",IF('Capacity summary'!$D$14="Yes",IF(COUNTBLANK('Capacity summary'!$H179:$BG179)&lt;52,IF('Capacity summary'!AA179&lt;&gt;"",IF(LOWER('Capacity summary'!AA179)="x",$BI60*AA60,VALUE('Capacity summary'!AA179)),0),AA60*$BI60),AA60*$BI60),0)</f>
        <v>0</v>
      </c>
      <c r="CE60" s="311">
        <f>IF($BI60&lt;&gt;"",IF('Capacity summary'!$D$14="Yes",IF(COUNTBLANK('Capacity summary'!$H179:$BG179)&lt;52,IF('Capacity summary'!AB179&lt;&gt;"",IF(LOWER('Capacity summary'!AB179)="x",$BI60*AB60,VALUE('Capacity summary'!AB179)),0),AB60*$BI60),AB60*$BI60),0)</f>
        <v>0</v>
      </c>
      <c r="CF60" s="311">
        <f>IF($BI60&lt;&gt;"",IF('Capacity summary'!$D$14="Yes",IF(COUNTBLANK('Capacity summary'!$H179:$BG179)&lt;52,IF('Capacity summary'!AC179&lt;&gt;"",IF(LOWER('Capacity summary'!AC179)="x",$BI60*AC60,VALUE('Capacity summary'!AC179)),0),AC60*$BI60),AC60*$BI60),0)</f>
        <v>0</v>
      </c>
      <c r="CG60" s="311">
        <f>IF($BI60&lt;&gt;"",IF('Capacity summary'!$D$14="Yes",IF(COUNTBLANK('Capacity summary'!$H179:$BG179)&lt;52,IF('Capacity summary'!AD179&lt;&gt;"",IF(LOWER('Capacity summary'!AD179)="x",$BI60*AD60,VALUE('Capacity summary'!AD179)),0),AD60*$BI60),AD60*$BI60),0)</f>
        <v>0</v>
      </c>
      <c r="CH60" s="311">
        <f>IF($BI60&lt;&gt;"",IF('Capacity summary'!$D$14="Yes",IF(COUNTBLANK('Capacity summary'!$H179:$BG179)&lt;52,IF('Capacity summary'!AE179&lt;&gt;"",IF(LOWER('Capacity summary'!AE179)="x",$BI60*AE60,VALUE('Capacity summary'!AE179)),0),AE60*$BI60),AE60*$BI60),0)</f>
        <v>0</v>
      </c>
      <c r="CI60" s="311">
        <f>IF($BI60&lt;&gt;"",IF('Capacity summary'!$D$14="Yes",IF(COUNTBLANK('Capacity summary'!$H179:$BG179)&lt;52,IF('Capacity summary'!AF179&lt;&gt;"",IF(LOWER('Capacity summary'!AF179)="x",$BI60*AF60,VALUE('Capacity summary'!AF179)),0),AF60*$BI60),AF60*$BI60),0)</f>
        <v>0</v>
      </c>
      <c r="CJ60" s="311">
        <f>IF($BI60&lt;&gt;"",IF('Capacity summary'!$D$14="Yes",IF(COUNTBLANK('Capacity summary'!$H179:$BG179)&lt;52,IF('Capacity summary'!AG179&lt;&gt;"",IF(LOWER('Capacity summary'!AG179)="x",$BI60*AG60,VALUE('Capacity summary'!AG179)),0),AG60*$BI60),AG60*$BI60),0)</f>
        <v>0</v>
      </c>
      <c r="CK60" s="311">
        <f>IF($BI60&lt;&gt;"",IF('Capacity summary'!$D$14="Yes",IF(COUNTBLANK('Capacity summary'!$H179:$BG179)&lt;52,IF('Capacity summary'!AH179&lt;&gt;"",IF(LOWER('Capacity summary'!AH179)="x",$BI60*AH60,VALUE('Capacity summary'!AH179)),0),AH60*$BI60),AH60*$BI60),0)</f>
        <v>0</v>
      </c>
      <c r="CL60" s="311">
        <f>IF($BI60&lt;&gt;"",IF('Capacity summary'!$D$14="Yes",IF(COUNTBLANK('Capacity summary'!$H179:$BG179)&lt;52,IF('Capacity summary'!AI179&lt;&gt;"",IF(LOWER('Capacity summary'!AI179)="x",$BI60*AI60,VALUE('Capacity summary'!AI179)),0),AI60*$BI60),AI60*$BI60),0)</f>
        <v>0</v>
      </c>
      <c r="CM60" s="311">
        <f>IF($BI60&lt;&gt;"",IF('Capacity summary'!$D$14="Yes",IF(COUNTBLANK('Capacity summary'!$H179:$BG179)&lt;52,IF('Capacity summary'!AJ179&lt;&gt;"",IF(LOWER('Capacity summary'!AJ179)="x",$BI60*AJ60,VALUE('Capacity summary'!AJ179)),0),AJ60*$BI60),AJ60*$BI60),0)</f>
        <v>0</v>
      </c>
      <c r="CN60" s="311">
        <f>IF($BI60&lt;&gt;"",IF('Capacity summary'!$D$14="Yes",IF(COUNTBLANK('Capacity summary'!$H179:$BG179)&lt;52,IF('Capacity summary'!AK179&lt;&gt;"",IF(LOWER('Capacity summary'!AK179)="x",$BI60*AK60,VALUE('Capacity summary'!AK179)),0),AK60*$BI60),AK60*$BI60),0)</f>
        <v>0</v>
      </c>
      <c r="CO60" s="311">
        <f>IF($BI60&lt;&gt;"",IF('Capacity summary'!$D$14="Yes",IF(COUNTBLANK('Capacity summary'!$H179:$BG179)&lt;52,IF('Capacity summary'!AL179&lt;&gt;"",IF(LOWER('Capacity summary'!AL179)="x",$BI60*AL60,VALUE('Capacity summary'!AL179)),0),AL60*$BI60),AL60*$BI60),0)</f>
        <v>0</v>
      </c>
      <c r="CP60" s="311">
        <f>IF($BI60&lt;&gt;"",IF('Capacity summary'!$D$14="Yes",IF(COUNTBLANK('Capacity summary'!$H179:$BG179)&lt;52,IF('Capacity summary'!AM179&lt;&gt;"",IF(LOWER('Capacity summary'!AM179)="x",$BI60*AM60,VALUE('Capacity summary'!AM179)),0),AM60*$BI60),AM60*$BI60),0)</f>
        <v>0</v>
      </c>
      <c r="CQ60" s="311">
        <f>IF($BI60&lt;&gt;"",IF('Capacity summary'!$D$14="Yes",IF(COUNTBLANK('Capacity summary'!$H179:$BG179)&lt;52,IF('Capacity summary'!AN179&lt;&gt;"",IF(LOWER('Capacity summary'!AN179)="x",$BI60*AN60,VALUE('Capacity summary'!AN179)),0),AN60*$BI60),AN60*$BI60),0)</f>
        <v>0</v>
      </c>
      <c r="CR60" s="311">
        <f>IF($BI60&lt;&gt;"",IF('Capacity summary'!$D$14="Yes",IF(COUNTBLANK('Capacity summary'!$H179:$BG179)&lt;52,IF('Capacity summary'!AO179&lt;&gt;"",IF(LOWER('Capacity summary'!AO179)="x",$BI60*AO60,VALUE('Capacity summary'!AO179)),0),AO60*$BI60),AO60*$BI60),0)</f>
        <v>0</v>
      </c>
      <c r="CS60" s="311">
        <f>IF($BI60&lt;&gt;"",IF('Capacity summary'!$D$14="Yes",IF(COUNTBLANK('Capacity summary'!$H179:$BG179)&lt;52,IF('Capacity summary'!AP179&lt;&gt;"",IF(LOWER('Capacity summary'!AP179)="x",$BI60*AP60,VALUE('Capacity summary'!AP179)),0),AP60*$BI60),AP60*$BI60),0)</f>
        <v>0</v>
      </c>
      <c r="CT60" s="311">
        <f>IF($BI60&lt;&gt;"",IF('Capacity summary'!$D$14="Yes",IF(COUNTBLANK('Capacity summary'!$H179:$BG179)&lt;52,IF('Capacity summary'!AQ179&lt;&gt;"",IF(LOWER('Capacity summary'!AQ179)="x",$BI60*AQ60,VALUE('Capacity summary'!AQ179)),0),AQ60*$BI60),AQ60*$BI60),0)</f>
        <v>0</v>
      </c>
      <c r="CU60" s="311">
        <f>IF($BI60&lt;&gt;"",IF('Capacity summary'!$D$14="Yes",IF(COUNTBLANK('Capacity summary'!$H179:$BG179)&lt;52,IF('Capacity summary'!AR179&lt;&gt;"",IF(LOWER('Capacity summary'!AR179)="x",$BI60*AR60,VALUE('Capacity summary'!AR179)),0),AR60*$BI60),AR60*$BI60),0)</f>
        <v>0</v>
      </c>
      <c r="CV60" s="311">
        <f>IF($BI60&lt;&gt;"",IF('Capacity summary'!$D$14="Yes",IF(COUNTBLANK('Capacity summary'!$H179:$BG179)&lt;52,IF('Capacity summary'!AS179&lt;&gt;"",IF(LOWER('Capacity summary'!AS179)="x",$BI60*AS60,VALUE('Capacity summary'!AS179)),0),AS60*$BI60),AS60*$BI60),0)</f>
        <v>0</v>
      </c>
      <c r="CW60" s="311">
        <f>IF($BI60&lt;&gt;"",IF('Capacity summary'!$D$14="Yes",IF(COUNTBLANK('Capacity summary'!$H179:$BG179)&lt;52,IF('Capacity summary'!AT179&lt;&gt;"",IF(LOWER('Capacity summary'!AT179)="x",$BI60*AT60,VALUE('Capacity summary'!AT179)),0),AT60*$BI60),AT60*$BI60),0)</f>
        <v>0</v>
      </c>
      <c r="CX60" s="311">
        <f>IF($BI60&lt;&gt;"",IF('Capacity summary'!$D$14="Yes",IF(COUNTBLANK('Capacity summary'!$H179:$BG179)&lt;52,IF('Capacity summary'!AU179&lt;&gt;"",IF(LOWER('Capacity summary'!AU179)="x",$BI60*AU60,VALUE('Capacity summary'!AU179)),0),AU60*$BI60),AU60*$BI60),0)</f>
        <v>0</v>
      </c>
      <c r="CY60" s="311">
        <f>IF($BI60&lt;&gt;"",IF('Capacity summary'!$D$14="Yes",IF(COUNTBLANK('Capacity summary'!$H179:$BG179)&lt;52,IF('Capacity summary'!AV179&lt;&gt;"",IF(LOWER('Capacity summary'!AV179)="x",$BI60*AV60,VALUE('Capacity summary'!AV179)),0),AV60*$BI60),AV60*$BI60),0)</f>
        <v>0</v>
      </c>
      <c r="CZ60" s="311">
        <f>IF($BI60&lt;&gt;"",IF('Capacity summary'!$D$14="Yes",IF(COUNTBLANK('Capacity summary'!$H179:$BG179)&lt;52,IF('Capacity summary'!AW179&lt;&gt;"",IF(LOWER('Capacity summary'!AW179)="x",$BI60*AW60,VALUE('Capacity summary'!AW179)),0),AW60*$BI60),AW60*$BI60),0)</f>
        <v>0</v>
      </c>
      <c r="DA60" s="311">
        <f>IF($BI60&lt;&gt;"",IF('Capacity summary'!$D$14="Yes",IF(COUNTBLANK('Capacity summary'!$H179:$BG179)&lt;52,IF('Capacity summary'!AX179&lt;&gt;"",IF(LOWER('Capacity summary'!AX179)="x",$BI60*AX60,VALUE('Capacity summary'!AX179)),0),AX60*$BI60),AX60*$BI60),0)</f>
        <v>0</v>
      </c>
      <c r="DB60" s="311">
        <f>IF($BI60&lt;&gt;"",IF('Capacity summary'!$D$14="Yes",IF(COUNTBLANK('Capacity summary'!$H179:$BG179)&lt;52,IF('Capacity summary'!AY179&lt;&gt;"",IF(LOWER('Capacity summary'!AY179)="x",$BI60*AY60,VALUE('Capacity summary'!AY179)),0),AY60*$BI60),AY60*$BI60),0)</f>
        <v>0</v>
      </c>
      <c r="DC60" s="311">
        <f>IF($BI60&lt;&gt;"",IF('Capacity summary'!$D$14="Yes",IF(COUNTBLANK('Capacity summary'!$H179:$BG179)&lt;52,IF('Capacity summary'!AZ179&lt;&gt;"",IF(LOWER('Capacity summary'!AZ179)="x",$BI60*AZ60,VALUE('Capacity summary'!AZ179)),0),AZ60*$BI60),AZ60*$BI60),0)</f>
        <v>0</v>
      </c>
      <c r="DD60" s="311">
        <f>IF($BI60&lt;&gt;"",IF('Capacity summary'!$D$14="Yes",IF(COUNTBLANK('Capacity summary'!$H179:$BG179)&lt;52,IF('Capacity summary'!BA179&lt;&gt;"",IF(LOWER('Capacity summary'!BA179)="x",$BI60*BA60,VALUE('Capacity summary'!BA179)),0),BA60*$BI60),BA60*$BI60),0)</f>
        <v>0</v>
      </c>
      <c r="DE60" s="311">
        <f>IF($BI60&lt;&gt;"",IF('Capacity summary'!$D$14="Yes",IF(COUNTBLANK('Capacity summary'!$H179:$BG179)&lt;52,IF('Capacity summary'!BB179&lt;&gt;"",IF(LOWER('Capacity summary'!BB179)="x",$BI60*BB60,VALUE('Capacity summary'!BB179)),0),BB60*$BI60),BB60*$BI60),0)</f>
        <v>0</v>
      </c>
      <c r="DF60" s="311">
        <f>IF($BI60&lt;&gt;"",IF('Capacity summary'!$D$14="Yes",IF(COUNTBLANK('Capacity summary'!$H179:$BG179)&lt;52,IF('Capacity summary'!BC179&lt;&gt;"",IF(LOWER('Capacity summary'!BC179)="x",$BI60*BC60,VALUE('Capacity summary'!BC179)),0),BC60*$BI60),BC60*$BI60),0)</f>
        <v>0</v>
      </c>
      <c r="DG60" s="311">
        <f>IF($BI60&lt;&gt;"",IF('Capacity summary'!$D$14="Yes",IF(COUNTBLANK('Capacity summary'!$H179:$BG179)&lt;52,IF('Capacity summary'!BD179&lt;&gt;"",IF(LOWER('Capacity summary'!BD179)="x",$BI60*BD60,VALUE('Capacity summary'!BD179)),0),BD60*$BI60),BD60*$BI60),0)</f>
        <v>0</v>
      </c>
      <c r="DH60" s="311">
        <f>IF($BI60&lt;&gt;"",IF('Capacity summary'!$D$14="Yes",IF(COUNTBLANK('Capacity summary'!$H179:$BG179)&lt;52,IF('Capacity summary'!BE179&lt;&gt;"",IF(LOWER('Capacity summary'!BE179)="x",$BI60*BE60,VALUE('Capacity summary'!BE179)),0),BE60*$BI60),BE60*$BI60),0)</f>
        <v>0</v>
      </c>
      <c r="DI60" s="311">
        <f>IF($BI60&lt;&gt;"",IF('Capacity summary'!$D$14="Yes",IF(COUNTBLANK('Capacity summary'!$H179:$BG179)&lt;52,IF('Capacity summary'!BF179&lt;&gt;"",IF(LOWER('Capacity summary'!BF179)="x",$BI60*BF60,VALUE('Capacity summary'!BF179)),0),BF60*$BI60),BF60*$BI60),0)</f>
        <v>0</v>
      </c>
      <c r="DJ60" s="311">
        <f>IF($BI60&lt;&gt;"",IF('Capacity summary'!$D$14="Yes",IF(COUNTBLANK('Capacity summary'!$H179:$BG179)&lt;52,IF('Capacity summary'!BG179&lt;&gt;"",IF(LOWER('Capacity summary'!BG179)="x",$BI60*BG60,VALUE('Capacity summary'!BG179)),0),BG60*$BI60),BG60*$BI60),0)</f>
        <v>0</v>
      </c>
      <c r="DK60" s="387">
        <f t="shared" si="2"/>
        <v>0</v>
      </c>
      <c r="DL60" s="136">
        <f t="shared" si="3"/>
        <v>0</v>
      </c>
      <c r="DM60" s="311" t="str">
        <f>Capacity!H72</f>
        <v/>
      </c>
    </row>
    <row r="61" spans="1:121" x14ac:dyDescent="0.2">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1">
        <f>IF($BI61&lt;&gt;"",IF('Capacity summary'!$D$14="Yes",IF(COUNTBLANK('Capacity summary'!$H180:$BG180)&lt;52,IF('Capacity summary'!H180&lt;&gt;"",IF(LOWER('Capacity summary'!H180)="x",$BI61*H61,VALUE('Capacity summary'!H180)),0),H61*$BI61),H61*$BI61),0)</f>
        <v>0</v>
      </c>
      <c r="BL61" s="311">
        <f>IF($BI61&lt;&gt;"",IF('Capacity summary'!$D$14="Yes",IF(COUNTBLANK('Capacity summary'!$H180:$BG180)&lt;52,IF('Capacity summary'!I180&lt;&gt;"",IF(LOWER('Capacity summary'!I180)="x",$BI61*I61,VALUE('Capacity summary'!I180)),0),I61*$BI61),I61*$BI61),0)</f>
        <v>0</v>
      </c>
      <c r="BM61" s="311">
        <f>IF($BI61&lt;&gt;"",IF('Capacity summary'!$D$14="Yes",IF(COUNTBLANK('Capacity summary'!$H180:$BG180)&lt;52,IF('Capacity summary'!J180&lt;&gt;"",IF(LOWER('Capacity summary'!J180)="x",$BI61*J61,VALUE('Capacity summary'!J180)),0),J61*$BI61),J61*$BI61),0)</f>
        <v>0</v>
      </c>
      <c r="BN61" s="311">
        <f>IF($BI61&lt;&gt;"",IF('Capacity summary'!$D$14="Yes",IF(COUNTBLANK('Capacity summary'!$H180:$BG180)&lt;52,IF('Capacity summary'!K180&lt;&gt;"",IF(LOWER('Capacity summary'!K180)="x",$BI61*K61,VALUE('Capacity summary'!K180)),0),K61*$BI61),K61*$BI61),0)</f>
        <v>0</v>
      </c>
      <c r="BO61" s="311">
        <f>IF($BI61&lt;&gt;"",IF('Capacity summary'!$D$14="Yes",IF(COUNTBLANK('Capacity summary'!$H180:$BG180)&lt;52,IF('Capacity summary'!L180&lt;&gt;"",IF(LOWER('Capacity summary'!L180)="x",$BI61*L61,VALUE('Capacity summary'!L180)),0),L61*$BI61),L61*$BI61),0)</f>
        <v>0</v>
      </c>
      <c r="BP61" s="311">
        <f>IF($BI61&lt;&gt;"",IF('Capacity summary'!$D$14="Yes",IF(COUNTBLANK('Capacity summary'!$H180:$BG180)&lt;52,IF('Capacity summary'!M180&lt;&gt;"",IF(LOWER('Capacity summary'!M180)="x",$BI61*M61,VALUE('Capacity summary'!M180)),0),M61*$BI61),M61*$BI61),0)</f>
        <v>0</v>
      </c>
      <c r="BQ61" s="311">
        <f>IF($BI61&lt;&gt;"",IF('Capacity summary'!$D$14="Yes",IF(COUNTBLANK('Capacity summary'!$H180:$BG180)&lt;52,IF('Capacity summary'!N180&lt;&gt;"",IF(LOWER('Capacity summary'!N180)="x",$BI61*N61,VALUE('Capacity summary'!N180)),0),N61*$BI61),N61*$BI61),0)</f>
        <v>0</v>
      </c>
      <c r="BR61" s="311">
        <f>IF($BI61&lt;&gt;"",IF('Capacity summary'!$D$14="Yes",IF(COUNTBLANK('Capacity summary'!$H180:$BG180)&lt;52,IF('Capacity summary'!O180&lt;&gt;"",IF(LOWER('Capacity summary'!O180)="x",$BI61*O61,VALUE('Capacity summary'!O180)),0),O61*$BI61),O61*$BI61),0)</f>
        <v>0</v>
      </c>
      <c r="BS61" s="311">
        <f>IF($BI61&lt;&gt;"",IF('Capacity summary'!$D$14="Yes",IF(COUNTBLANK('Capacity summary'!$H180:$BG180)&lt;52,IF('Capacity summary'!P180&lt;&gt;"",IF(LOWER('Capacity summary'!P180)="x",$BI61*P61,VALUE('Capacity summary'!P180)),0),P61*$BI61),P61*$BI61),0)</f>
        <v>0</v>
      </c>
      <c r="BT61" s="311">
        <f>IF($BI61&lt;&gt;"",IF('Capacity summary'!$D$14="Yes",IF(COUNTBLANK('Capacity summary'!$H180:$BG180)&lt;52,IF('Capacity summary'!Q180&lt;&gt;"",IF(LOWER('Capacity summary'!Q180)="x",$BI61*Q61,VALUE('Capacity summary'!Q180)),0),Q61*$BI61),Q61*$BI61),0)</f>
        <v>0</v>
      </c>
      <c r="BU61" s="311">
        <f>IF($BI61&lt;&gt;"",IF('Capacity summary'!$D$14="Yes",IF(COUNTBLANK('Capacity summary'!$H180:$BG180)&lt;52,IF('Capacity summary'!R180&lt;&gt;"",IF(LOWER('Capacity summary'!R180)="x",$BI61*R61,VALUE('Capacity summary'!R180)),0),R61*$BI61),R61*$BI61),0)</f>
        <v>0</v>
      </c>
      <c r="BV61" s="311">
        <f>IF($BI61&lt;&gt;"",IF('Capacity summary'!$D$14="Yes",IF(COUNTBLANK('Capacity summary'!$H180:$BG180)&lt;52,IF('Capacity summary'!S180&lt;&gt;"",IF(LOWER('Capacity summary'!S180)="x",$BI61*S61,VALUE('Capacity summary'!S180)),0),S61*$BI61),S61*$BI61),0)</f>
        <v>0</v>
      </c>
      <c r="BW61" s="311">
        <f>IF($BI61&lt;&gt;"",IF('Capacity summary'!$D$14="Yes",IF(COUNTBLANK('Capacity summary'!$H180:$BG180)&lt;52,IF('Capacity summary'!T180&lt;&gt;"",IF(LOWER('Capacity summary'!T180)="x",$BI61*T61,VALUE('Capacity summary'!T180)),0),T61*$BI61),T61*$BI61),0)</f>
        <v>0</v>
      </c>
      <c r="BX61" s="311">
        <f>IF($BI61&lt;&gt;"",IF('Capacity summary'!$D$14="Yes",IF(COUNTBLANK('Capacity summary'!$H180:$BG180)&lt;52,IF('Capacity summary'!U180&lt;&gt;"",IF(LOWER('Capacity summary'!U180)="x",$BI61*U61,VALUE('Capacity summary'!U180)),0),U61*$BI61),U61*$BI61),0)</f>
        <v>0</v>
      </c>
      <c r="BY61" s="311">
        <f>IF($BI61&lt;&gt;"",IF('Capacity summary'!$D$14="Yes",IF(COUNTBLANK('Capacity summary'!$H180:$BG180)&lt;52,IF('Capacity summary'!V180&lt;&gt;"",IF(LOWER('Capacity summary'!V180)="x",$BI61*V61,VALUE('Capacity summary'!V180)),0),V61*$BI61),V61*$BI61),0)</f>
        <v>0</v>
      </c>
      <c r="BZ61" s="311">
        <f>IF($BI61&lt;&gt;"",IF('Capacity summary'!$D$14="Yes",IF(COUNTBLANK('Capacity summary'!$H180:$BG180)&lt;52,IF('Capacity summary'!W180&lt;&gt;"",IF(LOWER('Capacity summary'!W180)="x",$BI61*W61,VALUE('Capacity summary'!W180)),0),W61*$BI61),W61*$BI61),0)</f>
        <v>0</v>
      </c>
      <c r="CA61" s="311">
        <f>IF($BI61&lt;&gt;"",IF('Capacity summary'!$D$14="Yes",IF(COUNTBLANK('Capacity summary'!$H180:$BG180)&lt;52,IF('Capacity summary'!X180&lt;&gt;"",IF(LOWER('Capacity summary'!X180)="x",$BI61*X61,VALUE('Capacity summary'!X180)),0),X61*$BI61),X61*$BI61),0)</f>
        <v>0</v>
      </c>
      <c r="CB61" s="311">
        <f>IF($BI61&lt;&gt;"",IF('Capacity summary'!$D$14="Yes",IF(COUNTBLANK('Capacity summary'!$H180:$BG180)&lt;52,IF('Capacity summary'!Y180&lt;&gt;"",IF(LOWER('Capacity summary'!Y180)="x",$BI61*Y61,VALUE('Capacity summary'!Y180)),0),Y61*$BI61),Y61*$BI61),0)</f>
        <v>0</v>
      </c>
      <c r="CC61" s="311">
        <f>IF($BI61&lt;&gt;"",IF('Capacity summary'!$D$14="Yes",IF(COUNTBLANK('Capacity summary'!$H180:$BG180)&lt;52,IF('Capacity summary'!Z180&lt;&gt;"",IF(LOWER('Capacity summary'!Z180)="x",$BI61*Z61,VALUE('Capacity summary'!Z180)),0),Z61*$BI61),Z61*$BI61),0)</f>
        <v>0</v>
      </c>
      <c r="CD61" s="311">
        <f>IF($BI61&lt;&gt;"",IF('Capacity summary'!$D$14="Yes",IF(COUNTBLANK('Capacity summary'!$H180:$BG180)&lt;52,IF('Capacity summary'!AA180&lt;&gt;"",IF(LOWER('Capacity summary'!AA180)="x",$BI61*AA61,VALUE('Capacity summary'!AA180)),0),AA61*$BI61),AA61*$BI61),0)</f>
        <v>0</v>
      </c>
      <c r="CE61" s="311">
        <f>IF($BI61&lt;&gt;"",IF('Capacity summary'!$D$14="Yes",IF(COUNTBLANK('Capacity summary'!$H180:$BG180)&lt;52,IF('Capacity summary'!AB180&lt;&gt;"",IF(LOWER('Capacity summary'!AB180)="x",$BI61*AB61,VALUE('Capacity summary'!AB180)),0),AB61*$BI61),AB61*$BI61),0)</f>
        <v>0</v>
      </c>
      <c r="CF61" s="311">
        <f>IF($BI61&lt;&gt;"",IF('Capacity summary'!$D$14="Yes",IF(COUNTBLANK('Capacity summary'!$H180:$BG180)&lt;52,IF('Capacity summary'!AC180&lt;&gt;"",IF(LOWER('Capacity summary'!AC180)="x",$BI61*AC61,VALUE('Capacity summary'!AC180)),0),AC61*$BI61),AC61*$BI61),0)</f>
        <v>0</v>
      </c>
      <c r="CG61" s="311">
        <f>IF($BI61&lt;&gt;"",IF('Capacity summary'!$D$14="Yes",IF(COUNTBLANK('Capacity summary'!$H180:$BG180)&lt;52,IF('Capacity summary'!AD180&lt;&gt;"",IF(LOWER('Capacity summary'!AD180)="x",$BI61*AD61,VALUE('Capacity summary'!AD180)),0),AD61*$BI61),AD61*$BI61),0)</f>
        <v>0</v>
      </c>
      <c r="CH61" s="311">
        <f>IF($BI61&lt;&gt;"",IF('Capacity summary'!$D$14="Yes",IF(COUNTBLANK('Capacity summary'!$H180:$BG180)&lt;52,IF('Capacity summary'!AE180&lt;&gt;"",IF(LOWER('Capacity summary'!AE180)="x",$BI61*AE61,VALUE('Capacity summary'!AE180)),0),AE61*$BI61),AE61*$BI61),0)</f>
        <v>0</v>
      </c>
      <c r="CI61" s="311">
        <f>IF($BI61&lt;&gt;"",IF('Capacity summary'!$D$14="Yes",IF(COUNTBLANK('Capacity summary'!$H180:$BG180)&lt;52,IF('Capacity summary'!AF180&lt;&gt;"",IF(LOWER('Capacity summary'!AF180)="x",$BI61*AF61,VALUE('Capacity summary'!AF180)),0),AF61*$BI61),AF61*$BI61),0)</f>
        <v>0</v>
      </c>
      <c r="CJ61" s="311">
        <f>IF($BI61&lt;&gt;"",IF('Capacity summary'!$D$14="Yes",IF(COUNTBLANK('Capacity summary'!$H180:$BG180)&lt;52,IF('Capacity summary'!AG180&lt;&gt;"",IF(LOWER('Capacity summary'!AG180)="x",$BI61*AG61,VALUE('Capacity summary'!AG180)),0),AG61*$BI61),AG61*$BI61),0)</f>
        <v>0</v>
      </c>
      <c r="CK61" s="311">
        <f>IF($BI61&lt;&gt;"",IF('Capacity summary'!$D$14="Yes",IF(COUNTBLANK('Capacity summary'!$H180:$BG180)&lt;52,IF('Capacity summary'!AH180&lt;&gt;"",IF(LOWER('Capacity summary'!AH180)="x",$BI61*AH61,VALUE('Capacity summary'!AH180)),0),AH61*$BI61),AH61*$BI61),0)</f>
        <v>0</v>
      </c>
      <c r="CL61" s="311">
        <f>IF($BI61&lt;&gt;"",IF('Capacity summary'!$D$14="Yes",IF(COUNTBLANK('Capacity summary'!$H180:$BG180)&lt;52,IF('Capacity summary'!AI180&lt;&gt;"",IF(LOWER('Capacity summary'!AI180)="x",$BI61*AI61,VALUE('Capacity summary'!AI180)),0),AI61*$BI61),AI61*$BI61),0)</f>
        <v>0</v>
      </c>
      <c r="CM61" s="311">
        <f>IF($BI61&lt;&gt;"",IF('Capacity summary'!$D$14="Yes",IF(COUNTBLANK('Capacity summary'!$H180:$BG180)&lt;52,IF('Capacity summary'!AJ180&lt;&gt;"",IF(LOWER('Capacity summary'!AJ180)="x",$BI61*AJ61,VALUE('Capacity summary'!AJ180)),0),AJ61*$BI61),AJ61*$BI61),0)</f>
        <v>0</v>
      </c>
      <c r="CN61" s="311">
        <f>IF($BI61&lt;&gt;"",IF('Capacity summary'!$D$14="Yes",IF(COUNTBLANK('Capacity summary'!$H180:$BG180)&lt;52,IF('Capacity summary'!AK180&lt;&gt;"",IF(LOWER('Capacity summary'!AK180)="x",$BI61*AK61,VALUE('Capacity summary'!AK180)),0),AK61*$BI61),AK61*$BI61),0)</f>
        <v>0</v>
      </c>
      <c r="CO61" s="311">
        <f>IF($BI61&lt;&gt;"",IF('Capacity summary'!$D$14="Yes",IF(COUNTBLANK('Capacity summary'!$H180:$BG180)&lt;52,IF('Capacity summary'!AL180&lt;&gt;"",IF(LOWER('Capacity summary'!AL180)="x",$BI61*AL61,VALUE('Capacity summary'!AL180)),0),AL61*$BI61),AL61*$BI61),0)</f>
        <v>0</v>
      </c>
      <c r="CP61" s="311">
        <f>IF($BI61&lt;&gt;"",IF('Capacity summary'!$D$14="Yes",IF(COUNTBLANK('Capacity summary'!$H180:$BG180)&lt;52,IF('Capacity summary'!AM180&lt;&gt;"",IF(LOWER('Capacity summary'!AM180)="x",$BI61*AM61,VALUE('Capacity summary'!AM180)),0),AM61*$BI61),AM61*$BI61),0)</f>
        <v>0</v>
      </c>
      <c r="CQ61" s="311">
        <f>IF($BI61&lt;&gt;"",IF('Capacity summary'!$D$14="Yes",IF(COUNTBLANK('Capacity summary'!$H180:$BG180)&lt;52,IF('Capacity summary'!AN180&lt;&gt;"",IF(LOWER('Capacity summary'!AN180)="x",$BI61*AN61,VALUE('Capacity summary'!AN180)),0),AN61*$BI61),AN61*$BI61),0)</f>
        <v>0</v>
      </c>
      <c r="CR61" s="311">
        <f>IF($BI61&lt;&gt;"",IF('Capacity summary'!$D$14="Yes",IF(COUNTBLANK('Capacity summary'!$H180:$BG180)&lt;52,IF('Capacity summary'!AO180&lt;&gt;"",IF(LOWER('Capacity summary'!AO180)="x",$BI61*AO61,VALUE('Capacity summary'!AO180)),0),AO61*$BI61),AO61*$BI61),0)</f>
        <v>0</v>
      </c>
      <c r="CS61" s="311">
        <f>IF($BI61&lt;&gt;"",IF('Capacity summary'!$D$14="Yes",IF(COUNTBLANK('Capacity summary'!$H180:$BG180)&lt;52,IF('Capacity summary'!AP180&lt;&gt;"",IF(LOWER('Capacity summary'!AP180)="x",$BI61*AP61,VALUE('Capacity summary'!AP180)),0),AP61*$BI61),AP61*$BI61),0)</f>
        <v>0</v>
      </c>
      <c r="CT61" s="311">
        <f>IF($BI61&lt;&gt;"",IF('Capacity summary'!$D$14="Yes",IF(COUNTBLANK('Capacity summary'!$H180:$BG180)&lt;52,IF('Capacity summary'!AQ180&lt;&gt;"",IF(LOWER('Capacity summary'!AQ180)="x",$BI61*AQ61,VALUE('Capacity summary'!AQ180)),0),AQ61*$BI61),AQ61*$BI61),0)</f>
        <v>0</v>
      </c>
      <c r="CU61" s="311">
        <f>IF($BI61&lt;&gt;"",IF('Capacity summary'!$D$14="Yes",IF(COUNTBLANK('Capacity summary'!$H180:$BG180)&lt;52,IF('Capacity summary'!AR180&lt;&gt;"",IF(LOWER('Capacity summary'!AR180)="x",$BI61*AR61,VALUE('Capacity summary'!AR180)),0),AR61*$BI61),AR61*$BI61),0)</f>
        <v>0</v>
      </c>
      <c r="CV61" s="311">
        <f>IF($BI61&lt;&gt;"",IF('Capacity summary'!$D$14="Yes",IF(COUNTBLANK('Capacity summary'!$H180:$BG180)&lt;52,IF('Capacity summary'!AS180&lt;&gt;"",IF(LOWER('Capacity summary'!AS180)="x",$BI61*AS61,VALUE('Capacity summary'!AS180)),0),AS61*$BI61),AS61*$BI61),0)</f>
        <v>0</v>
      </c>
      <c r="CW61" s="311">
        <f>IF($BI61&lt;&gt;"",IF('Capacity summary'!$D$14="Yes",IF(COUNTBLANK('Capacity summary'!$H180:$BG180)&lt;52,IF('Capacity summary'!AT180&lt;&gt;"",IF(LOWER('Capacity summary'!AT180)="x",$BI61*AT61,VALUE('Capacity summary'!AT180)),0),AT61*$BI61),AT61*$BI61),0)</f>
        <v>0</v>
      </c>
      <c r="CX61" s="311">
        <f>IF($BI61&lt;&gt;"",IF('Capacity summary'!$D$14="Yes",IF(COUNTBLANK('Capacity summary'!$H180:$BG180)&lt;52,IF('Capacity summary'!AU180&lt;&gt;"",IF(LOWER('Capacity summary'!AU180)="x",$BI61*AU61,VALUE('Capacity summary'!AU180)),0),AU61*$BI61),AU61*$BI61),0)</f>
        <v>0</v>
      </c>
      <c r="CY61" s="311">
        <f>IF($BI61&lt;&gt;"",IF('Capacity summary'!$D$14="Yes",IF(COUNTBLANK('Capacity summary'!$H180:$BG180)&lt;52,IF('Capacity summary'!AV180&lt;&gt;"",IF(LOWER('Capacity summary'!AV180)="x",$BI61*AV61,VALUE('Capacity summary'!AV180)),0),AV61*$BI61),AV61*$BI61),0)</f>
        <v>0</v>
      </c>
      <c r="CZ61" s="311">
        <f>IF($BI61&lt;&gt;"",IF('Capacity summary'!$D$14="Yes",IF(COUNTBLANK('Capacity summary'!$H180:$BG180)&lt;52,IF('Capacity summary'!AW180&lt;&gt;"",IF(LOWER('Capacity summary'!AW180)="x",$BI61*AW61,VALUE('Capacity summary'!AW180)),0),AW61*$BI61),AW61*$BI61),0)</f>
        <v>0</v>
      </c>
      <c r="DA61" s="311">
        <f>IF($BI61&lt;&gt;"",IF('Capacity summary'!$D$14="Yes",IF(COUNTBLANK('Capacity summary'!$H180:$BG180)&lt;52,IF('Capacity summary'!AX180&lt;&gt;"",IF(LOWER('Capacity summary'!AX180)="x",$BI61*AX61,VALUE('Capacity summary'!AX180)),0),AX61*$BI61),AX61*$BI61),0)</f>
        <v>0</v>
      </c>
      <c r="DB61" s="311">
        <f>IF($BI61&lt;&gt;"",IF('Capacity summary'!$D$14="Yes",IF(COUNTBLANK('Capacity summary'!$H180:$BG180)&lt;52,IF('Capacity summary'!AY180&lt;&gt;"",IF(LOWER('Capacity summary'!AY180)="x",$BI61*AY61,VALUE('Capacity summary'!AY180)),0),AY61*$BI61),AY61*$BI61),0)</f>
        <v>0</v>
      </c>
      <c r="DC61" s="311">
        <f>IF($BI61&lt;&gt;"",IF('Capacity summary'!$D$14="Yes",IF(COUNTBLANK('Capacity summary'!$H180:$BG180)&lt;52,IF('Capacity summary'!AZ180&lt;&gt;"",IF(LOWER('Capacity summary'!AZ180)="x",$BI61*AZ61,VALUE('Capacity summary'!AZ180)),0),AZ61*$BI61),AZ61*$BI61),0)</f>
        <v>0</v>
      </c>
      <c r="DD61" s="311">
        <f>IF($BI61&lt;&gt;"",IF('Capacity summary'!$D$14="Yes",IF(COUNTBLANK('Capacity summary'!$H180:$BG180)&lt;52,IF('Capacity summary'!BA180&lt;&gt;"",IF(LOWER('Capacity summary'!BA180)="x",$BI61*BA61,VALUE('Capacity summary'!BA180)),0),BA61*$BI61),BA61*$BI61),0)</f>
        <v>0</v>
      </c>
      <c r="DE61" s="311">
        <f>IF($BI61&lt;&gt;"",IF('Capacity summary'!$D$14="Yes",IF(COUNTBLANK('Capacity summary'!$H180:$BG180)&lt;52,IF('Capacity summary'!BB180&lt;&gt;"",IF(LOWER('Capacity summary'!BB180)="x",$BI61*BB61,VALUE('Capacity summary'!BB180)),0),BB61*$BI61),BB61*$BI61),0)</f>
        <v>0</v>
      </c>
      <c r="DF61" s="311">
        <f>IF($BI61&lt;&gt;"",IF('Capacity summary'!$D$14="Yes",IF(COUNTBLANK('Capacity summary'!$H180:$BG180)&lt;52,IF('Capacity summary'!BC180&lt;&gt;"",IF(LOWER('Capacity summary'!BC180)="x",$BI61*BC61,VALUE('Capacity summary'!BC180)),0),BC61*$BI61),BC61*$BI61),0)</f>
        <v>0</v>
      </c>
      <c r="DG61" s="311">
        <f>IF($BI61&lt;&gt;"",IF('Capacity summary'!$D$14="Yes",IF(COUNTBLANK('Capacity summary'!$H180:$BG180)&lt;52,IF('Capacity summary'!BD180&lt;&gt;"",IF(LOWER('Capacity summary'!BD180)="x",$BI61*BD61,VALUE('Capacity summary'!BD180)),0),BD61*$BI61),BD61*$BI61),0)</f>
        <v>0</v>
      </c>
      <c r="DH61" s="311">
        <f>IF($BI61&lt;&gt;"",IF('Capacity summary'!$D$14="Yes",IF(COUNTBLANK('Capacity summary'!$H180:$BG180)&lt;52,IF('Capacity summary'!BE180&lt;&gt;"",IF(LOWER('Capacity summary'!BE180)="x",$BI61*BE61,VALUE('Capacity summary'!BE180)),0),BE61*$BI61),BE61*$BI61),0)</f>
        <v>0</v>
      </c>
      <c r="DI61" s="311">
        <f>IF($BI61&lt;&gt;"",IF('Capacity summary'!$D$14="Yes",IF(COUNTBLANK('Capacity summary'!$H180:$BG180)&lt;52,IF('Capacity summary'!BF180&lt;&gt;"",IF(LOWER('Capacity summary'!BF180)="x",$BI61*BF61,VALUE('Capacity summary'!BF180)),0),BF61*$BI61),BF61*$BI61),0)</f>
        <v>0</v>
      </c>
      <c r="DJ61" s="311">
        <f>IF($BI61&lt;&gt;"",IF('Capacity summary'!$D$14="Yes",IF(COUNTBLANK('Capacity summary'!$H180:$BG180)&lt;52,IF('Capacity summary'!BG180&lt;&gt;"",IF(LOWER('Capacity summary'!BG180)="x",$BI61*BG61,VALUE('Capacity summary'!BG180)),0),BG61*$BI61),BG61*$BI61),0)</f>
        <v>0</v>
      </c>
      <c r="DK61" s="387">
        <f t="shared" si="2"/>
        <v>0</v>
      </c>
      <c r="DL61" s="136">
        <f t="shared" si="3"/>
        <v>0</v>
      </c>
      <c r="DM61" s="311" t="str">
        <f>Capacity!H73</f>
        <v/>
      </c>
    </row>
    <row r="62" spans="1:121" x14ac:dyDescent="0.2">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1">
        <f>IF($BI62&lt;&gt;"",IF('Capacity summary'!$D$14="Yes",IF(COUNTBLANK('Capacity summary'!$H181:$BG181)&lt;52,IF('Capacity summary'!H181&lt;&gt;"",IF(LOWER('Capacity summary'!H181)="x",$BI62*H62,VALUE('Capacity summary'!H181)),0),H62*$BI62),H62*$BI62),0)</f>
        <v>0</v>
      </c>
      <c r="BL62" s="311">
        <f>IF($BI62&lt;&gt;"",IF('Capacity summary'!$D$14="Yes",IF(COUNTBLANK('Capacity summary'!$H181:$BG181)&lt;52,IF('Capacity summary'!I181&lt;&gt;"",IF(LOWER('Capacity summary'!I181)="x",$BI62*I62,VALUE('Capacity summary'!I181)),0),I62*$BI62),I62*$BI62),0)</f>
        <v>0</v>
      </c>
      <c r="BM62" s="311">
        <f>IF($BI62&lt;&gt;"",IF('Capacity summary'!$D$14="Yes",IF(COUNTBLANK('Capacity summary'!$H181:$BG181)&lt;52,IF('Capacity summary'!J181&lt;&gt;"",IF(LOWER('Capacity summary'!J181)="x",$BI62*J62,VALUE('Capacity summary'!J181)),0),J62*$BI62),J62*$BI62),0)</f>
        <v>0</v>
      </c>
      <c r="BN62" s="311">
        <f>IF($BI62&lt;&gt;"",IF('Capacity summary'!$D$14="Yes",IF(COUNTBLANK('Capacity summary'!$H181:$BG181)&lt;52,IF('Capacity summary'!K181&lt;&gt;"",IF(LOWER('Capacity summary'!K181)="x",$BI62*K62,VALUE('Capacity summary'!K181)),0),K62*$BI62),K62*$BI62),0)</f>
        <v>0</v>
      </c>
      <c r="BO62" s="311">
        <f>IF($BI62&lt;&gt;"",IF('Capacity summary'!$D$14="Yes",IF(COUNTBLANK('Capacity summary'!$H181:$BG181)&lt;52,IF('Capacity summary'!L181&lt;&gt;"",IF(LOWER('Capacity summary'!L181)="x",$BI62*L62,VALUE('Capacity summary'!L181)),0),L62*$BI62),L62*$BI62),0)</f>
        <v>0</v>
      </c>
      <c r="BP62" s="311">
        <f>IF($BI62&lt;&gt;"",IF('Capacity summary'!$D$14="Yes",IF(COUNTBLANK('Capacity summary'!$H181:$BG181)&lt;52,IF('Capacity summary'!M181&lt;&gt;"",IF(LOWER('Capacity summary'!M181)="x",$BI62*M62,VALUE('Capacity summary'!M181)),0),M62*$BI62),M62*$BI62),0)</f>
        <v>0</v>
      </c>
      <c r="BQ62" s="311">
        <f>IF($BI62&lt;&gt;"",IF('Capacity summary'!$D$14="Yes",IF(COUNTBLANK('Capacity summary'!$H181:$BG181)&lt;52,IF('Capacity summary'!N181&lt;&gt;"",IF(LOWER('Capacity summary'!N181)="x",$BI62*N62,VALUE('Capacity summary'!N181)),0),N62*$BI62),N62*$BI62),0)</f>
        <v>0</v>
      </c>
      <c r="BR62" s="311">
        <f>IF($BI62&lt;&gt;"",IF('Capacity summary'!$D$14="Yes",IF(COUNTBLANK('Capacity summary'!$H181:$BG181)&lt;52,IF('Capacity summary'!O181&lt;&gt;"",IF(LOWER('Capacity summary'!O181)="x",$BI62*O62,VALUE('Capacity summary'!O181)),0),O62*$BI62),O62*$BI62),0)</f>
        <v>0</v>
      </c>
      <c r="BS62" s="311">
        <f>IF($BI62&lt;&gt;"",IF('Capacity summary'!$D$14="Yes",IF(COUNTBLANK('Capacity summary'!$H181:$BG181)&lt;52,IF('Capacity summary'!P181&lt;&gt;"",IF(LOWER('Capacity summary'!P181)="x",$BI62*P62,VALUE('Capacity summary'!P181)),0),P62*$BI62),P62*$BI62),0)</f>
        <v>0</v>
      </c>
      <c r="BT62" s="311">
        <f>IF($BI62&lt;&gt;"",IF('Capacity summary'!$D$14="Yes",IF(COUNTBLANK('Capacity summary'!$H181:$BG181)&lt;52,IF('Capacity summary'!Q181&lt;&gt;"",IF(LOWER('Capacity summary'!Q181)="x",$BI62*Q62,VALUE('Capacity summary'!Q181)),0),Q62*$BI62),Q62*$BI62),0)</f>
        <v>0</v>
      </c>
      <c r="BU62" s="311">
        <f>IF($BI62&lt;&gt;"",IF('Capacity summary'!$D$14="Yes",IF(COUNTBLANK('Capacity summary'!$H181:$BG181)&lt;52,IF('Capacity summary'!R181&lt;&gt;"",IF(LOWER('Capacity summary'!R181)="x",$BI62*R62,VALUE('Capacity summary'!R181)),0),R62*$BI62),R62*$BI62),0)</f>
        <v>0</v>
      </c>
      <c r="BV62" s="311">
        <f>IF($BI62&lt;&gt;"",IF('Capacity summary'!$D$14="Yes",IF(COUNTBLANK('Capacity summary'!$H181:$BG181)&lt;52,IF('Capacity summary'!S181&lt;&gt;"",IF(LOWER('Capacity summary'!S181)="x",$BI62*S62,VALUE('Capacity summary'!S181)),0),S62*$BI62),S62*$BI62),0)</f>
        <v>0</v>
      </c>
      <c r="BW62" s="311">
        <f>IF($BI62&lt;&gt;"",IF('Capacity summary'!$D$14="Yes",IF(COUNTBLANK('Capacity summary'!$H181:$BG181)&lt;52,IF('Capacity summary'!T181&lt;&gt;"",IF(LOWER('Capacity summary'!T181)="x",$BI62*T62,VALUE('Capacity summary'!T181)),0),T62*$BI62),T62*$BI62),0)</f>
        <v>0</v>
      </c>
      <c r="BX62" s="311">
        <f>IF($BI62&lt;&gt;"",IF('Capacity summary'!$D$14="Yes",IF(COUNTBLANK('Capacity summary'!$H181:$BG181)&lt;52,IF('Capacity summary'!U181&lt;&gt;"",IF(LOWER('Capacity summary'!U181)="x",$BI62*U62,VALUE('Capacity summary'!U181)),0),U62*$BI62),U62*$BI62),0)</f>
        <v>0</v>
      </c>
      <c r="BY62" s="311">
        <f>IF($BI62&lt;&gt;"",IF('Capacity summary'!$D$14="Yes",IF(COUNTBLANK('Capacity summary'!$H181:$BG181)&lt;52,IF('Capacity summary'!V181&lt;&gt;"",IF(LOWER('Capacity summary'!V181)="x",$BI62*V62,VALUE('Capacity summary'!V181)),0),V62*$BI62),V62*$BI62),0)</f>
        <v>0</v>
      </c>
      <c r="BZ62" s="311">
        <f>IF($BI62&lt;&gt;"",IF('Capacity summary'!$D$14="Yes",IF(COUNTBLANK('Capacity summary'!$H181:$BG181)&lt;52,IF('Capacity summary'!W181&lt;&gt;"",IF(LOWER('Capacity summary'!W181)="x",$BI62*W62,VALUE('Capacity summary'!W181)),0),W62*$BI62),W62*$BI62),0)</f>
        <v>0</v>
      </c>
      <c r="CA62" s="311">
        <f>IF($BI62&lt;&gt;"",IF('Capacity summary'!$D$14="Yes",IF(COUNTBLANK('Capacity summary'!$H181:$BG181)&lt;52,IF('Capacity summary'!X181&lt;&gt;"",IF(LOWER('Capacity summary'!X181)="x",$BI62*X62,VALUE('Capacity summary'!X181)),0),X62*$BI62),X62*$BI62),0)</f>
        <v>0</v>
      </c>
      <c r="CB62" s="311">
        <f>IF($BI62&lt;&gt;"",IF('Capacity summary'!$D$14="Yes",IF(COUNTBLANK('Capacity summary'!$H181:$BG181)&lt;52,IF('Capacity summary'!Y181&lt;&gt;"",IF(LOWER('Capacity summary'!Y181)="x",$BI62*Y62,VALUE('Capacity summary'!Y181)),0),Y62*$BI62),Y62*$BI62),0)</f>
        <v>0</v>
      </c>
      <c r="CC62" s="311">
        <f>IF($BI62&lt;&gt;"",IF('Capacity summary'!$D$14="Yes",IF(COUNTBLANK('Capacity summary'!$H181:$BG181)&lt;52,IF('Capacity summary'!Z181&lt;&gt;"",IF(LOWER('Capacity summary'!Z181)="x",$BI62*Z62,VALUE('Capacity summary'!Z181)),0),Z62*$BI62),Z62*$BI62),0)</f>
        <v>0</v>
      </c>
      <c r="CD62" s="311">
        <f>IF($BI62&lt;&gt;"",IF('Capacity summary'!$D$14="Yes",IF(COUNTBLANK('Capacity summary'!$H181:$BG181)&lt;52,IF('Capacity summary'!AA181&lt;&gt;"",IF(LOWER('Capacity summary'!AA181)="x",$BI62*AA62,VALUE('Capacity summary'!AA181)),0),AA62*$BI62),AA62*$BI62),0)</f>
        <v>0</v>
      </c>
      <c r="CE62" s="311">
        <f>IF($BI62&lt;&gt;"",IF('Capacity summary'!$D$14="Yes",IF(COUNTBLANK('Capacity summary'!$H181:$BG181)&lt;52,IF('Capacity summary'!AB181&lt;&gt;"",IF(LOWER('Capacity summary'!AB181)="x",$BI62*AB62,VALUE('Capacity summary'!AB181)),0),AB62*$BI62),AB62*$BI62),0)</f>
        <v>0</v>
      </c>
      <c r="CF62" s="311">
        <f>IF($BI62&lt;&gt;"",IF('Capacity summary'!$D$14="Yes",IF(COUNTBLANK('Capacity summary'!$H181:$BG181)&lt;52,IF('Capacity summary'!AC181&lt;&gt;"",IF(LOWER('Capacity summary'!AC181)="x",$BI62*AC62,VALUE('Capacity summary'!AC181)),0),AC62*$BI62),AC62*$BI62),0)</f>
        <v>0</v>
      </c>
      <c r="CG62" s="311">
        <f>IF($BI62&lt;&gt;"",IF('Capacity summary'!$D$14="Yes",IF(COUNTBLANK('Capacity summary'!$H181:$BG181)&lt;52,IF('Capacity summary'!AD181&lt;&gt;"",IF(LOWER('Capacity summary'!AD181)="x",$BI62*AD62,VALUE('Capacity summary'!AD181)),0),AD62*$BI62),AD62*$BI62),0)</f>
        <v>0</v>
      </c>
      <c r="CH62" s="311">
        <f>IF($BI62&lt;&gt;"",IF('Capacity summary'!$D$14="Yes",IF(COUNTBLANK('Capacity summary'!$H181:$BG181)&lt;52,IF('Capacity summary'!AE181&lt;&gt;"",IF(LOWER('Capacity summary'!AE181)="x",$BI62*AE62,VALUE('Capacity summary'!AE181)),0),AE62*$BI62),AE62*$BI62),0)</f>
        <v>0</v>
      </c>
      <c r="CI62" s="311">
        <f>IF($BI62&lt;&gt;"",IF('Capacity summary'!$D$14="Yes",IF(COUNTBLANK('Capacity summary'!$H181:$BG181)&lt;52,IF('Capacity summary'!AF181&lt;&gt;"",IF(LOWER('Capacity summary'!AF181)="x",$BI62*AF62,VALUE('Capacity summary'!AF181)),0),AF62*$BI62),AF62*$BI62),0)</f>
        <v>0</v>
      </c>
      <c r="CJ62" s="311">
        <f>IF($BI62&lt;&gt;"",IF('Capacity summary'!$D$14="Yes",IF(COUNTBLANK('Capacity summary'!$H181:$BG181)&lt;52,IF('Capacity summary'!AG181&lt;&gt;"",IF(LOWER('Capacity summary'!AG181)="x",$BI62*AG62,VALUE('Capacity summary'!AG181)),0),AG62*$BI62),AG62*$BI62),0)</f>
        <v>0</v>
      </c>
      <c r="CK62" s="311">
        <f>IF($BI62&lt;&gt;"",IF('Capacity summary'!$D$14="Yes",IF(COUNTBLANK('Capacity summary'!$H181:$BG181)&lt;52,IF('Capacity summary'!AH181&lt;&gt;"",IF(LOWER('Capacity summary'!AH181)="x",$BI62*AH62,VALUE('Capacity summary'!AH181)),0),AH62*$BI62),AH62*$BI62),0)</f>
        <v>0</v>
      </c>
      <c r="CL62" s="311">
        <f>IF($BI62&lt;&gt;"",IF('Capacity summary'!$D$14="Yes",IF(COUNTBLANK('Capacity summary'!$H181:$BG181)&lt;52,IF('Capacity summary'!AI181&lt;&gt;"",IF(LOWER('Capacity summary'!AI181)="x",$BI62*AI62,VALUE('Capacity summary'!AI181)),0),AI62*$BI62),AI62*$BI62),0)</f>
        <v>0</v>
      </c>
      <c r="CM62" s="311">
        <f>IF($BI62&lt;&gt;"",IF('Capacity summary'!$D$14="Yes",IF(COUNTBLANK('Capacity summary'!$H181:$BG181)&lt;52,IF('Capacity summary'!AJ181&lt;&gt;"",IF(LOWER('Capacity summary'!AJ181)="x",$BI62*AJ62,VALUE('Capacity summary'!AJ181)),0),AJ62*$BI62),AJ62*$BI62),0)</f>
        <v>0</v>
      </c>
      <c r="CN62" s="311">
        <f>IF($BI62&lt;&gt;"",IF('Capacity summary'!$D$14="Yes",IF(COUNTBLANK('Capacity summary'!$H181:$BG181)&lt;52,IF('Capacity summary'!AK181&lt;&gt;"",IF(LOWER('Capacity summary'!AK181)="x",$BI62*AK62,VALUE('Capacity summary'!AK181)),0),AK62*$BI62),AK62*$BI62),0)</f>
        <v>0</v>
      </c>
      <c r="CO62" s="311">
        <f>IF($BI62&lt;&gt;"",IF('Capacity summary'!$D$14="Yes",IF(COUNTBLANK('Capacity summary'!$H181:$BG181)&lt;52,IF('Capacity summary'!AL181&lt;&gt;"",IF(LOWER('Capacity summary'!AL181)="x",$BI62*AL62,VALUE('Capacity summary'!AL181)),0),AL62*$BI62),AL62*$BI62),0)</f>
        <v>0</v>
      </c>
      <c r="CP62" s="311">
        <f>IF($BI62&lt;&gt;"",IF('Capacity summary'!$D$14="Yes",IF(COUNTBLANK('Capacity summary'!$H181:$BG181)&lt;52,IF('Capacity summary'!AM181&lt;&gt;"",IF(LOWER('Capacity summary'!AM181)="x",$BI62*AM62,VALUE('Capacity summary'!AM181)),0),AM62*$BI62),AM62*$BI62),0)</f>
        <v>0</v>
      </c>
      <c r="CQ62" s="311">
        <f>IF($BI62&lt;&gt;"",IF('Capacity summary'!$D$14="Yes",IF(COUNTBLANK('Capacity summary'!$H181:$BG181)&lt;52,IF('Capacity summary'!AN181&lt;&gt;"",IF(LOWER('Capacity summary'!AN181)="x",$BI62*AN62,VALUE('Capacity summary'!AN181)),0),AN62*$BI62),AN62*$BI62),0)</f>
        <v>0</v>
      </c>
      <c r="CR62" s="311">
        <f>IF($BI62&lt;&gt;"",IF('Capacity summary'!$D$14="Yes",IF(COUNTBLANK('Capacity summary'!$H181:$BG181)&lt;52,IF('Capacity summary'!AO181&lt;&gt;"",IF(LOWER('Capacity summary'!AO181)="x",$BI62*AO62,VALUE('Capacity summary'!AO181)),0),AO62*$BI62),AO62*$BI62),0)</f>
        <v>0</v>
      </c>
      <c r="CS62" s="311">
        <f>IF($BI62&lt;&gt;"",IF('Capacity summary'!$D$14="Yes",IF(COUNTBLANK('Capacity summary'!$H181:$BG181)&lt;52,IF('Capacity summary'!AP181&lt;&gt;"",IF(LOWER('Capacity summary'!AP181)="x",$BI62*AP62,VALUE('Capacity summary'!AP181)),0),AP62*$BI62),AP62*$BI62),0)</f>
        <v>0</v>
      </c>
      <c r="CT62" s="311">
        <f>IF($BI62&lt;&gt;"",IF('Capacity summary'!$D$14="Yes",IF(COUNTBLANK('Capacity summary'!$H181:$BG181)&lt;52,IF('Capacity summary'!AQ181&lt;&gt;"",IF(LOWER('Capacity summary'!AQ181)="x",$BI62*AQ62,VALUE('Capacity summary'!AQ181)),0),AQ62*$BI62),AQ62*$BI62),0)</f>
        <v>0</v>
      </c>
      <c r="CU62" s="311">
        <f>IF($BI62&lt;&gt;"",IF('Capacity summary'!$D$14="Yes",IF(COUNTBLANK('Capacity summary'!$H181:$BG181)&lt;52,IF('Capacity summary'!AR181&lt;&gt;"",IF(LOWER('Capacity summary'!AR181)="x",$BI62*AR62,VALUE('Capacity summary'!AR181)),0),AR62*$BI62),AR62*$BI62),0)</f>
        <v>0</v>
      </c>
      <c r="CV62" s="311">
        <f>IF($BI62&lt;&gt;"",IF('Capacity summary'!$D$14="Yes",IF(COUNTBLANK('Capacity summary'!$H181:$BG181)&lt;52,IF('Capacity summary'!AS181&lt;&gt;"",IF(LOWER('Capacity summary'!AS181)="x",$BI62*AS62,VALUE('Capacity summary'!AS181)),0),AS62*$BI62),AS62*$BI62),0)</f>
        <v>0</v>
      </c>
      <c r="CW62" s="311">
        <f>IF($BI62&lt;&gt;"",IF('Capacity summary'!$D$14="Yes",IF(COUNTBLANK('Capacity summary'!$H181:$BG181)&lt;52,IF('Capacity summary'!AT181&lt;&gt;"",IF(LOWER('Capacity summary'!AT181)="x",$BI62*AT62,VALUE('Capacity summary'!AT181)),0),AT62*$BI62),AT62*$BI62),0)</f>
        <v>0</v>
      </c>
      <c r="CX62" s="311">
        <f>IF($BI62&lt;&gt;"",IF('Capacity summary'!$D$14="Yes",IF(COUNTBLANK('Capacity summary'!$H181:$BG181)&lt;52,IF('Capacity summary'!AU181&lt;&gt;"",IF(LOWER('Capacity summary'!AU181)="x",$BI62*AU62,VALUE('Capacity summary'!AU181)),0),AU62*$BI62),AU62*$BI62),0)</f>
        <v>0</v>
      </c>
      <c r="CY62" s="311">
        <f>IF($BI62&lt;&gt;"",IF('Capacity summary'!$D$14="Yes",IF(COUNTBLANK('Capacity summary'!$H181:$BG181)&lt;52,IF('Capacity summary'!AV181&lt;&gt;"",IF(LOWER('Capacity summary'!AV181)="x",$BI62*AV62,VALUE('Capacity summary'!AV181)),0),AV62*$BI62),AV62*$BI62),0)</f>
        <v>0</v>
      </c>
      <c r="CZ62" s="311">
        <f>IF($BI62&lt;&gt;"",IF('Capacity summary'!$D$14="Yes",IF(COUNTBLANK('Capacity summary'!$H181:$BG181)&lt;52,IF('Capacity summary'!AW181&lt;&gt;"",IF(LOWER('Capacity summary'!AW181)="x",$BI62*AW62,VALUE('Capacity summary'!AW181)),0),AW62*$BI62),AW62*$BI62),0)</f>
        <v>0</v>
      </c>
      <c r="DA62" s="311">
        <f>IF($BI62&lt;&gt;"",IF('Capacity summary'!$D$14="Yes",IF(COUNTBLANK('Capacity summary'!$H181:$BG181)&lt;52,IF('Capacity summary'!AX181&lt;&gt;"",IF(LOWER('Capacity summary'!AX181)="x",$BI62*AX62,VALUE('Capacity summary'!AX181)),0),AX62*$BI62),AX62*$BI62),0)</f>
        <v>0</v>
      </c>
      <c r="DB62" s="311">
        <f>IF($BI62&lt;&gt;"",IF('Capacity summary'!$D$14="Yes",IF(COUNTBLANK('Capacity summary'!$H181:$BG181)&lt;52,IF('Capacity summary'!AY181&lt;&gt;"",IF(LOWER('Capacity summary'!AY181)="x",$BI62*AY62,VALUE('Capacity summary'!AY181)),0),AY62*$BI62),AY62*$BI62),0)</f>
        <v>0</v>
      </c>
      <c r="DC62" s="311">
        <f>IF($BI62&lt;&gt;"",IF('Capacity summary'!$D$14="Yes",IF(COUNTBLANK('Capacity summary'!$H181:$BG181)&lt;52,IF('Capacity summary'!AZ181&lt;&gt;"",IF(LOWER('Capacity summary'!AZ181)="x",$BI62*AZ62,VALUE('Capacity summary'!AZ181)),0),AZ62*$BI62),AZ62*$BI62),0)</f>
        <v>0</v>
      </c>
      <c r="DD62" s="311">
        <f>IF($BI62&lt;&gt;"",IF('Capacity summary'!$D$14="Yes",IF(COUNTBLANK('Capacity summary'!$H181:$BG181)&lt;52,IF('Capacity summary'!BA181&lt;&gt;"",IF(LOWER('Capacity summary'!BA181)="x",$BI62*BA62,VALUE('Capacity summary'!BA181)),0),BA62*$BI62),BA62*$BI62),0)</f>
        <v>0</v>
      </c>
      <c r="DE62" s="311">
        <f>IF($BI62&lt;&gt;"",IF('Capacity summary'!$D$14="Yes",IF(COUNTBLANK('Capacity summary'!$H181:$BG181)&lt;52,IF('Capacity summary'!BB181&lt;&gt;"",IF(LOWER('Capacity summary'!BB181)="x",$BI62*BB62,VALUE('Capacity summary'!BB181)),0),BB62*$BI62),BB62*$BI62),0)</f>
        <v>0</v>
      </c>
      <c r="DF62" s="311">
        <f>IF($BI62&lt;&gt;"",IF('Capacity summary'!$D$14="Yes",IF(COUNTBLANK('Capacity summary'!$H181:$BG181)&lt;52,IF('Capacity summary'!BC181&lt;&gt;"",IF(LOWER('Capacity summary'!BC181)="x",$BI62*BC62,VALUE('Capacity summary'!BC181)),0),BC62*$BI62),BC62*$BI62),0)</f>
        <v>0</v>
      </c>
      <c r="DG62" s="311">
        <f>IF($BI62&lt;&gt;"",IF('Capacity summary'!$D$14="Yes",IF(COUNTBLANK('Capacity summary'!$H181:$BG181)&lt;52,IF('Capacity summary'!BD181&lt;&gt;"",IF(LOWER('Capacity summary'!BD181)="x",$BI62*BD62,VALUE('Capacity summary'!BD181)),0),BD62*$BI62),BD62*$BI62),0)</f>
        <v>0</v>
      </c>
      <c r="DH62" s="311">
        <f>IF($BI62&lt;&gt;"",IF('Capacity summary'!$D$14="Yes",IF(COUNTBLANK('Capacity summary'!$H181:$BG181)&lt;52,IF('Capacity summary'!BE181&lt;&gt;"",IF(LOWER('Capacity summary'!BE181)="x",$BI62*BE62,VALUE('Capacity summary'!BE181)),0),BE62*$BI62),BE62*$BI62),0)</f>
        <v>0</v>
      </c>
      <c r="DI62" s="311">
        <f>IF($BI62&lt;&gt;"",IF('Capacity summary'!$D$14="Yes",IF(COUNTBLANK('Capacity summary'!$H181:$BG181)&lt;52,IF('Capacity summary'!BF181&lt;&gt;"",IF(LOWER('Capacity summary'!BF181)="x",$BI62*BF62,VALUE('Capacity summary'!BF181)),0),BF62*$BI62),BF62*$BI62),0)</f>
        <v>0</v>
      </c>
      <c r="DJ62" s="311">
        <f>IF($BI62&lt;&gt;"",IF('Capacity summary'!$D$14="Yes",IF(COUNTBLANK('Capacity summary'!$H181:$BG181)&lt;52,IF('Capacity summary'!BG181&lt;&gt;"",IF(LOWER('Capacity summary'!BG181)="x",$BI62*BG62,VALUE('Capacity summary'!BG181)),0),BG62*$BI62),BG62*$BI62),0)</f>
        <v>0</v>
      </c>
      <c r="DK62" s="387">
        <f t="shared" si="2"/>
        <v>0</v>
      </c>
      <c r="DL62" s="136">
        <f t="shared" si="3"/>
        <v>0</v>
      </c>
      <c r="DM62" s="311" t="str">
        <f>Capacity!H74</f>
        <v/>
      </c>
    </row>
    <row r="63" spans="1:121" x14ac:dyDescent="0.2">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1">
        <f>IF($BI63&lt;&gt;"",IF('Capacity summary'!$D$14="Yes",IF(COUNTBLANK('Capacity summary'!$H182:$BG182)&lt;52,IF('Capacity summary'!H182&lt;&gt;"",IF(LOWER('Capacity summary'!H182)="x",$BI63*H63,VALUE('Capacity summary'!H182)),0),H63*$BI63),H63*$BI63),0)</f>
        <v>0</v>
      </c>
      <c r="BL63" s="311">
        <f>IF($BI63&lt;&gt;"",IF('Capacity summary'!$D$14="Yes",IF(COUNTBLANK('Capacity summary'!$H182:$BG182)&lt;52,IF('Capacity summary'!I182&lt;&gt;"",IF(LOWER('Capacity summary'!I182)="x",$BI63*I63,VALUE('Capacity summary'!I182)),0),I63*$BI63),I63*$BI63),0)</f>
        <v>0</v>
      </c>
      <c r="BM63" s="311">
        <f>IF($BI63&lt;&gt;"",IF('Capacity summary'!$D$14="Yes",IF(COUNTBLANK('Capacity summary'!$H182:$BG182)&lt;52,IF('Capacity summary'!J182&lt;&gt;"",IF(LOWER('Capacity summary'!J182)="x",$BI63*J63,VALUE('Capacity summary'!J182)),0),J63*$BI63),J63*$BI63),0)</f>
        <v>0</v>
      </c>
      <c r="BN63" s="311">
        <f>IF($BI63&lt;&gt;"",IF('Capacity summary'!$D$14="Yes",IF(COUNTBLANK('Capacity summary'!$H182:$BG182)&lt;52,IF('Capacity summary'!K182&lt;&gt;"",IF(LOWER('Capacity summary'!K182)="x",$BI63*K63,VALUE('Capacity summary'!K182)),0),K63*$BI63),K63*$BI63),0)</f>
        <v>0</v>
      </c>
      <c r="BO63" s="311">
        <f>IF($BI63&lt;&gt;"",IF('Capacity summary'!$D$14="Yes",IF(COUNTBLANK('Capacity summary'!$H182:$BG182)&lt;52,IF('Capacity summary'!L182&lt;&gt;"",IF(LOWER('Capacity summary'!L182)="x",$BI63*L63,VALUE('Capacity summary'!L182)),0),L63*$BI63),L63*$BI63),0)</f>
        <v>0</v>
      </c>
      <c r="BP63" s="311">
        <f>IF($BI63&lt;&gt;"",IF('Capacity summary'!$D$14="Yes",IF(COUNTBLANK('Capacity summary'!$H182:$BG182)&lt;52,IF('Capacity summary'!M182&lt;&gt;"",IF(LOWER('Capacity summary'!M182)="x",$BI63*M63,VALUE('Capacity summary'!M182)),0),M63*$BI63),M63*$BI63),0)</f>
        <v>0</v>
      </c>
      <c r="BQ63" s="311">
        <f>IF($BI63&lt;&gt;"",IF('Capacity summary'!$D$14="Yes",IF(COUNTBLANK('Capacity summary'!$H182:$BG182)&lt;52,IF('Capacity summary'!N182&lt;&gt;"",IF(LOWER('Capacity summary'!N182)="x",$BI63*N63,VALUE('Capacity summary'!N182)),0),N63*$BI63),N63*$BI63),0)</f>
        <v>0</v>
      </c>
      <c r="BR63" s="311">
        <f>IF($BI63&lt;&gt;"",IF('Capacity summary'!$D$14="Yes",IF(COUNTBLANK('Capacity summary'!$H182:$BG182)&lt;52,IF('Capacity summary'!O182&lt;&gt;"",IF(LOWER('Capacity summary'!O182)="x",$BI63*O63,VALUE('Capacity summary'!O182)),0),O63*$BI63),O63*$BI63),0)</f>
        <v>0</v>
      </c>
      <c r="BS63" s="311">
        <f>IF($BI63&lt;&gt;"",IF('Capacity summary'!$D$14="Yes",IF(COUNTBLANK('Capacity summary'!$H182:$BG182)&lt;52,IF('Capacity summary'!P182&lt;&gt;"",IF(LOWER('Capacity summary'!P182)="x",$BI63*P63,VALUE('Capacity summary'!P182)),0),P63*$BI63),P63*$BI63),0)</f>
        <v>0</v>
      </c>
      <c r="BT63" s="311">
        <f>IF($BI63&lt;&gt;"",IF('Capacity summary'!$D$14="Yes",IF(COUNTBLANK('Capacity summary'!$H182:$BG182)&lt;52,IF('Capacity summary'!Q182&lt;&gt;"",IF(LOWER('Capacity summary'!Q182)="x",$BI63*Q63,VALUE('Capacity summary'!Q182)),0),Q63*$BI63),Q63*$BI63),0)</f>
        <v>0</v>
      </c>
      <c r="BU63" s="311">
        <f>IF($BI63&lt;&gt;"",IF('Capacity summary'!$D$14="Yes",IF(COUNTBLANK('Capacity summary'!$H182:$BG182)&lt;52,IF('Capacity summary'!R182&lt;&gt;"",IF(LOWER('Capacity summary'!R182)="x",$BI63*R63,VALUE('Capacity summary'!R182)),0),R63*$BI63),R63*$BI63),0)</f>
        <v>0</v>
      </c>
      <c r="BV63" s="311">
        <f>IF($BI63&lt;&gt;"",IF('Capacity summary'!$D$14="Yes",IF(COUNTBLANK('Capacity summary'!$H182:$BG182)&lt;52,IF('Capacity summary'!S182&lt;&gt;"",IF(LOWER('Capacity summary'!S182)="x",$BI63*S63,VALUE('Capacity summary'!S182)),0),S63*$BI63),S63*$BI63),0)</f>
        <v>0</v>
      </c>
      <c r="BW63" s="311">
        <f>IF($BI63&lt;&gt;"",IF('Capacity summary'!$D$14="Yes",IF(COUNTBLANK('Capacity summary'!$H182:$BG182)&lt;52,IF('Capacity summary'!T182&lt;&gt;"",IF(LOWER('Capacity summary'!T182)="x",$BI63*T63,VALUE('Capacity summary'!T182)),0),T63*$BI63),T63*$BI63),0)</f>
        <v>0</v>
      </c>
      <c r="BX63" s="311">
        <f>IF($BI63&lt;&gt;"",IF('Capacity summary'!$D$14="Yes",IF(COUNTBLANK('Capacity summary'!$H182:$BG182)&lt;52,IF('Capacity summary'!U182&lt;&gt;"",IF(LOWER('Capacity summary'!U182)="x",$BI63*U63,VALUE('Capacity summary'!U182)),0),U63*$BI63),U63*$BI63),0)</f>
        <v>0</v>
      </c>
      <c r="BY63" s="311">
        <f>IF($BI63&lt;&gt;"",IF('Capacity summary'!$D$14="Yes",IF(COUNTBLANK('Capacity summary'!$H182:$BG182)&lt;52,IF('Capacity summary'!V182&lt;&gt;"",IF(LOWER('Capacity summary'!V182)="x",$BI63*V63,VALUE('Capacity summary'!V182)),0),V63*$BI63),V63*$BI63),0)</f>
        <v>0</v>
      </c>
      <c r="BZ63" s="311">
        <f>IF($BI63&lt;&gt;"",IF('Capacity summary'!$D$14="Yes",IF(COUNTBLANK('Capacity summary'!$H182:$BG182)&lt;52,IF('Capacity summary'!W182&lt;&gt;"",IF(LOWER('Capacity summary'!W182)="x",$BI63*W63,VALUE('Capacity summary'!W182)),0),W63*$BI63),W63*$BI63),0)</f>
        <v>0</v>
      </c>
      <c r="CA63" s="311">
        <f>IF($BI63&lt;&gt;"",IF('Capacity summary'!$D$14="Yes",IF(COUNTBLANK('Capacity summary'!$H182:$BG182)&lt;52,IF('Capacity summary'!X182&lt;&gt;"",IF(LOWER('Capacity summary'!X182)="x",$BI63*X63,VALUE('Capacity summary'!X182)),0),X63*$BI63),X63*$BI63),0)</f>
        <v>0</v>
      </c>
      <c r="CB63" s="311">
        <f>IF($BI63&lt;&gt;"",IF('Capacity summary'!$D$14="Yes",IF(COUNTBLANK('Capacity summary'!$H182:$BG182)&lt;52,IF('Capacity summary'!Y182&lt;&gt;"",IF(LOWER('Capacity summary'!Y182)="x",$BI63*Y63,VALUE('Capacity summary'!Y182)),0),Y63*$BI63),Y63*$BI63),0)</f>
        <v>0</v>
      </c>
      <c r="CC63" s="311">
        <f>IF($BI63&lt;&gt;"",IF('Capacity summary'!$D$14="Yes",IF(COUNTBLANK('Capacity summary'!$H182:$BG182)&lt;52,IF('Capacity summary'!Z182&lt;&gt;"",IF(LOWER('Capacity summary'!Z182)="x",$BI63*Z63,VALUE('Capacity summary'!Z182)),0),Z63*$BI63),Z63*$BI63),0)</f>
        <v>0</v>
      </c>
      <c r="CD63" s="311">
        <f>IF($BI63&lt;&gt;"",IF('Capacity summary'!$D$14="Yes",IF(COUNTBLANK('Capacity summary'!$H182:$BG182)&lt;52,IF('Capacity summary'!AA182&lt;&gt;"",IF(LOWER('Capacity summary'!AA182)="x",$BI63*AA63,VALUE('Capacity summary'!AA182)),0),AA63*$BI63),AA63*$BI63),0)</f>
        <v>0</v>
      </c>
      <c r="CE63" s="311">
        <f>IF($BI63&lt;&gt;"",IF('Capacity summary'!$D$14="Yes",IF(COUNTBLANK('Capacity summary'!$H182:$BG182)&lt;52,IF('Capacity summary'!AB182&lt;&gt;"",IF(LOWER('Capacity summary'!AB182)="x",$BI63*AB63,VALUE('Capacity summary'!AB182)),0),AB63*$BI63),AB63*$BI63),0)</f>
        <v>0</v>
      </c>
      <c r="CF63" s="311">
        <f>IF($BI63&lt;&gt;"",IF('Capacity summary'!$D$14="Yes",IF(COUNTBLANK('Capacity summary'!$H182:$BG182)&lt;52,IF('Capacity summary'!AC182&lt;&gt;"",IF(LOWER('Capacity summary'!AC182)="x",$BI63*AC63,VALUE('Capacity summary'!AC182)),0),AC63*$BI63),AC63*$BI63),0)</f>
        <v>0</v>
      </c>
      <c r="CG63" s="311">
        <f>IF($BI63&lt;&gt;"",IF('Capacity summary'!$D$14="Yes",IF(COUNTBLANK('Capacity summary'!$H182:$BG182)&lt;52,IF('Capacity summary'!AD182&lt;&gt;"",IF(LOWER('Capacity summary'!AD182)="x",$BI63*AD63,VALUE('Capacity summary'!AD182)),0),AD63*$BI63),AD63*$BI63),0)</f>
        <v>0</v>
      </c>
      <c r="CH63" s="311">
        <f>IF($BI63&lt;&gt;"",IF('Capacity summary'!$D$14="Yes",IF(COUNTBLANK('Capacity summary'!$H182:$BG182)&lt;52,IF('Capacity summary'!AE182&lt;&gt;"",IF(LOWER('Capacity summary'!AE182)="x",$BI63*AE63,VALUE('Capacity summary'!AE182)),0),AE63*$BI63),AE63*$BI63),0)</f>
        <v>0</v>
      </c>
      <c r="CI63" s="311">
        <f>IF($BI63&lt;&gt;"",IF('Capacity summary'!$D$14="Yes",IF(COUNTBLANK('Capacity summary'!$H182:$BG182)&lt;52,IF('Capacity summary'!AF182&lt;&gt;"",IF(LOWER('Capacity summary'!AF182)="x",$BI63*AF63,VALUE('Capacity summary'!AF182)),0),AF63*$BI63),AF63*$BI63),0)</f>
        <v>0</v>
      </c>
      <c r="CJ63" s="311">
        <f>IF($BI63&lt;&gt;"",IF('Capacity summary'!$D$14="Yes",IF(COUNTBLANK('Capacity summary'!$H182:$BG182)&lt;52,IF('Capacity summary'!AG182&lt;&gt;"",IF(LOWER('Capacity summary'!AG182)="x",$BI63*AG63,VALUE('Capacity summary'!AG182)),0),AG63*$BI63),AG63*$BI63),0)</f>
        <v>0</v>
      </c>
      <c r="CK63" s="311">
        <f>IF($BI63&lt;&gt;"",IF('Capacity summary'!$D$14="Yes",IF(COUNTBLANK('Capacity summary'!$H182:$BG182)&lt;52,IF('Capacity summary'!AH182&lt;&gt;"",IF(LOWER('Capacity summary'!AH182)="x",$BI63*AH63,VALUE('Capacity summary'!AH182)),0),AH63*$BI63),AH63*$BI63),0)</f>
        <v>0</v>
      </c>
      <c r="CL63" s="311">
        <f>IF($BI63&lt;&gt;"",IF('Capacity summary'!$D$14="Yes",IF(COUNTBLANK('Capacity summary'!$H182:$BG182)&lt;52,IF('Capacity summary'!AI182&lt;&gt;"",IF(LOWER('Capacity summary'!AI182)="x",$BI63*AI63,VALUE('Capacity summary'!AI182)),0),AI63*$BI63),AI63*$BI63),0)</f>
        <v>0</v>
      </c>
      <c r="CM63" s="311">
        <f>IF($BI63&lt;&gt;"",IF('Capacity summary'!$D$14="Yes",IF(COUNTBLANK('Capacity summary'!$H182:$BG182)&lt;52,IF('Capacity summary'!AJ182&lt;&gt;"",IF(LOWER('Capacity summary'!AJ182)="x",$BI63*AJ63,VALUE('Capacity summary'!AJ182)),0),AJ63*$BI63),AJ63*$BI63),0)</f>
        <v>0</v>
      </c>
      <c r="CN63" s="311">
        <f>IF($BI63&lt;&gt;"",IF('Capacity summary'!$D$14="Yes",IF(COUNTBLANK('Capacity summary'!$H182:$BG182)&lt;52,IF('Capacity summary'!AK182&lt;&gt;"",IF(LOWER('Capacity summary'!AK182)="x",$BI63*AK63,VALUE('Capacity summary'!AK182)),0),AK63*$BI63),AK63*$BI63),0)</f>
        <v>0</v>
      </c>
      <c r="CO63" s="311">
        <f>IF($BI63&lt;&gt;"",IF('Capacity summary'!$D$14="Yes",IF(COUNTBLANK('Capacity summary'!$H182:$BG182)&lt;52,IF('Capacity summary'!AL182&lt;&gt;"",IF(LOWER('Capacity summary'!AL182)="x",$BI63*AL63,VALUE('Capacity summary'!AL182)),0),AL63*$BI63),AL63*$BI63),0)</f>
        <v>0</v>
      </c>
      <c r="CP63" s="311">
        <f>IF($BI63&lt;&gt;"",IF('Capacity summary'!$D$14="Yes",IF(COUNTBLANK('Capacity summary'!$H182:$BG182)&lt;52,IF('Capacity summary'!AM182&lt;&gt;"",IF(LOWER('Capacity summary'!AM182)="x",$BI63*AM63,VALUE('Capacity summary'!AM182)),0),AM63*$BI63),AM63*$BI63),0)</f>
        <v>0</v>
      </c>
      <c r="CQ63" s="311">
        <f>IF($BI63&lt;&gt;"",IF('Capacity summary'!$D$14="Yes",IF(COUNTBLANK('Capacity summary'!$H182:$BG182)&lt;52,IF('Capacity summary'!AN182&lt;&gt;"",IF(LOWER('Capacity summary'!AN182)="x",$BI63*AN63,VALUE('Capacity summary'!AN182)),0),AN63*$BI63),AN63*$BI63),0)</f>
        <v>0</v>
      </c>
      <c r="CR63" s="311">
        <f>IF($BI63&lt;&gt;"",IF('Capacity summary'!$D$14="Yes",IF(COUNTBLANK('Capacity summary'!$H182:$BG182)&lt;52,IF('Capacity summary'!AO182&lt;&gt;"",IF(LOWER('Capacity summary'!AO182)="x",$BI63*AO63,VALUE('Capacity summary'!AO182)),0),AO63*$BI63),AO63*$BI63),0)</f>
        <v>0</v>
      </c>
      <c r="CS63" s="311">
        <f>IF($BI63&lt;&gt;"",IF('Capacity summary'!$D$14="Yes",IF(COUNTBLANK('Capacity summary'!$H182:$BG182)&lt;52,IF('Capacity summary'!AP182&lt;&gt;"",IF(LOWER('Capacity summary'!AP182)="x",$BI63*AP63,VALUE('Capacity summary'!AP182)),0),AP63*$BI63),AP63*$BI63),0)</f>
        <v>0</v>
      </c>
      <c r="CT63" s="311">
        <f>IF($BI63&lt;&gt;"",IF('Capacity summary'!$D$14="Yes",IF(COUNTBLANK('Capacity summary'!$H182:$BG182)&lt;52,IF('Capacity summary'!AQ182&lt;&gt;"",IF(LOWER('Capacity summary'!AQ182)="x",$BI63*AQ63,VALUE('Capacity summary'!AQ182)),0),AQ63*$BI63),AQ63*$BI63),0)</f>
        <v>0</v>
      </c>
      <c r="CU63" s="311">
        <f>IF($BI63&lt;&gt;"",IF('Capacity summary'!$D$14="Yes",IF(COUNTBLANK('Capacity summary'!$H182:$BG182)&lt;52,IF('Capacity summary'!AR182&lt;&gt;"",IF(LOWER('Capacity summary'!AR182)="x",$BI63*AR63,VALUE('Capacity summary'!AR182)),0),AR63*$BI63),AR63*$BI63),0)</f>
        <v>0</v>
      </c>
      <c r="CV63" s="311">
        <f>IF($BI63&lt;&gt;"",IF('Capacity summary'!$D$14="Yes",IF(COUNTBLANK('Capacity summary'!$H182:$BG182)&lt;52,IF('Capacity summary'!AS182&lt;&gt;"",IF(LOWER('Capacity summary'!AS182)="x",$BI63*AS63,VALUE('Capacity summary'!AS182)),0),AS63*$BI63),AS63*$BI63),0)</f>
        <v>0</v>
      </c>
      <c r="CW63" s="311">
        <f>IF($BI63&lt;&gt;"",IF('Capacity summary'!$D$14="Yes",IF(COUNTBLANK('Capacity summary'!$H182:$BG182)&lt;52,IF('Capacity summary'!AT182&lt;&gt;"",IF(LOWER('Capacity summary'!AT182)="x",$BI63*AT63,VALUE('Capacity summary'!AT182)),0),AT63*$BI63),AT63*$BI63),0)</f>
        <v>0</v>
      </c>
      <c r="CX63" s="311">
        <f>IF($BI63&lt;&gt;"",IF('Capacity summary'!$D$14="Yes",IF(COUNTBLANK('Capacity summary'!$H182:$BG182)&lt;52,IF('Capacity summary'!AU182&lt;&gt;"",IF(LOWER('Capacity summary'!AU182)="x",$BI63*AU63,VALUE('Capacity summary'!AU182)),0),AU63*$BI63),AU63*$BI63),0)</f>
        <v>0</v>
      </c>
      <c r="CY63" s="311">
        <f>IF($BI63&lt;&gt;"",IF('Capacity summary'!$D$14="Yes",IF(COUNTBLANK('Capacity summary'!$H182:$BG182)&lt;52,IF('Capacity summary'!AV182&lt;&gt;"",IF(LOWER('Capacity summary'!AV182)="x",$BI63*AV63,VALUE('Capacity summary'!AV182)),0),AV63*$BI63),AV63*$BI63),0)</f>
        <v>0</v>
      </c>
      <c r="CZ63" s="311">
        <f>IF($BI63&lt;&gt;"",IF('Capacity summary'!$D$14="Yes",IF(COUNTBLANK('Capacity summary'!$H182:$BG182)&lt;52,IF('Capacity summary'!AW182&lt;&gt;"",IF(LOWER('Capacity summary'!AW182)="x",$BI63*AW63,VALUE('Capacity summary'!AW182)),0),AW63*$BI63),AW63*$BI63),0)</f>
        <v>0</v>
      </c>
      <c r="DA63" s="311">
        <f>IF($BI63&lt;&gt;"",IF('Capacity summary'!$D$14="Yes",IF(COUNTBLANK('Capacity summary'!$H182:$BG182)&lt;52,IF('Capacity summary'!AX182&lt;&gt;"",IF(LOWER('Capacity summary'!AX182)="x",$BI63*AX63,VALUE('Capacity summary'!AX182)),0),AX63*$BI63),AX63*$BI63),0)</f>
        <v>0</v>
      </c>
      <c r="DB63" s="311">
        <f>IF($BI63&lt;&gt;"",IF('Capacity summary'!$D$14="Yes",IF(COUNTBLANK('Capacity summary'!$H182:$BG182)&lt;52,IF('Capacity summary'!AY182&lt;&gt;"",IF(LOWER('Capacity summary'!AY182)="x",$BI63*AY63,VALUE('Capacity summary'!AY182)),0),AY63*$BI63),AY63*$BI63),0)</f>
        <v>0</v>
      </c>
      <c r="DC63" s="311">
        <f>IF($BI63&lt;&gt;"",IF('Capacity summary'!$D$14="Yes",IF(COUNTBLANK('Capacity summary'!$H182:$BG182)&lt;52,IF('Capacity summary'!AZ182&lt;&gt;"",IF(LOWER('Capacity summary'!AZ182)="x",$BI63*AZ63,VALUE('Capacity summary'!AZ182)),0),AZ63*$BI63),AZ63*$BI63),0)</f>
        <v>0</v>
      </c>
      <c r="DD63" s="311">
        <f>IF($BI63&lt;&gt;"",IF('Capacity summary'!$D$14="Yes",IF(COUNTBLANK('Capacity summary'!$H182:$BG182)&lt;52,IF('Capacity summary'!BA182&lt;&gt;"",IF(LOWER('Capacity summary'!BA182)="x",$BI63*BA63,VALUE('Capacity summary'!BA182)),0),BA63*$BI63),BA63*$BI63),0)</f>
        <v>0</v>
      </c>
      <c r="DE63" s="311">
        <f>IF($BI63&lt;&gt;"",IF('Capacity summary'!$D$14="Yes",IF(COUNTBLANK('Capacity summary'!$H182:$BG182)&lt;52,IF('Capacity summary'!BB182&lt;&gt;"",IF(LOWER('Capacity summary'!BB182)="x",$BI63*BB63,VALUE('Capacity summary'!BB182)),0),BB63*$BI63),BB63*$BI63),0)</f>
        <v>0</v>
      </c>
      <c r="DF63" s="311">
        <f>IF($BI63&lt;&gt;"",IF('Capacity summary'!$D$14="Yes",IF(COUNTBLANK('Capacity summary'!$H182:$BG182)&lt;52,IF('Capacity summary'!BC182&lt;&gt;"",IF(LOWER('Capacity summary'!BC182)="x",$BI63*BC63,VALUE('Capacity summary'!BC182)),0),BC63*$BI63),BC63*$BI63),0)</f>
        <v>0</v>
      </c>
      <c r="DG63" s="311">
        <f>IF($BI63&lt;&gt;"",IF('Capacity summary'!$D$14="Yes",IF(COUNTBLANK('Capacity summary'!$H182:$BG182)&lt;52,IF('Capacity summary'!BD182&lt;&gt;"",IF(LOWER('Capacity summary'!BD182)="x",$BI63*BD63,VALUE('Capacity summary'!BD182)),0),BD63*$BI63),BD63*$BI63),0)</f>
        <v>0</v>
      </c>
      <c r="DH63" s="311">
        <f>IF($BI63&lt;&gt;"",IF('Capacity summary'!$D$14="Yes",IF(COUNTBLANK('Capacity summary'!$H182:$BG182)&lt;52,IF('Capacity summary'!BE182&lt;&gt;"",IF(LOWER('Capacity summary'!BE182)="x",$BI63*BE63,VALUE('Capacity summary'!BE182)),0),BE63*$BI63),BE63*$BI63),0)</f>
        <v>0</v>
      </c>
      <c r="DI63" s="311">
        <f>IF($BI63&lt;&gt;"",IF('Capacity summary'!$D$14="Yes",IF(COUNTBLANK('Capacity summary'!$H182:$BG182)&lt;52,IF('Capacity summary'!BF182&lt;&gt;"",IF(LOWER('Capacity summary'!BF182)="x",$BI63*BF63,VALUE('Capacity summary'!BF182)),0),BF63*$BI63),BF63*$BI63),0)</f>
        <v>0</v>
      </c>
      <c r="DJ63" s="311">
        <f>IF($BI63&lt;&gt;"",IF('Capacity summary'!$D$14="Yes",IF(COUNTBLANK('Capacity summary'!$H182:$BG182)&lt;52,IF('Capacity summary'!BG182&lt;&gt;"",IF(LOWER('Capacity summary'!BG182)="x",$BI63*BG63,VALUE('Capacity summary'!BG182)),0),BG63*$BI63),BG63*$BI63),0)</f>
        <v>0</v>
      </c>
      <c r="DK63" s="387">
        <f t="shared" si="2"/>
        <v>0</v>
      </c>
      <c r="DL63" s="136">
        <f t="shared" si="3"/>
        <v>0</v>
      </c>
      <c r="DM63" s="311" t="str">
        <f>Capacity!H75</f>
        <v/>
      </c>
    </row>
    <row r="64" spans="1:121" x14ac:dyDescent="0.2">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1">
        <f>IF($BI64&lt;&gt;"",IF('Capacity summary'!$D$14="Yes",IF(COUNTBLANK('Capacity summary'!$H183:$BG183)&lt;52,IF('Capacity summary'!H183&lt;&gt;"",IF(LOWER('Capacity summary'!H183)="x",$BI64*H64,VALUE('Capacity summary'!H183)),0),H64*$BI64),H64*$BI64),0)</f>
        <v>0</v>
      </c>
      <c r="BL64" s="311">
        <f>IF($BI64&lt;&gt;"",IF('Capacity summary'!$D$14="Yes",IF(COUNTBLANK('Capacity summary'!$H183:$BG183)&lt;52,IF('Capacity summary'!I183&lt;&gt;"",IF(LOWER('Capacity summary'!I183)="x",$BI64*I64,VALUE('Capacity summary'!I183)),0),I64*$BI64),I64*$BI64),0)</f>
        <v>0</v>
      </c>
      <c r="BM64" s="311">
        <f>IF($BI64&lt;&gt;"",IF('Capacity summary'!$D$14="Yes",IF(COUNTBLANK('Capacity summary'!$H183:$BG183)&lt;52,IF('Capacity summary'!J183&lt;&gt;"",IF(LOWER('Capacity summary'!J183)="x",$BI64*J64,VALUE('Capacity summary'!J183)),0),J64*$BI64),J64*$BI64),0)</f>
        <v>0</v>
      </c>
      <c r="BN64" s="311">
        <f>IF($BI64&lt;&gt;"",IF('Capacity summary'!$D$14="Yes",IF(COUNTBLANK('Capacity summary'!$H183:$BG183)&lt;52,IF('Capacity summary'!K183&lt;&gt;"",IF(LOWER('Capacity summary'!K183)="x",$BI64*K64,VALUE('Capacity summary'!K183)),0),K64*$BI64),K64*$BI64),0)</f>
        <v>0</v>
      </c>
      <c r="BO64" s="311">
        <f>IF($BI64&lt;&gt;"",IF('Capacity summary'!$D$14="Yes",IF(COUNTBLANK('Capacity summary'!$H183:$BG183)&lt;52,IF('Capacity summary'!L183&lt;&gt;"",IF(LOWER('Capacity summary'!L183)="x",$BI64*L64,VALUE('Capacity summary'!L183)),0),L64*$BI64),L64*$BI64),0)</f>
        <v>0</v>
      </c>
      <c r="BP64" s="311">
        <f>IF($BI64&lt;&gt;"",IF('Capacity summary'!$D$14="Yes",IF(COUNTBLANK('Capacity summary'!$H183:$BG183)&lt;52,IF('Capacity summary'!M183&lt;&gt;"",IF(LOWER('Capacity summary'!M183)="x",$BI64*M64,VALUE('Capacity summary'!M183)),0),M64*$BI64),M64*$BI64),0)</f>
        <v>0</v>
      </c>
      <c r="BQ64" s="311">
        <f>IF($BI64&lt;&gt;"",IF('Capacity summary'!$D$14="Yes",IF(COUNTBLANK('Capacity summary'!$H183:$BG183)&lt;52,IF('Capacity summary'!N183&lt;&gt;"",IF(LOWER('Capacity summary'!N183)="x",$BI64*N64,VALUE('Capacity summary'!N183)),0),N64*$BI64),N64*$BI64),0)</f>
        <v>0</v>
      </c>
      <c r="BR64" s="311">
        <f>IF($BI64&lt;&gt;"",IF('Capacity summary'!$D$14="Yes",IF(COUNTBLANK('Capacity summary'!$H183:$BG183)&lt;52,IF('Capacity summary'!O183&lt;&gt;"",IF(LOWER('Capacity summary'!O183)="x",$BI64*O64,VALUE('Capacity summary'!O183)),0),O64*$BI64),O64*$BI64),0)</f>
        <v>0</v>
      </c>
      <c r="BS64" s="311">
        <f>IF($BI64&lt;&gt;"",IF('Capacity summary'!$D$14="Yes",IF(COUNTBLANK('Capacity summary'!$H183:$BG183)&lt;52,IF('Capacity summary'!P183&lt;&gt;"",IF(LOWER('Capacity summary'!P183)="x",$BI64*P64,VALUE('Capacity summary'!P183)),0),P64*$BI64),P64*$BI64),0)</f>
        <v>0</v>
      </c>
      <c r="BT64" s="311">
        <f>IF($BI64&lt;&gt;"",IF('Capacity summary'!$D$14="Yes",IF(COUNTBLANK('Capacity summary'!$H183:$BG183)&lt;52,IF('Capacity summary'!Q183&lt;&gt;"",IF(LOWER('Capacity summary'!Q183)="x",$BI64*Q64,VALUE('Capacity summary'!Q183)),0),Q64*$BI64),Q64*$BI64),0)</f>
        <v>0</v>
      </c>
      <c r="BU64" s="311">
        <f>IF($BI64&lt;&gt;"",IF('Capacity summary'!$D$14="Yes",IF(COUNTBLANK('Capacity summary'!$H183:$BG183)&lt;52,IF('Capacity summary'!R183&lt;&gt;"",IF(LOWER('Capacity summary'!R183)="x",$BI64*R64,VALUE('Capacity summary'!R183)),0),R64*$BI64),R64*$BI64),0)</f>
        <v>0</v>
      </c>
      <c r="BV64" s="311">
        <f>IF($BI64&lt;&gt;"",IF('Capacity summary'!$D$14="Yes",IF(COUNTBLANK('Capacity summary'!$H183:$BG183)&lt;52,IF('Capacity summary'!S183&lt;&gt;"",IF(LOWER('Capacity summary'!S183)="x",$BI64*S64,VALUE('Capacity summary'!S183)),0),S64*$BI64),S64*$BI64),0)</f>
        <v>0</v>
      </c>
      <c r="BW64" s="311">
        <f>IF($BI64&lt;&gt;"",IF('Capacity summary'!$D$14="Yes",IF(COUNTBLANK('Capacity summary'!$H183:$BG183)&lt;52,IF('Capacity summary'!T183&lt;&gt;"",IF(LOWER('Capacity summary'!T183)="x",$BI64*T64,VALUE('Capacity summary'!T183)),0),T64*$BI64),T64*$BI64),0)</f>
        <v>0</v>
      </c>
      <c r="BX64" s="311">
        <f>IF($BI64&lt;&gt;"",IF('Capacity summary'!$D$14="Yes",IF(COUNTBLANK('Capacity summary'!$H183:$BG183)&lt;52,IF('Capacity summary'!U183&lt;&gt;"",IF(LOWER('Capacity summary'!U183)="x",$BI64*U64,VALUE('Capacity summary'!U183)),0),U64*$BI64),U64*$BI64),0)</f>
        <v>0</v>
      </c>
      <c r="BY64" s="311">
        <f>IF($BI64&lt;&gt;"",IF('Capacity summary'!$D$14="Yes",IF(COUNTBLANK('Capacity summary'!$H183:$BG183)&lt;52,IF('Capacity summary'!V183&lt;&gt;"",IF(LOWER('Capacity summary'!V183)="x",$BI64*V64,VALUE('Capacity summary'!V183)),0),V64*$BI64),V64*$BI64),0)</f>
        <v>0</v>
      </c>
      <c r="BZ64" s="311">
        <f>IF($BI64&lt;&gt;"",IF('Capacity summary'!$D$14="Yes",IF(COUNTBLANK('Capacity summary'!$H183:$BG183)&lt;52,IF('Capacity summary'!W183&lt;&gt;"",IF(LOWER('Capacity summary'!W183)="x",$BI64*W64,VALUE('Capacity summary'!W183)),0),W64*$BI64),W64*$BI64),0)</f>
        <v>0</v>
      </c>
      <c r="CA64" s="311">
        <f>IF($BI64&lt;&gt;"",IF('Capacity summary'!$D$14="Yes",IF(COUNTBLANK('Capacity summary'!$H183:$BG183)&lt;52,IF('Capacity summary'!X183&lt;&gt;"",IF(LOWER('Capacity summary'!X183)="x",$BI64*X64,VALUE('Capacity summary'!X183)),0),X64*$BI64),X64*$BI64),0)</f>
        <v>0</v>
      </c>
      <c r="CB64" s="311">
        <f>IF($BI64&lt;&gt;"",IF('Capacity summary'!$D$14="Yes",IF(COUNTBLANK('Capacity summary'!$H183:$BG183)&lt;52,IF('Capacity summary'!Y183&lt;&gt;"",IF(LOWER('Capacity summary'!Y183)="x",$BI64*Y64,VALUE('Capacity summary'!Y183)),0),Y64*$BI64),Y64*$BI64),0)</f>
        <v>0</v>
      </c>
      <c r="CC64" s="311">
        <f>IF($BI64&lt;&gt;"",IF('Capacity summary'!$D$14="Yes",IF(COUNTBLANK('Capacity summary'!$H183:$BG183)&lt;52,IF('Capacity summary'!Z183&lt;&gt;"",IF(LOWER('Capacity summary'!Z183)="x",$BI64*Z64,VALUE('Capacity summary'!Z183)),0),Z64*$BI64),Z64*$BI64),0)</f>
        <v>0</v>
      </c>
      <c r="CD64" s="311">
        <f>IF($BI64&lt;&gt;"",IF('Capacity summary'!$D$14="Yes",IF(COUNTBLANK('Capacity summary'!$H183:$BG183)&lt;52,IF('Capacity summary'!AA183&lt;&gt;"",IF(LOWER('Capacity summary'!AA183)="x",$BI64*AA64,VALUE('Capacity summary'!AA183)),0),AA64*$BI64),AA64*$BI64),0)</f>
        <v>0</v>
      </c>
      <c r="CE64" s="311">
        <f>IF($BI64&lt;&gt;"",IF('Capacity summary'!$D$14="Yes",IF(COUNTBLANK('Capacity summary'!$H183:$BG183)&lt;52,IF('Capacity summary'!AB183&lt;&gt;"",IF(LOWER('Capacity summary'!AB183)="x",$BI64*AB64,VALUE('Capacity summary'!AB183)),0),AB64*$BI64),AB64*$BI64),0)</f>
        <v>0</v>
      </c>
      <c r="CF64" s="311">
        <f>IF($BI64&lt;&gt;"",IF('Capacity summary'!$D$14="Yes",IF(COUNTBLANK('Capacity summary'!$H183:$BG183)&lt;52,IF('Capacity summary'!AC183&lt;&gt;"",IF(LOWER('Capacity summary'!AC183)="x",$BI64*AC64,VALUE('Capacity summary'!AC183)),0),AC64*$BI64),AC64*$BI64),0)</f>
        <v>0</v>
      </c>
      <c r="CG64" s="311">
        <f>IF($BI64&lt;&gt;"",IF('Capacity summary'!$D$14="Yes",IF(COUNTBLANK('Capacity summary'!$H183:$BG183)&lt;52,IF('Capacity summary'!AD183&lt;&gt;"",IF(LOWER('Capacity summary'!AD183)="x",$BI64*AD64,VALUE('Capacity summary'!AD183)),0),AD64*$BI64),AD64*$BI64),0)</f>
        <v>0</v>
      </c>
      <c r="CH64" s="311">
        <f>IF($BI64&lt;&gt;"",IF('Capacity summary'!$D$14="Yes",IF(COUNTBLANK('Capacity summary'!$H183:$BG183)&lt;52,IF('Capacity summary'!AE183&lt;&gt;"",IF(LOWER('Capacity summary'!AE183)="x",$BI64*AE64,VALUE('Capacity summary'!AE183)),0),AE64*$BI64),AE64*$BI64),0)</f>
        <v>0</v>
      </c>
      <c r="CI64" s="311">
        <f>IF($BI64&lt;&gt;"",IF('Capacity summary'!$D$14="Yes",IF(COUNTBLANK('Capacity summary'!$H183:$BG183)&lt;52,IF('Capacity summary'!AF183&lt;&gt;"",IF(LOWER('Capacity summary'!AF183)="x",$BI64*AF64,VALUE('Capacity summary'!AF183)),0),AF64*$BI64),AF64*$BI64),0)</f>
        <v>0</v>
      </c>
      <c r="CJ64" s="311">
        <f>IF($BI64&lt;&gt;"",IF('Capacity summary'!$D$14="Yes",IF(COUNTBLANK('Capacity summary'!$H183:$BG183)&lt;52,IF('Capacity summary'!AG183&lt;&gt;"",IF(LOWER('Capacity summary'!AG183)="x",$BI64*AG64,VALUE('Capacity summary'!AG183)),0),AG64*$BI64),AG64*$BI64),0)</f>
        <v>0</v>
      </c>
      <c r="CK64" s="311">
        <f>IF($BI64&lt;&gt;"",IF('Capacity summary'!$D$14="Yes",IF(COUNTBLANK('Capacity summary'!$H183:$BG183)&lt;52,IF('Capacity summary'!AH183&lt;&gt;"",IF(LOWER('Capacity summary'!AH183)="x",$BI64*AH64,VALUE('Capacity summary'!AH183)),0),AH64*$BI64),AH64*$BI64),0)</f>
        <v>0</v>
      </c>
      <c r="CL64" s="311">
        <f>IF($BI64&lt;&gt;"",IF('Capacity summary'!$D$14="Yes",IF(COUNTBLANK('Capacity summary'!$H183:$BG183)&lt;52,IF('Capacity summary'!AI183&lt;&gt;"",IF(LOWER('Capacity summary'!AI183)="x",$BI64*AI64,VALUE('Capacity summary'!AI183)),0),AI64*$BI64),AI64*$BI64),0)</f>
        <v>0</v>
      </c>
      <c r="CM64" s="311">
        <f>IF($BI64&lt;&gt;"",IF('Capacity summary'!$D$14="Yes",IF(COUNTBLANK('Capacity summary'!$H183:$BG183)&lt;52,IF('Capacity summary'!AJ183&lt;&gt;"",IF(LOWER('Capacity summary'!AJ183)="x",$BI64*AJ64,VALUE('Capacity summary'!AJ183)),0),AJ64*$BI64),AJ64*$BI64),0)</f>
        <v>0</v>
      </c>
      <c r="CN64" s="311">
        <f>IF($BI64&lt;&gt;"",IF('Capacity summary'!$D$14="Yes",IF(COUNTBLANK('Capacity summary'!$H183:$BG183)&lt;52,IF('Capacity summary'!AK183&lt;&gt;"",IF(LOWER('Capacity summary'!AK183)="x",$BI64*AK64,VALUE('Capacity summary'!AK183)),0),AK64*$BI64),AK64*$BI64),0)</f>
        <v>0</v>
      </c>
      <c r="CO64" s="311">
        <f>IF($BI64&lt;&gt;"",IF('Capacity summary'!$D$14="Yes",IF(COUNTBLANK('Capacity summary'!$H183:$BG183)&lt;52,IF('Capacity summary'!AL183&lt;&gt;"",IF(LOWER('Capacity summary'!AL183)="x",$BI64*AL64,VALUE('Capacity summary'!AL183)),0),AL64*$BI64),AL64*$BI64),0)</f>
        <v>0</v>
      </c>
      <c r="CP64" s="311">
        <f>IF($BI64&lt;&gt;"",IF('Capacity summary'!$D$14="Yes",IF(COUNTBLANK('Capacity summary'!$H183:$BG183)&lt;52,IF('Capacity summary'!AM183&lt;&gt;"",IF(LOWER('Capacity summary'!AM183)="x",$BI64*AM64,VALUE('Capacity summary'!AM183)),0),AM64*$BI64),AM64*$BI64),0)</f>
        <v>0</v>
      </c>
      <c r="CQ64" s="311">
        <f>IF($BI64&lt;&gt;"",IF('Capacity summary'!$D$14="Yes",IF(COUNTBLANK('Capacity summary'!$H183:$BG183)&lt;52,IF('Capacity summary'!AN183&lt;&gt;"",IF(LOWER('Capacity summary'!AN183)="x",$BI64*AN64,VALUE('Capacity summary'!AN183)),0),AN64*$BI64),AN64*$BI64),0)</f>
        <v>0</v>
      </c>
      <c r="CR64" s="311">
        <f>IF($BI64&lt;&gt;"",IF('Capacity summary'!$D$14="Yes",IF(COUNTBLANK('Capacity summary'!$H183:$BG183)&lt;52,IF('Capacity summary'!AO183&lt;&gt;"",IF(LOWER('Capacity summary'!AO183)="x",$BI64*AO64,VALUE('Capacity summary'!AO183)),0),AO64*$BI64),AO64*$BI64),0)</f>
        <v>0</v>
      </c>
      <c r="CS64" s="311">
        <f>IF($BI64&lt;&gt;"",IF('Capacity summary'!$D$14="Yes",IF(COUNTBLANK('Capacity summary'!$H183:$BG183)&lt;52,IF('Capacity summary'!AP183&lt;&gt;"",IF(LOWER('Capacity summary'!AP183)="x",$BI64*AP64,VALUE('Capacity summary'!AP183)),0),AP64*$BI64),AP64*$BI64),0)</f>
        <v>0</v>
      </c>
      <c r="CT64" s="311">
        <f>IF($BI64&lt;&gt;"",IF('Capacity summary'!$D$14="Yes",IF(COUNTBLANK('Capacity summary'!$H183:$BG183)&lt;52,IF('Capacity summary'!AQ183&lt;&gt;"",IF(LOWER('Capacity summary'!AQ183)="x",$BI64*AQ64,VALUE('Capacity summary'!AQ183)),0),AQ64*$BI64),AQ64*$BI64),0)</f>
        <v>0</v>
      </c>
      <c r="CU64" s="311">
        <f>IF($BI64&lt;&gt;"",IF('Capacity summary'!$D$14="Yes",IF(COUNTBLANK('Capacity summary'!$H183:$BG183)&lt;52,IF('Capacity summary'!AR183&lt;&gt;"",IF(LOWER('Capacity summary'!AR183)="x",$BI64*AR64,VALUE('Capacity summary'!AR183)),0),AR64*$BI64),AR64*$BI64),0)</f>
        <v>0</v>
      </c>
      <c r="CV64" s="311">
        <f>IF($BI64&lt;&gt;"",IF('Capacity summary'!$D$14="Yes",IF(COUNTBLANK('Capacity summary'!$H183:$BG183)&lt;52,IF('Capacity summary'!AS183&lt;&gt;"",IF(LOWER('Capacity summary'!AS183)="x",$BI64*AS64,VALUE('Capacity summary'!AS183)),0),AS64*$BI64),AS64*$BI64),0)</f>
        <v>0</v>
      </c>
      <c r="CW64" s="311">
        <f>IF($BI64&lt;&gt;"",IF('Capacity summary'!$D$14="Yes",IF(COUNTBLANK('Capacity summary'!$H183:$BG183)&lt;52,IF('Capacity summary'!AT183&lt;&gt;"",IF(LOWER('Capacity summary'!AT183)="x",$BI64*AT64,VALUE('Capacity summary'!AT183)),0),AT64*$BI64),AT64*$BI64),0)</f>
        <v>0</v>
      </c>
      <c r="CX64" s="311">
        <f>IF($BI64&lt;&gt;"",IF('Capacity summary'!$D$14="Yes",IF(COUNTBLANK('Capacity summary'!$H183:$BG183)&lt;52,IF('Capacity summary'!AU183&lt;&gt;"",IF(LOWER('Capacity summary'!AU183)="x",$BI64*AU64,VALUE('Capacity summary'!AU183)),0),AU64*$BI64),AU64*$BI64),0)</f>
        <v>0</v>
      </c>
      <c r="CY64" s="311">
        <f>IF($BI64&lt;&gt;"",IF('Capacity summary'!$D$14="Yes",IF(COUNTBLANK('Capacity summary'!$H183:$BG183)&lt;52,IF('Capacity summary'!AV183&lt;&gt;"",IF(LOWER('Capacity summary'!AV183)="x",$BI64*AV64,VALUE('Capacity summary'!AV183)),0),AV64*$BI64),AV64*$BI64),0)</f>
        <v>0</v>
      </c>
      <c r="CZ64" s="311">
        <f>IF($BI64&lt;&gt;"",IF('Capacity summary'!$D$14="Yes",IF(COUNTBLANK('Capacity summary'!$H183:$BG183)&lt;52,IF('Capacity summary'!AW183&lt;&gt;"",IF(LOWER('Capacity summary'!AW183)="x",$BI64*AW64,VALUE('Capacity summary'!AW183)),0),AW64*$BI64),AW64*$BI64),0)</f>
        <v>0</v>
      </c>
      <c r="DA64" s="311">
        <f>IF($BI64&lt;&gt;"",IF('Capacity summary'!$D$14="Yes",IF(COUNTBLANK('Capacity summary'!$H183:$BG183)&lt;52,IF('Capacity summary'!AX183&lt;&gt;"",IF(LOWER('Capacity summary'!AX183)="x",$BI64*AX64,VALUE('Capacity summary'!AX183)),0),AX64*$BI64),AX64*$BI64),0)</f>
        <v>0</v>
      </c>
      <c r="DB64" s="311">
        <f>IF($BI64&lt;&gt;"",IF('Capacity summary'!$D$14="Yes",IF(COUNTBLANK('Capacity summary'!$H183:$BG183)&lt;52,IF('Capacity summary'!AY183&lt;&gt;"",IF(LOWER('Capacity summary'!AY183)="x",$BI64*AY64,VALUE('Capacity summary'!AY183)),0),AY64*$BI64),AY64*$BI64),0)</f>
        <v>0</v>
      </c>
      <c r="DC64" s="311">
        <f>IF($BI64&lt;&gt;"",IF('Capacity summary'!$D$14="Yes",IF(COUNTBLANK('Capacity summary'!$H183:$BG183)&lt;52,IF('Capacity summary'!AZ183&lt;&gt;"",IF(LOWER('Capacity summary'!AZ183)="x",$BI64*AZ64,VALUE('Capacity summary'!AZ183)),0),AZ64*$BI64),AZ64*$BI64),0)</f>
        <v>0</v>
      </c>
      <c r="DD64" s="311">
        <f>IF($BI64&lt;&gt;"",IF('Capacity summary'!$D$14="Yes",IF(COUNTBLANK('Capacity summary'!$H183:$BG183)&lt;52,IF('Capacity summary'!BA183&lt;&gt;"",IF(LOWER('Capacity summary'!BA183)="x",$BI64*BA64,VALUE('Capacity summary'!BA183)),0),BA64*$BI64),BA64*$BI64),0)</f>
        <v>0</v>
      </c>
      <c r="DE64" s="311">
        <f>IF($BI64&lt;&gt;"",IF('Capacity summary'!$D$14="Yes",IF(COUNTBLANK('Capacity summary'!$H183:$BG183)&lt;52,IF('Capacity summary'!BB183&lt;&gt;"",IF(LOWER('Capacity summary'!BB183)="x",$BI64*BB64,VALUE('Capacity summary'!BB183)),0),BB64*$BI64),BB64*$BI64),0)</f>
        <v>0</v>
      </c>
      <c r="DF64" s="311">
        <f>IF($BI64&lt;&gt;"",IF('Capacity summary'!$D$14="Yes",IF(COUNTBLANK('Capacity summary'!$H183:$BG183)&lt;52,IF('Capacity summary'!BC183&lt;&gt;"",IF(LOWER('Capacity summary'!BC183)="x",$BI64*BC64,VALUE('Capacity summary'!BC183)),0),BC64*$BI64),BC64*$BI64),0)</f>
        <v>0</v>
      </c>
      <c r="DG64" s="311">
        <f>IF($BI64&lt;&gt;"",IF('Capacity summary'!$D$14="Yes",IF(COUNTBLANK('Capacity summary'!$H183:$BG183)&lt;52,IF('Capacity summary'!BD183&lt;&gt;"",IF(LOWER('Capacity summary'!BD183)="x",$BI64*BD64,VALUE('Capacity summary'!BD183)),0),BD64*$BI64),BD64*$BI64),0)</f>
        <v>0</v>
      </c>
      <c r="DH64" s="311">
        <f>IF($BI64&lt;&gt;"",IF('Capacity summary'!$D$14="Yes",IF(COUNTBLANK('Capacity summary'!$H183:$BG183)&lt;52,IF('Capacity summary'!BE183&lt;&gt;"",IF(LOWER('Capacity summary'!BE183)="x",$BI64*BE64,VALUE('Capacity summary'!BE183)),0),BE64*$BI64),BE64*$BI64),0)</f>
        <v>0</v>
      </c>
      <c r="DI64" s="311">
        <f>IF($BI64&lt;&gt;"",IF('Capacity summary'!$D$14="Yes",IF(COUNTBLANK('Capacity summary'!$H183:$BG183)&lt;52,IF('Capacity summary'!BF183&lt;&gt;"",IF(LOWER('Capacity summary'!BF183)="x",$BI64*BF64,VALUE('Capacity summary'!BF183)),0),BF64*$BI64),BF64*$BI64),0)</f>
        <v>0</v>
      </c>
      <c r="DJ64" s="311">
        <f>IF($BI64&lt;&gt;"",IF('Capacity summary'!$D$14="Yes",IF(COUNTBLANK('Capacity summary'!$H183:$BG183)&lt;52,IF('Capacity summary'!BG183&lt;&gt;"",IF(LOWER('Capacity summary'!BG183)="x",$BI64*BG64,VALUE('Capacity summary'!BG183)),0),BG64*$BI64),BG64*$BI64),0)</f>
        <v>0</v>
      </c>
      <c r="DK64" s="387">
        <f t="shared" si="2"/>
        <v>0</v>
      </c>
      <c r="DL64" s="136">
        <f t="shared" si="3"/>
        <v>0</v>
      </c>
      <c r="DM64" s="311" t="str">
        <f>Capacity!H76</f>
        <v/>
      </c>
    </row>
    <row r="65" spans="1:117" x14ac:dyDescent="0.2">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1">
        <f>IF($BI65&lt;&gt;"",IF('Capacity summary'!$D$14="Yes",IF(COUNTBLANK('Capacity summary'!$H184:$BG184)&lt;52,IF('Capacity summary'!H184&lt;&gt;"",IF(LOWER('Capacity summary'!H184)="x",$BI65*H65,VALUE('Capacity summary'!H184)),0),H65*$BI65),H65*$BI65),0)</f>
        <v>0</v>
      </c>
      <c r="BL65" s="311">
        <f>IF($BI65&lt;&gt;"",IF('Capacity summary'!$D$14="Yes",IF(COUNTBLANK('Capacity summary'!$H184:$BG184)&lt;52,IF('Capacity summary'!I184&lt;&gt;"",IF(LOWER('Capacity summary'!I184)="x",$BI65*I65,VALUE('Capacity summary'!I184)),0),I65*$BI65),I65*$BI65),0)</f>
        <v>0</v>
      </c>
      <c r="BM65" s="311">
        <f>IF($BI65&lt;&gt;"",IF('Capacity summary'!$D$14="Yes",IF(COUNTBLANK('Capacity summary'!$H184:$BG184)&lt;52,IF('Capacity summary'!J184&lt;&gt;"",IF(LOWER('Capacity summary'!J184)="x",$BI65*J65,VALUE('Capacity summary'!J184)),0),J65*$BI65),J65*$BI65),0)</f>
        <v>0</v>
      </c>
      <c r="BN65" s="311">
        <f>IF($BI65&lt;&gt;"",IF('Capacity summary'!$D$14="Yes",IF(COUNTBLANK('Capacity summary'!$H184:$BG184)&lt;52,IF('Capacity summary'!K184&lt;&gt;"",IF(LOWER('Capacity summary'!K184)="x",$BI65*K65,VALUE('Capacity summary'!K184)),0),K65*$BI65),K65*$BI65),0)</f>
        <v>0</v>
      </c>
      <c r="BO65" s="311">
        <f>IF($BI65&lt;&gt;"",IF('Capacity summary'!$D$14="Yes",IF(COUNTBLANK('Capacity summary'!$H184:$BG184)&lt;52,IF('Capacity summary'!L184&lt;&gt;"",IF(LOWER('Capacity summary'!L184)="x",$BI65*L65,VALUE('Capacity summary'!L184)),0),L65*$BI65),L65*$BI65),0)</f>
        <v>0</v>
      </c>
      <c r="BP65" s="311">
        <f>IF($BI65&lt;&gt;"",IF('Capacity summary'!$D$14="Yes",IF(COUNTBLANK('Capacity summary'!$H184:$BG184)&lt;52,IF('Capacity summary'!M184&lt;&gt;"",IF(LOWER('Capacity summary'!M184)="x",$BI65*M65,VALUE('Capacity summary'!M184)),0),M65*$BI65),M65*$BI65),0)</f>
        <v>0</v>
      </c>
      <c r="BQ65" s="311">
        <f>IF($BI65&lt;&gt;"",IF('Capacity summary'!$D$14="Yes",IF(COUNTBLANK('Capacity summary'!$H184:$BG184)&lt;52,IF('Capacity summary'!N184&lt;&gt;"",IF(LOWER('Capacity summary'!N184)="x",$BI65*N65,VALUE('Capacity summary'!N184)),0),N65*$BI65),N65*$BI65),0)</f>
        <v>0</v>
      </c>
      <c r="BR65" s="311">
        <f>IF($BI65&lt;&gt;"",IF('Capacity summary'!$D$14="Yes",IF(COUNTBLANK('Capacity summary'!$H184:$BG184)&lt;52,IF('Capacity summary'!O184&lt;&gt;"",IF(LOWER('Capacity summary'!O184)="x",$BI65*O65,VALUE('Capacity summary'!O184)),0),O65*$BI65),O65*$BI65),0)</f>
        <v>0</v>
      </c>
      <c r="BS65" s="311">
        <f>IF($BI65&lt;&gt;"",IF('Capacity summary'!$D$14="Yes",IF(COUNTBLANK('Capacity summary'!$H184:$BG184)&lt;52,IF('Capacity summary'!P184&lt;&gt;"",IF(LOWER('Capacity summary'!P184)="x",$BI65*P65,VALUE('Capacity summary'!P184)),0),P65*$BI65),P65*$BI65),0)</f>
        <v>0</v>
      </c>
      <c r="BT65" s="311">
        <f>IF($BI65&lt;&gt;"",IF('Capacity summary'!$D$14="Yes",IF(COUNTBLANK('Capacity summary'!$H184:$BG184)&lt;52,IF('Capacity summary'!Q184&lt;&gt;"",IF(LOWER('Capacity summary'!Q184)="x",$BI65*Q65,VALUE('Capacity summary'!Q184)),0),Q65*$BI65),Q65*$BI65),0)</f>
        <v>0</v>
      </c>
      <c r="BU65" s="311">
        <f>IF($BI65&lt;&gt;"",IF('Capacity summary'!$D$14="Yes",IF(COUNTBLANK('Capacity summary'!$H184:$BG184)&lt;52,IF('Capacity summary'!R184&lt;&gt;"",IF(LOWER('Capacity summary'!R184)="x",$BI65*R65,VALUE('Capacity summary'!R184)),0),R65*$BI65),R65*$BI65),0)</f>
        <v>0</v>
      </c>
      <c r="BV65" s="311">
        <f>IF($BI65&lt;&gt;"",IF('Capacity summary'!$D$14="Yes",IF(COUNTBLANK('Capacity summary'!$H184:$BG184)&lt;52,IF('Capacity summary'!S184&lt;&gt;"",IF(LOWER('Capacity summary'!S184)="x",$BI65*S65,VALUE('Capacity summary'!S184)),0),S65*$BI65),S65*$BI65),0)</f>
        <v>0</v>
      </c>
      <c r="BW65" s="311">
        <f>IF($BI65&lt;&gt;"",IF('Capacity summary'!$D$14="Yes",IF(COUNTBLANK('Capacity summary'!$H184:$BG184)&lt;52,IF('Capacity summary'!T184&lt;&gt;"",IF(LOWER('Capacity summary'!T184)="x",$BI65*T65,VALUE('Capacity summary'!T184)),0),T65*$BI65),T65*$BI65),0)</f>
        <v>0</v>
      </c>
      <c r="BX65" s="311">
        <f>IF($BI65&lt;&gt;"",IF('Capacity summary'!$D$14="Yes",IF(COUNTBLANK('Capacity summary'!$H184:$BG184)&lt;52,IF('Capacity summary'!U184&lt;&gt;"",IF(LOWER('Capacity summary'!U184)="x",$BI65*U65,VALUE('Capacity summary'!U184)),0),U65*$BI65),U65*$BI65),0)</f>
        <v>0</v>
      </c>
      <c r="BY65" s="311">
        <f>IF($BI65&lt;&gt;"",IF('Capacity summary'!$D$14="Yes",IF(COUNTBLANK('Capacity summary'!$H184:$BG184)&lt;52,IF('Capacity summary'!V184&lt;&gt;"",IF(LOWER('Capacity summary'!V184)="x",$BI65*V65,VALUE('Capacity summary'!V184)),0),V65*$BI65),V65*$BI65),0)</f>
        <v>0</v>
      </c>
      <c r="BZ65" s="311">
        <f>IF($BI65&lt;&gt;"",IF('Capacity summary'!$D$14="Yes",IF(COUNTBLANK('Capacity summary'!$H184:$BG184)&lt;52,IF('Capacity summary'!W184&lt;&gt;"",IF(LOWER('Capacity summary'!W184)="x",$BI65*W65,VALUE('Capacity summary'!W184)),0),W65*$BI65),W65*$BI65),0)</f>
        <v>0</v>
      </c>
      <c r="CA65" s="311">
        <f>IF($BI65&lt;&gt;"",IF('Capacity summary'!$D$14="Yes",IF(COUNTBLANK('Capacity summary'!$H184:$BG184)&lt;52,IF('Capacity summary'!X184&lt;&gt;"",IF(LOWER('Capacity summary'!X184)="x",$BI65*X65,VALUE('Capacity summary'!X184)),0),X65*$BI65),X65*$BI65),0)</f>
        <v>0</v>
      </c>
      <c r="CB65" s="311">
        <f>IF($BI65&lt;&gt;"",IF('Capacity summary'!$D$14="Yes",IF(COUNTBLANK('Capacity summary'!$H184:$BG184)&lt;52,IF('Capacity summary'!Y184&lt;&gt;"",IF(LOWER('Capacity summary'!Y184)="x",$BI65*Y65,VALUE('Capacity summary'!Y184)),0),Y65*$BI65),Y65*$BI65),0)</f>
        <v>0</v>
      </c>
      <c r="CC65" s="311">
        <f>IF($BI65&lt;&gt;"",IF('Capacity summary'!$D$14="Yes",IF(COUNTBLANK('Capacity summary'!$H184:$BG184)&lt;52,IF('Capacity summary'!Z184&lt;&gt;"",IF(LOWER('Capacity summary'!Z184)="x",$BI65*Z65,VALUE('Capacity summary'!Z184)),0),Z65*$BI65),Z65*$BI65),0)</f>
        <v>0</v>
      </c>
      <c r="CD65" s="311">
        <f>IF($BI65&lt;&gt;"",IF('Capacity summary'!$D$14="Yes",IF(COUNTBLANK('Capacity summary'!$H184:$BG184)&lt;52,IF('Capacity summary'!AA184&lt;&gt;"",IF(LOWER('Capacity summary'!AA184)="x",$BI65*AA65,VALUE('Capacity summary'!AA184)),0),AA65*$BI65),AA65*$BI65),0)</f>
        <v>0</v>
      </c>
      <c r="CE65" s="311">
        <f>IF($BI65&lt;&gt;"",IF('Capacity summary'!$D$14="Yes",IF(COUNTBLANK('Capacity summary'!$H184:$BG184)&lt;52,IF('Capacity summary'!AB184&lt;&gt;"",IF(LOWER('Capacity summary'!AB184)="x",$BI65*AB65,VALUE('Capacity summary'!AB184)),0),AB65*$BI65),AB65*$BI65),0)</f>
        <v>0</v>
      </c>
      <c r="CF65" s="311">
        <f>IF($BI65&lt;&gt;"",IF('Capacity summary'!$D$14="Yes",IF(COUNTBLANK('Capacity summary'!$H184:$BG184)&lt;52,IF('Capacity summary'!AC184&lt;&gt;"",IF(LOWER('Capacity summary'!AC184)="x",$BI65*AC65,VALUE('Capacity summary'!AC184)),0),AC65*$BI65),AC65*$BI65),0)</f>
        <v>0</v>
      </c>
      <c r="CG65" s="311">
        <f>IF($BI65&lt;&gt;"",IF('Capacity summary'!$D$14="Yes",IF(COUNTBLANK('Capacity summary'!$H184:$BG184)&lt;52,IF('Capacity summary'!AD184&lt;&gt;"",IF(LOWER('Capacity summary'!AD184)="x",$BI65*AD65,VALUE('Capacity summary'!AD184)),0),AD65*$BI65),AD65*$BI65),0)</f>
        <v>0</v>
      </c>
      <c r="CH65" s="311">
        <f>IF($BI65&lt;&gt;"",IF('Capacity summary'!$D$14="Yes",IF(COUNTBLANK('Capacity summary'!$H184:$BG184)&lt;52,IF('Capacity summary'!AE184&lt;&gt;"",IF(LOWER('Capacity summary'!AE184)="x",$BI65*AE65,VALUE('Capacity summary'!AE184)),0),AE65*$BI65),AE65*$BI65),0)</f>
        <v>0</v>
      </c>
      <c r="CI65" s="311">
        <f>IF($BI65&lt;&gt;"",IF('Capacity summary'!$D$14="Yes",IF(COUNTBLANK('Capacity summary'!$H184:$BG184)&lt;52,IF('Capacity summary'!AF184&lt;&gt;"",IF(LOWER('Capacity summary'!AF184)="x",$BI65*AF65,VALUE('Capacity summary'!AF184)),0),AF65*$BI65),AF65*$BI65),0)</f>
        <v>0</v>
      </c>
      <c r="CJ65" s="311">
        <f>IF($BI65&lt;&gt;"",IF('Capacity summary'!$D$14="Yes",IF(COUNTBLANK('Capacity summary'!$H184:$BG184)&lt;52,IF('Capacity summary'!AG184&lt;&gt;"",IF(LOWER('Capacity summary'!AG184)="x",$BI65*AG65,VALUE('Capacity summary'!AG184)),0),AG65*$BI65),AG65*$BI65),0)</f>
        <v>0</v>
      </c>
      <c r="CK65" s="311">
        <f>IF($BI65&lt;&gt;"",IF('Capacity summary'!$D$14="Yes",IF(COUNTBLANK('Capacity summary'!$H184:$BG184)&lt;52,IF('Capacity summary'!AH184&lt;&gt;"",IF(LOWER('Capacity summary'!AH184)="x",$BI65*AH65,VALUE('Capacity summary'!AH184)),0),AH65*$BI65),AH65*$BI65),0)</f>
        <v>0</v>
      </c>
      <c r="CL65" s="311">
        <f>IF($BI65&lt;&gt;"",IF('Capacity summary'!$D$14="Yes",IF(COUNTBLANK('Capacity summary'!$H184:$BG184)&lt;52,IF('Capacity summary'!AI184&lt;&gt;"",IF(LOWER('Capacity summary'!AI184)="x",$BI65*AI65,VALUE('Capacity summary'!AI184)),0),AI65*$BI65),AI65*$BI65),0)</f>
        <v>0</v>
      </c>
      <c r="CM65" s="311">
        <f>IF($BI65&lt;&gt;"",IF('Capacity summary'!$D$14="Yes",IF(COUNTBLANK('Capacity summary'!$H184:$BG184)&lt;52,IF('Capacity summary'!AJ184&lt;&gt;"",IF(LOWER('Capacity summary'!AJ184)="x",$BI65*AJ65,VALUE('Capacity summary'!AJ184)),0),AJ65*$BI65),AJ65*$BI65),0)</f>
        <v>0</v>
      </c>
      <c r="CN65" s="311">
        <f>IF($BI65&lt;&gt;"",IF('Capacity summary'!$D$14="Yes",IF(COUNTBLANK('Capacity summary'!$H184:$BG184)&lt;52,IF('Capacity summary'!AK184&lt;&gt;"",IF(LOWER('Capacity summary'!AK184)="x",$BI65*AK65,VALUE('Capacity summary'!AK184)),0),AK65*$BI65),AK65*$BI65),0)</f>
        <v>0</v>
      </c>
      <c r="CO65" s="311">
        <f>IF($BI65&lt;&gt;"",IF('Capacity summary'!$D$14="Yes",IF(COUNTBLANK('Capacity summary'!$H184:$BG184)&lt;52,IF('Capacity summary'!AL184&lt;&gt;"",IF(LOWER('Capacity summary'!AL184)="x",$BI65*AL65,VALUE('Capacity summary'!AL184)),0),AL65*$BI65),AL65*$BI65),0)</f>
        <v>0</v>
      </c>
      <c r="CP65" s="311">
        <f>IF($BI65&lt;&gt;"",IF('Capacity summary'!$D$14="Yes",IF(COUNTBLANK('Capacity summary'!$H184:$BG184)&lt;52,IF('Capacity summary'!AM184&lt;&gt;"",IF(LOWER('Capacity summary'!AM184)="x",$BI65*AM65,VALUE('Capacity summary'!AM184)),0),AM65*$BI65),AM65*$BI65),0)</f>
        <v>0</v>
      </c>
      <c r="CQ65" s="311">
        <f>IF($BI65&lt;&gt;"",IF('Capacity summary'!$D$14="Yes",IF(COUNTBLANK('Capacity summary'!$H184:$BG184)&lt;52,IF('Capacity summary'!AN184&lt;&gt;"",IF(LOWER('Capacity summary'!AN184)="x",$BI65*AN65,VALUE('Capacity summary'!AN184)),0),AN65*$BI65),AN65*$BI65),0)</f>
        <v>0</v>
      </c>
      <c r="CR65" s="311">
        <f>IF($BI65&lt;&gt;"",IF('Capacity summary'!$D$14="Yes",IF(COUNTBLANK('Capacity summary'!$H184:$BG184)&lt;52,IF('Capacity summary'!AO184&lt;&gt;"",IF(LOWER('Capacity summary'!AO184)="x",$BI65*AO65,VALUE('Capacity summary'!AO184)),0),AO65*$BI65),AO65*$BI65),0)</f>
        <v>0</v>
      </c>
      <c r="CS65" s="311">
        <f>IF($BI65&lt;&gt;"",IF('Capacity summary'!$D$14="Yes",IF(COUNTBLANK('Capacity summary'!$H184:$BG184)&lt;52,IF('Capacity summary'!AP184&lt;&gt;"",IF(LOWER('Capacity summary'!AP184)="x",$BI65*AP65,VALUE('Capacity summary'!AP184)),0),AP65*$BI65),AP65*$BI65),0)</f>
        <v>0</v>
      </c>
      <c r="CT65" s="311">
        <f>IF($BI65&lt;&gt;"",IF('Capacity summary'!$D$14="Yes",IF(COUNTBLANK('Capacity summary'!$H184:$BG184)&lt;52,IF('Capacity summary'!AQ184&lt;&gt;"",IF(LOWER('Capacity summary'!AQ184)="x",$BI65*AQ65,VALUE('Capacity summary'!AQ184)),0),AQ65*$BI65),AQ65*$BI65),0)</f>
        <v>0</v>
      </c>
      <c r="CU65" s="311">
        <f>IF($BI65&lt;&gt;"",IF('Capacity summary'!$D$14="Yes",IF(COUNTBLANK('Capacity summary'!$H184:$BG184)&lt;52,IF('Capacity summary'!AR184&lt;&gt;"",IF(LOWER('Capacity summary'!AR184)="x",$BI65*AR65,VALUE('Capacity summary'!AR184)),0),AR65*$BI65),AR65*$BI65),0)</f>
        <v>0</v>
      </c>
      <c r="CV65" s="311">
        <f>IF($BI65&lt;&gt;"",IF('Capacity summary'!$D$14="Yes",IF(COUNTBLANK('Capacity summary'!$H184:$BG184)&lt;52,IF('Capacity summary'!AS184&lt;&gt;"",IF(LOWER('Capacity summary'!AS184)="x",$BI65*AS65,VALUE('Capacity summary'!AS184)),0),AS65*$BI65),AS65*$BI65),0)</f>
        <v>0</v>
      </c>
      <c r="CW65" s="311">
        <f>IF($BI65&lt;&gt;"",IF('Capacity summary'!$D$14="Yes",IF(COUNTBLANK('Capacity summary'!$H184:$BG184)&lt;52,IF('Capacity summary'!AT184&lt;&gt;"",IF(LOWER('Capacity summary'!AT184)="x",$BI65*AT65,VALUE('Capacity summary'!AT184)),0),AT65*$BI65),AT65*$BI65),0)</f>
        <v>0</v>
      </c>
      <c r="CX65" s="311">
        <f>IF($BI65&lt;&gt;"",IF('Capacity summary'!$D$14="Yes",IF(COUNTBLANK('Capacity summary'!$H184:$BG184)&lt;52,IF('Capacity summary'!AU184&lt;&gt;"",IF(LOWER('Capacity summary'!AU184)="x",$BI65*AU65,VALUE('Capacity summary'!AU184)),0),AU65*$BI65),AU65*$BI65),0)</f>
        <v>0</v>
      </c>
      <c r="CY65" s="311">
        <f>IF($BI65&lt;&gt;"",IF('Capacity summary'!$D$14="Yes",IF(COUNTBLANK('Capacity summary'!$H184:$BG184)&lt;52,IF('Capacity summary'!AV184&lt;&gt;"",IF(LOWER('Capacity summary'!AV184)="x",$BI65*AV65,VALUE('Capacity summary'!AV184)),0),AV65*$BI65),AV65*$BI65),0)</f>
        <v>0</v>
      </c>
      <c r="CZ65" s="311">
        <f>IF($BI65&lt;&gt;"",IF('Capacity summary'!$D$14="Yes",IF(COUNTBLANK('Capacity summary'!$H184:$BG184)&lt;52,IF('Capacity summary'!AW184&lt;&gt;"",IF(LOWER('Capacity summary'!AW184)="x",$BI65*AW65,VALUE('Capacity summary'!AW184)),0),AW65*$BI65),AW65*$BI65),0)</f>
        <v>0</v>
      </c>
      <c r="DA65" s="311">
        <f>IF($BI65&lt;&gt;"",IF('Capacity summary'!$D$14="Yes",IF(COUNTBLANK('Capacity summary'!$H184:$BG184)&lt;52,IF('Capacity summary'!AX184&lt;&gt;"",IF(LOWER('Capacity summary'!AX184)="x",$BI65*AX65,VALUE('Capacity summary'!AX184)),0),AX65*$BI65),AX65*$BI65),0)</f>
        <v>0</v>
      </c>
      <c r="DB65" s="311">
        <f>IF($BI65&lt;&gt;"",IF('Capacity summary'!$D$14="Yes",IF(COUNTBLANK('Capacity summary'!$H184:$BG184)&lt;52,IF('Capacity summary'!AY184&lt;&gt;"",IF(LOWER('Capacity summary'!AY184)="x",$BI65*AY65,VALUE('Capacity summary'!AY184)),0),AY65*$BI65),AY65*$BI65),0)</f>
        <v>0</v>
      </c>
      <c r="DC65" s="311">
        <f>IF($BI65&lt;&gt;"",IF('Capacity summary'!$D$14="Yes",IF(COUNTBLANK('Capacity summary'!$H184:$BG184)&lt;52,IF('Capacity summary'!AZ184&lt;&gt;"",IF(LOWER('Capacity summary'!AZ184)="x",$BI65*AZ65,VALUE('Capacity summary'!AZ184)),0),AZ65*$BI65),AZ65*$BI65),0)</f>
        <v>0</v>
      </c>
      <c r="DD65" s="311">
        <f>IF($BI65&lt;&gt;"",IF('Capacity summary'!$D$14="Yes",IF(COUNTBLANK('Capacity summary'!$H184:$BG184)&lt;52,IF('Capacity summary'!BA184&lt;&gt;"",IF(LOWER('Capacity summary'!BA184)="x",$BI65*BA65,VALUE('Capacity summary'!BA184)),0),BA65*$BI65),BA65*$BI65),0)</f>
        <v>0</v>
      </c>
      <c r="DE65" s="311">
        <f>IF($BI65&lt;&gt;"",IF('Capacity summary'!$D$14="Yes",IF(COUNTBLANK('Capacity summary'!$H184:$BG184)&lt;52,IF('Capacity summary'!BB184&lt;&gt;"",IF(LOWER('Capacity summary'!BB184)="x",$BI65*BB65,VALUE('Capacity summary'!BB184)),0),BB65*$BI65),BB65*$BI65),0)</f>
        <v>0</v>
      </c>
      <c r="DF65" s="311">
        <f>IF($BI65&lt;&gt;"",IF('Capacity summary'!$D$14="Yes",IF(COUNTBLANK('Capacity summary'!$H184:$BG184)&lt;52,IF('Capacity summary'!BC184&lt;&gt;"",IF(LOWER('Capacity summary'!BC184)="x",$BI65*BC65,VALUE('Capacity summary'!BC184)),0),BC65*$BI65),BC65*$BI65),0)</f>
        <v>0</v>
      </c>
      <c r="DG65" s="311">
        <f>IF($BI65&lt;&gt;"",IF('Capacity summary'!$D$14="Yes",IF(COUNTBLANK('Capacity summary'!$H184:$BG184)&lt;52,IF('Capacity summary'!BD184&lt;&gt;"",IF(LOWER('Capacity summary'!BD184)="x",$BI65*BD65,VALUE('Capacity summary'!BD184)),0),BD65*$BI65),BD65*$BI65),0)</f>
        <v>0</v>
      </c>
      <c r="DH65" s="311">
        <f>IF($BI65&lt;&gt;"",IF('Capacity summary'!$D$14="Yes",IF(COUNTBLANK('Capacity summary'!$H184:$BG184)&lt;52,IF('Capacity summary'!BE184&lt;&gt;"",IF(LOWER('Capacity summary'!BE184)="x",$BI65*BE65,VALUE('Capacity summary'!BE184)),0),BE65*$BI65),BE65*$BI65),0)</f>
        <v>0</v>
      </c>
      <c r="DI65" s="311">
        <f>IF($BI65&lt;&gt;"",IF('Capacity summary'!$D$14="Yes",IF(COUNTBLANK('Capacity summary'!$H184:$BG184)&lt;52,IF('Capacity summary'!BF184&lt;&gt;"",IF(LOWER('Capacity summary'!BF184)="x",$BI65*BF65,VALUE('Capacity summary'!BF184)),0),BF65*$BI65),BF65*$BI65),0)</f>
        <v>0</v>
      </c>
      <c r="DJ65" s="311">
        <f>IF($BI65&lt;&gt;"",IF('Capacity summary'!$D$14="Yes",IF(COUNTBLANK('Capacity summary'!$H184:$BG184)&lt;52,IF('Capacity summary'!BG184&lt;&gt;"",IF(LOWER('Capacity summary'!BG184)="x",$BI65*BG65,VALUE('Capacity summary'!BG184)),0),BG65*$BI65),BG65*$BI65),0)</f>
        <v>0</v>
      </c>
      <c r="DK65" s="387">
        <f t="shared" si="2"/>
        <v>0</v>
      </c>
      <c r="DL65" s="136">
        <f t="shared" si="3"/>
        <v>0</v>
      </c>
      <c r="DM65" s="311" t="str">
        <f>Capacity!H77</f>
        <v/>
      </c>
    </row>
    <row r="66" spans="1:117" x14ac:dyDescent="0.2">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1">
        <f>IF($BI66&lt;&gt;"",IF('Capacity summary'!$D$14="Yes",IF(COUNTBLANK('Capacity summary'!$H185:$BG185)&lt;52,IF('Capacity summary'!H185&lt;&gt;"",IF(LOWER('Capacity summary'!H185)="x",$BI66*H66,VALUE('Capacity summary'!H185)),0),H66*$BI66),H66*$BI66),0)</f>
        <v>0</v>
      </c>
      <c r="BL66" s="311">
        <f>IF($BI66&lt;&gt;"",IF('Capacity summary'!$D$14="Yes",IF(COUNTBLANK('Capacity summary'!$H185:$BG185)&lt;52,IF('Capacity summary'!I185&lt;&gt;"",IF(LOWER('Capacity summary'!I185)="x",$BI66*I66,VALUE('Capacity summary'!I185)),0),I66*$BI66),I66*$BI66),0)</f>
        <v>0</v>
      </c>
      <c r="BM66" s="311">
        <f>IF($BI66&lt;&gt;"",IF('Capacity summary'!$D$14="Yes",IF(COUNTBLANK('Capacity summary'!$H185:$BG185)&lt;52,IF('Capacity summary'!J185&lt;&gt;"",IF(LOWER('Capacity summary'!J185)="x",$BI66*J66,VALUE('Capacity summary'!J185)),0),J66*$BI66),J66*$BI66),0)</f>
        <v>0</v>
      </c>
      <c r="BN66" s="311">
        <f>IF($BI66&lt;&gt;"",IF('Capacity summary'!$D$14="Yes",IF(COUNTBLANK('Capacity summary'!$H185:$BG185)&lt;52,IF('Capacity summary'!K185&lt;&gt;"",IF(LOWER('Capacity summary'!K185)="x",$BI66*K66,VALUE('Capacity summary'!K185)),0),K66*$BI66),K66*$BI66),0)</f>
        <v>0</v>
      </c>
      <c r="BO66" s="311">
        <f>IF($BI66&lt;&gt;"",IF('Capacity summary'!$D$14="Yes",IF(COUNTBLANK('Capacity summary'!$H185:$BG185)&lt;52,IF('Capacity summary'!L185&lt;&gt;"",IF(LOWER('Capacity summary'!L185)="x",$BI66*L66,VALUE('Capacity summary'!L185)),0),L66*$BI66),L66*$BI66),0)</f>
        <v>0</v>
      </c>
      <c r="BP66" s="311">
        <f>IF($BI66&lt;&gt;"",IF('Capacity summary'!$D$14="Yes",IF(COUNTBLANK('Capacity summary'!$H185:$BG185)&lt;52,IF('Capacity summary'!M185&lt;&gt;"",IF(LOWER('Capacity summary'!M185)="x",$BI66*M66,VALUE('Capacity summary'!M185)),0),M66*$BI66),M66*$BI66),0)</f>
        <v>0</v>
      </c>
      <c r="BQ66" s="311">
        <f>IF($BI66&lt;&gt;"",IF('Capacity summary'!$D$14="Yes",IF(COUNTBLANK('Capacity summary'!$H185:$BG185)&lt;52,IF('Capacity summary'!N185&lt;&gt;"",IF(LOWER('Capacity summary'!N185)="x",$BI66*N66,VALUE('Capacity summary'!N185)),0),N66*$BI66),N66*$BI66),0)</f>
        <v>0</v>
      </c>
      <c r="BR66" s="311">
        <f>IF($BI66&lt;&gt;"",IF('Capacity summary'!$D$14="Yes",IF(COUNTBLANK('Capacity summary'!$H185:$BG185)&lt;52,IF('Capacity summary'!O185&lt;&gt;"",IF(LOWER('Capacity summary'!O185)="x",$BI66*O66,VALUE('Capacity summary'!O185)),0),O66*$BI66),O66*$BI66),0)</f>
        <v>0</v>
      </c>
      <c r="BS66" s="311">
        <f>IF($BI66&lt;&gt;"",IF('Capacity summary'!$D$14="Yes",IF(COUNTBLANK('Capacity summary'!$H185:$BG185)&lt;52,IF('Capacity summary'!P185&lt;&gt;"",IF(LOWER('Capacity summary'!P185)="x",$BI66*P66,VALUE('Capacity summary'!P185)),0),P66*$BI66),P66*$BI66),0)</f>
        <v>0</v>
      </c>
      <c r="BT66" s="311">
        <f>IF($BI66&lt;&gt;"",IF('Capacity summary'!$D$14="Yes",IF(COUNTBLANK('Capacity summary'!$H185:$BG185)&lt;52,IF('Capacity summary'!Q185&lt;&gt;"",IF(LOWER('Capacity summary'!Q185)="x",$BI66*Q66,VALUE('Capacity summary'!Q185)),0),Q66*$BI66),Q66*$BI66),0)</f>
        <v>0</v>
      </c>
      <c r="BU66" s="311">
        <f>IF($BI66&lt;&gt;"",IF('Capacity summary'!$D$14="Yes",IF(COUNTBLANK('Capacity summary'!$H185:$BG185)&lt;52,IF('Capacity summary'!R185&lt;&gt;"",IF(LOWER('Capacity summary'!R185)="x",$BI66*R66,VALUE('Capacity summary'!R185)),0),R66*$BI66),R66*$BI66),0)</f>
        <v>0</v>
      </c>
      <c r="BV66" s="311">
        <f>IF($BI66&lt;&gt;"",IF('Capacity summary'!$D$14="Yes",IF(COUNTBLANK('Capacity summary'!$H185:$BG185)&lt;52,IF('Capacity summary'!S185&lt;&gt;"",IF(LOWER('Capacity summary'!S185)="x",$BI66*S66,VALUE('Capacity summary'!S185)),0),S66*$BI66),S66*$BI66),0)</f>
        <v>0</v>
      </c>
      <c r="BW66" s="311">
        <f>IF($BI66&lt;&gt;"",IF('Capacity summary'!$D$14="Yes",IF(COUNTBLANK('Capacity summary'!$H185:$BG185)&lt;52,IF('Capacity summary'!T185&lt;&gt;"",IF(LOWER('Capacity summary'!T185)="x",$BI66*T66,VALUE('Capacity summary'!T185)),0),T66*$BI66),T66*$BI66),0)</f>
        <v>0</v>
      </c>
      <c r="BX66" s="311">
        <f>IF($BI66&lt;&gt;"",IF('Capacity summary'!$D$14="Yes",IF(COUNTBLANK('Capacity summary'!$H185:$BG185)&lt;52,IF('Capacity summary'!U185&lt;&gt;"",IF(LOWER('Capacity summary'!U185)="x",$BI66*U66,VALUE('Capacity summary'!U185)),0),U66*$BI66),U66*$BI66),0)</f>
        <v>0</v>
      </c>
      <c r="BY66" s="311">
        <f>IF($BI66&lt;&gt;"",IF('Capacity summary'!$D$14="Yes",IF(COUNTBLANK('Capacity summary'!$H185:$BG185)&lt;52,IF('Capacity summary'!V185&lt;&gt;"",IF(LOWER('Capacity summary'!V185)="x",$BI66*V66,VALUE('Capacity summary'!V185)),0),V66*$BI66),V66*$BI66),0)</f>
        <v>0</v>
      </c>
      <c r="BZ66" s="311">
        <f>IF($BI66&lt;&gt;"",IF('Capacity summary'!$D$14="Yes",IF(COUNTBLANK('Capacity summary'!$H185:$BG185)&lt;52,IF('Capacity summary'!W185&lt;&gt;"",IF(LOWER('Capacity summary'!W185)="x",$BI66*W66,VALUE('Capacity summary'!W185)),0),W66*$BI66),W66*$BI66),0)</f>
        <v>0</v>
      </c>
      <c r="CA66" s="311">
        <f>IF($BI66&lt;&gt;"",IF('Capacity summary'!$D$14="Yes",IF(COUNTBLANK('Capacity summary'!$H185:$BG185)&lt;52,IF('Capacity summary'!X185&lt;&gt;"",IF(LOWER('Capacity summary'!X185)="x",$BI66*X66,VALUE('Capacity summary'!X185)),0),X66*$BI66),X66*$BI66),0)</f>
        <v>0</v>
      </c>
      <c r="CB66" s="311">
        <f>IF($BI66&lt;&gt;"",IF('Capacity summary'!$D$14="Yes",IF(COUNTBLANK('Capacity summary'!$H185:$BG185)&lt;52,IF('Capacity summary'!Y185&lt;&gt;"",IF(LOWER('Capacity summary'!Y185)="x",$BI66*Y66,VALUE('Capacity summary'!Y185)),0),Y66*$BI66),Y66*$BI66),0)</f>
        <v>0</v>
      </c>
      <c r="CC66" s="311">
        <f>IF($BI66&lt;&gt;"",IF('Capacity summary'!$D$14="Yes",IF(COUNTBLANK('Capacity summary'!$H185:$BG185)&lt;52,IF('Capacity summary'!Z185&lt;&gt;"",IF(LOWER('Capacity summary'!Z185)="x",$BI66*Z66,VALUE('Capacity summary'!Z185)),0),Z66*$BI66),Z66*$BI66),0)</f>
        <v>0</v>
      </c>
      <c r="CD66" s="311">
        <f>IF($BI66&lt;&gt;"",IF('Capacity summary'!$D$14="Yes",IF(COUNTBLANK('Capacity summary'!$H185:$BG185)&lt;52,IF('Capacity summary'!AA185&lt;&gt;"",IF(LOWER('Capacity summary'!AA185)="x",$BI66*AA66,VALUE('Capacity summary'!AA185)),0),AA66*$BI66),AA66*$BI66),0)</f>
        <v>0</v>
      </c>
      <c r="CE66" s="311">
        <f>IF($BI66&lt;&gt;"",IF('Capacity summary'!$D$14="Yes",IF(COUNTBLANK('Capacity summary'!$H185:$BG185)&lt;52,IF('Capacity summary'!AB185&lt;&gt;"",IF(LOWER('Capacity summary'!AB185)="x",$BI66*AB66,VALUE('Capacity summary'!AB185)),0),AB66*$BI66),AB66*$BI66),0)</f>
        <v>0</v>
      </c>
      <c r="CF66" s="311">
        <f>IF($BI66&lt;&gt;"",IF('Capacity summary'!$D$14="Yes",IF(COUNTBLANK('Capacity summary'!$H185:$BG185)&lt;52,IF('Capacity summary'!AC185&lt;&gt;"",IF(LOWER('Capacity summary'!AC185)="x",$BI66*AC66,VALUE('Capacity summary'!AC185)),0),AC66*$BI66),AC66*$BI66),0)</f>
        <v>0</v>
      </c>
      <c r="CG66" s="311">
        <f>IF($BI66&lt;&gt;"",IF('Capacity summary'!$D$14="Yes",IF(COUNTBLANK('Capacity summary'!$H185:$BG185)&lt;52,IF('Capacity summary'!AD185&lt;&gt;"",IF(LOWER('Capacity summary'!AD185)="x",$BI66*AD66,VALUE('Capacity summary'!AD185)),0),AD66*$BI66),AD66*$BI66),0)</f>
        <v>0</v>
      </c>
      <c r="CH66" s="311">
        <f>IF($BI66&lt;&gt;"",IF('Capacity summary'!$D$14="Yes",IF(COUNTBLANK('Capacity summary'!$H185:$BG185)&lt;52,IF('Capacity summary'!AE185&lt;&gt;"",IF(LOWER('Capacity summary'!AE185)="x",$BI66*AE66,VALUE('Capacity summary'!AE185)),0),AE66*$BI66),AE66*$BI66),0)</f>
        <v>0</v>
      </c>
      <c r="CI66" s="311">
        <f>IF($BI66&lt;&gt;"",IF('Capacity summary'!$D$14="Yes",IF(COUNTBLANK('Capacity summary'!$H185:$BG185)&lt;52,IF('Capacity summary'!AF185&lt;&gt;"",IF(LOWER('Capacity summary'!AF185)="x",$BI66*AF66,VALUE('Capacity summary'!AF185)),0),AF66*$BI66),AF66*$BI66),0)</f>
        <v>0</v>
      </c>
      <c r="CJ66" s="311">
        <f>IF($BI66&lt;&gt;"",IF('Capacity summary'!$D$14="Yes",IF(COUNTBLANK('Capacity summary'!$H185:$BG185)&lt;52,IF('Capacity summary'!AG185&lt;&gt;"",IF(LOWER('Capacity summary'!AG185)="x",$BI66*AG66,VALUE('Capacity summary'!AG185)),0),AG66*$BI66),AG66*$BI66),0)</f>
        <v>0</v>
      </c>
      <c r="CK66" s="311">
        <f>IF($BI66&lt;&gt;"",IF('Capacity summary'!$D$14="Yes",IF(COUNTBLANK('Capacity summary'!$H185:$BG185)&lt;52,IF('Capacity summary'!AH185&lt;&gt;"",IF(LOWER('Capacity summary'!AH185)="x",$BI66*AH66,VALUE('Capacity summary'!AH185)),0),AH66*$BI66),AH66*$BI66),0)</f>
        <v>0</v>
      </c>
      <c r="CL66" s="311">
        <f>IF($BI66&lt;&gt;"",IF('Capacity summary'!$D$14="Yes",IF(COUNTBLANK('Capacity summary'!$H185:$BG185)&lt;52,IF('Capacity summary'!AI185&lt;&gt;"",IF(LOWER('Capacity summary'!AI185)="x",$BI66*AI66,VALUE('Capacity summary'!AI185)),0),AI66*$BI66),AI66*$BI66),0)</f>
        <v>0</v>
      </c>
      <c r="CM66" s="311">
        <f>IF($BI66&lt;&gt;"",IF('Capacity summary'!$D$14="Yes",IF(COUNTBLANK('Capacity summary'!$H185:$BG185)&lt;52,IF('Capacity summary'!AJ185&lt;&gt;"",IF(LOWER('Capacity summary'!AJ185)="x",$BI66*AJ66,VALUE('Capacity summary'!AJ185)),0),AJ66*$BI66),AJ66*$BI66),0)</f>
        <v>0</v>
      </c>
      <c r="CN66" s="311">
        <f>IF($BI66&lt;&gt;"",IF('Capacity summary'!$D$14="Yes",IF(COUNTBLANK('Capacity summary'!$H185:$BG185)&lt;52,IF('Capacity summary'!AK185&lt;&gt;"",IF(LOWER('Capacity summary'!AK185)="x",$BI66*AK66,VALUE('Capacity summary'!AK185)),0),AK66*$BI66),AK66*$BI66),0)</f>
        <v>0</v>
      </c>
      <c r="CO66" s="311">
        <f>IF($BI66&lt;&gt;"",IF('Capacity summary'!$D$14="Yes",IF(COUNTBLANK('Capacity summary'!$H185:$BG185)&lt;52,IF('Capacity summary'!AL185&lt;&gt;"",IF(LOWER('Capacity summary'!AL185)="x",$BI66*AL66,VALUE('Capacity summary'!AL185)),0),AL66*$BI66),AL66*$BI66),0)</f>
        <v>0</v>
      </c>
      <c r="CP66" s="311">
        <f>IF($BI66&lt;&gt;"",IF('Capacity summary'!$D$14="Yes",IF(COUNTBLANK('Capacity summary'!$H185:$BG185)&lt;52,IF('Capacity summary'!AM185&lt;&gt;"",IF(LOWER('Capacity summary'!AM185)="x",$BI66*AM66,VALUE('Capacity summary'!AM185)),0),AM66*$BI66),AM66*$BI66),0)</f>
        <v>0</v>
      </c>
      <c r="CQ66" s="311">
        <f>IF($BI66&lt;&gt;"",IF('Capacity summary'!$D$14="Yes",IF(COUNTBLANK('Capacity summary'!$H185:$BG185)&lt;52,IF('Capacity summary'!AN185&lt;&gt;"",IF(LOWER('Capacity summary'!AN185)="x",$BI66*AN66,VALUE('Capacity summary'!AN185)),0),AN66*$BI66),AN66*$BI66),0)</f>
        <v>0</v>
      </c>
      <c r="CR66" s="311">
        <f>IF($BI66&lt;&gt;"",IF('Capacity summary'!$D$14="Yes",IF(COUNTBLANK('Capacity summary'!$H185:$BG185)&lt;52,IF('Capacity summary'!AO185&lt;&gt;"",IF(LOWER('Capacity summary'!AO185)="x",$BI66*AO66,VALUE('Capacity summary'!AO185)),0),AO66*$BI66),AO66*$BI66),0)</f>
        <v>0</v>
      </c>
      <c r="CS66" s="311">
        <f>IF($BI66&lt;&gt;"",IF('Capacity summary'!$D$14="Yes",IF(COUNTBLANK('Capacity summary'!$H185:$BG185)&lt;52,IF('Capacity summary'!AP185&lt;&gt;"",IF(LOWER('Capacity summary'!AP185)="x",$BI66*AP66,VALUE('Capacity summary'!AP185)),0),AP66*$BI66),AP66*$BI66),0)</f>
        <v>0</v>
      </c>
      <c r="CT66" s="311">
        <f>IF($BI66&lt;&gt;"",IF('Capacity summary'!$D$14="Yes",IF(COUNTBLANK('Capacity summary'!$H185:$BG185)&lt;52,IF('Capacity summary'!AQ185&lt;&gt;"",IF(LOWER('Capacity summary'!AQ185)="x",$BI66*AQ66,VALUE('Capacity summary'!AQ185)),0),AQ66*$BI66),AQ66*$BI66),0)</f>
        <v>0</v>
      </c>
      <c r="CU66" s="311">
        <f>IF($BI66&lt;&gt;"",IF('Capacity summary'!$D$14="Yes",IF(COUNTBLANK('Capacity summary'!$H185:$BG185)&lt;52,IF('Capacity summary'!AR185&lt;&gt;"",IF(LOWER('Capacity summary'!AR185)="x",$BI66*AR66,VALUE('Capacity summary'!AR185)),0),AR66*$BI66),AR66*$BI66),0)</f>
        <v>0</v>
      </c>
      <c r="CV66" s="311">
        <f>IF($BI66&lt;&gt;"",IF('Capacity summary'!$D$14="Yes",IF(COUNTBLANK('Capacity summary'!$H185:$BG185)&lt;52,IF('Capacity summary'!AS185&lt;&gt;"",IF(LOWER('Capacity summary'!AS185)="x",$BI66*AS66,VALUE('Capacity summary'!AS185)),0),AS66*$BI66),AS66*$BI66),0)</f>
        <v>0</v>
      </c>
      <c r="CW66" s="311">
        <f>IF($BI66&lt;&gt;"",IF('Capacity summary'!$D$14="Yes",IF(COUNTBLANK('Capacity summary'!$H185:$BG185)&lt;52,IF('Capacity summary'!AT185&lt;&gt;"",IF(LOWER('Capacity summary'!AT185)="x",$BI66*AT66,VALUE('Capacity summary'!AT185)),0),AT66*$BI66),AT66*$BI66),0)</f>
        <v>0</v>
      </c>
      <c r="CX66" s="311">
        <f>IF($BI66&lt;&gt;"",IF('Capacity summary'!$D$14="Yes",IF(COUNTBLANK('Capacity summary'!$H185:$BG185)&lt;52,IF('Capacity summary'!AU185&lt;&gt;"",IF(LOWER('Capacity summary'!AU185)="x",$BI66*AU66,VALUE('Capacity summary'!AU185)),0),AU66*$BI66),AU66*$BI66),0)</f>
        <v>0</v>
      </c>
      <c r="CY66" s="311">
        <f>IF($BI66&lt;&gt;"",IF('Capacity summary'!$D$14="Yes",IF(COUNTBLANK('Capacity summary'!$H185:$BG185)&lt;52,IF('Capacity summary'!AV185&lt;&gt;"",IF(LOWER('Capacity summary'!AV185)="x",$BI66*AV66,VALUE('Capacity summary'!AV185)),0),AV66*$BI66),AV66*$BI66),0)</f>
        <v>0</v>
      </c>
      <c r="CZ66" s="311">
        <f>IF($BI66&lt;&gt;"",IF('Capacity summary'!$D$14="Yes",IF(COUNTBLANK('Capacity summary'!$H185:$BG185)&lt;52,IF('Capacity summary'!AW185&lt;&gt;"",IF(LOWER('Capacity summary'!AW185)="x",$BI66*AW66,VALUE('Capacity summary'!AW185)),0),AW66*$BI66),AW66*$BI66),0)</f>
        <v>0</v>
      </c>
      <c r="DA66" s="311">
        <f>IF($BI66&lt;&gt;"",IF('Capacity summary'!$D$14="Yes",IF(COUNTBLANK('Capacity summary'!$H185:$BG185)&lt;52,IF('Capacity summary'!AX185&lt;&gt;"",IF(LOWER('Capacity summary'!AX185)="x",$BI66*AX66,VALUE('Capacity summary'!AX185)),0),AX66*$BI66),AX66*$BI66),0)</f>
        <v>0</v>
      </c>
      <c r="DB66" s="311">
        <f>IF($BI66&lt;&gt;"",IF('Capacity summary'!$D$14="Yes",IF(COUNTBLANK('Capacity summary'!$H185:$BG185)&lt;52,IF('Capacity summary'!AY185&lt;&gt;"",IF(LOWER('Capacity summary'!AY185)="x",$BI66*AY66,VALUE('Capacity summary'!AY185)),0),AY66*$BI66),AY66*$BI66),0)</f>
        <v>0</v>
      </c>
      <c r="DC66" s="311">
        <f>IF($BI66&lt;&gt;"",IF('Capacity summary'!$D$14="Yes",IF(COUNTBLANK('Capacity summary'!$H185:$BG185)&lt;52,IF('Capacity summary'!AZ185&lt;&gt;"",IF(LOWER('Capacity summary'!AZ185)="x",$BI66*AZ66,VALUE('Capacity summary'!AZ185)),0),AZ66*$BI66),AZ66*$BI66),0)</f>
        <v>0</v>
      </c>
      <c r="DD66" s="311">
        <f>IF($BI66&lt;&gt;"",IF('Capacity summary'!$D$14="Yes",IF(COUNTBLANK('Capacity summary'!$H185:$BG185)&lt;52,IF('Capacity summary'!BA185&lt;&gt;"",IF(LOWER('Capacity summary'!BA185)="x",$BI66*BA66,VALUE('Capacity summary'!BA185)),0),BA66*$BI66),BA66*$BI66),0)</f>
        <v>0</v>
      </c>
      <c r="DE66" s="311">
        <f>IF($BI66&lt;&gt;"",IF('Capacity summary'!$D$14="Yes",IF(COUNTBLANK('Capacity summary'!$H185:$BG185)&lt;52,IF('Capacity summary'!BB185&lt;&gt;"",IF(LOWER('Capacity summary'!BB185)="x",$BI66*BB66,VALUE('Capacity summary'!BB185)),0),BB66*$BI66),BB66*$BI66),0)</f>
        <v>0</v>
      </c>
      <c r="DF66" s="311">
        <f>IF($BI66&lt;&gt;"",IF('Capacity summary'!$D$14="Yes",IF(COUNTBLANK('Capacity summary'!$H185:$BG185)&lt;52,IF('Capacity summary'!BC185&lt;&gt;"",IF(LOWER('Capacity summary'!BC185)="x",$BI66*BC66,VALUE('Capacity summary'!BC185)),0),BC66*$BI66),BC66*$BI66),0)</f>
        <v>0</v>
      </c>
      <c r="DG66" s="311">
        <f>IF($BI66&lt;&gt;"",IF('Capacity summary'!$D$14="Yes",IF(COUNTBLANK('Capacity summary'!$H185:$BG185)&lt;52,IF('Capacity summary'!BD185&lt;&gt;"",IF(LOWER('Capacity summary'!BD185)="x",$BI66*BD66,VALUE('Capacity summary'!BD185)),0),BD66*$BI66),BD66*$BI66),0)</f>
        <v>0</v>
      </c>
      <c r="DH66" s="311">
        <f>IF($BI66&lt;&gt;"",IF('Capacity summary'!$D$14="Yes",IF(COUNTBLANK('Capacity summary'!$H185:$BG185)&lt;52,IF('Capacity summary'!BE185&lt;&gt;"",IF(LOWER('Capacity summary'!BE185)="x",$BI66*BE66,VALUE('Capacity summary'!BE185)),0),BE66*$BI66),BE66*$BI66),0)</f>
        <v>0</v>
      </c>
      <c r="DI66" s="311">
        <f>IF($BI66&lt;&gt;"",IF('Capacity summary'!$D$14="Yes",IF(COUNTBLANK('Capacity summary'!$H185:$BG185)&lt;52,IF('Capacity summary'!BF185&lt;&gt;"",IF(LOWER('Capacity summary'!BF185)="x",$BI66*BF66,VALUE('Capacity summary'!BF185)),0),BF66*$BI66),BF66*$BI66),0)</f>
        <v>0</v>
      </c>
      <c r="DJ66" s="311">
        <f>IF($BI66&lt;&gt;"",IF('Capacity summary'!$D$14="Yes",IF(COUNTBLANK('Capacity summary'!$H185:$BG185)&lt;52,IF('Capacity summary'!BG185&lt;&gt;"",IF(LOWER('Capacity summary'!BG185)="x",$BI66*BG66,VALUE('Capacity summary'!BG185)),0),BG66*$BI66),BG66*$BI66),0)</f>
        <v>0</v>
      </c>
      <c r="DK66" s="387">
        <f t="shared" si="2"/>
        <v>0</v>
      </c>
      <c r="DL66" s="136">
        <f t="shared" si="3"/>
        <v>0</v>
      </c>
      <c r="DM66" s="311" t="str">
        <f>Capacity!H78</f>
        <v/>
      </c>
    </row>
    <row r="67" spans="1:117" x14ac:dyDescent="0.2">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1">
        <f>IF($BI67&lt;&gt;"",IF('Capacity summary'!$D$14="Yes",IF(COUNTBLANK('Capacity summary'!$H186:$BG186)&lt;52,IF('Capacity summary'!H186&lt;&gt;"",IF(LOWER('Capacity summary'!H186)="x",$BI67*H67,VALUE('Capacity summary'!H186)),0),H67*$BI67),H67*$BI67),0)</f>
        <v>0</v>
      </c>
      <c r="BL67" s="311">
        <f>IF($BI67&lt;&gt;"",IF('Capacity summary'!$D$14="Yes",IF(COUNTBLANK('Capacity summary'!$H186:$BG186)&lt;52,IF('Capacity summary'!I186&lt;&gt;"",IF(LOWER('Capacity summary'!I186)="x",$BI67*I67,VALUE('Capacity summary'!I186)),0),I67*$BI67),I67*$BI67),0)</f>
        <v>0</v>
      </c>
      <c r="BM67" s="311">
        <f>IF($BI67&lt;&gt;"",IF('Capacity summary'!$D$14="Yes",IF(COUNTBLANK('Capacity summary'!$H186:$BG186)&lt;52,IF('Capacity summary'!J186&lt;&gt;"",IF(LOWER('Capacity summary'!J186)="x",$BI67*J67,VALUE('Capacity summary'!J186)),0),J67*$BI67),J67*$BI67),0)</f>
        <v>0</v>
      </c>
      <c r="BN67" s="311">
        <f>IF($BI67&lt;&gt;"",IF('Capacity summary'!$D$14="Yes",IF(COUNTBLANK('Capacity summary'!$H186:$BG186)&lt;52,IF('Capacity summary'!K186&lt;&gt;"",IF(LOWER('Capacity summary'!K186)="x",$BI67*K67,VALUE('Capacity summary'!K186)),0),K67*$BI67),K67*$BI67),0)</f>
        <v>0</v>
      </c>
      <c r="BO67" s="311">
        <f>IF($BI67&lt;&gt;"",IF('Capacity summary'!$D$14="Yes",IF(COUNTBLANK('Capacity summary'!$H186:$BG186)&lt;52,IF('Capacity summary'!L186&lt;&gt;"",IF(LOWER('Capacity summary'!L186)="x",$BI67*L67,VALUE('Capacity summary'!L186)),0),L67*$BI67),L67*$BI67),0)</f>
        <v>0</v>
      </c>
      <c r="BP67" s="311">
        <f>IF($BI67&lt;&gt;"",IF('Capacity summary'!$D$14="Yes",IF(COUNTBLANK('Capacity summary'!$H186:$BG186)&lt;52,IF('Capacity summary'!M186&lt;&gt;"",IF(LOWER('Capacity summary'!M186)="x",$BI67*M67,VALUE('Capacity summary'!M186)),0),M67*$BI67),M67*$BI67),0)</f>
        <v>0</v>
      </c>
      <c r="BQ67" s="311">
        <f>IF($BI67&lt;&gt;"",IF('Capacity summary'!$D$14="Yes",IF(COUNTBLANK('Capacity summary'!$H186:$BG186)&lt;52,IF('Capacity summary'!N186&lt;&gt;"",IF(LOWER('Capacity summary'!N186)="x",$BI67*N67,VALUE('Capacity summary'!N186)),0),N67*$BI67),N67*$BI67),0)</f>
        <v>0</v>
      </c>
      <c r="BR67" s="311">
        <f>IF($BI67&lt;&gt;"",IF('Capacity summary'!$D$14="Yes",IF(COUNTBLANK('Capacity summary'!$H186:$BG186)&lt;52,IF('Capacity summary'!O186&lt;&gt;"",IF(LOWER('Capacity summary'!O186)="x",$BI67*O67,VALUE('Capacity summary'!O186)),0),O67*$BI67),O67*$BI67),0)</f>
        <v>0</v>
      </c>
      <c r="BS67" s="311">
        <f>IF($BI67&lt;&gt;"",IF('Capacity summary'!$D$14="Yes",IF(COUNTBLANK('Capacity summary'!$H186:$BG186)&lt;52,IF('Capacity summary'!P186&lt;&gt;"",IF(LOWER('Capacity summary'!P186)="x",$BI67*P67,VALUE('Capacity summary'!P186)),0),P67*$BI67),P67*$BI67),0)</f>
        <v>0</v>
      </c>
      <c r="BT67" s="311">
        <f>IF($BI67&lt;&gt;"",IF('Capacity summary'!$D$14="Yes",IF(COUNTBLANK('Capacity summary'!$H186:$BG186)&lt;52,IF('Capacity summary'!Q186&lt;&gt;"",IF(LOWER('Capacity summary'!Q186)="x",$BI67*Q67,VALUE('Capacity summary'!Q186)),0),Q67*$BI67),Q67*$BI67),0)</f>
        <v>0</v>
      </c>
      <c r="BU67" s="311">
        <f>IF($BI67&lt;&gt;"",IF('Capacity summary'!$D$14="Yes",IF(COUNTBLANK('Capacity summary'!$H186:$BG186)&lt;52,IF('Capacity summary'!R186&lt;&gt;"",IF(LOWER('Capacity summary'!R186)="x",$BI67*R67,VALUE('Capacity summary'!R186)),0),R67*$BI67),R67*$BI67),0)</f>
        <v>0</v>
      </c>
      <c r="BV67" s="311">
        <f>IF($BI67&lt;&gt;"",IF('Capacity summary'!$D$14="Yes",IF(COUNTBLANK('Capacity summary'!$H186:$BG186)&lt;52,IF('Capacity summary'!S186&lt;&gt;"",IF(LOWER('Capacity summary'!S186)="x",$BI67*S67,VALUE('Capacity summary'!S186)),0),S67*$BI67),S67*$BI67),0)</f>
        <v>0</v>
      </c>
      <c r="BW67" s="311">
        <f>IF($BI67&lt;&gt;"",IF('Capacity summary'!$D$14="Yes",IF(COUNTBLANK('Capacity summary'!$H186:$BG186)&lt;52,IF('Capacity summary'!T186&lt;&gt;"",IF(LOWER('Capacity summary'!T186)="x",$BI67*T67,VALUE('Capacity summary'!T186)),0),T67*$BI67),T67*$BI67),0)</f>
        <v>0</v>
      </c>
      <c r="BX67" s="311">
        <f>IF($BI67&lt;&gt;"",IF('Capacity summary'!$D$14="Yes",IF(COUNTBLANK('Capacity summary'!$H186:$BG186)&lt;52,IF('Capacity summary'!U186&lt;&gt;"",IF(LOWER('Capacity summary'!U186)="x",$BI67*U67,VALUE('Capacity summary'!U186)),0),U67*$BI67),U67*$BI67),0)</f>
        <v>0</v>
      </c>
      <c r="BY67" s="311">
        <f>IF($BI67&lt;&gt;"",IF('Capacity summary'!$D$14="Yes",IF(COUNTBLANK('Capacity summary'!$H186:$BG186)&lt;52,IF('Capacity summary'!V186&lt;&gt;"",IF(LOWER('Capacity summary'!V186)="x",$BI67*V67,VALUE('Capacity summary'!V186)),0),V67*$BI67),V67*$BI67),0)</f>
        <v>0</v>
      </c>
      <c r="BZ67" s="311">
        <f>IF($BI67&lt;&gt;"",IF('Capacity summary'!$D$14="Yes",IF(COUNTBLANK('Capacity summary'!$H186:$BG186)&lt;52,IF('Capacity summary'!W186&lt;&gt;"",IF(LOWER('Capacity summary'!W186)="x",$BI67*W67,VALUE('Capacity summary'!W186)),0),W67*$BI67),W67*$BI67),0)</f>
        <v>0</v>
      </c>
      <c r="CA67" s="311">
        <f>IF($BI67&lt;&gt;"",IF('Capacity summary'!$D$14="Yes",IF(COUNTBLANK('Capacity summary'!$H186:$BG186)&lt;52,IF('Capacity summary'!X186&lt;&gt;"",IF(LOWER('Capacity summary'!X186)="x",$BI67*X67,VALUE('Capacity summary'!X186)),0),X67*$BI67),X67*$BI67),0)</f>
        <v>0</v>
      </c>
      <c r="CB67" s="311">
        <f>IF($BI67&lt;&gt;"",IF('Capacity summary'!$D$14="Yes",IF(COUNTBLANK('Capacity summary'!$H186:$BG186)&lt;52,IF('Capacity summary'!Y186&lt;&gt;"",IF(LOWER('Capacity summary'!Y186)="x",$BI67*Y67,VALUE('Capacity summary'!Y186)),0),Y67*$BI67),Y67*$BI67),0)</f>
        <v>0</v>
      </c>
      <c r="CC67" s="311">
        <f>IF($BI67&lt;&gt;"",IF('Capacity summary'!$D$14="Yes",IF(COUNTBLANK('Capacity summary'!$H186:$BG186)&lt;52,IF('Capacity summary'!Z186&lt;&gt;"",IF(LOWER('Capacity summary'!Z186)="x",$BI67*Z67,VALUE('Capacity summary'!Z186)),0),Z67*$BI67),Z67*$BI67),0)</f>
        <v>0</v>
      </c>
      <c r="CD67" s="311">
        <f>IF($BI67&lt;&gt;"",IF('Capacity summary'!$D$14="Yes",IF(COUNTBLANK('Capacity summary'!$H186:$BG186)&lt;52,IF('Capacity summary'!AA186&lt;&gt;"",IF(LOWER('Capacity summary'!AA186)="x",$BI67*AA67,VALUE('Capacity summary'!AA186)),0),AA67*$BI67),AA67*$BI67),0)</f>
        <v>0</v>
      </c>
      <c r="CE67" s="311">
        <f>IF($BI67&lt;&gt;"",IF('Capacity summary'!$D$14="Yes",IF(COUNTBLANK('Capacity summary'!$H186:$BG186)&lt;52,IF('Capacity summary'!AB186&lt;&gt;"",IF(LOWER('Capacity summary'!AB186)="x",$BI67*AB67,VALUE('Capacity summary'!AB186)),0),AB67*$BI67),AB67*$BI67),0)</f>
        <v>0</v>
      </c>
      <c r="CF67" s="311">
        <f>IF($BI67&lt;&gt;"",IF('Capacity summary'!$D$14="Yes",IF(COUNTBLANK('Capacity summary'!$H186:$BG186)&lt;52,IF('Capacity summary'!AC186&lt;&gt;"",IF(LOWER('Capacity summary'!AC186)="x",$BI67*AC67,VALUE('Capacity summary'!AC186)),0),AC67*$BI67),AC67*$BI67),0)</f>
        <v>0</v>
      </c>
      <c r="CG67" s="311">
        <f>IF($BI67&lt;&gt;"",IF('Capacity summary'!$D$14="Yes",IF(COUNTBLANK('Capacity summary'!$H186:$BG186)&lt;52,IF('Capacity summary'!AD186&lt;&gt;"",IF(LOWER('Capacity summary'!AD186)="x",$BI67*AD67,VALUE('Capacity summary'!AD186)),0),AD67*$BI67),AD67*$BI67),0)</f>
        <v>0</v>
      </c>
      <c r="CH67" s="311">
        <f>IF($BI67&lt;&gt;"",IF('Capacity summary'!$D$14="Yes",IF(COUNTBLANK('Capacity summary'!$H186:$BG186)&lt;52,IF('Capacity summary'!AE186&lt;&gt;"",IF(LOWER('Capacity summary'!AE186)="x",$BI67*AE67,VALUE('Capacity summary'!AE186)),0),AE67*$BI67),AE67*$BI67),0)</f>
        <v>0</v>
      </c>
      <c r="CI67" s="311">
        <f>IF($BI67&lt;&gt;"",IF('Capacity summary'!$D$14="Yes",IF(COUNTBLANK('Capacity summary'!$H186:$BG186)&lt;52,IF('Capacity summary'!AF186&lt;&gt;"",IF(LOWER('Capacity summary'!AF186)="x",$BI67*AF67,VALUE('Capacity summary'!AF186)),0),AF67*$BI67),AF67*$BI67),0)</f>
        <v>0</v>
      </c>
      <c r="CJ67" s="311">
        <f>IF($BI67&lt;&gt;"",IF('Capacity summary'!$D$14="Yes",IF(COUNTBLANK('Capacity summary'!$H186:$BG186)&lt;52,IF('Capacity summary'!AG186&lt;&gt;"",IF(LOWER('Capacity summary'!AG186)="x",$BI67*AG67,VALUE('Capacity summary'!AG186)),0),AG67*$BI67),AG67*$BI67),0)</f>
        <v>0</v>
      </c>
      <c r="CK67" s="311">
        <f>IF($BI67&lt;&gt;"",IF('Capacity summary'!$D$14="Yes",IF(COUNTBLANK('Capacity summary'!$H186:$BG186)&lt;52,IF('Capacity summary'!AH186&lt;&gt;"",IF(LOWER('Capacity summary'!AH186)="x",$BI67*AH67,VALUE('Capacity summary'!AH186)),0),AH67*$BI67),AH67*$BI67),0)</f>
        <v>0</v>
      </c>
      <c r="CL67" s="311">
        <f>IF($BI67&lt;&gt;"",IF('Capacity summary'!$D$14="Yes",IF(COUNTBLANK('Capacity summary'!$H186:$BG186)&lt;52,IF('Capacity summary'!AI186&lt;&gt;"",IF(LOWER('Capacity summary'!AI186)="x",$BI67*AI67,VALUE('Capacity summary'!AI186)),0),AI67*$BI67),AI67*$BI67),0)</f>
        <v>0</v>
      </c>
      <c r="CM67" s="311">
        <f>IF($BI67&lt;&gt;"",IF('Capacity summary'!$D$14="Yes",IF(COUNTBLANK('Capacity summary'!$H186:$BG186)&lt;52,IF('Capacity summary'!AJ186&lt;&gt;"",IF(LOWER('Capacity summary'!AJ186)="x",$BI67*AJ67,VALUE('Capacity summary'!AJ186)),0),AJ67*$BI67),AJ67*$BI67),0)</f>
        <v>0</v>
      </c>
      <c r="CN67" s="311">
        <f>IF($BI67&lt;&gt;"",IF('Capacity summary'!$D$14="Yes",IF(COUNTBLANK('Capacity summary'!$H186:$BG186)&lt;52,IF('Capacity summary'!AK186&lt;&gt;"",IF(LOWER('Capacity summary'!AK186)="x",$BI67*AK67,VALUE('Capacity summary'!AK186)),0),AK67*$BI67),AK67*$BI67),0)</f>
        <v>0</v>
      </c>
      <c r="CO67" s="311">
        <f>IF($BI67&lt;&gt;"",IF('Capacity summary'!$D$14="Yes",IF(COUNTBLANK('Capacity summary'!$H186:$BG186)&lt;52,IF('Capacity summary'!AL186&lt;&gt;"",IF(LOWER('Capacity summary'!AL186)="x",$BI67*AL67,VALUE('Capacity summary'!AL186)),0),AL67*$BI67),AL67*$BI67),0)</f>
        <v>0</v>
      </c>
      <c r="CP67" s="311">
        <f>IF($BI67&lt;&gt;"",IF('Capacity summary'!$D$14="Yes",IF(COUNTBLANK('Capacity summary'!$H186:$BG186)&lt;52,IF('Capacity summary'!AM186&lt;&gt;"",IF(LOWER('Capacity summary'!AM186)="x",$BI67*AM67,VALUE('Capacity summary'!AM186)),0),AM67*$BI67),AM67*$BI67),0)</f>
        <v>0</v>
      </c>
      <c r="CQ67" s="311">
        <f>IF($BI67&lt;&gt;"",IF('Capacity summary'!$D$14="Yes",IF(COUNTBLANK('Capacity summary'!$H186:$BG186)&lt;52,IF('Capacity summary'!AN186&lt;&gt;"",IF(LOWER('Capacity summary'!AN186)="x",$BI67*AN67,VALUE('Capacity summary'!AN186)),0),AN67*$BI67),AN67*$BI67),0)</f>
        <v>0</v>
      </c>
      <c r="CR67" s="311">
        <f>IF($BI67&lt;&gt;"",IF('Capacity summary'!$D$14="Yes",IF(COUNTBLANK('Capacity summary'!$H186:$BG186)&lt;52,IF('Capacity summary'!AO186&lt;&gt;"",IF(LOWER('Capacity summary'!AO186)="x",$BI67*AO67,VALUE('Capacity summary'!AO186)),0),AO67*$BI67),AO67*$BI67),0)</f>
        <v>0</v>
      </c>
      <c r="CS67" s="311">
        <f>IF($BI67&lt;&gt;"",IF('Capacity summary'!$D$14="Yes",IF(COUNTBLANK('Capacity summary'!$H186:$BG186)&lt;52,IF('Capacity summary'!AP186&lt;&gt;"",IF(LOWER('Capacity summary'!AP186)="x",$BI67*AP67,VALUE('Capacity summary'!AP186)),0),AP67*$BI67),AP67*$BI67),0)</f>
        <v>0</v>
      </c>
      <c r="CT67" s="311">
        <f>IF($BI67&lt;&gt;"",IF('Capacity summary'!$D$14="Yes",IF(COUNTBLANK('Capacity summary'!$H186:$BG186)&lt;52,IF('Capacity summary'!AQ186&lt;&gt;"",IF(LOWER('Capacity summary'!AQ186)="x",$BI67*AQ67,VALUE('Capacity summary'!AQ186)),0),AQ67*$BI67),AQ67*$BI67),0)</f>
        <v>0</v>
      </c>
      <c r="CU67" s="311">
        <f>IF($BI67&lt;&gt;"",IF('Capacity summary'!$D$14="Yes",IF(COUNTBLANK('Capacity summary'!$H186:$BG186)&lt;52,IF('Capacity summary'!AR186&lt;&gt;"",IF(LOWER('Capacity summary'!AR186)="x",$BI67*AR67,VALUE('Capacity summary'!AR186)),0),AR67*$BI67),AR67*$BI67),0)</f>
        <v>0</v>
      </c>
      <c r="CV67" s="311">
        <f>IF($BI67&lt;&gt;"",IF('Capacity summary'!$D$14="Yes",IF(COUNTBLANK('Capacity summary'!$H186:$BG186)&lt;52,IF('Capacity summary'!AS186&lt;&gt;"",IF(LOWER('Capacity summary'!AS186)="x",$BI67*AS67,VALUE('Capacity summary'!AS186)),0),AS67*$BI67),AS67*$BI67),0)</f>
        <v>0</v>
      </c>
      <c r="CW67" s="311">
        <f>IF($BI67&lt;&gt;"",IF('Capacity summary'!$D$14="Yes",IF(COUNTBLANK('Capacity summary'!$H186:$BG186)&lt;52,IF('Capacity summary'!AT186&lt;&gt;"",IF(LOWER('Capacity summary'!AT186)="x",$BI67*AT67,VALUE('Capacity summary'!AT186)),0),AT67*$BI67),AT67*$BI67),0)</f>
        <v>0</v>
      </c>
      <c r="CX67" s="311">
        <f>IF($BI67&lt;&gt;"",IF('Capacity summary'!$D$14="Yes",IF(COUNTBLANK('Capacity summary'!$H186:$BG186)&lt;52,IF('Capacity summary'!AU186&lt;&gt;"",IF(LOWER('Capacity summary'!AU186)="x",$BI67*AU67,VALUE('Capacity summary'!AU186)),0),AU67*$BI67),AU67*$BI67),0)</f>
        <v>0</v>
      </c>
      <c r="CY67" s="311">
        <f>IF($BI67&lt;&gt;"",IF('Capacity summary'!$D$14="Yes",IF(COUNTBLANK('Capacity summary'!$H186:$BG186)&lt;52,IF('Capacity summary'!AV186&lt;&gt;"",IF(LOWER('Capacity summary'!AV186)="x",$BI67*AV67,VALUE('Capacity summary'!AV186)),0),AV67*$BI67),AV67*$BI67),0)</f>
        <v>0</v>
      </c>
      <c r="CZ67" s="311">
        <f>IF($BI67&lt;&gt;"",IF('Capacity summary'!$D$14="Yes",IF(COUNTBLANK('Capacity summary'!$H186:$BG186)&lt;52,IF('Capacity summary'!AW186&lt;&gt;"",IF(LOWER('Capacity summary'!AW186)="x",$BI67*AW67,VALUE('Capacity summary'!AW186)),0),AW67*$BI67),AW67*$BI67),0)</f>
        <v>0</v>
      </c>
      <c r="DA67" s="311">
        <f>IF($BI67&lt;&gt;"",IF('Capacity summary'!$D$14="Yes",IF(COUNTBLANK('Capacity summary'!$H186:$BG186)&lt;52,IF('Capacity summary'!AX186&lt;&gt;"",IF(LOWER('Capacity summary'!AX186)="x",$BI67*AX67,VALUE('Capacity summary'!AX186)),0),AX67*$BI67),AX67*$BI67),0)</f>
        <v>0</v>
      </c>
      <c r="DB67" s="311">
        <f>IF($BI67&lt;&gt;"",IF('Capacity summary'!$D$14="Yes",IF(COUNTBLANK('Capacity summary'!$H186:$BG186)&lt;52,IF('Capacity summary'!AY186&lt;&gt;"",IF(LOWER('Capacity summary'!AY186)="x",$BI67*AY67,VALUE('Capacity summary'!AY186)),0),AY67*$BI67),AY67*$BI67),0)</f>
        <v>0</v>
      </c>
      <c r="DC67" s="311">
        <f>IF($BI67&lt;&gt;"",IF('Capacity summary'!$D$14="Yes",IF(COUNTBLANK('Capacity summary'!$H186:$BG186)&lt;52,IF('Capacity summary'!AZ186&lt;&gt;"",IF(LOWER('Capacity summary'!AZ186)="x",$BI67*AZ67,VALUE('Capacity summary'!AZ186)),0),AZ67*$BI67),AZ67*$BI67),0)</f>
        <v>0</v>
      </c>
      <c r="DD67" s="311">
        <f>IF($BI67&lt;&gt;"",IF('Capacity summary'!$D$14="Yes",IF(COUNTBLANK('Capacity summary'!$H186:$BG186)&lt;52,IF('Capacity summary'!BA186&lt;&gt;"",IF(LOWER('Capacity summary'!BA186)="x",$BI67*BA67,VALUE('Capacity summary'!BA186)),0),BA67*$BI67),BA67*$BI67),0)</f>
        <v>0</v>
      </c>
      <c r="DE67" s="311">
        <f>IF($BI67&lt;&gt;"",IF('Capacity summary'!$D$14="Yes",IF(COUNTBLANK('Capacity summary'!$H186:$BG186)&lt;52,IF('Capacity summary'!BB186&lt;&gt;"",IF(LOWER('Capacity summary'!BB186)="x",$BI67*BB67,VALUE('Capacity summary'!BB186)),0),BB67*$BI67),BB67*$BI67),0)</f>
        <v>0</v>
      </c>
      <c r="DF67" s="311">
        <f>IF($BI67&lt;&gt;"",IF('Capacity summary'!$D$14="Yes",IF(COUNTBLANK('Capacity summary'!$H186:$BG186)&lt;52,IF('Capacity summary'!BC186&lt;&gt;"",IF(LOWER('Capacity summary'!BC186)="x",$BI67*BC67,VALUE('Capacity summary'!BC186)),0),BC67*$BI67),BC67*$BI67),0)</f>
        <v>0</v>
      </c>
      <c r="DG67" s="311">
        <f>IF($BI67&lt;&gt;"",IF('Capacity summary'!$D$14="Yes",IF(COUNTBLANK('Capacity summary'!$H186:$BG186)&lt;52,IF('Capacity summary'!BD186&lt;&gt;"",IF(LOWER('Capacity summary'!BD186)="x",$BI67*BD67,VALUE('Capacity summary'!BD186)),0),BD67*$BI67),BD67*$BI67),0)</f>
        <v>0</v>
      </c>
      <c r="DH67" s="311">
        <f>IF($BI67&lt;&gt;"",IF('Capacity summary'!$D$14="Yes",IF(COUNTBLANK('Capacity summary'!$H186:$BG186)&lt;52,IF('Capacity summary'!BE186&lt;&gt;"",IF(LOWER('Capacity summary'!BE186)="x",$BI67*BE67,VALUE('Capacity summary'!BE186)),0),BE67*$BI67),BE67*$BI67),0)</f>
        <v>0</v>
      </c>
      <c r="DI67" s="311">
        <f>IF($BI67&lt;&gt;"",IF('Capacity summary'!$D$14="Yes",IF(COUNTBLANK('Capacity summary'!$H186:$BG186)&lt;52,IF('Capacity summary'!BF186&lt;&gt;"",IF(LOWER('Capacity summary'!BF186)="x",$BI67*BF67,VALUE('Capacity summary'!BF186)),0),BF67*$BI67),BF67*$BI67),0)</f>
        <v>0</v>
      </c>
      <c r="DJ67" s="311">
        <f>IF($BI67&lt;&gt;"",IF('Capacity summary'!$D$14="Yes",IF(COUNTBLANK('Capacity summary'!$H186:$BG186)&lt;52,IF('Capacity summary'!BG186&lt;&gt;"",IF(LOWER('Capacity summary'!BG186)="x",$BI67*BG67,VALUE('Capacity summary'!BG186)),0),BG67*$BI67),BG67*$BI67),0)</f>
        <v>0</v>
      </c>
      <c r="DK67" s="387">
        <f t="shared" si="2"/>
        <v>0</v>
      </c>
      <c r="DL67" s="136">
        <f t="shared" si="3"/>
        <v>0</v>
      </c>
      <c r="DM67" s="311" t="str">
        <f>Capacity!H79</f>
        <v/>
      </c>
    </row>
    <row r="68" spans="1:117" x14ac:dyDescent="0.2">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1">
        <f>IF($BI68&lt;&gt;"",IF('Capacity summary'!$D$14="Yes",IF(COUNTBLANK('Capacity summary'!$H187:$BG187)&lt;52,IF('Capacity summary'!H187&lt;&gt;"",IF(LOWER('Capacity summary'!H187)="x",$BI68*H68,VALUE('Capacity summary'!H187)),0),H68*$BI68),H68*$BI68),0)</f>
        <v>0</v>
      </c>
      <c r="BL68" s="311">
        <f>IF($BI68&lt;&gt;"",IF('Capacity summary'!$D$14="Yes",IF(COUNTBLANK('Capacity summary'!$H187:$BG187)&lt;52,IF('Capacity summary'!I187&lt;&gt;"",IF(LOWER('Capacity summary'!I187)="x",$BI68*I68,VALUE('Capacity summary'!I187)),0),I68*$BI68),I68*$BI68),0)</f>
        <v>0</v>
      </c>
      <c r="BM68" s="311">
        <f>IF($BI68&lt;&gt;"",IF('Capacity summary'!$D$14="Yes",IF(COUNTBLANK('Capacity summary'!$H187:$BG187)&lt;52,IF('Capacity summary'!J187&lt;&gt;"",IF(LOWER('Capacity summary'!J187)="x",$BI68*J68,VALUE('Capacity summary'!J187)),0),J68*$BI68),J68*$BI68),0)</f>
        <v>0</v>
      </c>
      <c r="BN68" s="311">
        <f>IF($BI68&lt;&gt;"",IF('Capacity summary'!$D$14="Yes",IF(COUNTBLANK('Capacity summary'!$H187:$BG187)&lt;52,IF('Capacity summary'!K187&lt;&gt;"",IF(LOWER('Capacity summary'!K187)="x",$BI68*K68,VALUE('Capacity summary'!K187)),0),K68*$BI68),K68*$BI68),0)</f>
        <v>0</v>
      </c>
      <c r="BO68" s="311">
        <f>IF($BI68&lt;&gt;"",IF('Capacity summary'!$D$14="Yes",IF(COUNTBLANK('Capacity summary'!$H187:$BG187)&lt;52,IF('Capacity summary'!L187&lt;&gt;"",IF(LOWER('Capacity summary'!L187)="x",$BI68*L68,VALUE('Capacity summary'!L187)),0),L68*$BI68),L68*$BI68),0)</f>
        <v>0</v>
      </c>
      <c r="BP68" s="311">
        <f>IF($BI68&lt;&gt;"",IF('Capacity summary'!$D$14="Yes",IF(COUNTBLANK('Capacity summary'!$H187:$BG187)&lt;52,IF('Capacity summary'!M187&lt;&gt;"",IF(LOWER('Capacity summary'!M187)="x",$BI68*M68,VALUE('Capacity summary'!M187)),0),M68*$BI68),M68*$BI68),0)</f>
        <v>0</v>
      </c>
      <c r="BQ68" s="311">
        <f>IF($BI68&lt;&gt;"",IF('Capacity summary'!$D$14="Yes",IF(COUNTBLANK('Capacity summary'!$H187:$BG187)&lt;52,IF('Capacity summary'!N187&lt;&gt;"",IF(LOWER('Capacity summary'!N187)="x",$BI68*N68,VALUE('Capacity summary'!N187)),0),N68*$BI68),N68*$BI68),0)</f>
        <v>0</v>
      </c>
      <c r="BR68" s="311">
        <f>IF($BI68&lt;&gt;"",IF('Capacity summary'!$D$14="Yes",IF(COUNTBLANK('Capacity summary'!$H187:$BG187)&lt;52,IF('Capacity summary'!O187&lt;&gt;"",IF(LOWER('Capacity summary'!O187)="x",$BI68*O68,VALUE('Capacity summary'!O187)),0),O68*$BI68),O68*$BI68),0)</f>
        <v>0</v>
      </c>
      <c r="BS68" s="311">
        <f>IF($BI68&lt;&gt;"",IF('Capacity summary'!$D$14="Yes",IF(COUNTBLANK('Capacity summary'!$H187:$BG187)&lt;52,IF('Capacity summary'!P187&lt;&gt;"",IF(LOWER('Capacity summary'!P187)="x",$BI68*P68,VALUE('Capacity summary'!P187)),0),P68*$BI68),P68*$BI68),0)</f>
        <v>0</v>
      </c>
      <c r="BT68" s="311">
        <f>IF($BI68&lt;&gt;"",IF('Capacity summary'!$D$14="Yes",IF(COUNTBLANK('Capacity summary'!$H187:$BG187)&lt;52,IF('Capacity summary'!Q187&lt;&gt;"",IF(LOWER('Capacity summary'!Q187)="x",$BI68*Q68,VALUE('Capacity summary'!Q187)),0),Q68*$BI68),Q68*$BI68),0)</f>
        <v>0</v>
      </c>
      <c r="BU68" s="311">
        <f>IF($BI68&lt;&gt;"",IF('Capacity summary'!$D$14="Yes",IF(COUNTBLANK('Capacity summary'!$H187:$BG187)&lt;52,IF('Capacity summary'!R187&lt;&gt;"",IF(LOWER('Capacity summary'!R187)="x",$BI68*R68,VALUE('Capacity summary'!R187)),0),R68*$BI68),R68*$BI68),0)</f>
        <v>0</v>
      </c>
      <c r="BV68" s="311">
        <f>IF($BI68&lt;&gt;"",IF('Capacity summary'!$D$14="Yes",IF(COUNTBLANK('Capacity summary'!$H187:$BG187)&lt;52,IF('Capacity summary'!S187&lt;&gt;"",IF(LOWER('Capacity summary'!S187)="x",$BI68*S68,VALUE('Capacity summary'!S187)),0),S68*$BI68),S68*$BI68),0)</f>
        <v>0</v>
      </c>
      <c r="BW68" s="311">
        <f>IF($BI68&lt;&gt;"",IF('Capacity summary'!$D$14="Yes",IF(COUNTBLANK('Capacity summary'!$H187:$BG187)&lt;52,IF('Capacity summary'!T187&lt;&gt;"",IF(LOWER('Capacity summary'!T187)="x",$BI68*T68,VALUE('Capacity summary'!T187)),0),T68*$BI68),T68*$BI68),0)</f>
        <v>0</v>
      </c>
      <c r="BX68" s="311">
        <f>IF($BI68&lt;&gt;"",IF('Capacity summary'!$D$14="Yes",IF(COUNTBLANK('Capacity summary'!$H187:$BG187)&lt;52,IF('Capacity summary'!U187&lt;&gt;"",IF(LOWER('Capacity summary'!U187)="x",$BI68*U68,VALUE('Capacity summary'!U187)),0),U68*$BI68),U68*$BI68),0)</f>
        <v>0</v>
      </c>
      <c r="BY68" s="311">
        <f>IF($BI68&lt;&gt;"",IF('Capacity summary'!$D$14="Yes",IF(COUNTBLANK('Capacity summary'!$H187:$BG187)&lt;52,IF('Capacity summary'!V187&lt;&gt;"",IF(LOWER('Capacity summary'!V187)="x",$BI68*V68,VALUE('Capacity summary'!V187)),0),V68*$BI68),V68*$BI68),0)</f>
        <v>0</v>
      </c>
      <c r="BZ68" s="311">
        <f>IF($BI68&lt;&gt;"",IF('Capacity summary'!$D$14="Yes",IF(COUNTBLANK('Capacity summary'!$H187:$BG187)&lt;52,IF('Capacity summary'!W187&lt;&gt;"",IF(LOWER('Capacity summary'!W187)="x",$BI68*W68,VALUE('Capacity summary'!W187)),0),W68*$BI68),W68*$BI68),0)</f>
        <v>0</v>
      </c>
      <c r="CA68" s="311">
        <f>IF($BI68&lt;&gt;"",IF('Capacity summary'!$D$14="Yes",IF(COUNTBLANK('Capacity summary'!$H187:$BG187)&lt;52,IF('Capacity summary'!X187&lt;&gt;"",IF(LOWER('Capacity summary'!X187)="x",$BI68*X68,VALUE('Capacity summary'!X187)),0),X68*$BI68),X68*$BI68),0)</f>
        <v>0</v>
      </c>
      <c r="CB68" s="311">
        <f>IF($BI68&lt;&gt;"",IF('Capacity summary'!$D$14="Yes",IF(COUNTBLANK('Capacity summary'!$H187:$BG187)&lt;52,IF('Capacity summary'!Y187&lt;&gt;"",IF(LOWER('Capacity summary'!Y187)="x",$BI68*Y68,VALUE('Capacity summary'!Y187)),0),Y68*$BI68),Y68*$BI68),0)</f>
        <v>0</v>
      </c>
      <c r="CC68" s="311">
        <f>IF($BI68&lt;&gt;"",IF('Capacity summary'!$D$14="Yes",IF(COUNTBLANK('Capacity summary'!$H187:$BG187)&lt;52,IF('Capacity summary'!Z187&lt;&gt;"",IF(LOWER('Capacity summary'!Z187)="x",$BI68*Z68,VALUE('Capacity summary'!Z187)),0),Z68*$BI68),Z68*$BI68),0)</f>
        <v>0</v>
      </c>
      <c r="CD68" s="311">
        <f>IF($BI68&lt;&gt;"",IF('Capacity summary'!$D$14="Yes",IF(COUNTBLANK('Capacity summary'!$H187:$BG187)&lt;52,IF('Capacity summary'!AA187&lt;&gt;"",IF(LOWER('Capacity summary'!AA187)="x",$BI68*AA68,VALUE('Capacity summary'!AA187)),0),AA68*$BI68),AA68*$BI68),0)</f>
        <v>0</v>
      </c>
      <c r="CE68" s="311">
        <f>IF($BI68&lt;&gt;"",IF('Capacity summary'!$D$14="Yes",IF(COUNTBLANK('Capacity summary'!$H187:$BG187)&lt;52,IF('Capacity summary'!AB187&lt;&gt;"",IF(LOWER('Capacity summary'!AB187)="x",$BI68*AB68,VALUE('Capacity summary'!AB187)),0),AB68*$BI68),AB68*$BI68),0)</f>
        <v>0</v>
      </c>
      <c r="CF68" s="311">
        <f>IF($BI68&lt;&gt;"",IF('Capacity summary'!$D$14="Yes",IF(COUNTBLANK('Capacity summary'!$H187:$BG187)&lt;52,IF('Capacity summary'!AC187&lt;&gt;"",IF(LOWER('Capacity summary'!AC187)="x",$BI68*AC68,VALUE('Capacity summary'!AC187)),0),AC68*$BI68),AC68*$BI68),0)</f>
        <v>0</v>
      </c>
      <c r="CG68" s="311">
        <f>IF($BI68&lt;&gt;"",IF('Capacity summary'!$D$14="Yes",IF(COUNTBLANK('Capacity summary'!$H187:$BG187)&lt;52,IF('Capacity summary'!AD187&lt;&gt;"",IF(LOWER('Capacity summary'!AD187)="x",$BI68*AD68,VALUE('Capacity summary'!AD187)),0),AD68*$BI68),AD68*$BI68),0)</f>
        <v>0</v>
      </c>
      <c r="CH68" s="311">
        <f>IF($BI68&lt;&gt;"",IF('Capacity summary'!$D$14="Yes",IF(COUNTBLANK('Capacity summary'!$H187:$BG187)&lt;52,IF('Capacity summary'!AE187&lt;&gt;"",IF(LOWER('Capacity summary'!AE187)="x",$BI68*AE68,VALUE('Capacity summary'!AE187)),0),AE68*$BI68),AE68*$BI68),0)</f>
        <v>0</v>
      </c>
      <c r="CI68" s="311">
        <f>IF($BI68&lt;&gt;"",IF('Capacity summary'!$D$14="Yes",IF(COUNTBLANK('Capacity summary'!$H187:$BG187)&lt;52,IF('Capacity summary'!AF187&lt;&gt;"",IF(LOWER('Capacity summary'!AF187)="x",$BI68*AF68,VALUE('Capacity summary'!AF187)),0),AF68*$BI68),AF68*$BI68),0)</f>
        <v>0</v>
      </c>
      <c r="CJ68" s="311">
        <f>IF($BI68&lt;&gt;"",IF('Capacity summary'!$D$14="Yes",IF(COUNTBLANK('Capacity summary'!$H187:$BG187)&lt;52,IF('Capacity summary'!AG187&lt;&gt;"",IF(LOWER('Capacity summary'!AG187)="x",$BI68*AG68,VALUE('Capacity summary'!AG187)),0),AG68*$BI68),AG68*$BI68),0)</f>
        <v>0</v>
      </c>
      <c r="CK68" s="311">
        <f>IF($BI68&lt;&gt;"",IF('Capacity summary'!$D$14="Yes",IF(COUNTBLANK('Capacity summary'!$H187:$BG187)&lt;52,IF('Capacity summary'!AH187&lt;&gt;"",IF(LOWER('Capacity summary'!AH187)="x",$BI68*AH68,VALUE('Capacity summary'!AH187)),0),AH68*$BI68),AH68*$BI68),0)</f>
        <v>0</v>
      </c>
      <c r="CL68" s="311">
        <f>IF($BI68&lt;&gt;"",IF('Capacity summary'!$D$14="Yes",IF(COUNTBLANK('Capacity summary'!$H187:$BG187)&lt;52,IF('Capacity summary'!AI187&lt;&gt;"",IF(LOWER('Capacity summary'!AI187)="x",$BI68*AI68,VALUE('Capacity summary'!AI187)),0),AI68*$BI68),AI68*$BI68),0)</f>
        <v>0</v>
      </c>
      <c r="CM68" s="311">
        <f>IF($BI68&lt;&gt;"",IF('Capacity summary'!$D$14="Yes",IF(COUNTBLANK('Capacity summary'!$H187:$BG187)&lt;52,IF('Capacity summary'!AJ187&lt;&gt;"",IF(LOWER('Capacity summary'!AJ187)="x",$BI68*AJ68,VALUE('Capacity summary'!AJ187)),0),AJ68*$BI68),AJ68*$BI68),0)</f>
        <v>0</v>
      </c>
      <c r="CN68" s="311">
        <f>IF($BI68&lt;&gt;"",IF('Capacity summary'!$D$14="Yes",IF(COUNTBLANK('Capacity summary'!$H187:$BG187)&lt;52,IF('Capacity summary'!AK187&lt;&gt;"",IF(LOWER('Capacity summary'!AK187)="x",$BI68*AK68,VALUE('Capacity summary'!AK187)),0),AK68*$BI68),AK68*$BI68),0)</f>
        <v>0</v>
      </c>
      <c r="CO68" s="311">
        <f>IF($BI68&lt;&gt;"",IF('Capacity summary'!$D$14="Yes",IF(COUNTBLANK('Capacity summary'!$H187:$BG187)&lt;52,IF('Capacity summary'!AL187&lt;&gt;"",IF(LOWER('Capacity summary'!AL187)="x",$BI68*AL68,VALUE('Capacity summary'!AL187)),0),AL68*$BI68),AL68*$BI68),0)</f>
        <v>0</v>
      </c>
      <c r="CP68" s="311">
        <f>IF($BI68&lt;&gt;"",IF('Capacity summary'!$D$14="Yes",IF(COUNTBLANK('Capacity summary'!$H187:$BG187)&lt;52,IF('Capacity summary'!AM187&lt;&gt;"",IF(LOWER('Capacity summary'!AM187)="x",$BI68*AM68,VALUE('Capacity summary'!AM187)),0),AM68*$BI68),AM68*$BI68),0)</f>
        <v>0</v>
      </c>
      <c r="CQ68" s="311">
        <f>IF($BI68&lt;&gt;"",IF('Capacity summary'!$D$14="Yes",IF(COUNTBLANK('Capacity summary'!$H187:$BG187)&lt;52,IF('Capacity summary'!AN187&lt;&gt;"",IF(LOWER('Capacity summary'!AN187)="x",$BI68*AN68,VALUE('Capacity summary'!AN187)),0),AN68*$BI68),AN68*$BI68),0)</f>
        <v>0</v>
      </c>
      <c r="CR68" s="311">
        <f>IF($BI68&lt;&gt;"",IF('Capacity summary'!$D$14="Yes",IF(COUNTBLANK('Capacity summary'!$H187:$BG187)&lt;52,IF('Capacity summary'!AO187&lt;&gt;"",IF(LOWER('Capacity summary'!AO187)="x",$BI68*AO68,VALUE('Capacity summary'!AO187)),0),AO68*$BI68),AO68*$BI68),0)</f>
        <v>0</v>
      </c>
      <c r="CS68" s="311">
        <f>IF($BI68&lt;&gt;"",IF('Capacity summary'!$D$14="Yes",IF(COUNTBLANK('Capacity summary'!$H187:$BG187)&lt;52,IF('Capacity summary'!AP187&lt;&gt;"",IF(LOWER('Capacity summary'!AP187)="x",$BI68*AP68,VALUE('Capacity summary'!AP187)),0),AP68*$BI68),AP68*$BI68),0)</f>
        <v>0</v>
      </c>
      <c r="CT68" s="311">
        <f>IF($BI68&lt;&gt;"",IF('Capacity summary'!$D$14="Yes",IF(COUNTBLANK('Capacity summary'!$H187:$BG187)&lt;52,IF('Capacity summary'!AQ187&lt;&gt;"",IF(LOWER('Capacity summary'!AQ187)="x",$BI68*AQ68,VALUE('Capacity summary'!AQ187)),0),AQ68*$BI68),AQ68*$BI68),0)</f>
        <v>0</v>
      </c>
      <c r="CU68" s="311">
        <f>IF($BI68&lt;&gt;"",IF('Capacity summary'!$D$14="Yes",IF(COUNTBLANK('Capacity summary'!$H187:$BG187)&lt;52,IF('Capacity summary'!AR187&lt;&gt;"",IF(LOWER('Capacity summary'!AR187)="x",$BI68*AR68,VALUE('Capacity summary'!AR187)),0),AR68*$BI68),AR68*$BI68),0)</f>
        <v>0</v>
      </c>
      <c r="CV68" s="311">
        <f>IF($BI68&lt;&gt;"",IF('Capacity summary'!$D$14="Yes",IF(COUNTBLANK('Capacity summary'!$H187:$BG187)&lt;52,IF('Capacity summary'!AS187&lt;&gt;"",IF(LOWER('Capacity summary'!AS187)="x",$BI68*AS68,VALUE('Capacity summary'!AS187)),0),AS68*$BI68),AS68*$BI68),0)</f>
        <v>0</v>
      </c>
      <c r="CW68" s="311">
        <f>IF($BI68&lt;&gt;"",IF('Capacity summary'!$D$14="Yes",IF(COUNTBLANK('Capacity summary'!$H187:$BG187)&lt;52,IF('Capacity summary'!AT187&lt;&gt;"",IF(LOWER('Capacity summary'!AT187)="x",$BI68*AT68,VALUE('Capacity summary'!AT187)),0),AT68*$BI68),AT68*$BI68),0)</f>
        <v>0</v>
      </c>
      <c r="CX68" s="311">
        <f>IF($BI68&lt;&gt;"",IF('Capacity summary'!$D$14="Yes",IF(COUNTBLANK('Capacity summary'!$H187:$BG187)&lt;52,IF('Capacity summary'!AU187&lt;&gt;"",IF(LOWER('Capacity summary'!AU187)="x",$BI68*AU68,VALUE('Capacity summary'!AU187)),0),AU68*$BI68),AU68*$BI68),0)</f>
        <v>0</v>
      </c>
      <c r="CY68" s="311">
        <f>IF($BI68&lt;&gt;"",IF('Capacity summary'!$D$14="Yes",IF(COUNTBLANK('Capacity summary'!$H187:$BG187)&lt;52,IF('Capacity summary'!AV187&lt;&gt;"",IF(LOWER('Capacity summary'!AV187)="x",$BI68*AV68,VALUE('Capacity summary'!AV187)),0),AV68*$BI68),AV68*$BI68),0)</f>
        <v>0</v>
      </c>
      <c r="CZ68" s="311">
        <f>IF($BI68&lt;&gt;"",IF('Capacity summary'!$D$14="Yes",IF(COUNTBLANK('Capacity summary'!$H187:$BG187)&lt;52,IF('Capacity summary'!AW187&lt;&gt;"",IF(LOWER('Capacity summary'!AW187)="x",$BI68*AW68,VALUE('Capacity summary'!AW187)),0),AW68*$BI68),AW68*$BI68),0)</f>
        <v>0</v>
      </c>
      <c r="DA68" s="311">
        <f>IF($BI68&lt;&gt;"",IF('Capacity summary'!$D$14="Yes",IF(COUNTBLANK('Capacity summary'!$H187:$BG187)&lt;52,IF('Capacity summary'!AX187&lt;&gt;"",IF(LOWER('Capacity summary'!AX187)="x",$BI68*AX68,VALUE('Capacity summary'!AX187)),0),AX68*$BI68),AX68*$BI68),0)</f>
        <v>0</v>
      </c>
      <c r="DB68" s="311">
        <f>IF($BI68&lt;&gt;"",IF('Capacity summary'!$D$14="Yes",IF(COUNTBLANK('Capacity summary'!$H187:$BG187)&lt;52,IF('Capacity summary'!AY187&lt;&gt;"",IF(LOWER('Capacity summary'!AY187)="x",$BI68*AY68,VALUE('Capacity summary'!AY187)),0),AY68*$BI68),AY68*$BI68),0)</f>
        <v>0</v>
      </c>
      <c r="DC68" s="311">
        <f>IF($BI68&lt;&gt;"",IF('Capacity summary'!$D$14="Yes",IF(COUNTBLANK('Capacity summary'!$H187:$BG187)&lt;52,IF('Capacity summary'!AZ187&lt;&gt;"",IF(LOWER('Capacity summary'!AZ187)="x",$BI68*AZ68,VALUE('Capacity summary'!AZ187)),0),AZ68*$BI68),AZ68*$BI68),0)</f>
        <v>0</v>
      </c>
      <c r="DD68" s="311">
        <f>IF($BI68&lt;&gt;"",IF('Capacity summary'!$D$14="Yes",IF(COUNTBLANK('Capacity summary'!$H187:$BG187)&lt;52,IF('Capacity summary'!BA187&lt;&gt;"",IF(LOWER('Capacity summary'!BA187)="x",$BI68*BA68,VALUE('Capacity summary'!BA187)),0),BA68*$BI68),BA68*$BI68),0)</f>
        <v>0</v>
      </c>
      <c r="DE68" s="311">
        <f>IF($BI68&lt;&gt;"",IF('Capacity summary'!$D$14="Yes",IF(COUNTBLANK('Capacity summary'!$H187:$BG187)&lt;52,IF('Capacity summary'!BB187&lt;&gt;"",IF(LOWER('Capacity summary'!BB187)="x",$BI68*BB68,VALUE('Capacity summary'!BB187)),0),BB68*$BI68),BB68*$BI68),0)</f>
        <v>0</v>
      </c>
      <c r="DF68" s="311">
        <f>IF($BI68&lt;&gt;"",IF('Capacity summary'!$D$14="Yes",IF(COUNTBLANK('Capacity summary'!$H187:$BG187)&lt;52,IF('Capacity summary'!BC187&lt;&gt;"",IF(LOWER('Capacity summary'!BC187)="x",$BI68*BC68,VALUE('Capacity summary'!BC187)),0),BC68*$BI68),BC68*$BI68),0)</f>
        <v>0</v>
      </c>
      <c r="DG68" s="311">
        <f>IF($BI68&lt;&gt;"",IF('Capacity summary'!$D$14="Yes",IF(COUNTBLANK('Capacity summary'!$H187:$BG187)&lt;52,IF('Capacity summary'!BD187&lt;&gt;"",IF(LOWER('Capacity summary'!BD187)="x",$BI68*BD68,VALUE('Capacity summary'!BD187)),0),BD68*$BI68),BD68*$BI68),0)</f>
        <v>0</v>
      </c>
      <c r="DH68" s="311">
        <f>IF($BI68&lt;&gt;"",IF('Capacity summary'!$D$14="Yes",IF(COUNTBLANK('Capacity summary'!$H187:$BG187)&lt;52,IF('Capacity summary'!BE187&lt;&gt;"",IF(LOWER('Capacity summary'!BE187)="x",$BI68*BE68,VALUE('Capacity summary'!BE187)),0),BE68*$BI68),BE68*$BI68),0)</f>
        <v>0</v>
      </c>
      <c r="DI68" s="311">
        <f>IF($BI68&lt;&gt;"",IF('Capacity summary'!$D$14="Yes",IF(COUNTBLANK('Capacity summary'!$H187:$BG187)&lt;52,IF('Capacity summary'!BF187&lt;&gt;"",IF(LOWER('Capacity summary'!BF187)="x",$BI68*BF68,VALUE('Capacity summary'!BF187)),0),BF68*$BI68),BF68*$BI68),0)</f>
        <v>0</v>
      </c>
      <c r="DJ68" s="311">
        <f>IF($BI68&lt;&gt;"",IF('Capacity summary'!$D$14="Yes",IF(COUNTBLANK('Capacity summary'!$H187:$BG187)&lt;52,IF('Capacity summary'!BG187&lt;&gt;"",IF(LOWER('Capacity summary'!BG187)="x",$BI68*BG68,VALUE('Capacity summary'!BG187)),0),BG68*$BI68),BG68*$BI68),0)</f>
        <v>0</v>
      </c>
      <c r="DK68" s="387">
        <f t="shared" si="2"/>
        <v>0</v>
      </c>
      <c r="DL68" s="136">
        <f t="shared" si="3"/>
        <v>0</v>
      </c>
      <c r="DM68" s="311" t="str">
        <f>Capacity!H80</f>
        <v/>
      </c>
    </row>
    <row r="69" spans="1:117" x14ac:dyDescent="0.2">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1">
        <f>IF($BI69&lt;&gt;"",IF('Capacity summary'!$D$14="Yes",IF(COUNTBLANK('Capacity summary'!$H188:$BG188)&lt;52,IF('Capacity summary'!H188&lt;&gt;"",IF(LOWER('Capacity summary'!H188)="x",$BI69*H69,VALUE('Capacity summary'!H188)),0),H69*$BI69),H69*$BI69),0)</f>
        <v>0</v>
      </c>
      <c r="BL69" s="311">
        <f>IF($BI69&lt;&gt;"",IF('Capacity summary'!$D$14="Yes",IF(COUNTBLANK('Capacity summary'!$H188:$BG188)&lt;52,IF('Capacity summary'!I188&lt;&gt;"",IF(LOWER('Capacity summary'!I188)="x",$BI69*I69,VALUE('Capacity summary'!I188)),0),I69*$BI69),I69*$BI69),0)</f>
        <v>0</v>
      </c>
      <c r="BM69" s="311">
        <f>IF($BI69&lt;&gt;"",IF('Capacity summary'!$D$14="Yes",IF(COUNTBLANK('Capacity summary'!$H188:$BG188)&lt;52,IF('Capacity summary'!J188&lt;&gt;"",IF(LOWER('Capacity summary'!J188)="x",$BI69*J69,VALUE('Capacity summary'!J188)),0),J69*$BI69),J69*$BI69),0)</f>
        <v>0</v>
      </c>
      <c r="BN69" s="311">
        <f>IF($BI69&lt;&gt;"",IF('Capacity summary'!$D$14="Yes",IF(COUNTBLANK('Capacity summary'!$H188:$BG188)&lt;52,IF('Capacity summary'!K188&lt;&gt;"",IF(LOWER('Capacity summary'!K188)="x",$BI69*K69,VALUE('Capacity summary'!K188)),0),K69*$BI69),K69*$BI69),0)</f>
        <v>0</v>
      </c>
      <c r="BO69" s="311">
        <f>IF($BI69&lt;&gt;"",IF('Capacity summary'!$D$14="Yes",IF(COUNTBLANK('Capacity summary'!$H188:$BG188)&lt;52,IF('Capacity summary'!L188&lt;&gt;"",IF(LOWER('Capacity summary'!L188)="x",$BI69*L69,VALUE('Capacity summary'!L188)),0),L69*$BI69),L69*$BI69),0)</f>
        <v>0</v>
      </c>
      <c r="BP69" s="311">
        <f>IF($BI69&lt;&gt;"",IF('Capacity summary'!$D$14="Yes",IF(COUNTBLANK('Capacity summary'!$H188:$BG188)&lt;52,IF('Capacity summary'!M188&lt;&gt;"",IF(LOWER('Capacity summary'!M188)="x",$BI69*M69,VALUE('Capacity summary'!M188)),0),M69*$BI69),M69*$BI69),0)</f>
        <v>0</v>
      </c>
      <c r="BQ69" s="311">
        <f>IF($BI69&lt;&gt;"",IF('Capacity summary'!$D$14="Yes",IF(COUNTBLANK('Capacity summary'!$H188:$BG188)&lt;52,IF('Capacity summary'!N188&lt;&gt;"",IF(LOWER('Capacity summary'!N188)="x",$BI69*N69,VALUE('Capacity summary'!N188)),0),N69*$BI69),N69*$BI69),0)</f>
        <v>0</v>
      </c>
      <c r="BR69" s="311">
        <f>IF($BI69&lt;&gt;"",IF('Capacity summary'!$D$14="Yes",IF(COUNTBLANK('Capacity summary'!$H188:$BG188)&lt;52,IF('Capacity summary'!O188&lt;&gt;"",IF(LOWER('Capacity summary'!O188)="x",$BI69*O69,VALUE('Capacity summary'!O188)),0),O69*$BI69),O69*$BI69),0)</f>
        <v>0</v>
      </c>
      <c r="BS69" s="311">
        <f>IF($BI69&lt;&gt;"",IF('Capacity summary'!$D$14="Yes",IF(COUNTBLANK('Capacity summary'!$H188:$BG188)&lt;52,IF('Capacity summary'!P188&lt;&gt;"",IF(LOWER('Capacity summary'!P188)="x",$BI69*P69,VALUE('Capacity summary'!P188)),0),P69*$BI69),P69*$BI69),0)</f>
        <v>0</v>
      </c>
      <c r="BT69" s="311">
        <f>IF($BI69&lt;&gt;"",IF('Capacity summary'!$D$14="Yes",IF(COUNTBLANK('Capacity summary'!$H188:$BG188)&lt;52,IF('Capacity summary'!Q188&lt;&gt;"",IF(LOWER('Capacity summary'!Q188)="x",$BI69*Q69,VALUE('Capacity summary'!Q188)),0),Q69*$BI69),Q69*$BI69),0)</f>
        <v>0</v>
      </c>
      <c r="BU69" s="311">
        <f>IF($BI69&lt;&gt;"",IF('Capacity summary'!$D$14="Yes",IF(COUNTBLANK('Capacity summary'!$H188:$BG188)&lt;52,IF('Capacity summary'!R188&lt;&gt;"",IF(LOWER('Capacity summary'!R188)="x",$BI69*R69,VALUE('Capacity summary'!R188)),0),R69*$BI69),R69*$BI69),0)</f>
        <v>0</v>
      </c>
      <c r="BV69" s="311">
        <f>IF($BI69&lt;&gt;"",IF('Capacity summary'!$D$14="Yes",IF(COUNTBLANK('Capacity summary'!$H188:$BG188)&lt;52,IF('Capacity summary'!S188&lt;&gt;"",IF(LOWER('Capacity summary'!S188)="x",$BI69*S69,VALUE('Capacity summary'!S188)),0),S69*$BI69),S69*$BI69),0)</f>
        <v>0</v>
      </c>
      <c r="BW69" s="311">
        <f>IF($BI69&lt;&gt;"",IF('Capacity summary'!$D$14="Yes",IF(COUNTBLANK('Capacity summary'!$H188:$BG188)&lt;52,IF('Capacity summary'!T188&lt;&gt;"",IF(LOWER('Capacity summary'!T188)="x",$BI69*T69,VALUE('Capacity summary'!T188)),0),T69*$BI69),T69*$BI69),0)</f>
        <v>0</v>
      </c>
      <c r="BX69" s="311">
        <f>IF($BI69&lt;&gt;"",IF('Capacity summary'!$D$14="Yes",IF(COUNTBLANK('Capacity summary'!$H188:$BG188)&lt;52,IF('Capacity summary'!U188&lt;&gt;"",IF(LOWER('Capacity summary'!U188)="x",$BI69*U69,VALUE('Capacity summary'!U188)),0),U69*$BI69),U69*$BI69),0)</f>
        <v>0</v>
      </c>
      <c r="BY69" s="311">
        <f>IF($BI69&lt;&gt;"",IF('Capacity summary'!$D$14="Yes",IF(COUNTBLANK('Capacity summary'!$H188:$BG188)&lt;52,IF('Capacity summary'!V188&lt;&gt;"",IF(LOWER('Capacity summary'!V188)="x",$BI69*V69,VALUE('Capacity summary'!V188)),0),V69*$BI69),V69*$BI69),0)</f>
        <v>0</v>
      </c>
      <c r="BZ69" s="311">
        <f>IF($BI69&lt;&gt;"",IF('Capacity summary'!$D$14="Yes",IF(COUNTBLANK('Capacity summary'!$H188:$BG188)&lt;52,IF('Capacity summary'!W188&lt;&gt;"",IF(LOWER('Capacity summary'!W188)="x",$BI69*W69,VALUE('Capacity summary'!W188)),0),W69*$BI69),W69*$BI69),0)</f>
        <v>0</v>
      </c>
      <c r="CA69" s="311">
        <f>IF($BI69&lt;&gt;"",IF('Capacity summary'!$D$14="Yes",IF(COUNTBLANK('Capacity summary'!$H188:$BG188)&lt;52,IF('Capacity summary'!X188&lt;&gt;"",IF(LOWER('Capacity summary'!X188)="x",$BI69*X69,VALUE('Capacity summary'!X188)),0),X69*$BI69),X69*$BI69),0)</f>
        <v>0</v>
      </c>
      <c r="CB69" s="311">
        <f>IF($BI69&lt;&gt;"",IF('Capacity summary'!$D$14="Yes",IF(COUNTBLANK('Capacity summary'!$H188:$BG188)&lt;52,IF('Capacity summary'!Y188&lt;&gt;"",IF(LOWER('Capacity summary'!Y188)="x",$BI69*Y69,VALUE('Capacity summary'!Y188)),0),Y69*$BI69),Y69*$BI69),0)</f>
        <v>0</v>
      </c>
      <c r="CC69" s="311">
        <f>IF($BI69&lt;&gt;"",IF('Capacity summary'!$D$14="Yes",IF(COUNTBLANK('Capacity summary'!$H188:$BG188)&lt;52,IF('Capacity summary'!Z188&lt;&gt;"",IF(LOWER('Capacity summary'!Z188)="x",$BI69*Z69,VALUE('Capacity summary'!Z188)),0),Z69*$BI69),Z69*$BI69),0)</f>
        <v>0</v>
      </c>
      <c r="CD69" s="311">
        <f>IF($BI69&lt;&gt;"",IF('Capacity summary'!$D$14="Yes",IF(COUNTBLANK('Capacity summary'!$H188:$BG188)&lt;52,IF('Capacity summary'!AA188&lt;&gt;"",IF(LOWER('Capacity summary'!AA188)="x",$BI69*AA69,VALUE('Capacity summary'!AA188)),0),AA69*$BI69),AA69*$BI69),0)</f>
        <v>0</v>
      </c>
      <c r="CE69" s="311">
        <f>IF($BI69&lt;&gt;"",IF('Capacity summary'!$D$14="Yes",IF(COUNTBLANK('Capacity summary'!$H188:$BG188)&lt;52,IF('Capacity summary'!AB188&lt;&gt;"",IF(LOWER('Capacity summary'!AB188)="x",$BI69*AB69,VALUE('Capacity summary'!AB188)),0),AB69*$BI69),AB69*$BI69),0)</f>
        <v>0</v>
      </c>
      <c r="CF69" s="311">
        <f>IF($BI69&lt;&gt;"",IF('Capacity summary'!$D$14="Yes",IF(COUNTBLANK('Capacity summary'!$H188:$BG188)&lt;52,IF('Capacity summary'!AC188&lt;&gt;"",IF(LOWER('Capacity summary'!AC188)="x",$BI69*AC69,VALUE('Capacity summary'!AC188)),0),AC69*$BI69),AC69*$BI69),0)</f>
        <v>0</v>
      </c>
      <c r="CG69" s="311">
        <f>IF($BI69&lt;&gt;"",IF('Capacity summary'!$D$14="Yes",IF(COUNTBLANK('Capacity summary'!$H188:$BG188)&lt;52,IF('Capacity summary'!AD188&lt;&gt;"",IF(LOWER('Capacity summary'!AD188)="x",$BI69*AD69,VALUE('Capacity summary'!AD188)),0),AD69*$BI69),AD69*$BI69),0)</f>
        <v>0</v>
      </c>
      <c r="CH69" s="311">
        <f>IF($BI69&lt;&gt;"",IF('Capacity summary'!$D$14="Yes",IF(COUNTBLANK('Capacity summary'!$H188:$BG188)&lt;52,IF('Capacity summary'!AE188&lt;&gt;"",IF(LOWER('Capacity summary'!AE188)="x",$BI69*AE69,VALUE('Capacity summary'!AE188)),0),AE69*$BI69),AE69*$BI69),0)</f>
        <v>0</v>
      </c>
      <c r="CI69" s="311">
        <f>IF($BI69&lt;&gt;"",IF('Capacity summary'!$D$14="Yes",IF(COUNTBLANK('Capacity summary'!$H188:$BG188)&lt;52,IF('Capacity summary'!AF188&lt;&gt;"",IF(LOWER('Capacity summary'!AF188)="x",$BI69*AF69,VALUE('Capacity summary'!AF188)),0),AF69*$BI69),AF69*$BI69),0)</f>
        <v>0</v>
      </c>
      <c r="CJ69" s="311">
        <f>IF($BI69&lt;&gt;"",IF('Capacity summary'!$D$14="Yes",IF(COUNTBLANK('Capacity summary'!$H188:$BG188)&lt;52,IF('Capacity summary'!AG188&lt;&gt;"",IF(LOWER('Capacity summary'!AG188)="x",$BI69*AG69,VALUE('Capacity summary'!AG188)),0),AG69*$BI69),AG69*$BI69),0)</f>
        <v>0</v>
      </c>
      <c r="CK69" s="311">
        <f>IF($BI69&lt;&gt;"",IF('Capacity summary'!$D$14="Yes",IF(COUNTBLANK('Capacity summary'!$H188:$BG188)&lt;52,IF('Capacity summary'!AH188&lt;&gt;"",IF(LOWER('Capacity summary'!AH188)="x",$BI69*AH69,VALUE('Capacity summary'!AH188)),0),AH69*$BI69),AH69*$BI69),0)</f>
        <v>0</v>
      </c>
      <c r="CL69" s="311">
        <f>IF($BI69&lt;&gt;"",IF('Capacity summary'!$D$14="Yes",IF(COUNTBLANK('Capacity summary'!$H188:$BG188)&lt;52,IF('Capacity summary'!AI188&lt;&gt;"",IF(LOWER('Capacity summary'!AI188)="x",$BI69*AI69,VALUE('Capacity summary'!AI188)),0),AI69*$BI69),AI69*$BI69),0)</f>
        <v>0</v>
      </c>
      <c r="CM69" s="311">
        <f>IF($BI69&lt;&gt;"",IF('Capacity summary'!$D$14="Yes",IF(COUNTBLANK('Capacity summary'!$H188:$BG188)&lt;52,IF('Capacity summary'!AJ188&lt;&gt;"",IF(LOWER('Capacity summary'!AJ188)="x",$BI69*AJ69,VALUE('Capacity summary'!AJ188)),0),AJ69*$BI69),AJ69*$BI69),0)</f>
        <v>0</v>
      </c>
      <c r="CN69" s="311">
        <f>IF($BI69&lt;&gt;"",IF('Capacity summary'!$D$14="Yes",IF(COUNTBLANK('Capacity summary'!$H188:$BG188)&lt;52,IF('Capacity summary'!AK188&lt;&gt;"",IF(LOWER('Capacity summary'!AK188)="x",$BI69*AK69,VALUE('Capacity summary'!AK188)),0),AK69*$BI69),AK69*$BI69),0)</f>
        <v>0</v>
      </c>
      <c r="CO69" s="311">
        <f>IF($BI69&lt;&gt;"",IF('Capacity summary'!$D$14="Yes",IF(COUNTBLANK('Capacity summary'!$H188:$BG188)&lt;52,IF('Capacity summary'!AL188&lt;&gt;"",IF(LOWER('Capacity summary'!AL188)="x",$BI69*AL69,VALUE('Capacity summary'!AL188)),0),AL69*$BI69),AL69*$BI69),0)</f>
        <v>0</v>
      </c>
      <c r="CP69" s="311">
        <f>IF($BI69&lt;&gt;"",IF('Capacity summary'!$D$14="Yes",IF(COUNTBLANK('Capacity summary'!$H188:$BG188)&lt;52,IF('Capacity summary'!AM188&lt;&gt;"",IF(LOWER('Capacity summary'!AM188)="x",$BI69*AM69,VALUE('Capacity summary'!AM188)),0),AM69*$BI69),AM69*$BI69),0)</f>
        <v>0</v>
      </c>
      <c r="CQ69" s="311">
        <f>IF($BI69&lt;&gt;"",IF('Capacity summary'!$D$14="Yes",IF(COUNTBLANK('Capacity summary'!$H188:$BG188)&lt;52,IF('Capacity summary'!AN188&lt;&gt;"",IF(LOWER('Capacity summary'!AN188)="x",$BI69*AN69,VALUE('Capacity summary'!AN188)),0),AN69*$BI69),AN69*$BI69),0)</f>
        <v>0</v>
      </c>
      <c r="CR69" s="311">
        <f>IF($BI69&lt;&gt;"",IF('Capacity summary'!$D$14="Yes",IF(COUNTBLANK('Capacity summary'!$H188:$BG188)&lt;52,IF('Capacity summary'!AO188&lt;&gt;"",IF(LOWER('Capacity summary'!AO188)="x",$BI69*AO69,VALUE('Capacity summary'!AO188)),0),AO69*$BI69),AO69*$BI69),0)</f>
        <v>0</v>
      </c>
      <c r="CS69" s="311">
        <f>IF($BI69&lt;&gt;"",IF('Capacity summary'!$D$14="Yes",IF(COUNTBLANK('Capacity summary'!$H188:$BG188)&lt;52,IF('Capacity summary'!AP188&lt;&gt;"",IF(LOWER('Capacity summary'!AP188)="x",$BI69*AP69,VALUE('Capacity summary'!AP188)),0),AP69*$BI69),AP69*$BI69),0)</f>
        <v>0</v>
      </c>
      <c r="CT69" s="311">
        <f>IF($BI69&lt;&gt;"",IF('Capacity summary'!$D$14="Yes",IF(COUNTBLANK('Capacity summary'!$H188:$BG188)&lt;52,IF('Capacity summary'!AQ188&lt;&gt;"",IF(LOWER('Capacity summary'!AQ188)="x",$BI69*AQ69,VALUE('Capacity summary'!AQ188)),0),AQ69*$BI69),AQ69*$BI69),0)</f>
        <v>0</v>
      </c>
      <c r="CU69" s="311">
        <f>IF($BI69&lt;&gt;"",IF('Capacity summary'!$D$14="Yes",IF(COUNTBLANK('Capacity summary'!$H188:$BG188)&lt;52,IF('Capacity summary'!AR188&lt;&gt;"",IF(LOWER('Capacity summary'!AR188)="x",$BI69*AR69,VALUE('Capacity summary'!AR188)),0),AR69*$BI69),AR69*$BI69),0)</f>
        <v>0</v>
      </c>
      <c r="CV69" s="311">
        <f>IF($BI69&lt;&gt;"",IF('Capacity summary'!$D$14="Yes",IF(COUNTBLANK('Capacity summary'!$H188:$BG188)&lt;52,IF('Capacity summary'!AS188&lt;&gt;"",IF(LOWER('Capacity summary'!AS188)="x",$BI69*AS69,VALUE('Capacity summary'!AS188)),0),AS69*$BI69),AS69*$BI69),0)</f>
        <v>0</v>
      </c>
      <c r="CW69" s="311">
        <f>IF($BI69&lt;&gt;"",IF('Capacity summary'!$D$14="Yes",IF(COUNTBLANK('Capacity summary'!$H188:$BG188)&lt;52,IF('Capacity summary'!AT188&lt;&gt;"",IF(LOWER('Capacity summary'!AT188)="x",$BI69*AT69,VALUE('Capacity summary'!AT188)),0),AT69*$BI69),AT69*$BI69),0)</f>
        <v>0</v>
      </c>
      <c r="CX69" s="311">
        <f>IF($BI69&lt;&gt;"",IF('Capacity summary'!$D$14="Yes",IF(COUNTBLANK('Capacity summary'!$H188:$BG188)&lt;52,IF('Capacity summary'!AU188&lt;&gt;"",IF(LOWER('Capacity summary'!AU188)="x",$BI69*AU69,VALUE('Capacity summary'!AU188)),0),AU69*$BI69),AU69*$BI69),0)</f>
        <v>0</v>
      </c>
      <c r="CY69" s="311">
        <f>IF($BI69&lt;&gt;"",IF('Capacity summary'!$D$14="Yes",IF(COUNTBLANK('Capacity summary'!$H188:$BG188)&lt;52,IF('Capacity summary'!AV188&lt;&gt;"",IF(LOWER('Capacity summary'!AV188)="x",$BI69*AV69,VALUE('Capacity summary'!AV188)),0),AV69*$BI69),AV69*$BI69),0)</f>
        <v>0</v>
      </c>
      <c r="CZ69" s="311">
        <f>IF($BI69&lt;&gt;"",IF('Capacity summary'!$D$14="Yes",IF(COUNTBLANK('Capacity summary'!$H188:$BG188)&lt;52,IF('Capacity summary'!AW188&lt;&gt;"",IF(LOWER('Capacity summary'!AW188)="x",$BI69*AW69,VALUE('Capacity summary'!AW188)),0),AW69*$BI69),AW69*$BI69),0)</f>
        <v>0</v>
      </c>
      <c r="DA69" s="311">
        <f>IF($BI69&lt;&gt;"",IF('Capacity summary'!$D$14="Yes",IF(COUNTBLANK('Capacity summary'!$H188:$BG188)&lt;52,IF('Capacity summary'!AX188&lt;&gt;"",IF(LOWER('Capacity summary'!AX188)="x",$BI69*AX69,VALUE('Capacity summary'!AX188)),0),AX69*$BI69),AX69*$BI69),0)</f>
        <v>0</v>
      </c>
      <c r="DB69" s="311">
        <f>IF($BI69&lt;&gt;"",IF('Capacity summary'!$D$14="Yes",IF(COUNTBLANK('Capacity summary'!$H188:$BG188)&lt;52,IF('Capacity summary'!AY188&lt;&gt;"",IF(LOWER('Capacity summary'!AY188)="x",$BI69*AY69,VALUE('Capacity summary'!AY188)),0),AY69*$BI69),AY69*$BI69),0)</f>
        <v>0</v>
      </c>
      <c r="DC69" s="311">
        <f>IF($BI69&lt;&gt;"",IF('Capacity summary'!$D$14="Yes",IF(COUNTBLANK('Capacity summary'!$H188:$BG188)&lt;52,IF('Capacity summary'!AZ188&lt;&gt;"",IF(LOWER('Capacity summary'!AZ188)="x",$BI69*AZ69,VALUE('Capacity summary'!AZ188)),0),AZ69*$BI69),AZ69*$BI69),0)</f>
        <v>0</v>
      </c>
      <c r="DD69" s="311">
        <f>IF($BI69&lt;&gt;"",IF('Capacity summary'!$D$14="Yes",IF(COUNTBLANK('Capacity summary'!$H188:$BG188)&lt;52,IF('Capacity summary'!BA188&lt;&gt;"",IF(LOWER('Capacity summary'!BA188)="x",$BI69*BA69,VALUE('Capacity summary'!BA188)),0),BA69*$BI69),BA69*$BI69),0)</f>
        <v>0</v>
      </c>
      <c r="DE69" s="311">
        <f>IF($BI69&lt;&gt;"",IF('Capacity summary'!$D$14="Yes",IF(COUNTBLANK('Capacity summary'!$H188:$BG188)&lt;52,IF('Capacity summary'!BB188&lt;&gt;"",IF(LOWER('Capacity summary'!BB188)="x",$BI69*BB69,VALUE('Capacity summary'!BB188)),0),BB69*$BI69),BB69*$BI69),0)</f>
        <v>0</v>
      </c>
      <c r="DF69" s="311">
        <f>IF($BI69&lt;&gt;"",IF('Capacity summary'!$D$14="Yes",IF(COUNTBLANK('Capacity summary'!$H188:$BG188)&lt;52,IF('Capacity summary'!BC188&lt;&gt;"",IF(LOWER('Capacity summary'!BC188)="x",$BI69*BC69,VALUE('Capacity summary'!BC188)),0),BC69*$BI69),BC69*$BI69),0)</f>
        <v>0</v>
      </c>
      <c r="DG69" s="311">
        <f>IF($BI69&lt;&gt;"",IF('Capacity summary'!$D$14="Yes",IF(COUNTBLANK('Capacity summary'!$H188:$BG188)&lt;52,IF('Capacity summary'!BD188&lt;&gt;"",IF(LOWER('Capacity summary'!BD188)="x",$BI69*BD69,VALUE('Capacity summary'!BD188)),0),BD69*$BI69),BD69*$BI69),0)</f>
        <v>0</v>
      </c>
      <c r="DH69" s="311">
        <f>IF($BI69&lt;&gt;"",IF('Capacity summary'!$D$14="Yes",IF(COUNTBLANK('Capacity summary'!$H188:$BG188)&lt;52,IF('Capacity summary'!BE188&lt;&gt;"",IF(LOWER('Capacity summary'!BE188)="x",$BI69*BE69,VALUE('Capacity summary'!BE188)),0),BE69*$BI69),BE69*$BI69),0)</f>
        <v>0</v>
      </c>
      <c r="DI69" s="311">
        <f>IF($BI69&lt;&gt;"",IF('Capacity summary'!$D$14="Yes",IF(COUNTBLANK('Capacity summary'!$H188:$BG188)&lt;52,IF('Capacity summary'!BF188&lt;&gt;"",IF(LOWER('Capacity summary'!BF188)="x",$BI69*BF69,VALUE('Capacity summary'!BF188)),0),BF69*$BI69),BF69*$BI69),0)</f>
        <v>0</v>
      </c>
      <c r="DJ69" s="311">
        <f>IF($BI69&lt;&gt;"",IF('Capacity summary'!$D$14="Yes",IF(COUNTBLANK('Capacity summary'!$H188:$BG188)&lt;52,IF('Capacity summary'!BG188&lt;&gt;"",IF(LOWER('Capacity summary'!BG188)="x",$BI69*BG69,VALUE('Capacity summary'!BG188)),0),BG69*$BI69),BG69*$BI69),0)</f>
        <v>0</v>
      </c>
      <c r="DK69" s="387">
        <f t="shared" ref="DK69:DK104" si="4">DJ69</f>
        <v>0</v>
      </c>
      <c r="DL69" s="136">
        <f t="shared" ref="DL69:DL104" si="5">SUM(BK69:DJ69)</f>
        <v>0</v>
      </c>
      <c r="DM69" s="311" t="str">
        <f>Capacity!H81</f>
        <v/>
      </c>
    </row>
    <row r="70" spans="1:117" x14ac:dyDescent="0.2">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1">
        <f>IF($BI70&lt;&gt;"",IF('Capacity summary'!$D$14="Yes",IF(COUNTBLANK('Capacity summary'!$H189:$BG189)&lt;52,IF('Capacity summary'!H189&lt;&gt;"",IF(LOWER('Capacity summary'!H189)="x",$BI70*H70,VALUE('Capacity summary'!H189)),0),H70*$BI70),H70*$BI70),0)</f>
        <v>0</v>
      </c>
      <c r="BL70" s="311">
        <f>IF($BI70&lt;&gt;"",IF('Capacity summary'!$D$14="Yes",IF(COUNTBLANK('Capacity summary'!$H189:$BG189)&lt;52,IF('Capacity summary'!I189&lt;&gt;"",IF(LOWER('Capacity summary'!I189)="x",$BI70*I70,VALUE('Capacity summary'!I189)),0),I70*$BI70),I70*$BI70),0)</f>
        <v>0</v>
      </c>
      <c r="BM70" s="311">
        <f>IF($BI70&lt;&gt;"",IF('Capacity summary'!$D$14="Yes",IF(COUNTBLANK('Capacity summary'!$H189:$BG189)&lt;52,IF('Capacity summary'!J189&lt;&gt;"",IF(LOWER('Capacity summary'!J189)="x",$BI70*J70,VALUE('Capacity summary'!J189)),0),J70*$BI70),J70*$BI70),0)</f>
        <v>0</v>
      </c>
      <c r="BN70" s="311">
        <f>IF($BI70&lt;&gt;"",IF('Capacity summary'!$D$14="Yes",IF(COUNTBLANK('Capacity summary'!$H189:$BG189)&lt;52,IF('Capacity summary'!K189&lt;&gt;"",IF(LOWER('Capacity summary'!K189)="x",$BI70*K70,VALUE('Capacity summary'!K189)),0),K70*$BI70),K70*$BI70),0)</f>
        <v>0</v>
      </c>
      <c r="BO70" s="311">
        <f>IF($BI70&lt;&gt;"",IF('Capacity summary'!$D$14="Yes",IF(COUNTBLANK('Capacity summary'!$H189:$BG189)&lt;52,IF('Capacity summary'!L189&lt;&gt;"",IF(LOWER('Capacity summary'!L189)="x",$BI70*L70,VALUE('Capacity summary'!L189)),0),L70*$BI70),L70*$BI70),0)</f>
        <v>0</v>
      </c>
      <c r="BP70" s="311">
        <f>IF($BI70&lt;&gt;"",IF('Capacity summary'!$D$14="Yes",IF(COUNTBLANK('Capacity summary'!$H189:$BG189)&lt;52,IF('Capacity summary'!M189&lt;&gt;"",IF(LOWER('Capacity summary'!M189)="x",$BI70*M70,VALUE('Capacity summary'!M189)),0),M70*$BI70),M70*$BI70),0)</f>
        <v>0</v>
      </c>
      <c r="BQ70" s="311">
        <f>IF($BI70&lt;&gt;"",IF('Capacity summary'!$D$14="Yes",IF(COUNTBLANK('Capacity summary'!$H189:$BG189)&lt;52,IF('Capacity summary'!N189&lt;&gt;"",IF(LOWER('Capacity summary'!N189)="x",$BI70*N70,VALUE('Capacity summary'!N189)),0),N70*$BI70),N70*$BI70),0)</f>
        <v>0</v>
      </c>
      <c r="BR70" s="311">
        <f>IF($BI70&lt;&gt;"",IF('Capacity summary'!$D$14="Yes",IF(COUNTBLANK('Capacity summary'!$H189:$BG189)&lt;52,IF('Capacity summary'!O189&lt;&gt;"",IF(LOWER('Capacity summary'!O189)="x",$BI70*O70,VALUE('Capacity summary'!O189)),0),O70*$BI70),O70*$BI70),0)</f>
        <v>0</v>
      </c>
      <c r="BS70" s="311">
        <f>IF($BI70&lt;&gt;"",IF('Capacity summary'!$D$14="Yes",IF(COUNTBLANK('Capacity summary'!$H189:$BG189)&lt;52,IF('Capacity summary'!P189&lt;&gt;"",IF(LOWER('Capacity summary'!P189)="x",$BI70*P70,VALUE('Capacity summary'!P189)),0),P70*$BI70),P70*$BI70),0)</f>
        <v>0</v>
      </c>
      <c r="BT70" s="311">
        <f>IF($BI70&lt;&gt;"",IF('Capacity summary'!$D$14="Yes",IF(COUNTBLANK('Capacity summary'!$H189:$BG189)&lt;52,IF('Capacity summary'!Q189&lt;&gt;"",IF(LOWER('Capacity summary'!Q189)="x",$BI70*Q70,VALUE('Capacity summary'!Q189)),0),Q70*$BI70),Q70*$BI70),0)</f>
        <v>0</v>
      </c>
      <c r="BU70" s="311">
        <f>IF($BI70&lt;&gt;"",IF('Capacity summary'!$D$14="Yes",IF(COUNTBLANK('Capacity summary'!$H189:$BG189)&lt;52,IF('Capacity summary'!R189&lt;&gt;"",IF(LOWER('Capacity summary'!R189)="x",$BI70*R70,VALUE('Capacity summary'!R189)),0),R70*$BI70),R70*$BI70),0)</f>
        <v>0</v>
      </c>
      <c r="BV70" s="311">
        <f>IF($BI70&lt;&gt;"",IF('Capacity summary'!$D$14="Yes",IF(COUNTBLANK('Capacity summary'!$H189:$BG189)&lt;52,IF('Capacity summary'!S189&lt;&gt;"",IF(LOWER('Capacity summary'!S189)="x",$BI70*S70,VALUE('Capacity summary'!S189)),0),S70*$BI70),S70*$BI70),0)</f>
        <v>0</v>
      </c>
      <c r="BW70" s="311">
        <f>IF($BI70&lt;&gt;"",IF('Capacity summary'!$D$14="Yes",IF(COUNTBLANK('Capacity summary'!$H189:$BG189)&lt;52,IF('Capacity summary'!T189&lt;&gt;"",IF(LOWER('Capacity summary'!T189)="x",$BI70*T70,VALUE('Capacity summary'!T189)),0),T70*$BI70),T70*$BI70),0)</f>
        <v>0</v>
      </c>
      <c r="BX70" s="311">
        <f>IF($BI70&lt;&gt;"",IF('Capacity summary'!$D$14="Yes",IF(COUNTBLANK('Capacity summary'!$H189:$BG189)&lt;52,IF('Capacity summary'!U189&lt;&gt;"",IF(LOWER('Capacity summary'!U189)="x",$BI70*U70,VALUE('Capacity summary'!U189)),0),U70*$BI70),U70*$BI70),0)</f>
        <v>0</v>
      </c>
      <c r="BY70" s="311">
        <f>IF($BI70&lt;&gt;"",IF('Capacity summary'!$D$14="Yes",IF(COUNTBLANK('Capacity summary'!$H189:$BG189)&lt;52,IF('Capacity summary'!V189&lt;&gt;"",IF(LOWER('Capacity summary'!V189)="x",$BI70*V70,VALUE('Capacity summary'!V189)),0),V70*$BI70),V70*$BI70),0)</f>
        <v>0</v>
      </c>
      <c r="BZ70" s="311">
        <f>IF($BI70&lt;&gt;"",IF('Capacity summary'!$D$14="Yes",IF(COUNTBLANK('Capacity summary'!$H189:$BG189)&lt;52,IF('Capacity summary'!W189&lt;&gt;"",IF(LOWER('Capacity summary'!W189)="x",$BI70*W70,VALUE('Capacity summary'!W189)),0),W70*$BI70),W70*$BI70),0)</f>
        <v>0</v>
      </c>
      <c r="CA70" s="311">
        <f>IF($BI70&lt;&gt;"",IF('Capacity summary'!$D$14="Yes",IF(COUNTBLANK('Capacity summary'!$H189:$BG189)&lt;52,IF('Capacity summary'!X189&lt;&gt;"",IF(LOWER('Capacity summary'!X189)="x",$BI70*X70,VALUE('Capacity summary'!X189)),0),X70*$BI70),X70*$BI70),0)</f>
        <v>0</v>
      </c>
      <c r="CB70" s="311">
        <f>IF($BI70&lt;&gt;"",IF('Capacity summary'!$D$14="Yes",IF(COUNTBLANK('Capacity summary'!$H189:$BG189)&lt;52,IF('Capacity summary'!Y189&lt;&gt;"",IF(LOWER('Capacity summary'!Y189)="x",$BI70*Y70,VALUE('Capacity summary'!Y189)),0),Y70*$BI70),Y70*$BI70),0)</f>
        <v>0</v>
      </c>
      <c r="CC70" s="311">
        <f>IF($BI70&lt;&gt;"",IF('Capacity summary'!$D$14="Yes",IF(COUNTBLANK('Capacity summary'!$H189:$BG189)&lt;52,IF('Capacity summary'!Z189&lt;&gt;"",IF(LOWER('Capacity summary'!Z189)="x",$BI70*Z70,VALUE('Capacity summary'!Z189)),0),Z70*$BI70),Z70*$BI70),0)</f>
        <v>0</v>
      </c>
      <c r="CD70" s="311">
        <f>IF($BI70&lt;&gt;"",IF('Capacity summary'!$D$14="Yes",IF(COUNTBLANK('Capacity summary'!$H189:$BG189)&lt;52,IF('Capacity summary'!AA189&lt;&gt;"",IF(LOWER('Capacity summary'!AA189)="x",$BI70*AA70,VALUE('Capacity summary'!AA189)),0),AA70*$BI70),AA70*$BI70),0)</f>
        <v>0</v>
      </c>
      <c r="CE70" s="311">
        <f>IF($BI70&lt;&gt;"",IF('Capacity summary'!$D$14="Yes",IF(COUNTBLANK('Capacity summary'!$H189:$BG189)&lt;52,IF('Capacity summary'!AB189&lt;&gt;"",IF(LOWER('Capacity summary'!AB189)="x",$BI70*AB70,VALUE('Capacity summary'!AB189)),0),AB70*$BI70),AB70*$BI70),0)</f>
        <v>0</v>
      </c>
      <c r="CF70" s="311">
        <f>IF($BI70&lt;&gt;"",IF('Capacity summary'!$D$14="Yes",IF(COUNTBLANK('Capacity summary'!$H189:$BG189)&lt;52,IF('Capacity summary'!AC189&lt;&gt;"",IF(LOWER('Capacity summary'!AC189)="x",$BI70*AC70,VALUE('Capacity summary'!AC189)),0),AC70*$BI70),AC70*$BI70),0)</f>
        <v>0</v>
      </c>
      <c r="CG70" s="311">
        <f>IF($BI70&lt;&gt;"",IF('Capacity summary'!$D$14="Yes",IF(COUNTBLANK('Capacity summary'!$H189:$BG189)&lt;52,IF('Capacity summary'!AD189&lt;&gt;"",IF(LOWER('Capacity summary'!AD189)="x",$BI70*AD70,VALUE('Capacity summary'!AD189)),0),AD70*$BI70),AD70*$BI70),0)</f>
        <v>0</v>
      </c>
      <c r="CH70" s="311">
        <f>IF($BI70&lt;&gt;"",IF('Capacity summary'!$D$14="Yes",IF(COUNTBLANK('Capacity summary'!$H189:$BG189)&lt;52,IF('Capacity summary'!AE189&lt;&gt;"",IF(LOWER('Capacity summary'!AE189)="x",$BI70*AE70,VALUE('Capacity summary'!AE189)),0),AE70*$BI70),AE70*$BI70),0)</f>
        <v>0</v>
      </c>
      <c r="CI70" s="311">
        <f>IF($BI70&lt;&gt;"",IF('Capacity summary'!$D$14="Yes",IF(COUNTBLANK('Capacity summary'!$H189:$BG189)&lt;52,IF('Capacity summary'!AF189&lt;&gt;"",IF(LOWER('Capacity summary'!AF189)="x",$BI70*AF70,VALUE('Capacity summary'!AF189)),0),AF70*$BI70),AF70*$BI70),0)</f>
        <v>0</v>
      </c>
      <c r="CJ70" s="311">
        <f>IF($BI70&lt;&gt;"",IF('Capacity summary'!$D$14="Yes",IF(COUNTBLANK('Capacity summary'!$H189:$BG189)&lt;52,IF('Capacity summary'!AG189&lt;&gt;"",IF(LOWER('Capacity summary'!AG189)="x",$BI70*AG70,VALUE('Capacity summary'!AG189)),0),AG70*$BI70),AG70*$BI70),0)</f>
        <v>0</v>
      </c>
      <c r="CK70" s="311">
        <f>IF($BI70&lt;&gt;"",IF('Capacity summary'!$D$14="Yes",IF(COUNTBLANK('Capacity summary'!$H189:$BG189)&lt;52,IF('Capacity summary'!AH189&lt;&gt;"",IF(LOWER('Capacity summary'!AH189)="x",$BI70*AH70,VALUE('Capacity summary'!AH189)),0),AH70*$BI70),AH70*$BI70),0)</f>
        <v>0</v>
      </c>
      <c r="CL70" s="311">
        <f>IF($BI70&lt;&gt;"",IF('Capacity summary'!$D$14="Yes",IF(COUNTBLANK('Capacity summary'!$H189:$BG189)&lt;52,IF('Capacity summary'!AI189&lt;&gt;"",IF(LOWER('Capacity summary'!AI189)="x",$BI70*AI70,VALUE('Capacity summary'!AI189)),0),AI70*$BI70),AI70*$BI70),0)</f>
        <v>0</v>
      </c>
      <c r="CM70" s="311">
        <f>IF($BI70&lt;&gt;"",IF('Capacity summary'!$D$14="Yes",IF(COUNTBLANK('Capacity summary'!$H189:$BG189)&lt;52,IF('Capacity summary'!AJ189&lt;&gt;"",IF(LOWER('Capacity summary'!AJ189)="x",$BI70*AJ70,VALUE('Capacity summary'!AJ189)),0),AJ70*$BI70),AJ70*$BI70),0)</f>
        <v>0</v>
      </c>
      <c r="CN70" s="311">
        <f>IF($BI70&lt;&gt;"",IF('Capacity summary'!$D$14="Yes",IF(COUNTBLANK('Capacity summary'!$H189:$BG189)&lt;52,IF('Capacity summary'!AK189&lt;&gt;"",IF(LOWER('Capacity summary'!AK189)="x",$BI70*AK70,VALUE('Capacity summary'!AK189)),0),AK70*$BI70),AK70*$BI70),0)</f>
        <v>0</v>
      </c>
      <c r="CO70" s="311">
        <f>IF($BI70&lt;&gt;"",IF('Capacity summary'!$D$14="Yes",IF(COUNTBLANK('Capacity summary'!$H189:$BG189)&lt;52,IF('Capacity summary'!AL189&lt;&gt;"",IF(LOWER('Capacity summary'!AL189)="x",$BI70*AL70,VALUE('Capacity summary'!AL189)),0),AL70*$BI70),AL70*$BI70),0)</f>
        <v>0</v>
      </c>
      <c r="CP70" s="311">
        <f>IF($BI70&lt;&gt;"",IF('Capacity summary'!$D$14="Yes",IF(COUNTBLANK('Capacity summary'!$H189:$BG189)&lt;52,IF('Capacity summary'!AM189&lt;&gt;"",IF(LOWER('Capacity summary'!AM189)="x",$BI70*AM70,VALUE('Capacity summary'!AM189)),0),AM70*$BI70),AM70*$BI70),0)</f>
        <v>0</v>
      </c>
      <c r="CQ70" s="311">
        <f>IF($BI70&lt;&gt;"",IF('Capacity summary'!$D$14="Yes",IF(COUNTBLANK('Capacity summary'!$H189:$BG189)&lt;52,IF('Capacity summary'!AN189&lt;&gt;"",IF(LOWER('Capacity summary'!AN189)="x",$BI70*AN70,VALUE('Capacity summary'!AN189)),0),AN70*$BI70),AN70*$BI70),0)</f>
        <v>0</v>
      </c>
      <c r="CR70" s="311">
        <f>IF($BI70&lt;&gt;"",IF('Capacity summary'!$D$14="Yes",IF(COUNTBLANK('Capacity summary'!$H189:$BG189)&lt;52,IF('Capacity summary'!AO189&lt;&gt;"",IF(LOWER('Capacity summary'!AO189)="x",$BI70*AO70,VALUE('Capacity summary'!AO189)),0),AO70*$BI70),AO70*$BI70),0)</f>
        <v>0</v>
      </c>
      <c r="CS70" s="311">
        <f>IF($BI70&lt;&gt;"",IF('Capacity summary'!$D$14="Yes",IF(COUNTBLANK('Capacity summary'!$H189:$BG189)&lt;52,IF('Capacity summary'!AP189&lt;&gt;"",IF(LOWER('Capacity summary'!AP189)="x",$BI70*AP70,VALUE('Capacity summary'!AP189)),0),AP70*$BI70),AP70*$BI70),0)</f>
        <v>0</v>
      </c>
      <c r="CT70" s="311">
        <f>IF($BI70&lt;&gt;"",IF('Capacity summary'!$D$14="Yes",IF(COUNTBLANK('Capacity summary'!$H189:$BG189)&lt;52,IF('Capacity summary'!AQ189&lt;&gt;"",IF(LOWER('Capacity summary'!AQ189)="x",$BI70*AQ70,VALUE('Capacity summary'!AQ189)),0),AQ70*$BI70),AQ70*$BI70),0)</f>
        <v>0</v>
      </c>
      <c r="CU70" s="311">
        <f>IF($BI70&lt;&gt;"",IF('Capacity summary'!$D$14="Yes",IF(COUNTBLANK('Capacity summary'!$H189:$BG189)&lt;52,IF('Capacity summary'!AR189&lt;&gt;"",IF(LOWER('Capacity summary'!AR189)="x",$BI70*AR70,VALUE('Capacity summary'!AR189)),0),AR70*$BI70),AR70*$BI70),0)</f>
        <v>0</v>
      </c>
      <c r="CV70" s="311">
        <f>IF($BI70&lt;&gt;"",IF('Capacity summary'!$D$14="Yes",IF(COUNTBLANK('Capacity summary'!$H189:$BG189)&lt;52,IF('Capacity summary'!AS189&lt;&gt;"",IF(LOWER('Capacity summary'!AS189)="x",$BI70*AS70,VALUE('Capacity summary'!AS189)),0),AS70*$BI70),AS70*$BI70),0)</f>
        <v>0</v>
      </c>
      <c r="CW70" s="311">
        <f>IF($BI70&lt;&gt;"",IF('Capacity summary'!$D$14="Yes",IF(COUNTBLANK('Capacity summary'!$H189:$BG189)&lt;52,IF('Capacity summary'!AT189&lt;&gt;"",IF(LOWER('Capacity summary'!AT189)="x",$BI70*AT70,VALUE('Capacity summary'!AT189)),0),AT70*$BI70),AT70*$BI70),0)</f>
        <v>0</v>
      </c>
      <c r="CX70" s="311">
        <f>IF($BI70&lt;&gt;"",IF('Capacity summary'!$D$14="Yes",IF(COUNTBLANK('Capacity summary'!$H189:$BG189)&lt;52,IF('Capacity summary'!AU189&lt;&gt;"",IF(LOWER('Capacity summary'!AU189)="x",$BI70*AU70,VALUE('Capacity summary'!AU189)),0),AU70*$BI70),AU70*$BI70),0)</f>
        <v>0</v>
      </c>
      <c r="CY70" s="311">
        <f>IF($BI70&lt;&gt;"",IF('Capacity summary'!$D$14="Yes",IF(COUNTBLANK('Capacity summary'!$H189:$BG189)&lt;52,IF('Capacity summary'!AV189&lt;&gt;"",IF(LOWER('Capacity summary'!AV189)="x",$BI70*AV70,VALUE('Capacity summary'!AV189)),0),AV70*$BI70),AV70*$BI70),0)</f>
        <v>0</v>
      </c>
      <c r="CZ70" s="311">
        <f>IF($BI70&lt;&gt;"",IF('Capacity summary'!$D$14="Yes",IF(COUNTBLANK('Capacity summary'!$H189:$BG189)&lt;52,IF('Capacity summary'!AW189&lt;&gt;"",IF(LOWER('Capacity summary'!AW189)="x",$BI70*AW70,VALUE('Capacity summary'!AW189)),0),AW70*$BI70),AW70*$BI70),0)</f>
        <v>0</v>
      </c>
      <c r="DA70" s="311">
        <f>IF($BI70&lt;&gt;"",IF('Capacity summary'!$D$14="Yes",IF(COUNTBLANK('Capacity summary'!$H189:$BG189)&lt;52,IF('Capacity summary'!AX189&lt;&gt;"",IF(LOWER('Capacity summary'!AX189)="x",$BI70*AX70,VALUE('Capacity summary'!AX189)),0),AX70*$BI70),AX70*$BI70),0)</f>
        <v>0</v>
      </c>
      <c r="DB70" s="311">
        <f>IF($BI70&lt;&gt;"",IF('Capacity summary'!$D$14="Yes",IF(COUNTBLANK('Capacity summary'!$H189:$BG189)&lt;52,IF('Capacity summary'!AY189&lt;&gt;"",IF(LOWER('Capacity summary'!AY189)="x",$BI70*AY70,VALUE('Capacity summary'!AY189)),0),AY70*$BI70),AY70*$BI70),0)</f>
        <v>0</v>
      </c>
      <c r="DC70" s="311">
        <f>IF($BI70&lt;&gt;"",IF('Capacity summary'!$D$14="Yes",IF(COUNTBLANK('Capacity summary'!$H189:$BG189)&lt;52,IF('Capacity summary'!AZ189&lt;&gt;"",IF(LOWER('Capacity summary'!AZ189)="x",$BI70*AZ70,VALUE('Capacity summary'!AZ189)),0),AZ70*$BI70),AZ70*$BI70),0)</f>
        <v>0</v>
      </c>
      <c r="DD70" s="311">
        <f>IF($BI70&lt;&gt;"",IF('Capacity summary'!$D$14="Yes",IF(COUNTBLANK('Capacity summary'!$H189:$BG189)&lt;52,IF('Capacity summary'!BA189&lt;&gt;"",IF(LOWER('Capacity summary'!BA189)="x",$BI70*BA70,VALUE('Capacity summary'!BA189)),0),BA70*$BI70),BA70*$BI70),0)</f>
        <v>0</v>
      </c>
      <c r="DE70" s="311">
        <f>IF($BI70&lt;&gt;"",IF('Capacity summary'!$D$14="Yes",IF(COUNTBLANK('Capacity summary'!$H189:$BG189)&lt;52,IF('Capacity summary'!BB189&lt;&gt;"",IF(LOWER('Capacity summary'!BB189)="x",$BI70*BB70,VALUE('Capacity summary'!BB189)),0),BB70*$BI70),BB70*$BI70),0)</f>
        <v>0</v>
      </c>
      <c r="DF70" s="311">
        <f>IF($BI70&lt;&gt;"",IF('Capacity summary'!$D$14="Yes",IF(COUNTBLANK('Capacity summary'!$H189:$BG189)&lt;52,IF('Capacity summary'!BC189&lt;&gt;"",IF(LOWER('Capacity summary'!BC189)="x",$BI70*BC70,VALUE('Capacity summary'!BC189)),0),BC70*$BI70),BC70*$BI70),0)</f>
        <v>0</v>
      </c>
      <c r="DG70" s="311">
        <f>IF($BI70&lt;&gt;"",IF('Capacity summary'!$D$14="Yes",IF(COUNTBLANK('Capacity summary'!$H189:$BG189)&lt;52,IF('Capacity summary'!BD189&lt;&gt;"",IF(LOWER('Capacity summary'!BD189)="x",$BI70*BD70,VALUE('Capacity summary'!BD189)),0),BD70*$BI70),BD70*$BI70),0)</f>
        <v>0</v>
      </c>
      <c r="DH70" s="311">
        <f>IF($BI70&lt;&gt;"",IF('Capacity summary'!$D$14="Yes",IF(COUNTBLANK('Capacity summary'!$H189:$BG189)&lt;52,IF('Capacity summary'!BE189&lt;&gt;"",IF(LOWER('Capacity summary'!BE189)="x",$BI70*BE70,VALUE('Capacity summary'!BE189)),0),BE70*$BI70),BE70*$BI70),0)</f>
        <v>0</v>
      </c>
      <c r="DI70" s="311">
        <f>IF($BI70&lt;&gt;"",IF('Capacity summary'!$D$14="Yes",IF(COUNTBLANK('Capacity summary'!$H189:$BG189)&lt;52,IF('Capacity summary'!BF189&lt;&gt;"",IF(LOWER('Capacity summary'!BF189)="x",$BI70*BF70,VALUE('Capacity summary'!BF189)),0),BF70*$BI70),BF70*$BI70),0)</f>
        <v>0</v>
      </c>
      <c r="DJ70" s="311">
        <f>IF($BI70&lt;&gt;"",IF('Capacity summary'!$D$14="Yes",IF(COUNTBLANK('Capacity summary'!$H189:$BG189)&lt;52,IF('Capacity summary'!BG189&lt;&gt;"",IF(LOWER('Capacity summary'!BG189)="x",$BI70*BG70,VALUE('Capacity summary'!BG189)),0),BG70*$BI70),BG70*$BI70),0)</f>
        <v>0</v>
      </c>
      <c r="DK70" s="387">
        <f t="shared" si="4"/>
        <v>0</v>
      </c>
      <c r="DL70" s="136">
        <f t="shared" si="5"/>
        <v>0</v>
      </c>
      <c r="DM70" s="311" t="str">
        <f>Capacity!H82</f>
        <v/>
      </c>
    </row>
    <row r="71" spans="1:117" x14ac:dyDescent="0.2">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1">
        <f>IF($BI71&lt;&gt;"",IF('Capacity summary'!$D$14="Yes",IF(COUNTBLANK('Capacity summary'!$H190:$BG190)&lt;52,IF('Capacity summary'!H190&lt;&gt;"",IF(LOWER('Capacity summary'!H190)="x",$BI71*H71,VALUE('Capacity summary'!H190)),0),H71*$BI71),H71*$BI71),0)</f>
        <v>0</v>
      </c>
      <c r="BL71" s="311">
        <f>IF($BI71&lt;&gt;"",IF('Capacity summary'!$D$14="Yes",IF(COUNTBLANK('Capacity summary'!$H190:$BG190)&lt;52,IF('Capacity summary'!I190&lt;&gt;"",IF(LOWER('Capacity summary'!I190)="x",$BI71*I71,VALUE('Capacity summary'!I190)),0),I71*$BI71),I71*$BI71),0)</f>
        <v>0</v>
      </c>
      <c r="BM71" s="311">
        <f>IF($BI71&lt;&gt;"",IF('Capacity summary'!$D$14="Yes",IF(COUNTBLANK('Capacity summary'!$H190:$BG190)&lt;52,IF('Capacity summary'!J190&lt;&gt;"",IF(LOWER('Capacity summary'!J190)="x",$BI71*J71,VALUE('Capacity summary'!J190)),0),J71*$BI71),J71*$BI71),0)</f>
        <v>0</v>
      </c>
      <c r="BN71" s="311">
        <f>IF($BI71&lt;&gt;"",IF('Capacity summary'!$D$14="Yes",IF(COUNTBLANK('Capacity summary'!$H190:$BG190)&lt;52,IF('Capacity summary'!K190&lt;&gt;"",IF(LOWER('Capacity summary'!K190)="x",$BI71*K71,VALUE('Capacity summary'!K190)),0),K71*$BI71),K71*$BI71),0)</f>
        <v>0</v>
      </c>
      <c r="BO71" s="311">
        <f>IF($BI71&lt;&gt;"",IF('Capacity summary'!$D$14="Yes",IF(COUNTBLANK('Capacity summary'!$H190:$BG190)&lt;52,IF('Capacity summary'!L190&lt;&gt;"",IF(LOWER('Capacity summary'!L190)="x",$BI71*L71,VALUE('Capacity summary'!L190)),0),L71*$BI71),L71*$BI71),0)</f>
        <v>0</v>
      </c>
      <c r="BP71" s="311">
        <f>IF($BI71&lt;&gt;"",IF('Capacity summary'!$D$14="Yes",IF(COUNTBLANK('Capacity summary'!$H190:$BG190)&lt;52,IF('Capacity summary'!M190&lt;&gt;"",IF(LOWER('Capacity summary'!M190)="x",$BI71*M71,VALUE('Capacity summary'!M190)),0),M71*$BI71),M71*$BI71),0)</f>
        <v>0</v>
      </c>
      <c r="BQ71" s="311">
        <f>IF($BI71&lt;&gt;"",IF('Capacity summary'!$D$14="Yes",IF(COUNTBLANK('Capacity summary'!$H190:$BG190)&lt;52,IF('Capacity summary'!N190&lt;&gt;"",IF(LOWER('Capacity summary'!N190)="x",$BI71*N71,VALUE('Capacity summary'!N190)),0),N71*$BI71),N71*$BI71),0)</f>
        <v>0</v>
      </c>
      <c r="BR71" s="311">
        <f>IF($BI71&lt;&gt;"",IF('Capacity summary'!$D$14="Yes",IF(COUNTBLANK('Capacity summary'!$H190:$BG190)&lt;52,IF('Capacity summary'!O190&lt;&gt;"",IF(LOWER('Capacity summary'!O190)="x",$BI71*O71,VALUE('Capacity summary'!O190)),0),O71*$BI71),O71*$BI71),0)</f>
        <v>0</v>
      </c>
      <c r="BS71" s="311">
        <f>IF($BI71&lt;&gt;"",IF('Capacity summary'!$D$14="Yes",IF(COUNTBLANK('Capacity summary'!$H190:$BG190)&lt;52,IF('Capacity summary'!P190&lt;&gt;"",IF(LOWER('Capacity summary'!P190)="x",$BI71*P71,VALUE('Capacity summary'!P190)),0),P71*$BI71),P71*$BI71),0)</f>
        <v>0</v>
      </c>
      <c r="BT71" s="311">
        <f>IF($BI71&lt;&gt;"",IF('Capacity summary'!$D$14="Yes",IF(COUNTBLANK('Capacity summary'!$H190:$BG190)&lt;52,IF('Capacity summary'!Q190&lt;&gt;"",IF(LOWER('Capacity summary'!Q190)="x",$BI71*Q71,VALUE('Capacity summary'!Q190)),0),Q71*$BI71),Q71*$BI71),0)</f>
        <v>0</v>
      </c>
      <c r="BU71" s="311">
        <f>IF($BI71&lt;&gt;"",IF('Capacity summary'!$D$14="Yes",IF(COUNTBLANK('Capacity summary'!$H190:$BG190)&lt;52,IF('Capacity summary'!R190&lt;&gt;"",IF(LOWER('Capacity summary'!R190)="x",$BI71*R71,VALUE('Capacity summary'!R190)),0),R71*$BI71),R71*$BI71),0)</f>
        <v>0</v>
      </c>
      <c r="BV71" s="311">
        <f>IF($BI71&lt;&gt;"",IF('Capacity summary'!$D$14="Yes",IF(COUNTBLANK('Capacity summary'!$H190:$BG190)&lt;52,IF('Capacity summary'!S190&lt;&gt;"",IF(LOWER('Capacity summary'!S190)="x",$BI71*S71,VALUE('Capacity summary'!S190)),0),S71*$BI71),S71*$BI71),0)</f>
        <v>0</v>
      </c>
      <c r="BW71" s="311">
        <f>IF($BI71&lt;&gt;"",IF('Capacity summary'!$D$14="Yes",IF(COUNTBLANK('Capacity summary'!$H190:$BG190)&lt;52,IF('Capacity summary'!T190&lt;&gt;"",IF(LOWER('Capacity summary'!T190)="x",$BI71*T71,VALUE('Capacity summary'!T190)),0),T71*$BI71),T71*$BI71),0)</f>
        <v>0</v>
      </c>
      <c r="BX71" s="311">
        <f>IF($BI71&lt;&gt;"",IF('Capacity summary'!$D$14="Yes",IF(COUNTBLANK('Capacity summary'!$H190:$BG190)&lt;52,IF('Capacity summary'!U190&lt;&gt;"",IF(LOWER('Capacity summary'!U190)="x",$BI71*U71,VALUE('Capacity summary'!U190)),0),U71*$BI71),U71*$BI71),0)</f>
        <v>0</v>
      </c>
      <c r="BY71" s="311">
        <f>IF($BI71&lt;&gt;"",IF('Capacity summary'!$D$14="Yes",IF(COUNTBLANK('Capacity summary'!$H190:$BG190)&lt;52,IF('Capacity summary'!V190&lt;&gt;"",IF(LOWER('Capacity summary'!V190)="x",$BI71*V71,VALUE('Capacity summary'!V190)),0),V71*$BI71),V71*$BI71),0)</f>
        <v>0</v>
      </c>
      <c r="BZ71" s="311">
        <f>IF($BI71&lt;&gt;"",IF('Capacity summary'!$D$14="Yes",IF(COUNTBLANK('Capacity summary'!$H190:$BG190)&lt;52,IF('Capacity summary'!W190&lt;&gt;"",IF(LOWER('Capacity summary'!W190)="x",$BI71*W71,VALUE('Capacity summary'!W190)),0),W71*$BI71),W71*$BI71),0)</f>
        <v>0</v>
      </c>
      <c r="CA71" s="311">
        <f>IF($BI71&lt;&gt;"",IF('Capacity summary'!$D$14="Yes",IF(COUNTBLANK('Capacity summary'!$H190:$BG190)&lt;52,IF('Capacity summary'!X190&lt;&gt;"",IF(LOWER('Capacity summary'!X190)="x",$BI71*X71,VALUE('Capacity summary'!X190)),0),X71*$BI71),X71*$BI71),0)</f>
        <v>0</v>
      </c>
      <c r="CB71" s="311">
        <f>IF($BI71&lt;&gt;"",IF('Capacity summary'!$D$14="Yes",IF(COUNTBLANK('Capacity summary'!$H190:$BG190)&lt;52,IF('Capacity summary'!Y190&lt;&gt;"",IF(LOWER('Capacity summary'!Y190)="x",$BI71*Y71,VALUE('Capacity summary'!Y190)),0),Y71*$BI71),Y71*$BI71),0)</f>
        <v>0</v>
      </c>
      <c r="CC71" s="311">
        <f>IF($BI71&lt;&gt;"",IF('Capacity summary'!$D$14="Yes",IF(COUNTBLANK('Capacity summary'!$H190:$BG190)&lt;52,IF('Capacity summary'!Z190&lt;&gt;"",IF(LOWER('Capacity summary'!Z190)="x",$BI71*Z71,VALUE('Capacity summary'!Z190)),0),Z71*$BI71),Z71*$BI71),0)</f>
        <v>0</v>
      </c>
      <c r="CD71" s="311">
        <f>IF($BI71&lt;&gt;"",IF('Capacity summary'!$D$14="Yes",IF(COUNTBLANK('Capacity summary'!$H190:$BG190)&lt;52,IF('Capacity summary'!AA190&lt;&gt;"",IF(LOWER('Capacity summary'!AA190)="x",$BI71*AA71,VALUE('Capacity summary'!AA190)),0),AA71*$BI71),AA71*$BI71),0)</f>
        <v>0</v>
      </c>
      <c r="CE71" s="311">
        <f>IF($BI71&lt;&gt;"",IF('Capacity summary'!$D$14="Yes",IF(COUNTBLANK('Capacity summary'!$H190:$BG190)&lt;52,IF('Capacity summary'!AB190&lt;&gt;"",IF(LOWER('Capacity summary'!AB190)="x",$BI71*AB71,VALUE('Capacity summary'!AB190)),0),AB71*$BI71),AB71*$BI71),0)</f>
        <v>0</v>
      </c>
      <c r="CF71" s="311">
        <f>IF($BI71&lt;&gt;"",IF('Capacity summary'!$D$14="Yes",IF(COUNTBLANK('Capacity summary'!$H190:$BG190)&lt;52,IF('Capacity summary'!AC190&lt;&gt;"",IF(LOWER('Capacity summary'!AC190)="x",$BI71*AC71,VALUE('Capacity summary'!AC190)),0),AC71*$BI71),AC71*$BI71),0)</f>
        <v>0</v>
      </c>
      <c r="CG71" s="311">
        <f>IF($BI71&lt;&gt;"",IF('Capacity summary'!$D$14="Yes",IF(COUNTBLANK('Capacity summary'!$H190:$BG190)&lt;52,IF('Capacity summary'!AD190&lt;&gt;"",IF(LOWER('Capacity summary'!AD190)="x",$BI71*AD71,VALUE('Capacity summary'!AD190)),0),AD71*$BI71),AD71*$BI71),0)</f>
        <v>0</v>
      </c>
      <c r="CH71" s="311">
        <f>IF($BI71&lt;&gt;"",IF('Capacity summary'!$D$14="Yes",IF(COUNTBLANK('Capacity summary'!$H190:$BG190)&lt;52,IF('Capacity summary'!AE190&lt;&gt;"",IF(LOWER('Capacity summary'!AE190)="x",$BI71*AE71,VALUE('Capacity summary'!AE190)),0),AE71*$BI71),AE71*$BI71),0)</f>
        <v>0</v>
      </c>
      <c r="CI71" s="311">
        <f>IF($BI71&lt;&gt;"",IF('Capacity summary'!$D$14="Yes",IF(COUNTBLANK('Capacity summary'!$H190:$BG190)&lt;52,IF('Capacity summary'!AF190&lt;&gt;"",IF(LOWER('Capacity summary'!AF190)="x",$BI71*AF71,VALUE('Capacity summary'!AF190)),0),AF71*$BI71),AF71*$BI71),0)</f>
        <v>0</v>
      </c>
      <c r="CJ71" s="311">
        <f>IF($BI71&lt;&gt;"",IF('Capacity summary'!$D$14="Yes",IF(COUNTBLANK('Capacity summary'!$H190:$BG190)&lt;52,IF('Capacity summary'!AG190&lt;&gt;"",IF(LOWER('Capacity summary'!AG190)="x",$BI71*AG71,VALUE('Capacity summary'!AG190)),0),AG71*$BI71),AG71*$BI71),0)</f>
        <v>0</v>
      </c>
      <c r="CK71" s="311">
        <f>IF($BI71&lt;&gt;"",IF('Capacity summary'!$D$14="Yes",IF(COUNTBLANK('Capacity summary'!$H190:$BG190)&lt;52,IF('Capacity summary'!AH190&lt;&gt;"",IF(LOWER('Capacity summary'!AH190)="x",$BI71*AH71,VALUE('Capacity summary'!AH190)),0),AH71*$BI71),AH71*$BI71),0)</f>
        <v>0</v>
      </c>
      <c r="CL71" s="311">
        <f>IF($BI71&lt;&gt;"",IF('Capacity summary'!$D$14="Yes",IF(COUNTBLANK('Capacity summary'!$H190:$BG190)&lt;52,IF('Capacity summary'!AI190&lt;&gt;"",IF(LOWER('Capacity summary'!AI190)="x",$BI71*AI71,VALUE('Capacity summary'!AI190)),0),AI71*$BI71),AI71*$BI71),0)</f>
        <v>0</v>
      </c>
      <c r="CM71" s="311">
        <f>IF($BI71&lt;&gt;"",IF('Capacity summary'!$D$14="Yes",IF(COUNTBLANK('Capacity summary'!$H190:$BG190)&lt;52,IF('Capacity summary'!AJ190&lt;&gt;"",IF(LOWER('Capacity summary'!AJ190)="x",$BI71*AJ71,VALUE('Capacity summary'!AJ190)),0),AJ71*$BI71),AJ71*$BI71),0)</f>
        <v>0</v>
      </c>
      <c r="CN71" s="311">
        <f>IF($BI71&lt;&gt;"",IF('Capacity summary'!$D$14="Yes",IF(COUNTBLANK('Capacity summary'!$H190:$BG190)&lt;52,IF('Capacity summary'!AK190&lt;&gt;"",IF(LOWER('Capacity summary'!AK190)="x",$BI71*AK71,VALUE('Capacity summary'!AK190)),0),AK71*$BI71),AK71*$BI71),0)</f>
        <v>0</v>
      </c>
      <c r="CO71" s="311">
        <f>IF($BI71&lt;&gt;"",IF('Capacity summary'!$D$14="Yes",IF(COUNTBLANK('Capacity summary'!$H190:$BG190)&lt;52,IF('Capacity summary'!AL190&lt;&gt;"",IF(LOWER('Capacity summary'!AL190)="x",$BI71*AL71,VALUE('Capacity summary'!AL190)),0),AL71*$BI71),AL71*$BI71),0)</f>
        <v>0</v>
      </c>
      <c r="CP71" s="311">
        <f>IF($BI71&lt;&gt;"",IF('Capacity summary'!$D$14="Yes",IF(COUNTBLANK('Capacity summary'!$H190:$BG190)&lt;52,IF('Capacity summary'!AM190&lt;&gt;"",IF(LOWER('Capacity summary'!AM190)="x",$BI71*AM71,VALUE('Capacity summary'!AM190)),0),AM71*$BI71),AM71*$BI71),0)</f>
        <v>0</v>
      </c>
      <c r="CQ71" s="311">
        <f>IF($BI71&lt;&gt;"",IF('Capacity summary'!$D$14="Yes",IF(COUNTBLANK('Capacity summary'!$H190:$BG190)&lt;52,IF('Capacity summary'!AN190&lt;&gt;"",IF(LOWER('Capacity summary'!AN190)="x",$BI71*AN71,VALUE('Capacity summary'!AN190)),0),AN71*$BI71),AN71*$BI71),0)</f>
        <v>0</v>
      </c>
      <c r="CR71" s="311">
        <f>IF($BI71&lt;&gt;"",IF('Capacity summary'!$D$14="Yes",IF(COUNTBLANK('Capacity summary'!$H190:$BG190)&lt;52,IF('Capacity summary'!AO190&lt;&gt;"",IF(LOWER('Capacity summary'!AO190)="x",$BI71*AO71,VALUE('Capacity summary'!AO190)),0),AO71*$BI71),AO71*$BI71),0)</f>
        <v>0</v>
      </c>
      <c r="CS71" s="311">
        <f>IF($BI71&lt;&gt;"",IF('Capacity summary'!$D$14="Yes",IF(COUNTBLANK('Capacity summary'!$H190:$BG190)&lt;52,IF('Capacity summary'!AP190&lt;&gt;"",IF(LOWER('Capacity summary'!AP190)="x",$BI71*AP71,VALUE('Capacity summary'!AP190)),0),AP71*$BI71),AP71*$BI71),0)</f>
        <v>0</v>
      </c>
      <c r="CT71" s="311">
        <f>IF($BI71&lt;&gt;"",IF('Capacity summary'!$D$14="Yes",IF(COUNTBLANK('Capacity summary'!$H190:$BG190)&lt;52,IF('Capacity summary'!AQ190&lt;&gt;"",IF(LOWER('Capacity summary'!AQ190)="x",$BI71*AQ71,VALUE('Capacity summary'!AQ190)),0),AQ71*$BI71),AQ71*$BI71),0)</f>
        <v>0</v>
      </c>
      <c r="CU71" s="311">
        <f>IF($BI71&lt;&gt;"",IF('Capacity summary'!$D$14="Yes",IF(COUNTBLANK('Capacity summary'!$H190:$BG190)&lt;52,IF('Capacity summary'!AR190&lt;&gt;"",IF(LOWER('Capacity summary'!AR190)="x",$BI71*AR71,VALUE('Capacity summary'!AR190)),0),AR71*$BI71),AR71*$BI71),0)</f>
        <v>0</v>
      </c>
      <c r="CV71" s="311">
        <f>IF($BI71&lt;&gt;"",IF('Capacity summary'!$D$14="Yes",IF(COUNTBLANK('Capacity summary'!$H190:$BG190)&lt;52,IF('Capacity summary'!AS190&lt;&gt;"",IF(LOWER('Capacity summary'!AS190)="x",$BI71*AS71,VALUE('Capacity summary'!AS190)),0),AS71*$BI71),AS71*$BI71),0)</f>
        <v>0</v>
      </c>
      <c r="CW71" s="311">
        <f>IF($BI71&lt;&gt;"",IF('Capacity summary'!$D$14="Yes",IF(COUNTBLANK('Capacity summary'!$H190:$BG190)&lt;52,IF('Capacity summary'!AT190&lt;&gt;"",IF(LOWER('Capacity summary'!AT190)="x",$BI71*AT71,VALUE('Capacity summary'!AT190)),0),AT71*$BI71),AT71*$BI71),0)</f>
        <v>0</v>
      </c>
      <c r="CX71" s="311">
        <f>IF($BI71&lt;&gt;"",IF('Capacity summary'!$D$14="Yes",IF(COUNTBLANK('Capacity summary'!$H190:$BG190)&lt;52,IF('Capacity summary'!AU190&lt;&gt;"",IF(LOWER('Capacity summary'!AU190)="x",$BI71*AU71,VALUE('Capacity summary'!AU190)),0),AU71*$BI71),AU71*$BI71),0)</f>
        <v>0</v>
      </c>
      <c r="CY71" s="311">
        <f>IF($BI71&lt;&gt;"",IF('Capacity summary'!$D$14="Yes",IF(COUNTBLANK('Capacity summary'!$H190:$BG190)&lt;52,IF('Capacity summary'!AV190&lt;&gt;"",IF(LOWER('Capacity summary'!AV190)="x",$BI71*AV71,VALUE('Capacity summary'!AV190)),0),AV71*$BI71),AV71*$BI71),0)</f>
        <v>0</v>
      </c>
      <c r="CZ71" s="311">
        <f>IF($BI71&lt;&gt;"",IF('Capacity summary'!$D$14="Yes",IF(COUNTBLANK('Capacity summary'!$H190:$BG190)&lt;52,IF('Capacity summary'!AW190&lt;&gt;"",IF(LOWER('Capacity summary'!AW190)="x",$BI71*AW71,VALUE('Capacity summary'!AW190)),0),AW71*$BI71),AW71*$BI71),0)</f>
        <v>0</v>
      </c>
      <c r="DA71" s="311">
        <f>IF($BI71&lt;&gt;"",IF('Capacity summary'!$D$14="Yes",IF(COUNTBLANK('Capacity summary'!$H190:$BG190)&lt;52,IF('Capacity summary'!AX190&lt;&gt;"",IF(LOWER('Capacity summary'!AX190)="x",$BI71*AX71,VALUE('Capacity summary'!AX190)),0),AX71*$BI71),AX71*$BI71),0)</f>
        <v>0</v>
      </c>
      <c r="DB71" s="311">
        <f>IF($BI71&lt;&gt;"",IF('Capacity summary'!$D$14="Yes",IF(COUNTBLANK('Capacity summary'!$H190:$BG190)&lt;52,IF('Capacity summary'!AY190&lt;&gt;"",IF(LOWER('Capacity summary'!AY190)="x",$BI71*AY71,VALUE('Capacity summary'!AY190)),0),AY71*$BI71),AY71*$BI71),0)</f>
        <v>0</v>
      </c>
      <c r="DC71" s="311">
        <f>IF($BI71&lt;&gt;"",IF('Capacity summary'!$D$14="Yes",IF(COUNTBLANK('Capacity summary'!$H190:$BG190)&lt;52,IF('Capacity summary'!AZ190&lt;&gt;"",IF(LOWER('Capacity summary'!AZ190)="x",$BI71*AZ71,VALUE('Capacity summary'!AZ190)),0),AZ71*$BI71),AZ71*$BI71),0)</f>
        <v>0</v>
      </c>
      <c r="DD71" s="311">
        <f>IF($BI71&lt;&gt;"",IF('Capacity summary'!$D$14="Yes",IF(COUNTBLANK('Capacity summary'!$H190:$BG190)&lt;52,IF('Capacity summary'!BA190&lt;&gt;"",IF(LOWER('Capacity summary'!BA190)="x",$BI71*BA71,VALUE('Capacity summary'!BA190)),0),BA71*$BI71),BA71*$BI71),0)</f>
        <v>0</v>
      </c>
      <c r="DE71" s="311">
        <f>IF($BI71&lt;&gt;"",IF('Capacity summary'!$D$14="Yes",IF(COUNTBLANK('Capacity summary'!$H190:$BG190)&lt;52,IF('Capacity summary'!BB190&lt;&gt;"",IF(LOWER('Capacity summary'!BB190)="x",$BI71*BB71,VALUE('Capacity summary'!BB190)),0),BB71*$BI71),BB71*$BI71),0)</f>
        <v>0</v>
      </c>
      <c r="DF71" s="311">
        <f>IF($BI71&lt;&gt;"",IF('Capacity summary'!$D$14="Yes",IF(COUNTBLANK('Capacity summary'!$H190:$BG190)&lt;52,IF('Capacity summary'!BC190&lt;&gt;"",IF(LOWER('Capacity summary'!BC190)="x",$BI71*BC71,VALUE('Capacity summary'!BC190)),0),BC71*$BI71),BC71*$BI71),0)</f>
        <v>0</v>
      </c>
      <c r="DG71" s="311">
        <f>IF($BI71&lt;&gt;"",IF('Capacity summary'!$D$14="Yes",IF(COUNTBLANK('Capacity summary'!$H190:$BG190)&lt;52,IF('Capacity summary'!BD190&lt;&gt;"",IF(LOWER('Capacity summary'!BD190)="x",$BI71*BD71,VALUE('Capacity summary'!BD190)),0),BD71*$BI71),BD71*$BI71),0)</f>
        <v>0</v>
      </c>
      <c r="DH71" s="311">
        <f>IF($BI71&lt;&gt;"",IF('Capacity summary'!$D$14="Yes",IF(COUNTBLANK('Capacity summary'!$H190:$BG190)&lt;52,IF('Capacity summary'!BE190&lt;&gt;"",IF(LOWER('Capacity summary'!BE190)="x",$BI71*BE71,VALUE('Capacity summary'!BE190)),0),BE71*$BI71),BE71*$BI71),0)</f>
        <v>0</v>
      </c>
      <c r="DI71" s="311">
        <f>IF($BI71&lt;&gt;"",IF('Capacity summary'!$D$14="Yes",IF(COUNTBLANK('Capacity summary'!$H190:$BG190)&lt;52,IF('Capacity summary'!BF190&lt;&gt;"",IF(LOWER('Capacity summary'!BF190)="x",$BI71*BF71,VALUE('Capacity summary'!BF190)),0),BF71*$BI71),BF71*$BI71),0)</f>
        <v>0</v>
      </c>
      <c r="DJ71" s="311">
        <f>IF($BI71&lt;&gt;"",IF('Capacity summary'!$D$14="Yes",IF(COUNTBLANK('Capacity summary'!$H190:$BG190)&lt;52,IF('Capacity summary'!BG190&lt;&gt;"",IF(LOWER('Capacity summary'!BG190)="x",$BI71*BG71,VALUE('Capacity summary'!BG190)),0),BG71*$BI71),BG71*$BI71),0)</f>
        <v>0</v>
      </c>
      <c r="DK71" s="387">
        <f t="shared" si="4"/>
        <v>0</v>
      </c>
      <c r="DL71" s="136">
        <f t="shared" si="5"/>
        <v>0</v>
      </c>
      <c r="DM71" s="311" t="str">
        <f>Capacity!H83</f>
        <v/>
      </c>
    </row>
    <row r="72" spans="1:117" x14ac:dyDescent="0.2">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1">
        <f>IF($BI72&lt;&gt;"",IF('Capacity summary'!$D$14="Yes",IF(COUNTBLANK('Capacity summary'!$H191:$BG191)&lt;52,IF('Capacity summary'!H191&lt;&gt;"",IF(LOWER('Capacity summary'!H191)="x",$BI72*H72,VALUE('Capacity summary'!H191)),0),H72*$BI72),H72*$BI72),0)</f>
        <v>0</v>
      </c>
      <c r="BL72" s="311">
        <f>IF($BI72&lt;&gt;"",IF('Capacity summary'!$D$14="Yes",IF(COUNTBLANK('Capacity summary'!$H191:$BG191)&lt;52,IF('Capacity summary'!I191&lt;&gt;"",IF(LOWER('Capacity summary'!I191)="x",$BI72*I72,VALUE('Capacity summary'!I191)),0),I72*$BI72),I72*$BI72),0)</f>
        <v>0</v>
      </c>
      <c r="BM72" s="311">
        <f>IF($BI72&lt;&gt;"",IF('Capacity summary'!$D$14="Yes",IF(COUNTBLANK('Capacity summary'!$H191:$BG191)&lt;52,IF('Capacity summary'!J191&lt;&gt;"",IF(LOWER('Capacity summary'!J191)="x",$BI72*J72,VALUE('Capacity summary'!J191)),0),J72*$BI72),J72*$BI72),0)</f>
        <v>0</v>
      </c>
      <c r="BN72" s="311">
        <f>IF($BI72&lt;&gt;"",IF('Capacity summary'!$D$14="Yes",IF(COUNTBLANK('Capacity summary'!$H191:$BG191)&lt;52,IF('Capacity summary'!K191&lt;&gt;"",IF(LOWER('Capacity summary'!K191)="x",$BI72*K72,VALUE('Capacity summary'!K191)),0),K72*$BI72),K72*$BI72),0)</f>
        <v>0</v>
      </c>
      <c r="BO72" s="311">
        <f>IF($BI72&lt;&gt;"",IF('Capacity summary'!$D$14="Yes",IF(COUNTBLANK('Capacity summary'!$H191:$BG191)&lt;52,IF('Capacity summary'!L191&lt;&gt;"",IF(LOWER('Capacity summary'!L191)="x",$BI72*L72,VALUE('Capacity summary'!L191)),0),L72*$BI72),L72*$BI72),0)</f>
        <v>0</v>
      </c>
      <c r="BP72" s="311">
        <f>IF($BI72&lt;&gt;"",IF('Capacity summary'!$D$14="Yes",IF(COUNTBLANK('Capacity summary'!$H191:$BG191)&lt;52,IF('Capacity summary'!M191&lt;&gt;"",IF(LOWER('Capacity summary'!M191)="x",$BI72*M72,VALUE('Capacity summary'!M191)),0),M72*$BI72),M72*$BI72),0)</f>
        <v>0</v>
      </c>
      <c r="BQ72" s="311">
        <f>IF($BI72&lt;&gt;"",IF('Capacity summary'!$D$14="Yes",IF(COUNTBLANK('Capacity summary'!$H191:$BG191)&lt;52,IF('Capacity summary'!N191&lt;&gt;"",IF(LOWER('Capacity summary'!N191)="x",$BI72*N72,VALUE('Capacity summary'!N191)),0),N72*$BI72),N72*$BI72),0)</f>
        <v>0</v>
      </c>
      <c r="BR72" s="311">
        <f>IF($BI72&lt;&gt;"",IF('Capacity summary'!$D$14="Yes",IF(COUNTBLANK('Capacity summary'!$H191:$BG191)&lt;52,IF('Capacity summary'!O191&lt;&gt;"",IF(LOWER('Capacity summary'!O191)="x",$BI72*O72,VALUE('Capacity summary'!O191)),0),O72*$BI72),O72*$BI72),0)</f>
        <v>0</v>
      </c>
      <c r="BS72" s="311">
        <f>IF($BI72&lt;&gt;"",IF('Capacity summary'!$D$14="Yes",IF(COUNTBLANK('Capacity summary'!$H191:$BG191)&lt;52,IF('Capacity summary'!P191&lt;&gt;"",IF(LOWER('Capacity summary'!P191)="x",$BI72*P72,VALUE('Capacity summary'!P191)),0),P72*$BI72),P72*$BI72),0)</f>
        <v>0</v>
      </c>
      <c r="BT72" s="311">
        <f>IF($BI72&lt;&gt;"",IF('Capacity summary'!$D$14="Yes",IF(COUNTBLANK('Capacity summary'!$H191:$BG191)&lt;52,IF('Capacity summary'!Q191&lt;&gt;"",IF(LOWER('Capacity summary'!Q191)="x",$BI72*Q72,VALUE('Capacity summary'!Q191)),0),Q72*$BI72),Q72*$BI72),0)</f>
        <v>0</v>
      </c>
      <c r="BU72" s="311">
        <f>IF($BI72&lt;&gt;"",IF('Capacity summary'!$D$14="Yes",IF(COUNTBLANK('Capacity summary'!$H191:$BG191)&lt;52,IF('Capacity summary'!R191&lt;&gt;"",IF(LOWER('Capacity summary'!R191)="x",$BI72*R72,VALUE('Capacity summary'!R191)),0),R72*$BI72),R72*$BI72),0)</f>
        <v>0</v>
      </c>
      <c r="BV72" s="311">
        <f>IF($BI72&lt;&gt;"",IF('Capacity summary'!$D$14="Yes",IF(COUNTBLANK('Capacity summary'!$H191:$BG191)&lt;52,IF('Capacity summary'!S191&lt;&gt;"",IF(LOWER('Capacity summary'!S191)="x",$BI72*S72,VALUE('Capacity summary'!S191)),0),S72*$BI72),S72*$BI72),0)</f>
        <v>0</v>
      </c>
      <c r="BW72" s="311">
        <f>IF($BI72&lt;&gt;"",IF('Capacity summary'!$D$14="Yes",IF(COUNTBLANK('Capacity summary'!$H191:$BG191)&lt;52,IF('Capacity summary'!T191&lt;&gt;"",IF(LOWER('Capacity summary'!T191)="x",$BI72*T72,VALUE('Capacity summary'!T191)),0),T72*$BI72),T72*$BI72),0)</f>
        <v>0</v>
      </c>
      <c r="BX72" s="311">
        <f>IF($BI72&lt;&gt;"",IF('Capacity summary'!$D$14="Yes",IF(COUNTBLANK('Capacity summary'!$H191:$BG191)&lt;52,IF('Capacity summary'!U191&lt;&gt;"",IF(LOWER('Capacity summary'!U191)="x",$BI72*U72,VALUE('Capacity summary'!U191)),0),U72*$BI72),U72*$BI72),0)</f>
        <v>0</v>
      </c>
      <c r="BY72" s="311">
        <f>IF($BI72&lt;&gt;"",IF('Capacity summary'!$D$14="Yes",IF(COUNTBLANK('Capacity summary'!$H191:$BG191)&lt;52,IF('Capacity summary'!V191&lt;&gt;"",IF(LOWER('Capacity summary'!V191)="x",$BI72*V72,VALUE('Capacity summary'!V191)),0),V72*$BI72),V72*$BI72),0)</f>
        <v>0</v>
      </c>
      <c r="BZ72" s="311">
        <f>IF($BI72&lt;&gt;"",IF('Capacity summary'!$D$14="Yes",IF(COUNTBLANK('Capacity summary'!$H191:$BG191)&lt;52,IF('Capacity summary'!W191&lt;&gt;"",IF(LOWER('Capacity summary'!W191)="x",$BI72*W72,VALUE('Capacity summary'!W191)),0),W72*$BI72),W72*$BI72),0)</f>
        <v>0</v>
      </c>
      <c r="CA72" s="311">
        <f>IF($BI72&lt;&gt;"",IF('Capacity summary'!$D$14="Yes",IF(COUNTBLANK('Capacity summary'!$H191:$BG191)&lt;52,IF('Capacity summary'!X191&lt;&gt;"",IF(LOWER('Capacity summary'!X191)="x",$BI72*X72,VALUE('Capacity summary'!X191)),0),X72*$BI72),X72*$BI72),0)</f>
        <v>0</v>
      </c>
      <c r="CB72" s="311">
        <f>IF($BI72&lt;&gt;"",IF('Capacity summary'!$D$14="Yes",IF(COUNTBLANK('Capacity summary'!$H191:$BG191)&lt;52,IF('Capacity summary'!Y191&lt;&gt;"",IF(LOWER('Capacity summary'!Y191)="x",$BI72*Y72,VALUE('Capacity summary'!Y191)),0),Y72*$BI72),Y72*$BI72),0)</f>
        <v>0</v>
      </c>
      <c r="CC72" s="311">
        <f>IF($BI72&lt;&gt;"",IF('Capacity summary'!$D$14="Yes",IF(COUNTBLANK('Capacity summary'!$H191:$BG191)&lt;52,IF('Capacity summary'!Z191&lt;&gt;"",IF(LOWER('Capacity summary'!Z191)="x",$BI72*Z72,VALUE('Capacity summary'!Z191)),0),Z72*$BI72),Z72*$BI72),0)</f>
        <v>0</v>
      </c>
      <c r="CD72" s="311">
        <f>IF($BI72&lt;&gt;"",IF('Capacity summary'!$D$14="Yes",IF(COUNTBLANK('Capacity summary'!$H191:$BG191)&lt;52,IF('Capacity summary'!AA191&lt;&gt;"",IF(LOWER('Capacity summary'!AA191)="x",$BI72*AA72,VALUE('Capacity summary'!AA191)),0),AA72*$BI72),AA72*$BI72),0)</f>
        <v>0</v>
      </c>
      <c r="CE72" s="311">
        <f>IF($BI72&lt;&gt;"",IF('Capacity summary'!$D$14="Yes",IF(COUNTBLANK('Capacity summary'!$H191:$BG191)&lt;52,IF('Capacity summary'!AB191&lt;&gt;"",IF(LOWER('Capacity summary'!AB191)="x",$BI72*AB72,VALUE('Capacity summary'!AB191)),0),AB72*$BI72),AB72*$BI72),0)</f>
        <v>0</v>
      </c>
      <c r="CF72" s="311">
        <f>IF($BI72&lt;&gt;"",IF('Capacity summary'!$D$14="Yes",IF(COUNTBLANK('Capacity summary'!$H191:$BG191)&lt;52,IF('Capacity summary'!AC191&lt;&gt;"",IF(LOWER('Capacity summary'!AC191)="x",$BI72*AC72,VALUE('Capacity summary'!AC191)),0),AC72*$BI72),AC72*$BI72),0)</f>
        <v>0</v>
      </c>
      <c r="CG72" s="311">
        <f>IF($BI72&lt;&gt;"",IF('Capacity summary'!$D$14="Yes",IF(COUNTBLANK('Capacity summary'!$H191:$BG191)&lt;52,IF('Capacity summary'!AD191&lt;&gt;"",IF(LOWER('Capacity summary'!AD191)="x",$BI72*AD72,VALUE('Capacity summary'!AD191)),0),AD72*$BI72),AD72*$BI72),0)</f>
        <v>0</v>
      </c>
      <c r="CH72" s="311">
        <f>IF($BI72&lt;&gt;"",IF('Capacity summary'!$D$14="Yes",IF(COUNTBLANK('Capacity summary'!$H191:$BG191)&lt;52,IF('Capacity summary'!AE191&lt;&gt;"",IF(LOWER('Capacity summary'!AE191)="x",$BI72*AE72,VALUE('Capacity summary'!AE191)),0),AE72*$BI72),AE72*$BI72),0)</f>
        <v>0</v>
      </c>
      <c r="CI72" s="311">
        <f>IF($BI72&lt;&gt;"",IF('Capacity summary'!$D$14="Yes",IF(COUNTBLANK('Capacity summary'!$H191:$BG191)&lt;52,IF('Capacity summary'!AF191&lt;&gt;"",IF(LOWER('Capacity summary'!AF191)="x",$BI72*AF72,VALUE('Capacity summary'!AF191)),0),AF72*$BI72),AF72*$BI72),0)</f>
        <v>0</v>
      </c>
      <c r="CJ72" s="311">
        <f>IF($BI72&lt;&gt;"",IF('Capacity summary'!$D$14="Yes",IF(COUNTBLANK('Capacity summary'!$H191:$BG191)&lt;52,IF('Capacity summary'!AG191&lt;&gt;"",IF(LOWER('Capacity summary'!AG191)="x",$BI72*AG72,VALUE('Capacity summary'!AG191)),0),AG72*$BI72),AG72*$BI72),0)</f>
        <v>0</v>
      </c>
      <c r="CK72" s="311">
        <f>IF($BI72&lt;&gt;"",IF('Capacity summary'!$D$14="Yes",IF(COUNTBLANK('Capacity summary'!$H191:$BG191)&lt;52,IF('Capacity summary'!AH191&lt;&gt;"",IF(LOWER('Capacity summary'!AH191)="x",$BI72*AH72,VALUE('Capacity summary'!AH191)),0),AH72*$BI72),AH72*$BI72),0)</f>
        <v>0</v>
      </c>
      <c r="CL72" s="311">
        <f>IF($BI72&lt;&gt;"",IF('Capacity summary'!$D$14="Yes",IF(COUNTBLANK('Capacity summary'!$H191:$BG191)&lt;52,IF('Capacity summary'!AI191&lt;&gt;"",IF(LOWER('Capacity summary'!AI191)="x",$BI72*AI72,VALUE('Capacity summary'!AI191)),0),AI72*$BI72),AI72*$BI72),0)</f>
        <v>0</v>
      </c>
      <c r="CM72" s="311">
        <f>IF($BI72&lt;&gt;"",IF('Capacity summary'!$D$14="Yes",IF(COUNTBLANK('Capacity summary'!$H191:$BG191)&lt;52,IF('Capacity summary'!AJ191&lt;&gt;"",IF(LOWER('Capacity summary'!AJ191)="x",$BI72*AJ72,VALUE('Capacity summary'!AJ191)),0),AJ72*$BI72),AJ72*$BI72),0)</f>
        <v>0</v>
      </c>
      <c r="CN72" s="311">
        <f>IF($BI72&lt;&gt;"",IF('Capacity summary'!$D$14="Yes",IF(COUNTBLANK('Capacity summary'!$H191:$BG191)&lt;52,IF('Capacity summary'!AK191&lt;&gt;"",IF(LOWER('Capacity summary'!AK191)="x",$BI72*AK72,VALUE('Capacity summary'!AK191)),0),AK72*$BI72),AK72*$BI72),0)</f>
        <v>0</v>
      </c>
      <c r="CO72" s="311">
        <f>IF($BI72&lt;&gt;"",IF('Capacity summary'!$D$14="Yes",IF(COUNTBLANK('Capacity summary'!$H191:$BG191)&lt;52,IF('Capacity summary'!AL191&lt;&gt;"",IF(LOWER('Capacity summary'!AL191)="x",$BI72*AL72,VALUE('Capacity summary'!AL191)),0),AL72*$BI72),AL72*$BI72),0)</f>
        <v>0</v>
      </c>
      <c r="CP72" s="311">
        <f>IF($BI72&lt;&gt;"",IF('Capacity summary'!$D$14="Yes",IF(COUNTBLANK('Capacity summary'!$H191:$BG191)&lt;52,IF('Capacity summary'!AM191&lt;&gt;"",IF(LOWER('Capacity summary'!AM191)="x",$BI72*AM72,VALUE('Capacity summary'!AM191)),0),AM72*$BI72),AM72*$BI72),0)</f>
        <v>0</v>
      </c>
      <c r="CQ72" s="311">
        <f>IF($BI72&lt;&gt;"",IF('Capacity summary'!$D$14="Yes",IF(COUNTBLANK('Capacity summary'!$H191:$BG191)&lt;52,IF('Capacity summary'!AN191&lt;&gt;"",IF(LOWER('Capacity summary'!AN191)="x",$BI72*AN72,VALUE('Capacity summary'!AN191)),0),AN72*$BI72),AN72*$BI72),0)</f>
        <v>0</v>
      </c>
      <c r="CR72" s="311">
        <f>IF($BI72&lt;&gt;"",IF('Capacity summary'!$D$14="Yes",IF(COUNTBLANK('Capacity summary'!$H191:$BG191)&lt;52,IF('Capacity summary'!AO191&lt;&gt;"",IF(LOWER('Capacity summary'!AO191)="x",$BI72*AO72,VALUE('Capacity summary'!AO191)),0),AO72*$BI72),AO72*$BI72),0)</f>
        <v>0</v>
      </c>
      <c r="CS72" s="311">
        <f>IF($BI72&lt;&gt;"",IF('Capacity summary'!$D$14="Yes",IF(COUNTBLANK('Capacity summary'!$H191:$BG191)&lt;52,IF('Capacity summary'!AP191&lt;&gt;"",IF(LOWER('Capacity summary'!AP191)="x",$BI72*AP72,VALUE('Capacity summary'!AP191)),0),AP72*$BI72),AP72*$BI72),0)</f>
        <v>0</v>
      </c>
      <c r="CT72" s="311">
        <f>IF($BI72&lt;&gt;"",IF('Capacity summary'!$D$14="Yes",IF(COUNTBLANK('Capacity summary'!$H191:$BG191)&lt;52,IF('Capacity summary'!AQ191&lt;&gt;"",IF(LOWER('Capacity summary'!AQ191)="x",$BI72*AQ72,VALUE('Capacity summary'!AQ191)),0),AQ72*$BI72),AQ72*$BI72),0)</f>
        <v>0</v>
      </c>
      <c r="CU72" s="311">
        <f>IF($BI72&lt;&gt;"",IF('Capacity summary'!$D$14="Yes",IF(COUNTBLANK('Capacity summary'!$H191:$BG191)&lt;52,IF('Capacity summary'!AR191&lt;&gt;"",IF(LOWER('Capacity summary'!AR191)="x",$BI72*AR72,VALUE('Capacity summary'!AR191)),0),AR72*$BI72),AR72*$BI72),0)</f>
        <v>0</v>
      </c>
      <c r="CV72" s="311">
        <f>IF($BI72&lt;&gt;"",IF('Capacity summary'!$D$14="Yes",IF(COUNTBLANK('Capacity summary'!$H191:$BG191)&lt;52,IF('Capacity summary'!AS191&lt;&gt;"",IF(LOWER('Capacity summary'!AS191)="x",$BI72*AS72,VALUE('Capacity summary'!AS191)),0),AS72*$BI72),AS72*$BI72),0)</f>
        <v>0</v>
      </c>
      <c r="CW72" s="311">
        <f>IF($BI72&lt;&gt;"",IF('Capacity summary'!$D$14="Yes",IF(COUNTBLANK('Capacity summary'!$H191:$BG191)&lt;52,IF('Capacity summary'!AT191&lt;&gt;"",IF(LOWER('Capacity summary'!AT191)="x",$BI72*AT72,VALUE('Capacity summary'!AT191)),0),AT72*$BI72),AT72*$BI72),0)</f>
        <v>0</v>
      </c>
      <c r="CX72" s="311">
        <f>IF($BI72&lt;&gt;"",IF('Capacity summary'!$D$14="Yes",IF(COUNTBLANK('Capacity summary'!$H191:$BG191)&lt;52,IF('Capacity summary'!AU191&lt;&gt;"",IF(LOWER('Capacity summary'!AU191)="x",$BI72*AU72,VALUE('Capacity summary'!AU191)),0),AU72*$BI72),AU72*$BI72),0)</f>
        <v>0</v>
      </c>
      <c r="CY72" s="311">
        <f>IF($BI72&lt;&gt;"",IF('Capacity summary'!$D$14="Yes",IF(COUNTBLANK('Capacity summary'!$H191:$BG191)&lt;52,IF('Capacity summary'!AV191&lt;&gt;"",IF(LOWER('Capacity summary'!AV191)="x",$BI72*AV72,VALUE('Capacity summary'!AV191)),0),AV72*$BI72),AV72*$BI72),0)</f>
        <v>0</v>
      </c>
      <c r="CZ72" s="311">
        <f>IF($BI72&lt;&gt;"",IF('Capacity summary'!$D$14="Yes",IF(COUNTBLANK('Capacity summary'!$H191:$BG191)&lt;52,IF('Capacity summary'!AW191&lt;&gt;"",IF(LOWER('Capacity summary'!AW191)="x",$BI72*AW72,VALUE('Capacity summary'!AW191)),0),AW72*$BI72),AW72*$BI72),0)</f>
        <v>0</v>
      </c>
      <c r="DA72" s="311">
        <f>IF($BI72&lt;&gt;"",IF('Capacity summary'!$D$14="Yes",IF(COUNTBLANK('Capacity summary'!$H191:$BG191)&lt;52,IF('Capacity summary'!AX191&lt;&gt;"",IF(LOWER('Capacity summary'!AX191)="x",$BI72*AX72,VALUE('Capacity summary'!AX191)),0),AX72*$BI72),AX72*$BI72),0)</f>
        <v>0</v>
      </c>
      <c r="DB72" s="311">
        <f>IF($BI72&lt;&gt;"",IF('Capacity summary'!$D$14="Yes",IF(COUNTBLANK('Capacity summary'!$H191:$BG191)&lt;52,IF('Capacity summary'!AY191&lt;&gt;"",IF(LOWER('Capacity summary'!AY191)="x",$BI72*AY72,VALUE('Capacity summary'!AY191)),0),AY72*$BI72),AY72*$BI72),0)</f>
        <v>0</v>
      </c>
      <c r="DC72" s="311">
        <f>IF($BI72&lt;&gt;"",IF('Capacity summary'!$D$14="Yes",IF(COUNTBLANK('Capacity summary'!$H191:$BG191)&lt;52,IF('Capacity summary'!AZ191&lt;&gt;"",IF(LOWER('Capacity summary'!AZ191)="x",$BI72*AZ72,VALUE('Capacity summary'!AZ191)),0),AZ72*$BI72),AZ72*$BI72),0)</f>
        <v>0</v>
      </c>
      <c r="DD72" s="311">
        <f>IF($BI72&lt;&gt;"",IF('Capacity summary'!$D$14="Yes",IF(COUNTBLANK('Capacity summary'!$H191:$BG191)&lt;52,IF('Capacity summary'!BA191&lt;&gt;"",IF(LOWER('Capacity summary'!BA191)="x",$BI72*BA72,VALUE('Capacity summary'!BA191)),0),BA72*$BI72),BA72*$BI72),0)</f>
        <v>0</v>
      </c>
      <c r="DE72" s="311">
        <f>IF($BI72&lt;&gt;"",IF('Capacity summary'!$D$14="Yes",IF(COUNTBLANK('Capacity summary'!$H191:$BG191)&lt;52,IF('Capacity summary'!BB191&lt;&gt;"",IF(LOWER('Capacity summary'!BB191)="x",$BI72*BB72,VALUE('Capacity summary'!BB191)),0),BB72*$BI72),BB72*$BI72),0)</f>
        <v>0</v>
      </c>
      <c r="DF72" s="311">
        <f>IF($BI72&lt;&gt;"",IF('Capacity summary'!$D$14="Yes",IF(COUNTBLANK('Capacity summary'!$H191:$BG191)&lt;52,IF('Capacity summary'!BC191&lt;&gt;"",IF(LOWER('Capacity summary'!BC191)="x",$BI72*BC72,VALUE('Capacity summary'!BC191)),0),BC72*$BI72),BC72*$BI72),0)</f>
        <v>0</v>
      </c>
      <c r="DG72" s="311">
        <f>IF($BI72&lt;&gt;"",IF('Capacity summary'!$D$14="Yes",IF(COUNTBLANK('Capacity summary'!$H191:$BG191)&lt;52,IF('Capacity summary'!BD191&lt;&gt;"",IF(LOWER('Capacity summary'!BD191)="x",$BI72*BD72,VALUE('Capacity summary'!BD191)),0),BD72*$BI72),BD72*$BI72),0)</f>
        <v>0</v>
      </c>
      <c r="DH72" s="311">
        <f>IF($BI72&lt;&gt;"",IF('Capacity summary'!$D$14="Yes",IF(COUNTBLANK('Capacity summary'!$H191:$BG191)&lt;52,IF('Capacity summary'!BE191&lt;&gt;"",IF(LOWER('Capacity summary'!BE191)="x",$BI72*BE72,VALUE('Capacity summary'!BE191)),0),BE72*$BI72),BE72*$BI72),0)</f>
        <v>0</v>
      </c>
      <c r="DI72" s="311">
        <f>IF($BI72&lt;&gt;"",IF('Capacity summary'!$D$14="Yes",IF(COUNTBLANK('Capacity summary'!$H191:$BG191)&lt;52,IF('Capacity summary'!BF191&lt;&gt;"",IF(LOWER('Capacity summary'!BF191)="x",$BI72*BF72,VALUE('Capacity summary'!BF191)),0),BF72*$BI72),BF72*$BI72),0)</f>
        <v>0</v>
      </c>
      <c r="DJ72" s="311">
        <f>IF($BI72&lt;&gt;"",IF('Capacity summary'!$D$14="Yes",IF(COUNTBLANK('Capacity summary'!$H191:$BG191)&lt;52,IF('Capacity summary'!BG191&lt;&gt;"",IF(LOWER('Capacity summary'!BG191)="x",$BI72*BG72,VALUE('Capacity summary'!BG191)),0),BG72*$BI72),BG72*$BI72),0)</f>
        <v>0</v>
      </c>
      <c r="DK72" s="387">
        <f t="shared" si="4"/>
        <v>0</v>
      </c>
      <c r="DL72" s="136">
        <f t="shared" si="5"/>
        <v>0</v>
      </c>
      <c r="DM72" s="311" t="str">
        <f>Capacity!H84</f>
        <v/>
      </c>
    </row>
    <row r="73" spans="1:117" x14ac:dyDescent="0.2">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1">
        <f>IF($BI73&lt;&gt;"",IF('Capacity summary'!$D$14="Yes",IF(COUNTBLANK('Capacity summary'!$H192:$BG192)&lt;52,IF('Capacity summary'!H192&lt;&gt;"",IF(LOWER('Capacity summary'!H192)="x",$BI73*H73,VALUE('Capacity summary'!H192)),0),H73*$BI73),H73*$BI73),0)</f>
        <v>0</v>
      </c>
      <c r="BL73" s="311">
        <f>IF($BI73&lt;&gt;"",IF('Capacity summary'!$D$14="Yes",IF(COUNTBLANK('Capacity summary'!$H192:$BG192)&lt;52,IF('Capacity summary'!I192&lt;&gt;"",IF(LOWER('Capacity summary'!I192)="x",$BI73*I73,VALUE('Capacity summary'!I192)),0),I73*$BI73),I73*$BI73),0)</f>
        <v>0</v>
      </c>
      <c r="BM73" s="311">
        <f>IF($BI73&lt;&gt;"",IF('Capacity summary'!$D$14="Yes",IF(COUNTBLANK('Capacity summary'!$H192:$BG192)&lt;52,IF('Capacity summary'!J192&lt;&gt;"",IF(LOWER('Capacity summary'!J192)="x",$BI73*J73,VALUE('Capacity summary'!J192)),0),J73*$BI73),J73*$BI73),0)</f>
        <v>0</v>
      </c>
      <c r="BN73" s="311">
        <f>IF($BI73&lt;&gt;"",IF('Capacity summary'!$D$14="Yes",IF(COUNTBLANK('Capacity summary'!$H192:$BG192)&lt;52,IF('Capacity summary'!K192&lt;&gt;"",IF(LOWER('Capacity summary'!K192)="x",$BI73*K73,VALUE('Capacity summary'!K192)),0),K73*$BI73),K73*$BI73),0)</f>
        <v>0</v>
      </c>
      <c r="BO73" s="311">
        <f>IF($BI73&lt;&gt;"",IF('Capacity summary'!$D$14="Yes",IF(COUNTBLANK('Capacity summary'!$H192:$BG192)&lt;52,IF('Capacity summary'!L192&lt;&gt;"",IF(LOWER('Capacity summary'!L192)="x",$BI73*L73,VALUE('Capacity summary'!L192)),0),L73*$BI73),L73*$BI73),0)</f>
        <v>0</v>
      </c>
      <c r="BP73" s="311">
        <f>IF($BI73&lt;&gt;"",IF('Capacity summary'!$D$14="Yes",IF(COUNTBLANK('Capacity summary'!$H192:$BG192)&lt;52,IF('Capacity summary'!M192&lt;&gt;"",IF(LOWER('Capacity summary'!M192)="x",$BI73*M73,VALUE('Capacity summary'!M192)),0),M73*$BI73),M73*$BI73),0)</f>
        <v>0</v>
      </c>
      <c r="BQ73" s="311">
        <f>IF($BI73&lt;&gt;"",IF('Capacity summary'!$D$14="Yes",IF(COUNTBLANK('Capacity summary'!$H192:$BG192)&lt;52,IF('Capacity summary'!N192&lt;&gt;"",IF(LOWER('Capacity summary'!N192)="x",$BI73*N73,VALUE('Capacity summary'!N192)),0),N73*$BI73),N73*$BI73),0)</f>
        <v>0</v>
      </c>
      <c r="BR73" s="311">
        <f>IF($BI73&lt;&gt;"",IF('Capacity summary'!$D$14="Yes",IF(COUNTBLANK('Capacity summary'!$H192:$BG192)&lt;52,IF('Capacity summary'!O192&lt;&gt;"",IF(LOWER('Capacity summary'!O192)="x",$BI73*O73,VALUE('Capacity summary'!O192)),0),O73*$BI73),O73*$BI73),0)</f>
        <v>0</v>
      </c>
      <c r="BS73" s="311">
        <f>IF($BI73&lt;&gt;"",IF('Capacity summary'!$D$14="Yes",IF(COUNTBLANK('Capacity summary'!$H192:$BG192)&lt;52,IF('Capacity summary'!P192&lt;&gt;"",IF(LOWER('Capacity summary'!P192)="x",$BI73*P73,VALUE('Capacity summary'!P192)),0),P73*$BI73),P73*$BI73),0)</f>
        <v>0</v>
      </c>
      <c r="BT73" s="311">
        <f>IF($BI73&lt;&gt;"",IF('Capacity summary'!$D$14="Yes",IF(COUNTBLANK('Capacity summary'!$H192:$BG192)&lt;52,IF('Capacity summary'!Q192&lt;&gt;"",IF(LOWER('Capacity summary'!Q192)="x",$BI73*Q73,VALUE('Capacity summary'!Q192)),0),Q73*$BI73),Q73*$BI73),0)</f>
        <v>0</v>
      </c>
      <c r="BU73" s="311">
        <f>IF($BI73&lt;&gt;"",IF('Capacity summary'!$D$14="Yes",IF(COUNTBLANK('Capacity summary'!$H192:$BG192)&lt;52,IF('Capacity summary'!R192&lt;&gt;"",IF(LOWER('Capacity summary'!R192)="x",$BI73*R73,VALUE('Capacity summary'!R192)),0),R73*$BI73),R73*$BI73),0)</f>
        <v>0</v>
      </c>
      <c r="BV73" s="311">
        <f>IF($BI73&lt;&gt;"",IF('Capacity summary'!$D$14="Yes",IF(COUNTBLANK('Capacity summary'!$H192:$BG192)&lt;52,IF('Capacity summary'!S192&lt;&gt;"",IF(LOWER('Capacity summary'!S192)="x",$BI73*S73,VALUE('Capacity summary'!S192)),0),S73*$BI73),S73*$BI73),0)</f>
        <v>0</v>
      </c>
      <c r="BW73" s="311">
        <f>IF($BI73&lt;&gt;"",IF('Capacity summary'!$D$14="Yes",IF(COUNTBLANK('Capacity summary'!$H192:$BG192)&lt;52,IF('Capacity summary'!T192&lt;&gt;"",IF(LOWER('Capacity summary'!T192)="x",$BI73*T73,VALUE('Capacity summary'!T192)),0),T73*$BI73),T73*$BI73),0)</f>
        <v>0</v>
      </c>
      <c r="BX73" s="311">
        <f>IF($BI73&lt;&gt;"",IF('Capacity summary'!$D$14="Yes",IF(COUNTBLANK('Capacity summary'!$H192:$BG192)&lt;52,IF('Capacity summary'!U192&lt;&gt;"",IF(LOWER('Capacity summary'!U192)="x",$BI73*U73,VALUE('Capacity summary'!U192)),0),U73*$BI73),U73*$BI73),0)</f>
        <v>0</v>
      </c>
      <c r="BY73" s="311">
        <f>IF($BI73&lt;&gt;"",IF('Capacity summary'!$D$14="Yes",IF(COUNTBLANK('Capacity summary'!$H192:$BG192)&lt;52,IF('Capacity summary'!V192&lt;&gt;"",IF(LOWER('Capacity summary'!V192)="x",$BI73*V73,VALUE('Capacity summary'!V192)),0),V73*$BI73),V73*$BI73),0)</f>
        <v>0</v>
      </c>
      <c r="BZ73" s="311">
        <f>IF($BI73&lt;&gt;"",IF('Capacity summary'!$D$14="Yes",IF(COUNTBLANK('Capacity summary'!$H192:$BG192)&lt;52,IF('Capacity summary'!W192&lt;&gt;"",IF(LOWER('Capacity summary'!W192)="x",$BI73*W73,VALUE('Capacity summary'!W192)),0),W73*$BI73),W73*$BI73),0)</f>
        <v>0</v>
      </c>
      <c r="CA73" s="311">
        <f>IF($BI73&lt;&gt;"",IF('Capacity summary'!$D$14="Yes",IF(COUNTBLANK('Capacity summary'!$H192:$BG192)&lt;52,IF('Capacity summary'!X192&lt;&gt;"",IF(LOWER('Capacity summary'!X192)="x",$BI73*X73,VALUE('Capacity summary'!X192)),0),X73*$BI73),X73*$BI73),0)</f>
        <v>0</v>
      </c>
      <c r="CB73" s="311">
        <f>IF($BI73&lt;&gt;"",IF('Capacity summary'!$D$14="Yes",IF(COUNTBLANK('Capacity summary'!$H192:$BG192)&lt;52,IF('Capacity summary'!Y192&lt;&gt;"",IF(LOWER('Capacity summary'!Y192)="x",$BI73*Y73,VALUE('Capacity summary'!Y192)),0),Y73*$BI73),Y73*$BI73),0)</f>
        <v>0</v>
      </c>
      <c r="CC73" s="311">
        <f>IF($BI73&lt;&gt;"",IF('Capacity summary'!$D$14="Yes",IF(COUNTBLANK('Capacity summary'!$H192:$BG192)&lt;52,IF('Capacity summary'!Z192&lt;&gt;"",IF(LOWER('Capacity summary'!Z192)="x",$BI73*Z73,VALUE('Capacity summary'!Z192)),0),Z73*$BI73),Z73*$BI73),0)</f>
        <v>0</v>
      </c>
      <c r="CD73" s="311">
        <f>IF($BI73&lt;&gt;"",IF('Capacity summary'!$D$14="Yes",IF(COUNTBLANK('Capacity summary'!$H192:$BG192)&lt;52,IF('Capacity summary'!AA192&lt;&gt;"",IF(LOWER('Capacity summary'!AA192)="x",$BI73*AA73,VALUE('Capacity summary'!AA192)),0),AA73*$BI73),AA73*$BI73),0)</f>
        <v>0</v>
      </c>
      <c r="CE73" s="311">
        <f>IF($BI73&lt;&gt;"",IF('Capacity summary'!$D$14="Yes",IF(COUNTBLANK('Capacity summary'!$H192:$BG192)&lt;52,IF('Capacity summary'!AB192&lt;&gt;"",IF(LOWER('Capacity summary'!AB192)="x",$BI73*AB73,VALUE('Capacity summary'!AB192)),0),AB73*$BI73),AB73*$BI73),0)</f>
        <v>0</v>
      </c>
      <c r="CF73" s="311">
        <f>IF($BI73&lt;&gt;"",IF('Capacity summary'!$D$14="Yes",IF(COUNTBLANK('Capacity summary'!$H192:$BG192)&lt;52,IF('Capacity summary'!AC192&lt;&gt;"",IF(LOWER('Capacity summary'!AC192)="x",$BI73*AC73,VALUE('Capacity summary'!AC192)),0),AC73*$BI73),AC73*$BI73),0)</f>
        <v>0</v>
      </c>
      <c r="CG73" s="311">
        <f>IF($BI73&lt;&gt;"",IF('Capacity summary'!$D$14="Yes",IF(COUNTBLANK('Capacity summary'!$H192:$BG192)&lt;52,IF('Capacity summary'!AD192&lt;&gt;"",IF(LOWER('Capacity summary'!AD192)="x",$BI73*AD73,VALUE('Capacity summary'!AD192)),0),AD73*$BI73),AD73*$BI73),0)</f>
        <v>0</v>
      </c>
      <c r="CH73" s="311">
        <f>IF($BI73&lt;&gt;"",IF('Capacity summary'!$D$14="Yes",IF(COUNTBLANK('Capacity summary'!$H192:$BG192)&lt;52,IF('Capacity summary'!AE192&lt;&gt;"",IF(LOWER('Capacity summary'!AE192)="x",$BI73*AE73,VALUE('Capacity summary'!AE192)),0),AE73*$BI73),AE73*$BI73),0)</f>
        <v>0</v>
      </c>
      <c r="CI73" s="311">
        <f>IF($BI73&lt;&gt;"",IF('Capacity summary'!$D$14="Yes",IF(COUNTBLANK('Capacity summary'!$H192:$BG192)&lt;52,IF('Capacity summary'!AF192&lt;&gt;"",IF(LOWER('Capacity summary'!AF192)="x",$BI73*AF73,VALUE('Capacity summary'!AF192)),0),AF73*$BI73),AF73*$BI73),0)</f>
        <v>0</v>
      </c>
      <c r="CJ73" s="311">
        <f>IF($BI73&lt;&gt;"",IF('Capacity summary'!$D$14="Yes",IF(COUNTBLANK('Capacity summary'!$H192:$BG192)&lt;52,IF('Capacity summary'!AG192&lt;&gt;"",IF(LOWER('Capacity summary'!AG192)="x",$BI73*AG73,VALUE('Capacity summary'!AG192)),0),AG73*$BI73),AG73*$BI73),0)</f>
        <v>0</v>
      </c>
      <c r="CK73" s="311">
        <f>IF($BI73&lt;&gt;"",IF('Capacity summary'!$D$14="Yes",IF(COUNTBLANK('Capacity summary'!$H192:$BG192)&lt;52,IF('Capacity summary'!AH192&lt;&gt;"",IF(LOWER('Capacity summary'!AH192)="x",$BI73*AH73,VALUE('Capacity summary'!AH192)),0),AH73*$BI73),AH73*$BI73),0)</f>
        <v>0</v>
      </c>
      <c r="CL73" s="311">
        <f>IF($BI73&lt;&gt;"",IF('Capacity summary'!$D$14="Yes",IF(COUNTBLANK('Capacity summary'!$H192:$BG192)&lt;52,IF('Capacity summary'!AI192&lt;&gt;"",IF(LOWER('Capacity summary'!AI192)="x",$BI73*AI73,VALUE('Capacity summary'!AI192)),0),AI73*$BI73),AI73*$BI73),0)</f>
        <v>0</v>
      </c>
      <c r="CM73" s="311">
        <f>IF($BI73&lt;&gt;"",IF('Capacity summary'!$D$14="Yes",IF(COUNTBLANK('Capacity summary'!$H192:$BG192)&lt;52,IF('Capacity summary'!AJ192&lt;&gt;"",IF(LOWER('Capacity summary'!AJ192)="x",$BI73*AJ73,VALUE('Capacity summary'!AJ192)),0),AJ73*$BI73),AJ73*$BI73),0)</f>
        <v>0</v>
      </c>
      <c r="CN73" s="311">
        <f>IF($BI73&lt;&gt;"",IF('Capacity summary'!$D$14="Yes",IF(COUNTBLANK('Capacity summary'!$H192:$BG192)&lt;52,IF('Capacity summary'!AK192&lt;&gt;"",IF(LOWER('Capacity summary'!AK192)="x",$BI73*AK73,VALUE('Capacity summary'!AK192)),0),AK73*$BI73),AK73*$BI73),0)</f>
        <v>0</v>
      </c>
      <c r="CO73" s="311">
        <f>IF($BI73&lt;&gt;"",IF('Capacity summary'!$D$14="Yes",IF(COUNTBLANK('Capacity summary'!$H192:$BG192)&lt;52,IF('Capacity summary'!AL192&lt;&gt;"",IF(LOWER('Capacity summary'!AL192)="x",$BI73*AL73,VALUE('Capacity summary'!AL192)),0),AL73*$BI73),AL73*$BI73),0)</f>
        <v>0</v>
      </c>
      <c r="CP73" s="311">
        <f>IF($BI73&lt;&gt;"",IF('Capacity summary'!$D$14="Yes",IF(COUNTBLANK('Capacity summary'!$H192:$BG192)&lt;52,IF('Capacity summary'!AM192&lt;&gt;"",IF(LOWER('Capacity summary'!AM192)="x",$BI73*AM73,VALUE('Capacity summary'!AM192)),0),AM73*$BI73),AM73*$BI73),0)</f>
        <v>0</v>
      </c>
      <c r="CQ73" s="311">
        <f>IF($BI73&lt;&gt;"",IF('Capacity summary'!$D$14="Yes",IF(COUNTBLANK('Capacity summary'!$H192:$BG192)&lt;52,IF('Capacity summary'!AN192&lt;&gt;"",IF(LOWER('Capacity summary'!AN192)="x",$BI73*AN73,VALUE('Capacity summary'!AN192)),0),AN73*$BI73),AN73*$BI73),0)</f>
        <v>0</v>
      </c>
      <c r="CR73" s="311">
        <f>IF($BI73&lt;&gt;"",IF('Capacity summary'!$D$14="Yes",IF(COUNTBLANK('Capacity summary'!$H192:$BG192)&lt;52,IF('Capacity summary'!AO192&lt;&gt;"",IF(LOWER('Capacity summary'!AO192)="x",$BI73*AO73,VALUE('Capacity summary'!AO192)),0),AO73*$BI73),AO73*$BI73),0)</f>
        <v>0</v>
      </c>
      <c r="CS73" s="311">
        <f>IF($BI73&lt;&gt;"",IF('Capacity summary'!$D$14="Yes",IF(COUNTBLANK('Capacity summary'!$H192:$BG192)&lt;52,IF('Capacity summary'!AP192&lt;&gt;"",IF(LOWER('Capacity summary'!AP192)="x",$BI73*AP73,VALUE('Capacity summary'!AP192)),0),AP73*$BI73),AP73*$BI73),0)</f>
        <v>0</v>
      </c>
      <c r="CT73" s="311">
        <f>IF($BI73&lt;&gt;"",IF('Capacity summary'!$D$14="Yes",IF(COUNTBLANK('Capacity summary'!$H192:$BG192)&lt;52,IF('Capacity summary'!AQ192&lt;&gt;"",IF(LOWER('Capacity summary'!AQ192)="x",$BI73*AQ73,VALUE('Capacity summary'!AQ192)),0),AQ73*$BI73),AQ73*$BI73),0)</f>
        <v>0</v>
      </c>
      <c r="CU73" s="311">
        <f>IF($BI73&lt;&gt;"",IF('Capacity summary'!$D$14="Yes",IF(COUNTBLANK('Capacity summary'!$H192:$BG192)&lt;52,IF('Capacity summary'!AR192&lt;&gt;"",IF(LOWER('Capacity summary'!AR192)="x",$BI73*AR73,VALUE('Capacity summary'!AR192)),0),AR73*$BI73),AR73*$BI73),0)</f>
        <v>0</v>
      </c>
      <c r="CV73" s="311">
        <f>IF($BI73&lt;&gt;"",IF('Capacity summary'!$D$14="Yes",IF(COUNTBLANK('Capacity summary'!$H192:$BG192)&lt;52,IF('Capacity summary'!AS192&lt;&gt;"",IF(LOWER('Capacity summary'!AS192)="x",$BI73*AS73,VALUE('Capacity summary'!AS192)),0),AS73*$BI73),AS73*$BI73),0)</f>
        <v>0</v>
      </c>
      <c r="CW73" s="311">
        <f>IF($BI73&lt;&gt;"",IF('Capacity summary'!$D$14="Yes",IF(COUNTBLANK('Capacity summary'!$H192:$BG192)&lt;52,IF('Capacity summary'!AT192&lt;&gt;"",IF(LOWER('Capacity summary'!AT192)="x",$BI73*AT73,VALUE('Capacity summary'!AT192)),0),AT73*$BI73),AT73*$BI73),0)</f>
        <v>0</v>
      </c>
      <c r="CX73" s="311">
        <f>IF($BI73&lt;&gt;"",IF('Capacity summary'!$D$14="Yes",IF(COUNTBLANK('Capacity summary'!$H192:$BG192)&lt;52,IF('Capacity summary'!AU192&lt;&gt;"",IF(LOWER('Capacity summary'!AU192)="x",$BI73*AU73,VALUE('Capacity summary'!AU192)),0),AU73*$BI73),AU73*$BI73),0)</f>
        <v>0</v>
      </c>
      <c r="CY73" s="311">
        <f>IF($BI73&lt;&gt;"",IF('Capacity summary'!$D$14="Yes",IF(COUNTBLANK('Capacity summary'!$H192:$BG192)&lt;52,IF('Capacity summary'!AV192&lt;&gt;"",IF(LOWER('Capacity summary'!AV192)="x",$BI73*AV73,VALUE('Capacity summary'!AV192)),0),AV73*$BI73),AV73*$BI73),0)</f>
        <v>0</v>
      </c>
      <c r="CZ73" s="311">
        <f>IF($BI73&lt;&gt;"",IF('Capacity summary'!$D$14="Yes",IF(COUNTBLANK('Capacity summary'!$H192:$BG192)&lt;52,IF('Capacity summary'!AW192&lt;&gt;"",IF(LOWER('Capacity summary'!AW192)="x",$BI73*AW73,VALUE('Capacity summary'!AW192)),0),AW73*$BI73),AW73*$BI73),0)</f>
        <v>0</v>
      </c>
      <c r="DA73" s="311">
        <f>IF($BI73&lt;&gt;"",IF('Capacity summary'!$D$14="Yes",IF(COUNTBLANK('Capacity summary'!$H192:$BG192)&lt;52,IF('Capacity summary'!AX192&lt;&gt;"",IF(LOWER('Capacity summary'!AX192)="x",$BI73*AX73,VALUE('Capacity summary'!AX192)),0),AX73*$BI73),AX73*$BI73),0)</f>
        <v>0</v>
      </c>
      <c r="DB73" s="311">
        <f>IF($BI73&lt;&gt;"",IF('Capacity summary'!$D$14="Yes",IF(COUNTBLANK('Capacity summary'!$H192:$BG192)&lt;52,IF('Capacity summary'!AY192&lt;&gt;"",IF(LOWER('Capacity summary'!AY192)="x",$BI73*AY73,VALUE('Capacity summary'!AY192)),0),AY73*$BI73),AY73*$BI73),0)</f>
        <v>0</v>
      </c>
      <c r="DC73" s="311">
        <f>IF($BI73&lt;&gt;"",IF('Capacity summary'!$D$14="Yes",IF(COUNTBLANK('Capacity summary'!$H192:$BG192)&lt;52,IF('Capacity summary'!AZ192&lt;&gt;"",IF(LOWER('Capacity summary'!AZ192)="x",$BI73*AZ73,VALUE('Capacity summary'!AZ192)),0),AZ73*$BI73),AZ73*$BI73),0)</f>
        <v>0</v>
      </c>
      <c r="DD73" s="311">
        <f>IF($BI73&lt;&gt;"",IF('Capacity summary'!$D$14="Yes",IF(COUNTBLANK('Capacity summary'!$H192:$BG192)&lt;52,IF('Capacity summary'!BA192&lt;&gt;"",IF(LOWER('Capacity summary'!BA192)="x",$BI73*BA73,VALUE('Capacity summary'!BA192)),0),BA73*$BI73),BA73*$BI73),0)</f>
        <v>0</v>
      </c>
      <c r="DE73" s="311">
        <f>IF($BI73&lt;&gt;"",IF('Capacity summary'!$D$14="Yes",IF(COUNTBLANK('Capacity summary'!$H192:$BG192)&lt;52,IF('Capacity summary'!BB192&lt;&gt;"",IF(LOWER('Capacity summary'!BB192)="x",$BI73*BB73,VALUE('Capacity summary'!BB192)),0),BB73*$BI73),BB73*$BI73),0)</f>
        <v>0</v>
      </c>
      <c r="DF73" s="311">
        <f>IF($BI73&lt;&gt;"",IF('Capacity summary'!$D$14="Yes",IF(COUNTBLANK('Capacity summary'!$H192:$BG192)&lt;52,IF('Capacity summary'!BC192&lt;&gt;"",IF(LOWER('Capacity summary'!BC192)="x",$BI73*BC73,VALUE('Capacity summary'!BC192)),0),BC73*$BI73),BC73*$BI73),0)</f>
        <v>0</v>
      </c>
      <c r="DG73" s="311">
        <f>IF($BI73&lt;&gt;"",IF('Capacity summary'!$D$14="Yes",IF(COUNTBLANK('Capacity summary'!$H192:$BG192)&lt;52,IF('Capacity summary'!BD192&lt;&gt;"",IF(LOWER('Capacity summary'!BD192)="x",$BI73*BD73,VALUE('Capacity summary'!BD192)),0),BD73*$BI73),BD73*$BI73),0)</f>
        <v>0</v>
      </c>
      <c r="DH73" s="311">
        <f>IF($BI73&lt;&gt;"",IF('Capacity summary'!$D$14="Yes",IF(COUNTBLANK('Capacity summary'!$H192:$BG192)&lt;52,IF('Capacity summary'!BE192&lt;&gt;"",IF(LOWER('Capacity summary'!BE192)="x",$BI73*BE73,VALUE('Capacity summary'!BE192)),0),BE73*$BI73),BE73*$BI73),0)</f>
        <v>0</v>
      </c>
      <c r="DI73" s="311">
        <f>IF($BI73&lt;&gt;"",IF('Capacity summary'!$D$14="Yes",IF(COUNTBLANK('Capacity summary'!$H192:$BG192)&lt;52,IF('Capacity summary'!BF192&lt;&gt;"",IF(LOWER('Capacity summary'!BF192)="x",$BI73*BF73,VALUE('Capacity summary'!BF192)),0),BF73*$BI73),BF73*$BI73),0)</f>
        <v>0</v>
      </c>
      <c r="DJ73" s="311">
        <f>IF($BI73&lt;&gt;"",IF('Capacity summary'!$D$14="Yes",IF(COUNTBLANK('Capacity summary'!$H192:$BG192)&lt;52,IF('Capacity summary'!BG192&lt;&gt;"",IF(LOWER('Capacity summary'!BG192)="x",$BI73*BG73,VALUE('Capacity summary'!BG192)),0),BG73*$BI73),BG73*$BI73),0)</f>
        <v>0</v>
      </c>
      <c r="DK73" s="387">
        <f t="shared" si="4"/>
        <v>0</v>
      </c>
      <c r="DL73" s="136">
        <f t="shared" si="5"/>
        <v>0</v>
      </c>
      <c r="DM73" s="311" t="str">
        <f>Capacity!H85</f>
        <v/>
      </c>
    </row>
    <row r="74" spans="1:117" x14ac:dyDescent="0.2">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1">
        <f>IF($BI74&lt;&gt;"",IF('Capacity summary'!$D$14="Yes",IF(COUNTBLANK('Capacity summary'!$H193:$BG193)&lt;52,IF('Capacity summary'!H193&lt;&gt;"",IF(LOWER('Capacity summary'!H193)="x",$BI74*H74,VALUE('Capacity summary'!H193)),0),H74*$BI74),H74*$BI74),0)</f>
        <v>0</v>
      </c>
      <c r="BL74" s="311">
        <f>IF($BI74&lt;&gt;"",IF('Capacity summary'!$D$14="Yes",IF(COUNTBLANK('Capacity summary'!$H193:$BG193)&lt;52,IF('Capacity summary'!I193&lt;&gt;"",IF(LOWER('Capacity summary'!I193)="x",$BI74*I74,VALUE('Capacity summary'!I193)),0),I74*$BI74),I74*$BI74),0)</f>
        <v>0</v>
      </c>
      <c r="BM74" s="311">
        <f>IF($BI74&lt;&gt;"",IF('Capacity summary'!$D$14="Yes",IF(COUNTBLANK('Capacity summary'!$H193:$BG193)&lt;52,IF('Capacity summary'!J193&lt;&gt;"",IF(LOWER('Capacity summary'!J193)="x",$BI74*J74,VALUE('Capacity summary'!J193)),0),J74*$BI74),J74*$BI74),0)</f>
        <v>0</v>
      </c>
      <c r="BN74" s="311">
        <f>IF($BI74&lt;&gt;"",IF('Capacity summary'!$D$14="Yes",IF(COUNTBLANK('Capacity summary'!$H193:$BG193)&lt;52,IF('Capacity summary'!K193&lt;&gt;"",IF(LOWER('Capacity summary'!K193)="x",$BI74*K74,VALUE('Capacity summary'!K193)),0),K74*$BI74),K74*$BI74),0)</f>
        <v>0</v>
      </c>
      <c r="BO74" s="311">
        <f>IF($BI74&lt;&gt;"",IF('Capacity summary'!$D$14="Yes",IF(COUNTBLANK('Capacity summary'!$H193:$BG193)&lt;52,IF('Capacity summary'!L193&lt;&gt;"",IF(LOWER('Capacity summary'!L193)="x",$BI74*L74,VALUE('Capacity summary'!L193)),0),L74*$BI74),L74*$BI74),0)</f>
        <v>0</v>
      </c>
      <c r="BP74" s="311">
        <f>IF($BI74&lt;&gt;"",IF('Capacity summary'!$D$14="Yes",IF(COUNTBLANK('Capacity summary'!$H193:$BG193)&lt;52,IF('Capacity summary'!M193&lt;&gt;"",IF(LOWER('Capacity summary'!M193)="x",$BI74*M74,VALUE('Capacity summary'!M193)),0),M74*$BI74),M74*$BI74),0)</f>
        <v>0</v>
      </c>
      <c r="BQ74" s="311">
        <f>IF($BI74&lt;&gt;"",IF('Capacity summary'!$D$14="Yes",IF(COUNTBLANK('Capacity summary'!$H193:$BG193)&lt;52,IF('Capacity summary'!N193&lt;&gt;"",IF(LOWER('Capacity summary'!N193)="x",$BI74*N74,VALUE('Capacity summary'!N193)),0),N74*$BI74),N74*$BI74),0)</f>
        <v>0</v>
      </c>
      <c r="BR74" s="311">
        <f>IF($BI74&lt;&gt;"",IF('Capacity summary'!$D$14="Yes",IF(COUNTBLANK('Capacity summary'!$H193:$BG193)&lt;52,IF('Capacity summary'!O193&lt;&gt;"",IF(LOWER('Capacity summary'!O193)="x",$BI74*O74,VALUE('Capacity summary'!O193)),0),O74*$BI74),O74*$BI74),0)</f>
        <v>0</v>
      </c>
      <c r="BS74" s="311">
        <f>IF($BI74&lt;&gt;"",IF('Capacity summary'!$D$14="Yes",IF(COUNTBLANK('Capacity summary'!$H193:$BG193)&lt;52,IF('Capacity summary'!P193&lt;&gt;"",IF(LOWER('Capacity summary'!P193)="x",$BI74*P74,VALUE('Capacity summary'!P193)),0),P74*$BI74),P74*$BI74),0)</f>
        <v>0</v>
      </c>
      <c r="BT74" s="311">
        <f>IF($BI74&lt;&gt;"",IF('Capacity summary'!$D$14="Yes",IF(COUNTBLANK('Capacity summary'!$H193:$BG193)&lt;52,IF('Capacity summary'!Q193&lt;&gt;"",IF(LOWER('Capacity summary'!Q193)="x",$BI74*Q74,VALUE('Capacity summary'!Q193)),0),Q74*$BI74),Q74*$BI74),0)</f>
        <v>0</v>
      </c>
      <c r="BU74" s="311">
        <f>IF($BI74&lt;&gt;"",IF('Capacity summary'!$D$14="Yes",IF(COUNTBLANK('Capacity summary'!$H193:$BG193)&lt;52,IF('Capacity summary'!R193&lt;&gt;"",IF(LOWER('Capacity summary'!R193)="x",$BI74*R74,VALUE('Capacity summary'!R193)),0),R74*$BI74),R74*$BI74),0)</f>
        <v>0</v>
      </c>
      <c r="BV74" s="311">
        <f>IF($BI74&lt;&gt;"",IF('Capacity summary'!$D$14="Yes",IF(COUNTBLANK('Capacity summary'!$H193:$BG193)&lt;52,IF('Capacity summary'!S193&lt;&gt;"",IF(LOWER('Capacity summary'!S193)="x",$BI74*S74,VALUE('Capacity summary'!S193)),0),S74*$BI74),S74*$BI74),0)</f>
        <v>0</v>
      </c>
      <c r="BW74" s="311">
        <f>IF($BI74&lt;&gt;"",IF('Capacity summary'!$D$14="Yes",IF(COUNTBLANK('Capacity summary'!$H193:$BG193)&lt;52,IF('Capacity summary'!T193&lt;&gt;"",IF(LOWER('Capacity summary'!T193)="x",$BI74*T74,VALUE('Capacity summary'!T193)),0),T74*$BI74),T74*$BI74),0)</f>
        <v>0</v>
      </c>
      <c r="BX74" s="311">
        <f>IF($BI74&lt;&gt;"",IF('Capacity summary'!$D$14="Yes",IF(COUNTBLANK('Capacity summary'!$H193:$BG193)&lt;52,IF('Capacity summary'!U193&lt;&gt;"",IF(LOWER('Capacity summary'!U193)="x",$BI74*U74,VALUE('Capacity summary'!U193)),0),U74*$BI74),U74*$BI74),0)</f>
        <v>0</v>
      </c>
      <c r="BY74" s="311">
        <f>IF($BI74&lt;&gt;"",IF('Capacity summary'!$D$14="Yes",IF(COUNTBLANK('Capacity summary'!$H193:$BG193)&lt;52,IF('Capacity summary'!V193&lt;&gt;"",IF(LOWER('Capacity summary'!V193)="x",$BI74*V74,VALUE('Capacity summary'!V193)),0),V74*$BI74),V74*$BI74),0)</f>
        <v>0</v>
      </c>
      <c r="BZ74" s="311">
        <f>IF($BI74&lt;&gt;"",IF('Capacity summary'!$D$14="Yes",IF(COUNTBLANK('Capacity summary'!$H193:$BG193)&lt;52,IF('Capacity summary'!W193&lt;&gt;"",IF(LOWER('Capacity summary'!W193)="x",$BI74*W74,VALUE('Capacity summary'!W193)),0),W74*$BI74),W74*$BI74),0)</f>
        <v>0</v>
      </c>
      <c r="CA74" s="311">
        <f>IF($BI74&lt;&gt;"",IF('Capacity summary'!$D$14="Yes",IF(COUNTBLANK('Capacity summary'!$H193:$BG193)&lt;52,IF('Capacity summary'!X193&lt;&gt;"",IF(LOWER('Capacity summary'!X193)="x",$BI74*X74,VALUE('Capacity summary'!X193)),0),X74*$BI74),X74*$BI74),0)</f>
        <v>0</v>
      </c>
      <c r="CB74" s="311">
        <f>IF($BI74&lt;&gt;"",IF('Capacity summary'!$D$14="Yes",IF(COUNTBLANK('Capacity summary'!$H193:$BG193)&lt;52,IF('Capacity summary'!Y193&lt;&gt;"",IF(LOWER('Capacity summary'!Y193)="x",$BI74*Y74,VALUE('Capacity summary'!Y193)),0),Y74*$BI74),Y74*$BI74),0)</f>
        <v>0</v>
      </c>
      <c r="CC74" s="311">
        <f>IF($BI74&lt;&gt;"",IF('Capacity summary'!$D$14="Yes",IF(COUNTBLANK('Capacity summary'!$H193:$BG193)&lt;52,IF('Capacity summary'!Z193&lt;&gt;"",IF(LOWER('Capacity summary'!Z193)="x",$BI74*Z74,VALUE('Capacity summary'!Z193)),0),Z74*$BI74),Z74*$BI74),0)</f>
        <v>0</v>
      </c>
      <c r="CD74" s="311">
        <f>IF($BI74&lt;&gt;"",IF('Capacity summary'!$D$14="Yes",IF(COUNTBLANK('Capacity summary'!$H193:$BG193)&lt;52,IF('Capacity summary'!AA193&lt;&gt;"",IF(LOWER('Capacity summary'!AA193)="x",$BI74*AA74,VALUE('Capacity summary'!AA193)),0),AA74*$BI74),AA74*$BI74),0)</f>
        <v>0</v>
      </c>
      <c r="CE74" s="311">
        <f>IF($BI74&lt;&gt;"",IF('Capacity summary'!$D$14="Yes",IF(COUNTBLANK('Capacity summary'!$H193:$BG193)&lt;52,IF('Capacity summary'!AB193&lt;&gt;"",IF(LOWER('Capacity summary'!AB193)="x",$BI74*AB74,VALUE('Capacity summary'!AB193)),0),AB74*$BI74),AB74*$BI74),0)</f>
        <v>0</v>
      </c>
      <c r="CF74" s="311">
        <f>IF($BI74&lt;&gt;"",IF('Capacity summary'!$D$14="Yes",IF(COUNTBLANK('Capacity summary'!$H193:$BG193)&lt;52,IF('Capacity summary'!AC193&lt;&gt;"",IF(LOWER('Capacity summary'!AC193)="x",$BI74*AC74,VALUE('Capacity summary'!AC193)),0),AC74*$BI74),AC74*$BI74),0)</f>
        <v>0</v>
      </c>
      <c r="CG74" s="311">
        <f>IF($BI74&lt;&gt;"",IF('Capacity summary'!$D$14="Yes",IF(COUNTBLANK('Capacity summary'!$H193:$BG193)&lt;52,IF('Capacity summary'!AD193&lt;&gt;"",IF(LOWER('Capacity summary'!AD193)="x",$BI74*AD74,VALUE('Capacity summary'!AD193)),0),AD74*$BI74),AD74*$BI74),0)</f>
        <v>0</v>
      </c>
      <c r="CH74" s="311">
        <f>IF($BI74&lt;&gt;"",IF('Capacity summary'!$D$14="Yes",IF(COUNTBLANK('Capacity summary'!$H193:$BG193)&lt;52,IF('Capacity summary'!AE193&lt;&gt;"",IF(LOWER('Capacity summary'!AE193)="x",$BI74*AE74,VALUE('Capacity summary'!AE193)),0),AE74*$BI74),AE74*$BI74),0)</f>
        <v>0</v>
      </c>
      <c r="CI74" s="311">
        <f>IF($BI74&lt;&gt;"",IF('Capacity summary'!$D$14="Yes",IF(COUNTBLANK('Capacity summary'!$H193:$BG193)&lt;52,IF('Capacity summary'!AF193&lt;&gt;"",IF(LOWER('Capacity summary'!AF193)="x",$BI74*AF74,VALUE('Capacity summary'!AF193)),0),AF74*$BI74),AF74*$BI74),0)</f>
        <v>0</v>
      </c>
      <c r="CJ74" s="311">
        <f>IF($BI74&lt;&gt;"",IF('Capacity summary'!$D$14="Yes",IF(COUNTBLANK('Capacity summary'!$H193:$BG193)&lt;52,IF('Capacity summary'!AG193&lt;&gt;"",IF(LOWER('Capacity summary'!AG193)="x",$BI74*AG74,VALUE('Capacity summary'!AG193)),0),AG74*$BI74),AG74*$BI74),0)</f>
        <v>0</v>
      </c>
      <c r="CK74" s="311">
        <f>IF($BI74&lt;&gt;"",IF('Capacity summary'!$D$14="Yes",IF(COUNTBLANK('Capacity summary'!$H193:$BG193)&lt;52,IF('Capacity summary'!AH193&lt;&gt;"",IF(LOWER('Capacity summary'!AH193)="x",$BI74*AH74,VALUE('Capacity summary'!AH193)),0),AH74*$BI74),AH74*$BI74),0)</f>
        <v>0</v>
      </c>
      <c r="CL74" s="311">
        <f>IF($BI74&lt;&gt;"",IF('Capacity summary'!$D$14="Yes",IF(COUNTBLANK('Capacity summary'!$H193:$BG193)&lt;52,IF('Capacity summary'!AI193&lt;&gt;"",IF(LOWER('Capacity summary'!AI193)="x",$BI74*AI74,VALUE('Capacity summary'!AI193)),0),AI74*$BI74),AI74*$BI74),0)</f>
        <v>0</v>
      </c>
      <c r="CM74" s="311">
        <f>IF($BI74&lt;&gt;"",IF('Capacity summary'!$D$14="Yes",IF(COUNTBLANK('Capacity summary'!$H193:$BG193)&lt;52,IF('Capacity summary'!AJ193&lt;&gt;"",IF(LOWER('Capacity summary'!AJ193)="x",$BI74*AJ74,VALUE('Capacity summary'!AJ193)),0),AJ74*$BI74),AJ74*$BI74),0)</f>
        <v>0</v>
      </c>
      <c r="CN74" s="311">
        <f>IF($BI74&lt;&gt;"",IF('Capacity summary'!$D$14="Yes",IF(COUNTBLANK('Capacity summary'!$H193:$BG193)&lt;52,IF('Capacity summary'!AK193&lt;&gt;"",IF(LOWER('Capacity summary'!AK193)="x",$BI74*AK74,VALUE('Capacity summary'!AK193)),0),AK74*$BI74),AK74*$BI74),0)</f>
        <v>0</v>
      </c>
      <c r="CO74" s="311">
        <f>IF($BI74&lt;&gt;"",IF('Capacity summary'!$D$14="Yes",IF(COUNTBLANK('Capacity summary'!$H193:$BG193)&lt;52,IF('Capacity summary'!AL193&lt;&gt;"",IF(LOWER('Capacity summary'!AL193)="x",$BI74*AL74,VALUE('Capacity summary'!AL193)),0),AL74*$BI74),AL74*$BI74),0)</f>
        <v>0</v>
      </c>
      <c r="CP74" s="311">
        <f>IF($BI74&lt;&gt;"",IF('Capacity summary'!$D$14="Yes",IF(COUNTBLANK('Capacity summary'!$H193:$BG193)&lt;52,IF('Capacity summary'!AM193&lt;&gt;"",IF(LOWER('Capacity summary'!AM193)="x",$BI74*AM74,VALUE('Capacity summary'!AM193)),0),AM74*$BI74),AM74*$BI74),0)</f>
        <v>0</v>
      </c>
      <c r="CQ74" s="311">
        <f>IF($BI74&lt;&gt;"",IF('Capacity summary'!$D$14="Yes",IF(COUNTBLANK('Capacity summary'!$H193:$BG193)&lt;52,IF('Capacity summary'!AN193&lt;&gt;"",IF(LOWER('Capacity summary'!AN193)="x",$BI74*AN74,VALUE('Capacity summary'!AN193)),0),AN74*$BI74),AN74*$BI74),0)</f>
        <v>0</v>
      </c>
      <c r="CR74" s="311">
        <f>IF($BI74&lt;&gt;"",IF('Capacity summary'!$D$14="Yes",IF(COUNTBLANK('Capacity summary'!$H193:$BG193)&lt;52,IF('Capacity summary'!AO193&lt;&gt;"",IF(LOWER('Capacity summary'!AO193)="x",$BI74*AO74,VALUE('Capacity summary'!AO193)),0),AO74*$BI74),AO74*$BI74),0)</f>
        <v>0</v>
      </c>
      <c r="CS74" s="311">
        <f>IF($BI74&lt;&gt;"",IF('Capacity summary'!$D$14="Yes",IF(COUNTBLANK('Capacity summary'!$H193:$BG193)&lt;52,IF('Capacity summary'!AP193&lt;&gt;"",IF(LOWER('Capacity summary'!AP193)="x",$BI74*AP74,VALUE('Capacity summary'!AP193)),0),AP74*$BI74),AP74*$BI74),0)</f>
        <v>0</v>
      </c>
      <c r="CT74" s="311">
        <f>IF($BI74&lt;&gt;"",IF('Capacity summary'!$D$14="Yes",IF(COUNTBLANK('Capacity summary'!$H193:$BG193)&lt;52,IF('Capacity summary'!AQ193&lt;&gt;"",IF(LOWER('Capacity summary'!AQ193)="x",$BI74*AQ74,VALUE('Capacity summary'!AQ193)),0),AQ74*$BI74),AQ74*$BI74),0)</f>
        <v>0</v>
      </c>
      <c r="CU74" s="311">
        <f>IF($BI74&lt;&gt;"",IF('Capacity summary'!$D$14="Yes",IF(COUNTBLANK('Capacity summary'!$H193:$BG193)&lt;52,IF('Capacity summary'!AR193&lt;&gt;"",IF(LOWER('Capacity summary'!AR193)="x",$BI74*AR74,VALUE('Capacity summary'!AR193)),0),AR74*$BI74),AR74*$BI74),0)</f>
        <v>0</v>
      </c>
      <c r="CV74" s="311">
        <f>IF($BI74&lt;&gt;"",IF('Capacity summary'!$D$14="Yes",IF(COUNTBLANK('Capacity summary'!$H193:$BG193)&lt;52,IF('Capacity summary'!AS193&lt;&gt;"",IF(LOWER('Capacity summary'!AS193)="x",$BI74*AS74,VALUE('Capacity summary'!AS193)),0),AS74*$BI74),AS74*$BI74),0)</f>
        <v>0</v>
      </c>
      <c r="CW74" s="311">
        <f>IF($BI74&lt;&gt;"",IF('Capacity summary'!$D$14="Yes",IF(COUNTBLANK('Capacity summary'!$H193:$BG193)&lt;52,IF('Capacity summary'!AT193&lt;&gt;"",IF(LOWER('Capacity summary'!AT193)="x",$BI74*AT74,VALUE('Capacity summary'!AT193)),0),AT74*$BI74),AT74*$BI74),0)</f>
        <v>0</v>
      </c>
      <c r="CX74" s="311">
        <f>IF($BI74&lt;&gt;"",IF('Capacity summary'!$D$14="Yes",IF(COUNTBLANK('Capacity summary'!$H193:$BG193)&lt;52,IF('Capacity summary'!AU193&lt;&gt;"",IF(LOWER('Capacity summary'!AU193)="x",$BI74*AU74,VALUE('Capacity summary'!AU193)),0),AU74*$BI74),AU74*$BI74),0)</f>
        <v>0</v>
      </c>
      <c r="CY74" s="311">
        <f>IF($BI74&lt;&gt;"",IF('Capacity summary'!$D$14="Yes",IF(COUNTBLANK('Capacity summary'!$H193:$BG193)&lt;52,IF('Capacity summary'!AV193&lt;&gt;"",IF(LOWER('Capacity summary'!AV193)="x",$BI74*AV74,VALUE('Capacity summary'!AV193)),0),AV74*$BI74),AV74*$BI74),0)</f>
        <v>0</v>
      </c>
      <c r="CZ74" s="311">
        <f>IF($BI74&lt;&gt;"",IF('Capacity summary'!$D$14="Yes",IF(COUNTBLANK('Capacity summary'!$H193:$BG193)&lt;52,IF('Capacity summary'!AW193&lt;&gt;"",IF(LOWER('Capacity summary'!AW193)="x",$BI74*AW74,VALUE('Capacity summary'!AW193)),0),AW74*$BI74),AW74*$BI74),0)</f>
        <v>0</v>
      </c>
      <c r="DA74" s="311">
        <f>IF($BI74&lt;&gt;"",IF('Capacity summary'!$D$14="Yes",IF(COUNTBLANK('Capacity summary'!$H193:$BG193)&lt;52,IF('Capacity summary'!AX193&lt;&gt;"",IF(LOWER('Capacity summary'!AX193)="x",$BI74*AX74,VALUE('Capacity summary'!AX193)),0),AX74*$BI74),AX74*$BI74),0)</f>
        <v>0</v>
      </c>
      <c r="DB74" s="311">
        <f>IF($BI74&lt;&gt;"",IF('Capacity summary'!$D$14="Yes",IF(COUNTBLANK('Capacity summary'!$H193:$BG193)&lt;52,IF('Capacity summary'!AY193&lt;&gt;"",IF(LOWER('Capacity summary'!AY193)="x",$BI74*AY74,VALUE('Capacity summary'!AY193)),0),AY74*$BI74),AY74*$BI74),0)</f>
        <v>0</v>
      </c>
      <c r="DC74" s="311">
        <f>IF($BI74&lt;&gt;"",IF('Capacity summary'!$D$14="Yes",IF(COUNTBLANK('Capacity summary'!$H193:$BG193)&lt;52,IF('Capacity summary'!AZ193&lt;&gt;"",IF(LOWER('Capacity summary'!AZ193)="x",$BI74*AZ74,VALUE('Capacity summary'!AZ193)),0),AZ74*$BI74),AZ74*$BI74),0)</f>
        <v>0</v>
      </c>
      <c r="DD74" s="311">
        <f>IF($BI74&lt;&gt;"",IF('Capacity summary'!$D$14="Yes",IF(COUNTBLANK('Capacity summary'!$H193:$BG193)&lt;52,IF('Capacity summary'!BA193&lt;&gt;"",IF(LOWER('Capacity summary'!BA193)="x",$BI74*BA74,VALUE('Capacity summary'!BA193)),0),BA74*$BI74),BA74*$BI74),0)</f>
        <v>0</v>
      </c>
      <c r="DE74" s="311">
        <f>IF($BI74&lt;&gt;"",IF('Capacity summary'!$D$14="Yes",IF(COUNTBLANK('Capacity summary'!$H193:$BG193)&lt;52,IF('Capacity summary'!BB193&lt;&gt;"",IF(LOWER('Capacity summary'!BB193)="x",$BI74*BB74,VALUE('Capacity summary'!BB193)),0),BB74*$BI74),BB74*$BI74),0)</f>
        <v>0</v>
      </c>
      <c r="DF74" s="311">
        <f>IF($BI74&lt;&gt;"",IF('Capacity summary'!$D$14="Yes",IF(COUNTBLANK('Capacity summary'!$H193:$BG193)&lt;52,IF('Capacity summary'!BC193&lt;&gt;"",IF(LOWER('Capacity summary'!BC193)="x",$BI74*BC74,VALUE('Capacity summary'!BC193)),0),BC74*$BI74),BC74*$BI74),0)</f>
        <v>0</v>
      </c>
      <c r="DG74" s="311">
        <f>IF($BI74&lt;&gt;"",IF('Capacity summary'!$D$14="Yes",IF(COUNTBLANK('Capacity summary'!$H193:$BG193)&lt;52,IF('Capacity summary'!BD193&lt;&gt;"",IF(LOWER('Capacity summary'!BD193)="x",$BI74*BD74,VALUE('Capacity summary'!BD193)),0),BD74*$BI74),BD74*$BI74),0)</f>
        <v>0</v>
      </c>
      <c r="DH74" s="311">
        <f>IF($BI74&lt;&gt;"",IF('Capacity summary'!$D$14="Yes",IF(COUNTBLANK('Capacity summary'!$H193:$BG193)&lt;52,IF('Capacity summary'!BE193&lt;&gt;"",IF(LOWER('Capacity summary'!BE193)="x",$BI74*BE74,VALUE('Capacity summary'!BE193)),0),BE74*$BI74),BE74*$BI74),0)</f>
        <v>0</v>
      </c>
      <c r="DI74" s="311">
        <f>IF($BI74&lt;&gt;"",IF('Capacity summary'!$D$14="Yes",IF(COUNTBLANK('Capacity summary'!$H193:$BG193)&lt;52,IF('Capacity summary'!BF193&lt;&gt;"",IF(LOWER('Capacity summary'!BF193)="x",$BI74*BF74,VALUE('Capacity summary'!BF193)),0),BF74*$BI74),BF74*$BI74),0)</f>
        <v>0</v>
      </c>
      <c r="DJ74" s="311">
        <f>IF($BI74&lt;&gt;"",IF('Capacity summary'!$D$14="Yes",IF(COUNTBLANK('Capacity summary'!$H193:$BG193)&lt;52,IF('Capacity summary'!BG193&lt;&gt;"",IF(LOWER('Capacity summary'!BG193)="x",$BI74*BG74,VALUE('Capacity summary'!BG193)),0),BG74*$BI74),BG74*$BI74),0)</f>
        <v>0</v>
      </c>
      <c r="DK74" s="387">
        <f t="shared" si="4"/>
        <v>0</v>
      </c>
      <c r="DL74" s="136">
        <f t="shared" si="5"/>
        <v>0</v>
      </c>
      <c r="DM74" s="311" t="str">
        <f>Capacity!H86</f>
        <v/>
      </c>
    </row>
    <row r="75" spans="1:117" x14ac:dyDescent="0.2">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1">
        <f>IF($BI75&lt;&gt;"",IF('Capacity summary'!$D$14="Yes",IF(COUNTBLANK('Capacity summary'!$H194:$BG194)&lt;52,IF('Capacity summary'!H194&lt;&gt;"",IF(LOWER('Capacity summary'!H194)="x",$BI75*H75,VALUE('Capacity summary'!H194)),0),H75*$BI75),H75*$BI75),0)</f>
        <v>0</v>
      </c>
      <c r="BL75" s="311">
        <f>IF($BI75&lt;&gt;"",IF('Capacity summary'!$D$14="Yes",IF(COUNTBLANK('Capacity summary'!$H194:$BG194)&lt;52,IF('Capacity summary'!I194&lt;&gt;"",IF(LOWER('Capacity summary'!I194)="x",$BI75*I75,VALUE('Capacity summary'!I194)),0),I75*$BI75),I75*$BI75),0)</f>
        <v>0</v>
      </c>
      <c r="BM75" s="311">
        <f>IF($BI75&lt;&gt;"",IF('Capacity summary'!$D$14="Yes",IF(COUNTBLANK('Capacity summary'!$H194:$BG194)&lt;52,IF('Capacity summary'!J194&lt;&gt;"",IF(LOWER('Capacity summary'!J194)="x",$BI75*J75,VALUE('Capacity summary'!J194)),0),J75*$BI75),J75*$BI75),0)</f>
        <v>0</v>
      </c>
      <c r="BN75" s="311">
        <f>IF($BI75&lt;&gt;"",IF('Capacity summary'!$D$14="Yes",IF(COUNTBLANK('Capacity summary'!$H194:$BG194)&lt;52,IF('Capacity summary'!K194&lt;&gt;"",IF(LOWER('Capacity summary'!K194)="x",$BI75*K75,VALUE('Capacity summary'!K194)),0),K75*$BI75),K75*$BI75),0)</f>
        <v>0</v>
      </c>
      <c r="BO75" s="311">
        <f>IF($BI75&lt;&gt;"",IF('Capacity summary'!$D$14="Yes",IF(COUNTBLANK('Capacity summary'!$H194:$BG194)&lt;52,IF('Capacity summary'!L194&lt;&gt;"",IF(LOWER('Capacity summary'!L194)="x",$BI75*L75,VALUE('Capacity summary'!L194)),0),L75*$BI75),L75*$BI75),0)</f>
        <v>0</v>
      </c>
      <c r="BP75" s="311">
        <f>IF($BI75&lt;&gt;"",IF('Capacity summary'!$D$14="Yes",IF(COUNTBLANK('Capacity summary'!$H194:$BG194)&lt;52,IF('Capacity summary'!M194&lt;&gt;"",IF(LOWER('Capacity summary'!M194)="x",$BI75*M75,VALUE('Capacity summary'!M194)),0),M75*$BI75),M75*$BI75),0)</f>
        <v>0</v>
      </c>
      <c r="BQ75" s="311">
        <f>IF($BI75&lt;&gt;"",IF('Capacity summary'!$D$14="Yes",IF(COUNTBLANK('Capacity summary'!$H194:$BG194)&lt;52,IF('Capacity summary'!N194&lt;&gt;"",IF(LOWER('Capacity summary'!N194)="x",$BI75*N75,VALUE('Capacity summary'!N194)),0),N75*$BI75),N75*$BI75),0)</f>
        <v>0</v>
      </c>
      <c r="BR75" s="311">
        <f>IF($BI75&lt;&gt;"",IF('Capacity summary'!$D$14="Yes",IF(COUNTBLANK('Capacity summary'!$H194:$BG194)&lt;52,IF('Capacity summary'!O194&lt;&gt;"",IF(LOWER('Capacity summary'!O194)="x",$BI75*O75,VALUE('Capacity summary'!O194)),0),O75*$BI75),O75*$BI75),0)</f>
        <v>0</v>
      </c>
      <c r="BS75" s="311">
        <f>IF($BI75&lt;&gt;"",IF('Capacity summary'!$D$14="Yes",IF(COUNTBLANK('Capacity summary'!$H194:$BG194)&lt;52,IF('Capacity summary'!P194&lt;&gt;"",IF(LOWER('Capacity summary'!P194)="x",$BI75*P75,VALUE('Capacity summary'!P194)),0),P75*$BI75),P75*$BI75),0)</f>
        <v>0</v>
      </c>
      <c r="BT75" s="311">
        <f>IF($BI75&lt;&gt;"",IF('Capacity summary'!$D$14="Yes",IF(COUNTBLANK('Capacity summary'!$H194:$BG194)&lt;52,IF('Capacity summary'!Q194&lt;&gt;"",IF(LOWER('Capacity summary'!Q194)="x",$BI75*Q75,VALUE('Capacity summary'!Q194)),0),Q75*$BI75),Q75*$BI75),0)</f>
        <v>0</v>
      </c>
      <c r="BU75" s="311">
        <f>IF($BI75&lt;&gt;"",IF('Capacity summary'!$D$14="Yes",IF(COUNTBLANK('Capacity summary'!$H194:$BG194)&lt;52,IF('Capacity summary'!R194&lt;&gt;"",IF(LOWER('Capacity summary'!R194)="x",$BI75*R75,VALUE('Capacity summary'!R194)),0),R75*$BI75),R75*$BI75),0)</f>
        <v>0</v>
      </c>
      <c r="BV75" s="311">
        <f>IF($BI75&lt;&gt;"",IF('Capacity summary'!$D$14="Yes",IF(COUNTBLANK('Capacity summary'!$H194:$BG194)&lt;52,IF('Capacity summary'!S194&lt;&gt;"",IF(LOWER('Capacity summary'!S194)="x",$BI75*S75,VALUE('Capacity summary'!S194)),0),S75*$BI75),S75*$BI75),0)</f>
        <v>0</v>
      </c>
      <c r="BW75" s="311">
        <f>IF($BI75&lt;&gt;"",IF('Capacity summary'!$D$14="Yes",IF(COUNTBLANK('Capacity summary'!$H194:$BG194)&lt;52,IF('Capacity summary'!T194&lt;&gt;"",IF(LOWER('Capacity summary'!T194)="x",$BI75*T75,VALUE('Capacity summary'!T194)),0),T75*$BI75),T75*$BI75),0)</f>
        <v>0</v>
      </c>
      <c r="BX75" s="311">
        <f>IF($BI75&lt;&gt;"",IF('Capacity summary'!$D$14="Yes",IF(COUNTBLANK('Capacity summary'!$H194:$BG194)&lt;52,IF('Capacity summary'!U194&lt;&gt;"",IF(LOWER('Capacity summary'!U194)="x",$BI75*U75,VALUE('Capacity summary'!U194)),0),U75*$BI75),U75*$BI75),0)</f>
        <v>0</v>
      </c>
      <c r="BY75" s="311">
        <f>IF($BI75&lt;&gt;"",IF('Capacity summary'!$D$14="Yes",IF(COUNTBLANK('Capacity summary'!$H194:$BG194)&lt;52,IF('Capacity summary'!V194&lt;&gt;"",IF(LOWER('Capacity summary'!V194)="x",$BI75*V75,VALUE('Capacity summary'!V194)),0),V75*$BI75),V75*$BI75),0)</f>
        <v>0</v>
      </c>
      <c r="BZ75" s="311">
        <f>IF($BI75&lt;&gt;"",IF('Capacity summary'!$D$14="Yes",IF(COUNTBLANK('Capacity summary'!$H194:$BG194)&lt;52,IF('Capacity summary'!W194&lt;&gt;"",IF(LOWER('Capacity summary'!W194)="x",$BI75*W75,VALUE('Capacity summary'!W194)),0),W75*$BI75),W75*$BI75),0)</f>
        <v>0</v>
      </c>
      <c r="CA75" s="311">
        <f>IF($BI75&lt;&gt;"",IF('Capacity summary'!$D$14="Yes",IF(COUNTBLANK('Capacity summary'!$H194:$BG194)&lt;52,IF('Capacity summary'!X194&lt;&gt;"",IF(LOWER('Capacity summary'!X194)="x",$BI75*X75,VALUE('Capacity summary'!X194)),0),X75*$BI75),X75*$BI75),0)</f>
        <v>0</v>
      </c>
      <c r="CB75" s="311">
        <f>IF($BI75&lt;&gt;"",IF('Capacity summary'!$D$14="Yes",IF(COUNTBLANK('Capacity summary'!$H194:$BG194)&lt;52,IF('Capacity summary'!Y194&lt;&gt;"",IF(LOWER('Capacity summary'!Y194)="x",$BI75*Y75,VALUE('Capacity summary'!Y194)),0),Y75*$BI75),Y75*$BI75),0)</f>
        <v>0</v>
      </c>
      <c r="CC75" s="311">
        <f>IF($BI75&lt;&gt;"",IF('Capacity summary'!$D$14="Yes",IF(COUNTBLANK('Capacity summary'!$H194:$BG194)&lt;52,IF('Capacity summary'!Z194&lt;&gt;"",IF(LOWER('Capacity summary'!Z194)="x",$BI75*Z75,VALUE('Capacity summary'!Z194)),0),Z75*$BI75),Z75*$BI75),0)</f>
        <v>0</v>
      </c>
      <c r="CD75" s="311">
        <f>IF($BI75&lt;&gt;"",IF('Capacity summary'!$D$14="Yes",IF(COUNTBLANK('Capacity summary'!$H194:$BG194)&lt;52,IF('Capacity summary'!AA194&lt;&gt;"",IF(LOWER('Capacity summary'!AA194)="x",$BI75*AA75,VALUE('Capacity summary'!AA194)),0),AA75*$BI75),AA75*$BI75),0)</f>
        <v>0</v>
      </c>
      <c r="CE75" s="311">
        <f>IF($BI75&lt;&gt;"",IF('Capacity summary'!$D$14="Yes",IF(COUNTBLANK('Capacity summary'!$H194:$BG194)&lt;52,IF('Capacity summary'!AB194&lt;&gt;"",IF(LOWER('Capacity summary'!AB194)="x",$BI75*AB75,VALUE('Capacity summary'!AB194)),0),AB75*$BI75),AB75*$BI75),0)</f>
        <v>0</v>
      </c>
      <c r="CF75" s="311">
        <f>IF($BI75&lt;&gt;"",IF('Capacity summary'!$D$14="Yes",IF(COUNTBLANK('Capacity summary'!$H194:$BG194)&lt;52,IF('Capacity summary'!AC194&lt;&gt;"",IF(LOWER('Capacity summary'!AC194)="x",$BI75*AC75,VALUE('Capacity summary'!AC194)),0),AC75*$BI75),AC75*$BI75),0)</f>
        <v>0</v>
      </c>
      <c r="CG75" s="311">
        <f>IF($BI75&lt;&gt;"",IF('Capacity summary'!$D$14="Yes",IF(COUNTBLANK('Capacity summary'!$H194:$BG194)&lt;52,IF('Capacity summary'!AD194&lt;&gt;"",IF(LOWER('Capacity summary'!AD194)="x",$BI75*AD75,VALUE('Capacity summary'!AD194)),0),AD75*$BI75),AD75*$BI75),0)</f>
        <v>0</v>
      </c>
      <c r="CH75" s="311">
        <f>IF($BI75&lt;&gt;"",IF('Capacity summary'!$D$14="Yes",IF(COUNTBLANK('Capacity summary'!$H194:$BG194)&lt;52,IF('Capacity summary'!AE194&lt;&gt;"",IF(LOWER('Capacity summary'!AE194)="x",$BI75*AE75,VALUE('Capacity summary'!AE194)),0),AE75*$BI75),AE75*$BI75),0)</f>
        <v>0</v>
      </c>
      <c r="CI75" s="311">
        <f>IF($BI75&lt;&gt;"",IF('Capacity summary'!$D$14="Yes",IF(COUNTBLANK('Capacity summary'!$H194:$BG194)&lt;52,IF('Capacity summary'!AF194&lt;&gt;"",IF(LOWER('Capacity summary'!AF194)="x",$BI75*AF75,VALUE('Capacity summary'!AF194)),0),AF75*$BI75),AF75*$BI75),0)</f>
        <v>0</v>
      </c>
      <c r="CJ75" s="311">
        <f>IF($BI75&lt;&gt;"",IF('Capacity summary'!$D$14="Yes",IF(COUNTBLANK('Capacity summary'!$H194:$BG194)&lt;52,IF('Capacity summary'!AG194&lt;&gt;"",IF(LOWER('Capacity summary'!AG194)="x",$BI75*AG75,VALUE('Capacity summary'!AG194)),0),AG75*$BI75),AG75*$BI75),0)</f>
        <v>0</v>
      </c>
      <c r="CK75" s="311">
        <f>IF($BI75&lt;&gt;"",IF('Capacity summary'!$D$14="Yes",IF(COUNTBLANK('Capacity summary'!$H194:$BG194)&lt;52,IF('Capacity summary'!AH194&lt;&gt;"",IF(LOWER('Capacity summary'!AH194)="x",$BI75*AH75,VALUE('Capacity summary'!AH194)),0),AH75*$BI75),AH75*$BI75),0)</f>
        <v>0</v>
      </c>
      <c r="CL75" s="311">
        <f>IF($BI75&lt;&gt;"",IF('Capacity summary'!$D$14="Yes",IF(COUNTBLANK('Capacity summary'!$H194:$BG194)&lt;52,IF('Capacity summary'!AI194&lt;&gt;"",IF(LOWER('Capacity summary'!AI194)="x",$BI75*AI75,VALUE('Capacity summary'!AI194)),0),AI75*$BI75),AI75*$BI75),0)</f>
        <v>0</v>
      </c>
      <c r="CM75" s="311">
        <f>IF($BI75&lt;&gt;"",IF('Capacity summary'!$D$14="Yes",IF(COUNTBLANK('Capacity summary'!$H194:$BG194)&lt;52,IF('Capacity summary'!AJ194&lt;&gt;"",IF(LOWER('Capacity summary'!AJ194)="x",$BI75*AJ75,VALUE('Capacity summary'!AJ194)),0),AJ75*$BI75),AJ75*$BI75),0)</f>
        <v>0</v>
      </c>
      <c r="CN75" s="311">
        <f>IF($BI75&lt;&gt;"",IF('Capacity summary'!$D$14="Yes",IF(COUNTBLANK('Capacity summary'!$H194:$BG194)&lt;52,IF('Capacity summary'!AK194&lt;&gt;"",IF(LOWER('Capacity summary'!AK194)="x",$BI75*AK75,VALUE('Capacity summary'!AK194)),0),AK75*$BI75),AK75*$BI75),0)</f>
        <v>0</v>
      </c>
      <c r="CO75" s="311">
        <f>IF($BI75&lt;&gt;"",IF('Capacity summary'!$D$14="Yes",IF(COUNTBLANK('Capacity summary'!$H194:$BG194)&lt;52,IF('Capacity summary'!AL194&lt;&gt;"",IF(LOWER('Capacity summary'!AL194)="x",$BI75*AL75,VALUE('Capacity summary'!AL194)),0),AL75*$BI75),AL75*$BI75),0)</f>
        <v>0</v>
      </c>
      <c r="CP75" s="311">
        <f>IF($BI75&lt;&gt;"",IF('Capacity summary'!$D$14="Yes",IF(COUNTBLANK('Capacity summary'!$H194:$BG194)&lt;52,IF('Capacity summary'!AM194&lt;&gt;"",IF(LOWER('Capacity summary'!AM194)="x",$BI75*AM75,VALUE('Capacity summary'!AM194)),0),AM75*$BI75),AM75*$BI75),0)</f>
        <v>0</v>
      </c>
      <c r="CQ75" s="311">
        <f>IF($BI75&lt;&gt;"",IF('Capacity summary'!$D$14="Yes",IF(COUNTBLANK('Capacity summary'!$H194:$BG194)&lt;52,IF('Capacity summary'!AN194&lt;&gt;"",IF(LOWER('Capacity summary'!AN194)="x",$BI75*AN75,VALUE('Capacity summary'!AN194)),0),AN75*$BI75),AN75*$BI75),0)</f>
        <v>0</v>
      </c>
      <c r="CR75" s="311">
        <f>IF($BI75&lt;&gt;"",IF('Capacity summary'!$D$14="Yes",IF(COUNTBLANK('Capacity summary'!$H194:$BG194)&lt;52,IF('Capacity summary'!AO194&lt;&gt;"",IF(LOWER('Capacity summary'!AO194)="x",$BI75*AO75,VALUE('Capacity summary'!AO194)),0),AO75*$BI75),AO75*$BI75),0)</f>
        <v>0</v>
      </c>
      <c r="CS75" s="311">
        <f>IF($BI75&lt;&gt;"",IF('Capacity summary'!$D$14="Yes",IF(COUNTBLANK('Capacity summary'!$H194:$BG194)&lt;52,IF('Capacity summary'!AP194&lt;&gt;"",IF(LOWER('Capacity summary'!AP194)="x",$BI75*AP75,VALUE('Capacity summary'!AP194)),0),AP75*$BI75),AP75*$BI75),0)</f>
        <v>0</v>
      </c>
      <c r="CT75" s="311">
        <f>IF($BI75&lt;&gt;"",IF('Capacity summary'!$D$14="Yes",IF(COUNTBLANK('Capacity summary'!$H194:$BG194)&lt;52,IF('Capacity summary'!AQ194&lt;&gt;"",IF(LOWER('Capacity summary'!AQ194)="x",$BI75*AQ75,VALUE('Capacity summary'!AQ194)),0),AQ75*$BI75),AQ75*$BI75),0)</f>
        <v>0</v>
      </c>
      <c r="CU75" s="311">
        <f>IF($BI75&lt;&gt;"",IF('Capacity summary'!$D$14="Yes",IF(COUNTBLANK('Capacity summary'!$H194:$BG194)&lt;52,IF('Capacity summary'!AR194&lt;&gt;"",IF(LOWER('Capacity summary'!AR194)="x",$BI75*AR75,VALUE('Capacity summary'!AR194)),0),AR75*$BI75),AR75*$BI75),0)</f>
        <v>0</v>
      </c>
      <c r="CV75" s="311">
        <f>IF($BI75&lt;&gt;"",IF('Capacity summary'!$D$14="Yes",IF(COUNTBLANK('Capacity summary'!$H194:$BG194)&lt;52,IF('Capacity summary'!AS194&lt;&gt;"",IF(LOWER('Capacity summary'!AS194)="x",$BI75*AS75,VALUE('Capacity summary'!AS194)),0),AS75*$BI75),AS75*$BI75),0)</f>
        <v>0</v>
      </c>
      <c r="CW75" s="311">
        <f>IF($BI75&lt;&gt;"",IF('Capacity summary'!$D$14="Yes",IF(COUNTBLANK('Capacity summary'!$H194:$BG194)&lt;52,IF('Capacity summary'!AT194&lt;&gt;"",IF(LOWER('Capacity summary'!AT194)="x",$BI75*AT75,VALUE('Capacity summary'!AT194)),0),AT75*$BI75),AT75*$BI75),0)</f>
        <v>0</v>
      </c>
      <c r="CX75" s="311">
        <f>IF($BI75&lt;&gt;"",IF('Capacity summary'!$D$14="Yes",IF(COUNTBLANK('Capacity summary'!$H194:$BG194)&lt;52,IF('Capacity summary'!AU194&lt;&gt;"",IF(LOWER('Capacity summary'!AU194)="x",$BI75*AU75,VALUE('Capacity summary'!AU194)),0),AU75*$BI75),AU75*$BI75),0)</f>
        <v>0</v>
      </c>
      <c r="CY75" s="311">
        <f>IF($BI75&lt;&gt;"",IF('Capacity summary'!$D$14="Yes",IF(COUNTBLANK('Capacity summary'!$H194:$BG194)&lt;52,IF('Capacity summary'!AV194&lt;&gt;"",IF(LOWER('Capacity summary'!AV194)="x",$BI75*AV75,VALUE('Capacity summary'!AV194)),0),AV75*$BI75),AV75*$BI75),0)</f>
        <v>0</v>
      </c>
      <c r="CZ75" s="311">
        <f>IF($BI75&lt;&gt;"",IF('Capacity summary'!$D$14="Yes",IF(COUNTBLANK('Capacity summary'!$H194:$BG194)&lt;52,IF('Capacity summary'!AW194&lt;&gt;"",IF(LOWER('Capacity summary'!AW194)="x",$BI75*AW75,VALUE('Capacity summary'!AW194)),0),AW75*$BI75),AW75*$BI75),0)</f>
        <v>0</v>
      </c>
      <c r="DA75" s="311">
        <f>IF($BI75&lt;&gt;"",IF('Capacity summary'!$D$14="Yes",IF(COUNTBLANK('Capacity summary'!$H194:$BG194)&lt;52,IF('Capacity summary'!AX194&lt;&gt;"",IF(LOWER('Capacity summary'!AX194)="x",$BI75*AX75,VALUE('Capacity summary'!AX194)),0),AX75*$BI75),AX75*$BI75),0)</f>
        <v>0</v>
      </c>
      <c r="DB75" s="311">
        <f>IF($BI75&lt;&gt;"",IF('Capacity summary'!$D$14="Yes",IF(COUNTBLANK('Capacity summary'!$H194:$BG194)&lt;52,IF('Capacity summary'!AY194&lt;&gt;"",IF(LOWER('Capacity summary'!AY194)="x",$BI75*AY75,VALUE('Capacity summary'!AY194)),0),AY75*$BI75),AY75*$BI75),0)</f>
        <v>0</v>
      </c>
      <c r="DC75" s="311">
        <f>IF($BI75&lt;&gt;"",IF('Capacity summary'!$D$14="Yes",IF(COUNTBLANK('Capacity summary'!$H194:$BG194)&lt;52,IF('Capacity summary'!AZ194&lt;&gt;"",IF(LOWER('Capacity summary'!AZ194)="x",$BI75*AZ75,VALUE('Capacity summary'!AZ194)),0),AZ75*$BI75),AZ75*$BI75),0)</f>
        <v>0</v>
      </c>
      <c r="DD75" s="311">
        <f>IF($BI75&lt;&gt;"",IF('Capacity summary'!$D$14="Yes",IF(COUNTBLANK('Capacity summary'!$H194:$BG194)&lt;52,IF('Capacity summary'!BA194&lt;&gt;"",IF(LOWER('Capacity summary'!BA194)="x",$BI75*BA75,VALUE('Capacity summary'!BA194)),0),BA75*$BI75),BA75*$BI75),0)</f>
        <v>0</v>
      </c>
      <c r="DE75" s="311">
        <f>IF($BI75&lt;&gt;"",IF('Capacity summary'!$D$14="Yes",IF(COUNTBLANK('Capacity summary'!$H194:$BG194)&lt;52,IF('Capacity summary'!BB194&lt;&gt;"",IF(LOWER('Capacity summary'!BB194)="x",$BI75*BB75,VALUE('Capacity summary'!BB194)),0),BB75*$BI75),BB75*$BI75),0)</f>
        <v>0</v>
      </c>
      <c r="DF75" s="311">
        <f>IF($BI75&lt;&gt;"",IF('Capacity summary'!$D$14="Yes",IF(COUNTBLANK('Capacity summary'!$H194:$BG194)&lt;52,IF('Capacity summary'!BC194&lt;&gt;"",IF(LOWER('Capacity summary'!BC194)="x",$BI75*BC75,VALUE('Capacity summary'!BC194)),0),BC75*$BI75),BC75*$BI75),0)</f>
        <v>0</v>
      </c>
      <c r="DG75" s="311">
        <f>IF($BI75&lt;&gt;"",IF('Capacity summary'!$D$14="Yes",IF(COUNTBLANK('Capacity summary'!$H194:$BG194)&lt;52,IF('Capacity summary'!BD194&lt;&gt;"",IF(LOWER('Capacity summary'!BD194)="x",$BI75*BD75,VALUE('Capacity summary'!BD194)),0),BD75*$BI75),BD75*$BI75),0)</f>
        <v>0</v>
      </c>
      <c r="DH75" s="311">
        <f>IF($BI75&lt;&gt;"",IF('Capacity summary'!$D$14="Yes",IF(COUNTBLANK('Capacity summary'!$H194:$BG194)&lt;52,IF('Capacity summary'!BE194&lt;&gt;"",IF(LOWER('Capacity summary'!BE194)="x",$BI75*BE75,VALUE('Capacity summary'!BE194)),0),BE75*$BI75),BE75*$BI75),0)</f>
        <v>0</v>
      </c>
      <c r="DI75" s="311">
        <f>IF($BI75&lt;&gt;"",IF('Capacity summary'!$D$14="Yes",IF(COUNTBLANK('Capacity summary'!$H194:$BG194)&lt;52,IF('Capacity summary'!BF194&lt;&gt;"",IF(LOWER('Capacity summary'!BF194)="x",$BI75*BF75,VALUE('Capacity summary'!BF194)),0),BF75*$BI75),BF75*$BI75),0)</f>
        <v>0</v>
      </c>
      <c r="DJ75" s="311">
        <f>IF($BI75&lt;&gt;"",IF('Capacity summary'!$D$14="Yes",IF(COUNTBLANK('Capacity summary'!$H194:$BG194)&lt;52,IF('Capacity summary'!BG194&lt;&gt;"",IF(LOWER('Capacity summary'!BG194)="x",$BI75*BG75,VALUE('Capacity summary'!BG194)),0),BG75*$BI75),BG75*$BI75),0)</f>
        <v>0</v>
      </c>
      <c r="DK75" s="387">
        <f t="shared" si="4"/>
        <v>0</v>
      </c>
      <c r="DL75" s="136">
        <f t="shared" si="5"/>
        <v>0</v>
      </c>
      <c r="DM75" s="311" t="str">
        <f>Capacity!H87</f>
        <v/>
      </c>
    </row>
    <row r="76" spans="1:117" x14ac:dyDescent="0.2">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1">
        <f>IF($BI76&lt;&gt;"",IF('Capacity summary'!$D$14="Yes",IF(COUNTBLANK('Capacity summary'!$H195:$BG195)&lt;52,IF('Capacity summary'!H195&lt;&gt;"",IF(LOWER('Capacity summary'!H195)="x",$BI76*H76,VALUE('Capacity summary'!H195)),0),H76*$BI76),H76*$BI76),0)</f>
        <v>0</v>
      </c>
      <c r="BL76" s="311">
        <f>IF($BI76&lt;&gt;"",IF('Capacity summary'!$D$14="Yes",IF(COUNTBLANK('Capacity summary'!$H195:$BG195)&lt;52,IF('Capacity summary'!I195&lt;&gt;"",IF(LOWER('Capacity summary'!I195)="x",$BI76*I76,VALUE('Capacity summary'!I195)),0),I76*$BI76),I76*$BI76),0)</f>
        <v>0</v>
      </c>
      <c r="BM76" s="311">
        <f>IF($BI76&lt;&gt;"",IF('Capacity summary'!$D$14="Yes",IF(COUNTBLANK('Capacity summary'!$H195:$BG195)&lt;52,IF('Capacity summary'!J195&lt;&gt;"",IF(LOWER('Capacity summary'!J195)="x",$BI76*J76,VALUE('Capacity summary'!J195)),0),J76*$BI76),J76*$BI76),0)</f>
        <v>0</v>
      </c>
      <c r="BN76" s="311">
        <f>IF($BI76&lt;&gt;"",IF('Capacity summary'!$D$14="Yes",IF(COUNTBLANK('Capacity summary'!$H195:$BG195)&lt;52,IF('Capacity summary'!K195&lt;&gt;"",IF(LOWER('Capacity summary'!K195)="x",$BI76*K76,VALUE('Capacity summary'!K195)),0),K76*$BI76),K76*$BI76),0)</f>
        <v>0</v>
      </c>
      <c r="BO76" s="311">
        <f>IF($BI76&lt;&gt;"",IF('Capacity summary'!$D$14="Yes",IF(COUNTBLANK('Capacity summary'!$H195:$BG195)&lt;52,IF('Capacity summary'!L195&lt;&gt;"",IF(LOWER('Capacity summary'!L195)="x",$BI76*L76,VALUE('Capacity summary'!L195)),0),L76*$BI76),L76*$BI76),0)</f>
        <v>0</v>
      </c>
      <c r="BP76" s="311">
        <f>IF($BI76&lt;&gt;"",IF('Capacity summary'!$D$14="Yes",IF(COUNTBLANK('Capacity summary'!$H195:$BG195)&lt;52,IF('Capacity summary'!M195&lt;&gt;"",IF(LOWER('Capacity summary'!M195)="x",$BI76*M76,VALUE('Capacity summary'!M195)),0),M76*$BI76),M76*$BI76),0)</f>
        <v>0</v>
      </c>
      <c r="BQ76" s="311">
        <f>IF($BI76&lt;&gt;"",IF('Capacity summary'!$D$14="Yes",IF(COUNTBLANK('Capacity summary'!$H195:$BG195)&lt;52,IF('Capacity summary'!N195&lt;&gt;"",IF(LOWER('Capacity summary'!N195)="x",$BI76*N76,VALUE('Capacity summary'!N195)),0),N76*$BI76),N76*$BI76),0)</f>
        <v>0</v>
      </c>
      <c r="BR76" s="311">
        <f>IF($BI76&lt;&gt;"",IF('Capacity summary'!$D$14="Yes",IF(COUNTBLANK('Capacity summary'!$H195:$BG195)&lt;52,IF('Capacity summary'!O195&lt;&gt;"",IF(LOWER('Capacity summary'!O195)="x",$BI76*O76,VALUE('Capacity summary'!O195)),0),O76*$BI76),O76*$BI76),0)</f>
        <v>0</v>
      </c>
      <c r="BS76" s="311">
        <f>IF($BI76&lt;&gt;"",IF('Capacity summary'!$D$14="Yes",IF(COUNTBLANK('Capacity summary'!$H195:$BG195)&lt;52,IF('Capacity summary'!P195&lt;&gt;"",IF(LOWER('Capacity summary'!P195)="x",$BI76*P76,VALUE('Capacity summary'!P195)),0),P76*$BI76),P76*$BI76),0)</f>
        <v>0</v>
      </c>
      <c r="BT76" s="311">
        <f>IF($BI76&lt;&gt;"",IF('Capacity summary'!$D$14="Yes",IF(COUNTBLANK('Capacity summary'!$H195:$BG195)&lt;52,IF('Capacity summary'!Q195&lt;&gt;"",IF(LOWER('Capacity summary'!Q195)="x",$BI76*Q76,VALUE('Capacity summary'!Q195)),0),Q76*$BI76),Q76*$BI76),0)</f>
        <v>0</v>
      </c>
      <c r="BU76" s="311">
        <f>IF($BI76&lt;&gt;"",IF('Capacity summary'!$D$14="Yes",IF(COUNTBLANK('Capacity summary'!$H195:$BG195)&lt;52,IF('Capacity summary'!R195&lt;&gt;"",IF(LOWER('Capacity summary'!R195)="x",$BI76*R76,VALUE('Capacity summary'!R195)),0),R76*$BI76),R76*$BI76),0)</f>
        <v>0</v>
      </c>
      <c r="BV76" s="311">
        <f>IF($BI76&lt;&gt;"",IF('Capacity summary'!$D$14="Yes",IF(COUNTBLANK('Capacity summary'!$H195:$BG195)&lt;52,IF('Capacity summary'!S195&lt;&gt;"",IF(LOWER('Capacity summary'!S195)="x",$BI76*S76,VALUE('Capacity summary'!S195)),0),S76*$BI76),S76*$BI76),0)</f>
        <v>0</v>
      </c>
      <c r="BW76" s="311">
        <f>IF($BI76&lt;&gt;"",IF('Capacity summary'!$D$14="Yes",IF(COUNTBLANK('Capacity summary'!$H195:$BG195)&lt;52,IF('Capacity summary'!T195&lt;&gt;"",IF(LOWER('Capacity summary'!T195)="x",$BI76*T76,VALUE('Capacity summary'!T195)),0),T76*$BI76),T76*$BI76),0)</f>
        <v>0</v>
      </c>
      <c r="BX76" s="311">
        <f>IF($BI76&lt;&gt;"",IF('Capacity summary'!$D$14="Yes",IF(COUNTBLANK('Capacity summary'!$H195:$BG195)&lt;52,IF('Capacity summary'!U195&lt;&gt;"",IF(LOWER('Capacity summary'!U195)="x",$BI76*U76,VALUE('Capacity summary'!U195)),0),U76*$BI76),U76*$BI76),0)</f>
        <v>0</v>
      </c>
      <c r="BY76" s="311">
        <f>IF($BI76&lt;&gt;"",IF('Capacity summary'!$D$14="Yes",IF(COUNTBLANK('Capacity summary'!$H195:$BG195)&lt;52,IF('Capacity summary'!V195&lt;&gt;"",IF(LOWER('Capacity summary'!V195)="x",$BI76*V76,VALUE('Capacity summary'!V195)),0),V76*$BI76),V76*$BI76),0)</f>
        <v>0</v>
      </c>
      <c r="BZ76" s="311">
        <f>IF($BI76&lt;&gt;"",IF('Capacity summary'!$D$14="Yes",IF(COUNTBLANK('Capacity summary'!$H195:$BG195)&lt;52,IF('Capacity summary'!W195&lt;&gt;"",IF(LOWER('Capacity summary'!W195)="x",$BI76*W76,VALUE('Capacity summary'!W195)),0),W76*$BI76),W76*$BI76),0)</f>
        <v>0</v>
      </c>
      <c r="CA76" s="311">
        <f>IF($BI76&lt;&gt;"",IF('Capacity summary'!$D$14="Yes",IF(COUNTBLANK('Capacity summary'!$H195:$BG195)&lt;52,IF('Capacity summary'!X195&lt;&gt;"",IF(LOWER('Capacity summary'!X195)="x",$BI76*X76,VALUE('Capacity summary'!X195)),0),X76*$BI76),X76*$BI76),0)</f>
        <v>0</v>
      </c>
      <c r="CB76" s="311">
        <f>IF($BI76&lt;&gt;"",IF('Capacity summary'!$D$14="Yes",IF(COUNTBLANK('Capacity summary'!$H195:$BG195)&lt;52,IF('Capacity summary'!Y195&lt;&gt;"",IF(LOWER('Capacity summary'!Y195)="x",$BI76*Y76,VALUE('Capacity summary'!Y195)),0),Y76*$BI76),Y76*$BI76),0)</f>
        <v>0</v>
      </c>
      <c r="CC76" s="311">
        <f>IF($BI76&lt;&gt;"",IF('Capacity summary'!$D$14="Yes",IF(COUNTBLANK('Capacity summary'!$H195:$BG195)&lt;52,IF('Capacity summary'!Z195&lt;&gt;"",IF(LOWER('Capacity summary'!Z195)="x",$BI76*Z76,VALUE('Capacity summary'!Z195)),0),Z76*$BI76),Z76*$BI76),0)</f>
        <v>0</v>
      </c>
      <c r="CD76" s="311">
        <f>IF($BI76&lt;&gt;"",IF('Capacity summary'!$D$14="Yes",IF(COUNTBLANK('Capacity summary'!$H195:$BG195)&lt;52,IF('Capacity summary'!AA195&lt;&gt;"",IF(LOWER('Capacity summary'!AA195)="x",$BI76*AA76,VALUE('Capacity summary'!AA195)),0),AA76*$BI76),AA76*$BI76),0)</f>
        <v>0</v>
      </c>
      <c r="CE76" s="311">
        <f>IF($BI76&lt;&gt;"",IF('Capacity summary'!$D$14="Yes",IF(COUNTBLANK('Capacity summary'!$H195:$BG195)&lt;52,IF('Capacity summary'!AB195&lt;&gt;"",IF(LOWER('Capacity summary'!AB195)="x",$BI76*AB76,VALUE('Capacity summary'!AB195)),0),AB76*$BI76),AB76*$BI76),0)</f>
        <v>0</v>
      </c>
      <c r="CF76" s="311">
        <f>IF($BI76&lt;&gt;"",IF('Capacity summary'!$D$14="Yes",IF(COUNTBLANK('Capacity summary'!$H195:$BG195)&lt;52,IF('Capacity summary'!AC195&lt;&gt;"",IF(LOWER('Capacity summary'!AC195)="x",$BI76*AC76,VALUE('Capacity summary'!AC195)),0),AC76*$BI76),AC76*$BI76),0)</f>
        <v>0</v>
      </c>
      <c r="CG76" s="311">
        <f>IF($BI76&lt;&gt;"",IF('Capacity summary'!$D$14="Yes",IF(COUNTBLANK('Capacity summary'!$H195:$BG195)&lt;52,IF('Capacity summary'!AD195&lt;&gt;"",IF(LOWER('Capacity summary'!AD195)="x",$BI76*AD76,VALUE('Capacity summary'!AD195)),0),AD76*$BI76),AD76*$BI76),0)</f>
        <v>0</v>
      </c>
      <c r="CH76" s="311">
        <f>IF($BI76&lt;&gt;"",IF('Capacity summary'!$D$14="Yes",IF(COUNTBLANK('Capacity summary'!$H195:$BG195)&lt;52,IF('Capacity summary'!AE195&lt;&gt;"",IF(LOWER('Capacity summary'!AE195)="x",$BI76*AE76,VALUE('Capacity summary'!AE195)),0),AE76*$BI76),AE76*$BI76),0)</f>
        <v>0</v>
      </c>
      <c r="CI76" s="311">
        <f>IF($BI76&lt;&gt;"",IF('Capacity summary'!$D$14="Yes",IF(COUNTBLANK('Capacity summary'!$H195:$BG195)&lt;52,IF('Capacity summary'!AF195&lt;&gt;"",IF(LOWER('Capacity summary'!AF195)="x",$BI76*AF76,VALUE('Capacity summary'!AF195)),0),AF76*$BI76),AF76*$BI76),0)</f>
        <v>0</v>
      </c>
      <c r="CJ76" s="311">
        <f>IF($BI76&lt;&gt;"",IF('Capacity summary'!$D$14="Yes",IF(COUNTBLANK('Capacity summary'!$H195:$BG195)&lt;52,IF('Capacity summary'!AG195&lt;&gt;"",IF(LOWER('Capacity summary'!AG195)="x",$BI76*AG76,VALUE('Capacity summary'!AG195)),0),AG76*$BI76),AG76*$BI76),0)</f>
        <v>0</v>
      </c>
      <c r="CK76" s="311">
        <f>IF($BI76&lt;&gt;"",IF('Capacity summary'!$D$14="Yes",IF(COUNTBLANK('Capacity summary'!$H195:$BG195)&lt;52,IF('Capacity summary'!AH195&lt;&gt;"",IF(LOWER('Capacity summary'!AH195)="x",$BI76*AH76,VALUE('Capacity summary'!AH195)),0),AH76*$BI76),AH76*$BI76),0)</f>
        <v>0</v>
      </c>
      <c r="CL76" s="311">
        <f>IF($BI76&lt;&gt;"",IF('Capacity summary'!$D$14="Yes",IF(COUNTBLANK('Capacity summary'!$H195:$BG195)&lt;52,IF('Capacity summary'!AI195&lt;&gt;"",IF(LOWER('Capacity summary'!AI195)="x",$BI76*AI76,VALUE('Capacity summary'!AI195)),0),AI76*$BI76),AI76*$BI76),0)</f>
        <v>0</v>
      </c>
      <c r="CM76" s="311">
        <f>IF($BI76&lt;&gt;"",IF('Capacity summary'!$D$14="Yes",IF(COUNTBLANK('Capacity summary'!$H195:$BG195)&lt;52,IF('Capacity summary'!AJ195&lt;&gt;"",IF(LOWER('Capacity summary'!AJ195)="x",$BI76*AJ76,VALUE('Capacity summary'!AJ195)),0),AJ76*$BI76),AJ76*$BI76),0)</f>
        <v>0</v>
      </c>
      <c r="CN76" s="311">
        <f>IF($BI76&lt;&gt;"",IF('Capacity summary'!$D$14="Yes",IF(COUNTBLANK('Capacity summary'!$H195:$BG195)&lt;52,IF('Capacity summary'!AK195&lt;&gt;"",IF(LOWER('Capacity summary'!AK195)="x",$BI76*AK76,VALUE('Capacity summary'!AK195)),0),AK76*$BI76),AK76*$BI76),0)</f>
        <v>0</v>
      </c>
      <c r="CO76" s="311">
        <f>IF($BI76&lt;&gt;"",IF('Capacity summary'!$D$14="Yes",IF(COUNTBLANK('Capacity summary'!$H195:$BG195)&lt;52,IF('Capacity summary'!AL195&lt;&gt;"",IF(LOWER('Capacity summary'!AL195)="x",$BI76*AL76,VALUE('Capacity summary'!AL195)),0),AL76*$BI76),AL76*$BI76),0)</f>
        <v>0</v>
      </c>
      <c r="CP76" s="311">
        <f>IF($BI76&lt;&gt;"",IF('Capacity summary'!$D$14="Yes",IF(COUNTBLANK('Capacity summary'!$H195:$BG195)&lt;52,IF('Capacity summary'!AM195&lt;&gt;"",IF(LOWER('Capacity summary'!AM195)="x",$BI76*AM76,VALUE('Capacity summary'!AM195)),0),AM76*$BI76),AM76*$BI76),0)</f>
        <v>0</v>
      </c>
      <c r="CQ76" s="311">
        <f>IF($BI76&lt;&gt;"",IF('Capacity summary'!$D$14="Yes",IF(COUNTBLANK('Capacity summary'!$H195:$BG195)&lt;52,IF('Capacity summary'!AN195&lt;&gt;"",IF(LOWER('Capacity summary'!AN195)="x",$BI76*AN76,VALUE('Capacity summary'!AN195)),0),AN76*$BI76),AN76*$BI76),0)</f>
        <v>0</v>
      </c>
      <c r="CR76" s="311">
        <f>IF($BI76&lt;&gt;"",IF('Capacity summary'!$D$14="Yes",IF(COUNTBLANK('Capacity summary'!$H195:$BG195)&lt;52,IF('Capacity summary'!AO195&lt;&gt;"",IF(LOWER('Capacity summary'!AO195)="x",$BI76*AO76,VALUE('Capacity summary'!AO195)),0),AO76*$BI76),AO76*$BI76),0)</f>
        <v>0</v>
      </c>
      <c r="CS76" s="311">
        <f>IF($BI76&lt;&gt;"",IF('Capacity summary'!$D$14="Yes",IF(COUNTBLANK('Capacity summary'!$H195:$BG195)&lt;52,IF('Capacity summary'!AP195&lt;&gt;"",IF(LOWER('Capacity summary'!AP195)="x",$BI76*AP76,VALUE('Capacity summary'!AP195)),0),AP76*$BI76),AP76*$BI76),0)</f>
        <v>0</v>
      </c>
      <c r="CT76" s="311">
        <f>IF($BI76&lt;&gt;"",IF('Capacity summary'!$D$14="Yes",IF(COUNTBLANK('Capacity summary'!$H195:$BG195)&lt;52,IF('Capacity summary'!AQ195&lt;&gt;"",IF(LOWER('Capacity summary'!AQ195)="x",$BI76*AQ76,VALUE('Capacity summary'!AQ195)),0),AQ76*$BI76),AQ76*$BI76),0)</f>
        <v>0</v>
      </c>
      <c r="CU76" s="311">
        <f>IF($BI76&lt;&gt;"",IF('Capacity summary'!$D$14="Yes",IF(COUNTBLANK('Capacity summary'!$H195:$BG195)&lt;52,IF('Capacity summary'!AR195&lt;&gt;"",IF(LOWER('Capacity summary'!AR195)="x",$BI76*AR76,VALUE('Capacity summary'!AR195)),0),AR76*$BI76),AR76*$BI76),0)</f>
        <v>0</v>
      </c>
      <c r="CV76" s="311">
        <f>IF($BI76&lt;&gt;"",IF('Capacity summary'!$D$14="Yes",IF(COUNTBLANK('Capacity summary'!$H195:$BG195)&lt;52,IF('Capacity summary'!AS195&lt;&gt;"",IF(LOWER('Capacity summary'!AS195)="x",$BI76*AS76,VALUE('Capacity summary'!AS195)),0),AS76*$BI76),AS76*$BI76),0)</f>
        <v>0</v>
      </c>
      <c r="CW76" s="311">
        <f>IF($BI76&lt;&gt;"",IF('Capacity summary'!$D$14="Yes",IF(COUNTBLANK('Capacity summary'!$H195:$BG195)&lt;52,IF('Capacity summary'!AT195&lt;&gt;"",IF(LOWER('Capacity summary'!AT195)="x",$BI76*AT76,VALUE('Capacity summary'!AT195)),0),AT76*$BI76),AT76*$BI76),0)</f>
        <v>0</v>
      </c>
      <c r="CX76" s="311">
        <f>IF($BI76&lt;&gt;"",IF('Capacity summary'!$D$14="Yes",IF(COUNTBLANK('Capacity summary'!$H195:$BG195)&lt;52,IF('Capacity summary'!AU195&lt;&gt;"",IF(LOWER('Capacity summary'!AU195)="x",$BI76*AU76,VALUE('Capacity summary'!AU195)),0),AU76*$BI76),AU76*$BI76),0)</f>
        <v>0</v>
      </c>
      <c r="CY76" s="311">
        <f>IF($BI76&lt;&gt;"",IF('Capacity summary'!$D$14="Yes",IF(COUNTBLANK('Capacity summary'!$H195:$BG195)&lt;52,IF('Capacity summary'!AV195&lt;&gt;"",IF(LOWER('Capacity summary'!AV195)="x",$BI76*AV76,VALUE('Capacity summary'!AV195)),0),AV76*$BI76),AV76*$BI76),0)</f>
        <v>0</v>
      </c>
      <c r="CZ76" s="311">
        <f>IF($BI76&lt;&gt;"",IF('Capacity summary'!$D$14="Yes",IF(COUNTBLANK('Capacity summary'!$H195:$BG195)&lt;52,IF('Capacity summary'!AW195&lt;&gt;"",IF(LOWER('Capacity summary'!AW195)="x",$BI76*AW76,VALUE('Capacity summary'!AW195)),0),AW76*$BI76),AW76*$BI76),0)</f>
        <v>0</v>
      </c>
      <c r="DA76" s="311">
        <f>IF($BI76&lt;&gt;"",IF('Capacity summary'!$D$14="Yes",IF(COUNTBLANK('Capacity summary'!$H195:$BG195)&lt;52,IF('Capacity summary'!AX195&lt;&gt;"",IF(LOWER('Capacity summary'!AX195)="x",$BI76*AX76,VALUE('Capacity summary'!AX195)),0),AX76*$BI76),AX76*$BI76),0)</f>
        <v>0</v>
      </c>
      <c r="DB76" s="311">
        <f>IF($BI76&lt;&gt;"",IF('Capacity summary'!$D$14="Yes",IF(COUNTBLANK('Capacity summary'!$H195:$BG195)&lt;52,IF('Capacity summary'!AY195&lt;&gt;"",IF(LOWER('Capacity summary'!AY195)="x",$BI76*AY76,VALUE('Capacity summary'!AY195)),0),AY76*$BI76),AY76*$BI76),0)</f>
        <v>0</v>
      </c>
      <c r="DC76" s="311">
        <f>IF($BI76&lt;&gt;"",IF('Capacity summary'!$D$14="Yes",IF(COUNTBLANK('Capacity summary'!$H195:$BG195)&lt;52,IF('Capacity summary'!AZ195&lt;&gt;"",IF(LOWER('Capacity summary'!AZ195)="x",$BI76*AZ76,VALUE('Capacity summary'!AZ195)),0),AZ76*$BI76),AZ76*$BI76),0)</f>
        <v>0</v>
      </c>
      <c r="DD76" s="311">
        <f>IF($BI76&lt;&gt;"",IF('Capacity summary'!$D$14="Yes",IF(COUNTBLANK('Capacity summary'!$H195:$BG195)&lt;52,IF('Capacity summary'!BA195&lt;&gt;"",IF(LOWER('Capacity summary'!BA195)="x",$BI76*BA76,VALUE('Capacity summary'!BA195)),0),BA76*$BI76),BA76*$BI76),0)</f>
        <v>0</v>
      </c>
      <c r="DE76" s="311">
        <f>IF($BI76&lt;&gt;"",IF('Capacity summary'!$D$14="Yes",IF(COUNTBLANK('Capacity summary'!$H195:$BG195)&lt;52,IF('Capacity summary'!BB195&lt;&gt;"",IF(LOWER('Capacity summary'!BB195)="x",$BI76*BB76,VALUE('Capacity summary'!BB195)),0),BB76*$BI76),BB76*$BI76),0)</f>
        <v>0</v>
      </c>
      <c r="DF76" s="311">
        <f>IF($BI76&lt;&gt;"",IF('Capacity summary'!$D$14="Yes",IF(COUNTBLANK('Capacity summary'!$H195:$BG195)&lt;52,IF('Capacity summary'!BC195&lt;&gt;"",IF(LOWER('Capacity summary'!BC195)="x",$BI76*BC76,VALUE('Capacity summary'!BC195)),0),BC76*$BI76),BC76*$BI76),0)</f>
        <v>0</v>
      </c>
      <c r="DG76" s="311">
        <f>IF($BI76&lt;&gt;"",IF('Capacity summary'!$D$14="Yes",IF(COUNTBLANK('Capacity summary'!$H195:$BG195)&lt;52,IF('Capacity summary'!BD195&lt;&gt;"",IF(LOWER('Capacity summary'!BD195)="x",$BI76*BD76,VALUE('Capacity summary'!BD195)),0),BD76*$BI76),BD76*$BI76),0)</f>
        <v>0</v>
      </c>
      <c r="DH76" s="311">
        <f>IF($BI76&lt;&gt;"",IF('Capacity summary'!$D$14="Yes",IF(COUNTBLANK('Capacity summary'!$H195:$BG195)&lt;52,IF('Capacity summary'!BE195&lt;&gt;"",IF(LOWER('Capacity summary'!BE195)="x",$BI76*BE76,VALUE('Capacity summary'!BE195)),0),BE76*$BI76),BE76*$BI76),0)</f>
        <v>0</v>
      </c>
      <c r="DI76" s="311">
        <f>IF($BI76&lt;&gt;"",IF('Capacity summary'!$D$14="Yes",IF(COUNTBLANK('Capacity summary'!$H195:$BG195)&lt;52,IF('Capacity summary'!BF195&lt;&gt;"",IF(LOWER('Capacity summary'!BF195)="x",$BI76*BF76,VALUE('Capacity summary'!BF195)),0),BF76*$BI76),BF76*$BI76),0)</f>
        <v>0</v>
      </c>
      <c r="DJ76" s="311">
        <f>IF($BI76&lt;&gt;"",IF('Capacity summary'!$D$14="Yes",IF(COUNTBLANK('Capacity summary'!$H195:$BG195)&lt;52,IF('Capacity summary'!BG195&lt;&gt;"",IF(LOWER('Capacity summary'!BG195)="x",$BI76*BG76,VALUE('Capacity summary'!BG195)),0),BG76*$BI76),BG76*$BI76),0)</f>
        <v>0</v>
      </c>
      <c r="DK76" s="387">
        <f t="shared" si="4"/>
        <v>0</v>
      </c>
      <c r="DL76" s="136">
        <f t="shared" si="5"/>
        <v>0</v>
      </c>
      <c r="DM76" s="311" t="str">
        <f>Capacity!H88</f>
        <v/>
      </c>
    </row>
    <row r="77" spans="1:117" x14ac:dyDescent="0.2">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1">
        <f>IF($BI77&lt;&gt;"",IF('Capacity summary'!$D$14="Yes",IF(COUNTBLANK('Capacity summary'!$H196:$BG196)&lt;52,IF('Capacity summary'!H196&lt;&gt;"",IF(LOWER('Capacity summary'!H196)="x",$BI77*H77,VALUE('Capacity summary'!H196)),0),H77*$BI77),H77*$BI77),0)</f>
        <v>0</v>
      </c>
      <c r="BL77" s="311">
        <f>IF($BI77&lt;&gt;"",IF('Capacity summary'!$D$14="Yes",IF(COUNTBLANK('Capacity summary'!$H196:$BG196)&lt;52,IF('Capacity summary'!I196&lt;&gt;"",IF(LOWER('Capacity summary'!I196)="x",$BI77*I77,VALUE('Capacity summary'!I196)),0),I77*$BI77),I77*$BI77),0)</f>
        <v>0</v>
      </c>
      <c r="BM77" s="311">
        <f>IF($BI77&lt;&gt;"",IF('Capacity summary'!$D$14="Yes",IF(COUNTBLANK('Capacity summary'!$H196:$BG196)&lt;52,IF('Capacity summary'!J196&lt;&gt;"",IF(LOWER('Capacity summary'!J196)="x",$BI77*J77,VALUE('Capacity summary'!J196)),0),J77*$BI77),J77*$BI77),0)</f>
        <v>0</v>
      </c>
      <c r="BN77" s="311">
        <f>IF($BI77&lt;&gt;"",IF('Capacity summary'!$D$14="Yes",IF(COUNTBLANK('Capacity summary'!$H196:$BG196)&lt;52,IF('Capacity summary'!K196&lt;&gt;"",IF(LOWER('Capacity summary'!K196)="x",$BI77*K77,VALUE('Capacity summary'!K196)),0),K77*$BI77),K77*$BI77),0)</f>
        <v>0</v>
      </c>
      <c r="BO77" s="311">
        <f>IF($BI77&lt;&gt;"",IF('Capacity summary'!$D$14="Yes",IF(COUNTBLANK('Capacity summary'!$H196:$BG196)&lt;52,IF('Capacity summary'!L196&lt;&gt;"",IF(LOWER('Capacity summary'!L196)="x",$BI77*L77,VALUE('Capacity summary'!L196)),0),L77*$BI77),L77*$BI77),0)</f>
        <v>0</v>
      </c>
      <c r="BP77" s="311">
        <f>IF($BI77&lt;&gt;"",IF('Capacity summary'!$D$14="Yes",IF(COUNTBLANK('Capacity summary'!$H196:$BG196)&lt;52,IF('Capacity summary'!M196&lt;&gt;"",IF(LOWER('Capacity summary'!M196)="x",$BI77*M77,VALUE('Capacity summary'!M196)),0),M77*$BI77),M77*$BI77),0)</f>
        <v>0</v>
      </c>
      <c r="BQ77" s="311">
        <f>IF($BI77&lt;&gt;"",IF('Capacity summary'!$D$14="Yes",IF(COUNTBLANK('Capacity summary'!$H196:$BG196)&lt;52,IF('Capacity summary'!N196&lt;&gt;"",IF(LOWER('Capacity summary'!N196)="x",$BI77*N77,VALUE('Capacity summary'!N196)),0),N77*$BI77),N77*$BI77),0)</f>
        <v>0</v>
      </c>
      <c r="BR77" s="311">
        <f>IF($BI77&lt;&gt;"",IF('Capacity summary'!$D$14="Yes",IF(COUNTBLANK('Capacity summary'!$H196:$BG196)&lt;52,IF('Capacity summary'!O196&lt;&gt;"",IF(LOWER('Capacity summary'!O196)="x",$BI77*O77,VALUE('Capacity summary'!O196)),0),O77*$BI77),O77*$BI77),0)</f>
        <v>0</v>
      </c>
      <c r="BS77" s="311">
        <f>IF($BI77&lt;&gt;"",IF('Capacity summary'!$D$14="Yes",IF(COUNTBLANK('Capacity summary'!$H196:$BG196)&lt;52,IF('Capacity summary'!P196&lt;&gt;"",IF(LOWER('Capacity summary'!P196)="x",$BI77*P77,VALUE('Capacity summary'!P196)),0),P77*$BI77),P77*$BI77),0)</f>
        <v>0</v>
      </c>
      <c r="BT77" s="311">
        <f>IF($BI77&lt;&gt;"",IF('Capacity summary'!$D$14="Yes",IF(COUNTBLANK('Capacity summary'!$H196:$BG196)&lt;52,IF('Capacity summary'!Q196&lt;&gt;"",IF(LOWER('Capacity summary'!Q196)="x",$BI77*Q77,VALUE('Capacity summary'!Q196)),0),Q77*$BI77),Q77*$BI77),0)</f>
        <v>0</v>
      </c>
      <c r="BU77" s="311">
        <f>IF($BI77&lt;&gt;"",IF('Capacity summary'!$D$14="Yes",IF(COUNTBLANK('Capacity summary'!$H196:$BG196)&lt;52,IF('Capacity summary'!R196&lt;&gt;"",IF(LOWER('Capacity summary'!R196)="x",$BI77*R77,VALUE('Capacity summary'!R196)),0),R77*$BI77),R77*$BI77),0)</f>
        <v>0</v>
      </c>
      <c r="BV77" s="311">
        <f>IF($BI77&lt;&gt;"",IF('Capacity summary'!$D$14="Yes",IF(COUNTBLANK('Capacity summary'!$H196:$BG196)&lt;52,IF('Capacity summary'!S196&lt;&gt;"",IF(LOWER('Capacity summary'!S196)="x",$BI77*S77,VALUE('Capacity summary'!S196)),0),S77*$BI77),S77*$BI77),0)</f>
        <v>0</v>
      </c>
      <c r="BW77" s="311">
        <f>IF($BI77&lt;&gt;"",IF('Capacity summary'!$D$14="Yes",IF(COUNTBLANK('Capacity summary'!$H196:$BG196)&lt;52,IF('Capacity summary'!T196&lt;&gt;"",IF(LOWER('Capacity summary'!T196)="x",$BI77*T77,VALUE('Capacity summary'!T196)),0),T77*$BI77),T77*$BI77),0)</f>
        <v>0</v>
      </c>
      <c r="BX77" s="311">
        <f>IF($BI77&lt;&gt;"",IF('Capacity summary'!$D$14="Yes",IF(COUNTBLANK('Capacity summary'!$H196:$BG196)&lt;52,IF('Capacity summary'!U196&lt;&gt;"",IF(LOWER('Capacity summary'!U196)="x",$BI77*U77,VALUE('Capacity summary'!U196)),0),U77*$BI77),U77*$BI77),0)</f>
        <v>0</v>
      </c>
      <c r="BY77" s="311">
        <f>IF($BI77&lt;&gt;"",IF('Capacity summary'!$D$14="Yes",IF(COUNTBLANK('Capacity summary'!$H196:$BG196)&lt;52,IF('Capacity summary'!V196&lt;&gt;"",IF(LOWER('Capacity summary'!V196)="x",$BI77*V77,VALUE('Capacity summary'!V196)),0),V77*$BI77),V77*$BI77),0)</f>
        <v>0</v>
      </c>
      <c r="BZ77" s="311">
        <f>IF($BI77&lt;&gt;"",IF('Capacity summary'!$D$14="Yes",IF(COUNTBLANK('Capacity summary'!$H196:$BG196)&lt;52,IF('Capacity summary'!W196&lt;&gt;"",IF(LOWER('Capacity summary'!W196)="x",$BI77*W77,VALUE('Capacity summary'!W196)),0),W77*$BI77),W77*$BI77),0)</f>
        <v>0</v>
      </c>
      <c r="CA77" s="311">
        <f>IF($BI77&lt;&gt;"",IF('Capacity summary'!$D$14="Yes",IF(COUNTBLANK('Capacity summary'!$H196:$BG196)&lt;52,IF('Capacity summary'!X196&lt;&gt;"",IF(LOWER('Capacity summary'!X196)="x",$BI77*X77,VALUE('Capacity summary'!X196)),0),X77*$BI77),X77*$BI77),0)</f>
        <v>0</v>
      </c>
      <c r="CB77" s="311">
        <f>IF($BI77&lt;&gt;"",IF('Capacity summary'!$D$14="Yes",IF(COUNTBLANK('Capacity summary'!$H196:$BG196)&lt;52,IF('Capacity summary'!Y196&lt;&gt;"",IF(LOWER('Capacity summary'!Y196)="x",$BI77*Y77,VALUE('Capacity summary'!Y196)),0),Y77*$BI77),Y77*$BI77),0)</f>
        <v>0</v>
      </c>
      <c r="CC77" s="311">
        <f>IF($BI77&lt;&gt;"",IF('Capacity summary'!$D$14="Yes",IF(COUNTBLANK('Capacity summary'!$H196:$BG196)&lt;52,IF('Capacity summary'!Z196&lt;&gt;"",IF(LOWER('Capacity summary'!Z196)="x",$BI77*Z77,VALUE('Capacity summary'!Z196)),0),Z77*$BI77),Z77*$BI77),0)</f>
        <v>0</v>
      </c>
      <c r="CD77" s="311">
        <f>IF($BI77&lt;&gt;"",IF('Capacity summary'!$D$14="Yes",IF(COUNTBLANK('Capacity summary'!$H196:$BG196)&lt;52,IF('Capacity summary'!AA196&lt;&gt;"",IF(LOWER('Capacity summary'!AA196)="x",$BI77*AA77,VALUE('Capacity summary'!AA196)),0),AA77*$BI77),AA77*$BI77),0)</f>
        <v>0</v>
      </c>
      <c r="CE77" s="311">
        <f>IF($BI77&lt;&gt;"",IF('Capacity summary'!$D$14="Yes",IF(COUNTBLANK('Capacity summary'!$H196:$BG196)&lt;52,IF('Capacity summary'!AB196&lt;&gt;"",IF(LOWER('Capacity summary'!AB196)="x",$BI77*AB77,VALUE('Capacity summary'!AB196)),0),AB77*$BI77),AB77*$BI77),0)</f>
        <v>0</v>
      </c>
      <c r="CF77" s="311">
        <f>IF($BI77&lt;&gt;"",IF('Capacity summary'!$D$14="Yes",IF(COUNTBLANK('Capacity summary'!$H196:$BG196)&lt;52,IF('Capacity summary'!AC196&lt;&gt;"",IF(LOWER('Capacity summary'!AC196)="x",$BI77*AC77,VALUE('Capacity summary'!AC196)),0),AC77*$BI77),AC77*$BI77),0)</f>
        <v>0</v>
      </c>
      <c r="CG77" s="311">
        <f>IF($BI77&lt;&gt;"",IF('Capacity summary'!$D$14="Yes",IF(COUNTBLANK('Capacity summary'!$H196:$BG196)&lt;52,IF('Capacity summary'!AD196&lt;&gt;"",IF(LOWER('Capacity summary'!AD196)="x",$BI77*AD77,VALUE('Capacity summary'!AD196)),0),AD77*$BI77),AD77*$BI77),0)</f>
        <v>0</v>
      </c>
      <c r="CH77" s="311">
        <f>IF($BI77&lt;&gt;"",IF('Capacity summary'!$D$14="Yes",IF(COUNTBLANK('Capacity summary'!$H196:$BG196)&lt;52,IF('Capacity summary'!AE196&lt;&gt;"",IF(LOWER('Capacity summary'!AE196)="x",$BI77*AE77,VALUE('Capacity summary'!AE196)),0),AE77*$BI77),AE77*$BI77),0)</f>
        <v>0</v>
      </c>
      <c r="CI77" s="311">
        <f>IF($BI77&lt;&gt;"",IF('Capacity summary'!$D$14="Yes",IF(COUNTBLANK('Capacity summary'!$H196:$BG196)&lt;52,IF('Capacity summary'!AF196&lt;&gt;"",IF(LOWER('Capacity summary'!AF196)="x",$BI77*AF77,VALUE('Capacity summary'!AF196)),0),AF77*$BI77),AF77*$BI77),0)</f>
        <v>0</v>
      </c>
      <c r="CJ77" s="311">
        <f>IF($BI77&lt;&gt;"",IF('Capacity summary'!$D$14="Yes",IF(COUNTBLANK('Capacity summary'!$H196:$BG196)&lt;52,IF('Capacity summary'!AG196&lt;&gt;"",IF(LOWER('Capacity summary'!AG196)="x",$BI77*AG77,VALUE('Capacity summary'!AG196)),0),AG77*$BI77),AG77*$BI77),0)</f>
        <v>0</v>
      </c>
      <c r="CK77" s="311">
        <f>IF($BI77&lt;&gt;"",IF('Capacity summary'!$D$14="Yes",IF(COUNTBLANK('Capacity summary'!$H196:$BG196)&lt;52,IF('Capacity summary'!AH196&lt;&gt;"",IF(LOWER('Capacity summary'!AH196)="x",$BI77*AH77,VALUE('Capacity summary'!AH196)),0),AH77*$BI77),AH77*$BI77),0)</f>
        <v>0</v>
      </c>
      <c r="CL77" s="311">
        <f>IF($BI77&lt;&gt;"",IF('Capacity summary'!$D$14="Yes",IF(COUNTBLANK('Capacity summary'!$H196:$BG196)&lt;52,IF('Capacity summary'!AI196&lt;&gt;"",IF(LOWER('Capacity summary'!AI196)="x",$BI77*AI77,VALUE('Capacity summary'!AI196)),0),AI77*$BI77),AI77*$BI77),0)</f>
        <v>0</v>
      </c>
      <c r="CM77" s="311">
        <f>IF($BI77&lt;&gt;"",IF('Capacity summary'!$D$14="Yes",IF(COUNTBLANK('Capacity summary'!$H196:$BG196)&lt;52,IF('Capacity summary'!AJ196&lt;&gt;"",IF(LOWER('Capacity summary'!AJ196)="x",$BI77*AJ77,VALUE('Capacity summary'!AJ196)),0),AJ77*$BI77),AJ77*$BI77),0)</f>
        <v>0</v>
      </c>
      <c r="CN77" s="311">
        <f>IF($BI77&lt;&gt;"",IF('Capacity summary'!$D$14="Yes",IF(COUNTBLANK('Capacity summary'!$H196:$BG196)&lt;52,IF('Capacity summary'!AK196&lt;&gt;"",IF(LOWER('Capacity summary'!AK196)="x",$BI77*AK77,VALUE('Capacity summary'!AK196)),0),AK77*$BI77),AK77*$BI77),0)</f>
        <v>0</v>
      </c>
      <c r="CO77" s="311">
        <f>IF($BI77&lt;&gt;"",IF('Capacity summary'!$D$14="Yes",IF(COUNTBLANK('Capacity summary'!$H196:$BG196)&lt;52,IF('Capacity summary'!AL196&lt;&gt;"",IF(LOWER('Capacity summary'!AL196)="x",$BI77*AL77,VALUE('Capacity summary'!AL196)),0),AL77*$BI77),AL77*$BI77),0)</f>
        <v>0</v>
      </c>
      <c r="CP77" s="311">
        <f>IF($BI77&lt;&gt;"",IF('Capacity summary'!$D$14="Yes",IF(COUNTBLANK('Capacity summary'!$H196:$BG196)&lt;52,IF('Capacity summary'!AM196&lt;&gt;"",IF(LOWER('Capacity summary'!AM196)="x",$BI77*AM77,VALUE('Capacity summary'!AM196)),0),AM77*$BI77),AM77*$BI77),0)</f>
        <v>0</v>
      </c>
      <c r="CQ77" s="311">
        <f>IF($BI77&lt;&gt;"",IF('Capacity summary'!$D$14="Yes",IF(COUNTBLANK('Capacity summary'!$H196:$BG196)&lt;52,IF('Capacity summary'!AN196&lt;&gt;"",IF(LOWER('Capacity summary'!AN196)="x",$BI77*AN77,VALUE('Capacity summary'!AN196)),0),AN77*$BI77),AN77*$BI77),0)</f>
        <v>0</v>
      </c>
      <c r="CR77" s="311">
        <f>IF($BI77&lt;&gt;"",IF('Capacity summary'!$D$14="Yes",IF(COUNTBLANK('Capacity summary'!$H196:$BG196)&lt;52,IF('Capacity summary'!AO196&lt;&gt;"",IF(LOWER('Capacity summary'!AO196)="x",$BI77*AO77,VALUE('Capacity summary'!AO196)),0),AO77*$BI77),AO77*$BI77),0)</f>
        <v>0</v>
      </c>
      <c r="CS77" s="311">
        <f>IF($BI77&lt;&gt;"",IF('Capacity summary'!$D$14="Yes",IF(COUNTBLANK('Capacity summary'!$H196:$BG196)&lt;52,IF('Capacity summary'!AP196&lt;&gt;"",IF(LOWER('Capacity summary'!AP196)="x",$BI77*AP77,VALUE('Capacity summary'!AP196)),0),AP77*$BI77),AP77*$BI77),0)</f>
        <v>0</v>
      </c>
      <c r="CT77" s="311">
        <f>IF($BI77&lt;&gt;"",IF('Capacity summary'!$D$14="Yes",IF(COUNTBLANK('Capacity summary'!$H196:$BG196)&lt;52,IF('Capacity summary'!AQ196&lt;&gt;"",IF(LOWER('Capacity summary'!AQ196)="x",$BI77*AQ77,VALUE('Capacity summary'!AQ196)),0),AQ77*$BI77),AQ77*$BI77),0)</f>
        <v>0</v>
      </c>
      <c r="CU77" s="311">
        <f>IF($BI77&lt;&gt;"",IF('Capacity summary'!$D$14="Yes",IF(COUNTBLANK('Capacity summary'!$H196:$BG196)&lt;52,IF('Capacity summary'!AR196&lt;&gt;"",IF(LOWER('Capacity summary'!AR196)="x",$BI77*AR77,VALUE('Capacity summary'!AR196)),0),AR77*$BI77),AR77*$BI77),0)</f>
        <v>0</v>
      </c>
      <c r="CV77" s="311">
        <f>IF($BI77&lt;&gt;"",IF('Capacity summary'!$D$14="Yes",IF(COUNTBLANK('Capacity summary'!$H196:$BG196)&lt;52,IF('Capacity summary'!AS196&lt;&gt;"",IF(LOWER('Capacity summary'!AS196)="x",$BI77*AS77,VALUE('Capacity summary'!AS196)),0),AS77*$BI77),AS77*$BI77),0)</f>
        <v>0</v>
      </c>
      <c r="CW77" s="311">
        <f>IF($BI77&lt;&gt;"",IF('Capacity summary'!$D$14="Yes",IF(COUNTBLANK('Capacity summary'!$H196:$BG196)&lt;52,IF('Capacity summary'!AT196&lt;&gt;"",IF(LOWER('Capacity summary'!AT196)="x",$BI77*AT77,VALUE('Capacity summary'!AT196)),0),AT77*$BI77),AT77*$BI77),0)</f>
        <v>0</v>
      </c>
      <c r="CX77" s="311">
        <f>IF($BI77&lt;&gt;"",IF('Capacity summary'!$D$14="Yes",IF(COUNTBLANK('Capacity summary'!$H196:$BG196)&lt;52,IF('Capacity summary'!AU196&lt;&gt;"",IF(LOWER('Capacity summary'!AU196)="x",$BI77*AU77,VALUE('Capacity summary'!AU196)),0),AU77*$BI77),AU77*$BI77),0)</f>
        <v>0</v>
      </c>
      <c r="CY77" s="311">
        <f>IF($BI77&lt;&gt;"",IF('Capacity summary'!$D$14="Yes",IF(COUNTBLANK('Capacity summary'!$H196:$BG196)&lt;52,IF('Capacity summary'!AV196&lt;&gt;"",IF(LOWER('Capacity summary'!AV196)="x",$BI77*AV77,VALUE('Capacity summary'!AV196)),0),AV77*$BI77),AV77*$BI77),0)</f>
        <v>0</v>
      </c>
      <c r="CZ77" s="311">
        <f>IF($BI77&lt;&gt;"",IF('Capacity summary'!$D$14="Yes",IF(COUNTBLANK('Capacity summary'!$H196:$BG196)&lt;52,IF('Capacity summary'!AW196&lt;&gt;"",IF(LOWER('Capacity summary'!AW196)="x",$BI77*AW77,VALUE('Capacity summary'!AW196)),0),AW77*$BI77),AW77*$BI77),0)</f>
        <v>0</v>
      </c>
      <c r="DA77" s="311">
        <f>IF($BI77&lt;&gt;"",IF('Capacity summary'!$D$14="Yes",IF(COUNTBLANK('Capacity summary'!$H196:$BG196)&lt;52,IF('Capacity summary'!AX196&lt;&gt;"",IF(LOWER('Capacity summary'!AX196)="x",$BI77*AX77,VALUE('Capacity summary'!AX196)),0),AX77*$BI77),AX77*$BI77),0)</f>
        <v>0</v>
      </c>
      <c r="DB77" s="311">
        <f>IF($BI77&lt;&gt;"",IF('Capacity summary'!$D$14="Yes",IF(COUNTBLANK('Capacity summary'!$H196:$BG196)&lt;52,IF('Capacity summary'!AY196&lt;&gt;"",IF(LOWER('Capacity summary'!AY196)="x",$BI77*AY77,VALUE('Capacity summary'!AY196)),0),AY77*$BI77),AY77*$BI77),0)</f>
        <v>0</v>
      </c>
      <c r="DC77" s="311">
        <f>IF($BI77&lt;&gt;"",IF('Capacity summary'!$D$14="Yes",IF(COUNTBLANK('Capacity summary'!$H196:$BG196)&lt;52,IF('Capacity summary'!AZ196&lt;&gt;"",IF(LOWER('Capacity summary'!AZ196)="x",$BI77*AZ77,VALUE('Capacity summary'!AZ196)),0),AZ77*$BI77),AZ77*$BI77),0)</f>
        <v>0</v>
      </c>
      <c r="DD77" s="311">
        <f>IF($BI77&lt;&gt;"",IF('Capacity summary'!$D$14="Yes",IF(COUNTBLANK('Capacity summary'!$H196:$BG196)&lt;52,IF('Capacity summary'!BA196&lt;&gt;"",IF(LOWER('Capacity summary'!BA196)="x",$BI77*BA77,VALUE('Capacity summary'!BA196)),0),BA77*$BI77),BA77*$BI77),0)</f>
        <v>0</v>
      </c>
      <c r="DE77" s="311">
        <f>IF($BI77&lt;&gt;"",IF('Capacity summary'!$D$14="Yes",IF(COUNTBLANK('Capacity summary'!$H196:$BG196)&lt;52,IF('Capacity summary'!BB196&lt;&gt;"",IF(LOWER('Capacity summary'!BB196)="x",$BI77*BB77,VALUE('Capacity summary'!BB196)),0),BB77*$BI77),BB77*$BI77),0)</f>
        <v>0</v>
      </c>
      <c r="DF77" s="311">
        <f>IF($BI77&lt;&gt;"",IF('Capacity summary'!$D$14="Yes",IF(COUNTBLANK('Capacity summary'!$H196:$BG196)&lt;52,IF('Capacity summary'!BC196&lt;&gt;"",IF(LOWER('Capacity summary'!BC196)="x",$BI77*BC77,VALUE('Capacity summary'!BC196)),0),BC77*$BI77),BC77*$BI77),0)</f>
        <v>0</v>
      </c>
      <c r="DG77" s="311">
        <f>IF($BI77&lt;&gt;"",IF('Capacity summary'!$D$14="Yes",IF(COUNTBLANK('Capacity summary'!$H196:$BG196)&lt;52,IF('Capacity summary'!BD196&lt;&gt;"",IF(LOWER('Capacity summary'!BD196)="x",$BI77*BD77,VALUE('Capacity summary'!BD196)),0),BD77*$BI77),BD77*$BI77),0)</f>
        <v>0</v>
      </c>
      <c r="DH77" s="311">
        <f>IF($BI77&lt;&gt;"",IF('Capacity summary'!$D$14="Yes",IF(COUNTBLANK('Capacity summary'!$H196:$BG196)&lt;52,IF('Capacity summary'!BE196&lt;&gt;"",IF(LOWER('Capacity summary'!BE196)="x",$BI77*BE77,VALUE('Capacity summary'!BE196)),0),BE77*$BI77),BE77*$BI77),0)</f>
        <v>0</v>
      </c>
      <c r="DI77" s="311">
        <f>IF($BI77&lt;&gt;"",IF('Capacity summary'!$D$14="Yes",IF(COUNTBLANK('Capacity summary'!$H196:$BG196)&lt;52,IF('Capacity summary'!BF196&lt;&gt;"",IF(LOWER('Capacity summary'!BF196)="x",$BI77*BF77,VALUE('Capacity summary'!BF196)),0),BF77*$BI77),BF77*$BI77),0)</f>
        <v>0</v>
      </c>
      <c r="DJ77" s="311">
        <f>IF($BI77&lt;&gt;"",IF('Capacity summary'!$D$14="Yes",IF(COUNTBLANK('Capacity summary'!$H196:$BG196)&lt;52,IF('Capacity summary'!BG196&lt;&gt;"",IF(LOWER('Capacity summary'!BG196)="x",$BI77*BG77,VALUE('Capacity summary'!BG196)),0),BG77*$BI77),BG77*$BI77),0)</f>
        <v>0</v>
      </c>
      <c r="DK77" s="387">
        <f t="shared" si="4"/>
        <v>0</v>
      </c>
      <c r="DL77" s="136">
        <f t="shared" si="5"/>
        <v>0</v>
      </c>
      <c r="DM77" s="311" t="str">
        <f>Capacity!H89</f>
        <v/>
      </c>
    </row>
    <row r="78" spans="1:117" x14ac:dyDescent="0.2">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1">
        <f>IF($BI78&lt;&gt;"",IF('Capacity summary'!$D$14="Yes",IF(COUNTBLANK('Capacity summary'!$H197:$BG197)&lt;52,IF('Capacity summary'!H197&lt;&gt;"",IF(LOWER('Capacity summary'!H197)="x",$BI78*H78,VALUE('Capacity summary'!H197)),0),H78*$BI78),H78*$BI78),0)</f>
        <v>0</v>
      </c>
      <c r="BL78" s="311">
        <f>IF($BI78&lt;&gt;"",IF('Capacity summary'!$D$14="Yes",IF(COUNTBLANK('Capacity summary'!$H197:$BG197)&lt;52,IF('Capacity summary'!I197&lt;&gt;"",IF(LOWER('Capacity summary'!I197)="x",$BI78*I78,VALUE('Capacity summary'!I197)),0),I78*$BI78),I78*$BI78),0)</f>
        <v>0</v>
      </c>
      <c r="BM78" s="311">
        <f>IF($BI78&lt;&gt;"",IF('Capacity summary'!$D$14="Yes",IF(COUNTBLANK('Capacity summary'!$H197:$BG197)&lt;52,IF('Capacity summary'!J197&lt;&gt;"",IF(LOWER('Capacity summary'!J197)="x",$BI78*J78,VALUE('Capacity summary'!J197)),0),J78*$BI78),J78*$BI78),0)</f>
        <v>0</v>
      </c>
      <c r="BN78" s="311">
        <f>IF($BI78&lt;&gt;"",IF('Capacity summary'!$D$14="Yes",IF(COUNTBLANK('Capacity summary'!$H197:$BG197)&lt;52,IF('Capacity summary'!K197&lt;&gt;"",IF(LOWER('Capacity summary'!K197)="x",$BI78*K78,VALUE('Capacity summary'!K197)),0),K78*$BI78),K78*$BI78),0)</f>
        <v>0</v>
      </c>
      <c r="BO78" s="311">
        <f>IF($BI78&lt;&gt;"",IF('Capacity summary'!$D$14="Yes",IF(COUNTBLANK('Capacity summary'!$H197:$BG197)&lt;52,IF('Capacity summary'!L197&lt;&gt;"",IF(LOWER('Capacity summary'!L197)="x",$BI78*L78,VALUE('Capacity summary'!L197)),0),L78*$BI78),L78*$BI78),0)</f>
        <v>0</v>
      </c>
      <c r="BP78" s="311">
        <f>IF($BI78&lt;&gt;"",IF('Capacity summary'!$D$14="Yes",IF(COUNTBLANK('Capacity summary'!$H197:$BG197)&lt;52,IF('Capacity summary'!M197&lt;&gt;"",IF(LOWER('Capacity summary'!M197)="x",$BI78*M78,VALUE('Capacity summary'!M197)),0),M78*$BI78),M78*$BI78),0)</f>
        <v>0</v>
      </c>
      <c r="BQ78" s="311">
        <f>IF($BI78&lt;&gt;"",IF('Capacity summary'!$D$14="Yes",IF(COUNTBLANK('Capacity summary'!$H197:$BG197)&lt;52,IF('Capacity summary'!N197&lt;&gt;"",IF(LOWER('Capacity summary'!N197)="x",$BI78*N78,VALUE('Capacity summary'!N197)),0),N78*$BI78),N78*$BI78),0)</f>
        <v>0</v>
      </c>
      <c r="BR78" s="311">
        <f>IF($BI78&lt;&gt;"",IF('Capacity summary'!$D$14="Yes",IF(COUNTBLANK('Capacity summary'!$H197:$BG197)&lt;52,IF('Capacity summary'!O197&lt;&gt;"",IF(LOWER('Capacity summary'!O197)="x",$BI78*O78,VALUE('Capacity summary'!O197)),0),O78*$BI78),O78*$BI78),0)</f>
        <v>0</v>
      </c>
      <c r="BS78" s="311">
        <f>IF($BI78&lt;&gt;"",IF('Capacity summary'!$D$14="Yes",IF(COUNTBLANK('Capacity summary'!$H197:$BG197)&lt;52,IF('Capacity summary'!P197&lt;&gt;"",IF(LOWER('Capacity summary'!P197)="x",$BI78*P78,VALUE('Capacity summary'!P197)),0),P78*$BI78),P78*$BI78),0)</f>
        <v>0</v>
      </c>
      <c r="BT78" s="311">
        <f>IF($BI78&lt;&gt;"",IF('Capacity summary'!$D$14="Yes",IF(COUNTBLANK('Capacity summary'!$H197:$BG197)&lt;52,IF('Capacity summary'!Q197&lt;&gt;"",IF(LOWER('Capacity summary'!Q197)="x",$BI78*Q78,VALUE('Capacity summary'!Q197)),0),Q78*$BI78),Q78*$BI78),0)</f>
        <v>0</v>
      </c>
      <c r="BU78" s="311">
        <f>IF($BI78&lt;&gt;"",IF('Capacity summary'!$D$14="Yes",IF(COUNTBLANK('Capacity summary'!$H197:$BG197)&lt;52,IF('Capacity summary'!R197&lt;&gt;"",IF(LOWER('Capacity summary'!R197)="x",$BI78*R78,VALUE('Capacity summary'!R197)),0),R78*$BI78),R78*$BI78),0)</f>
        <v>0</v>
      </c>
      <c r="BV78" s="311">
        <f>IF($BI78&lt;&gt;"",IF('Capacity summary'!$D$14="Yes",IF(COUNTBLANK('Capacity summary'!$H197:$BG197)&lt;52,IF('Capacity summary'!S197&lt;&gt;"",IF(LOWER('Capacity summary'!S197)="x",$BI78*S78,VALUE('Capacity summary'!S197)),0),S78*$BI78),S78*$BI78),0)</f>
        <v>0</v>
      </c>
      <c r="BW78" s="311">
        <f>IF($BI78&lt;&gt;"",IF('Capacity summary'!$D$14="Yes",IF(COUNTBLANK('Capacity summary'!$H197:$BG197)&lt;52,IF('Capacity summary'!T197&lt;&gt;"",IF(LOWER('Capacity summary'!T197)="x",$BI78*T78,VALUE('Capacity summary'!T197)),0),T78*$BI78),T78*$BI78),0)</f>
        <v>0</v>
      </c>
      <c r="BX78" s="311">
        <f>IF($BI78&lt;&gt;"",IF('Capacity summary'!$D$14="Yes",IF(COUNTBLANK('Capacity summary'!$H197:$BG197)&lt;52,IF('Capacity summary'!U197&lt;&gt;"",IF(LOWER('Capacity summary'!U197)="x",$BI78*U78,VALUE('Capacity summary'!U197)),0),U78*$BI78),U78*$BI78),0)</f>
        <v>0</v>
      </c>
      <c r="BY78" s="311">
        <f>IF($BI78&lt;&gt;"",IF('Capacity summary'!$D$14="Yes",IF(COUNTBLANK('Capacity summary'!$H197:$BG197)&lt;52,IF('Capacity summary'!V197&lt;&gt;"",IF(LOWER('Capacity summary'!V197)="x",$BI78*V78,VALUE('Capacity summary'!V197)),0),V78*$BI78),V78*$BI78),0)</f>
        <v>0</v>
      </c>
      <c r="BZ78" s="311">
        <f>IF($BI78&lt;&gt;"",IF('Capacity summary'!$D$14="Yes",IF(COUNTBLANK('Capacity summary'!$H197:$BG197)&lt;52,IF('Capacity summary'!W197&lt;&gt;"",IF(LOWER('Capacity summary'!W197)="x",$BI78*W78,VALUE('Capacity summary'!W197)),0),W78*$BI78),W78*$BI78),0)</f>
        <v>0</v>
      </c>
      <c r="CA78" s="311">
        <f>IF($BI78&lt;&gt;"",IF('Capacity summary'!$D$14="Yes",IF(COUNTBLANK('Capacity summary'!$H197:$BG197)&lt;52,IF('Capacity summary'!X197&lt;&gt;"",IF(LOWER('Capacity summary'!X197)="x",$BI78*X78,VALUE('Capacity summary'!X197)),0),X78*$BI78),X78*$BI78),0)</f>
        <v>0</v>
      </c>
      <c r="CB78" s="311">
        <f>IF($BI78&lt;&gt;"",IF('Capacity summary'!$D$14="Yes",IF(COUNTBLANK('Capacity summary'!$H197:$BG197)&lt;52,IF('Capacity summary'!Y197&lt;&gt;"",IF(LOWER('Capacity summary'!Y197)="x",$BI78*Y78,VALUE('Capacity summary'!Y197)),0),Y78*$BI78),Y78*$BI78),0)</f>
        <v>0</v>
      </c>
      <c r="CC78" s="311">
        <f>IF($BI78&lt;&gt;"",IF('Capacity summary'!$D$14="Yes",IF(COUNTBLANK('Capacity summary'!$H197:$BG197)&lt;52,IF('Capacity summary'!Z197&lt;&gt;"",IF(LOWER('Capacity summary'!Z197)="x",$BI78*Z78,VALUE('Capacity summary'!Z197)),0),Z78*$BI78),Z78*$BI78),0)</f>
        <v>0</v>
      </c>
      <c r="CD78" s="311">
        <f>IF($BI78&lt;&gt;"",IF('Capacity summary'!$D$14="Yes",IF(COUNTBLANK('Capacity summary'!$H197:$BG197)&lt;52,IF('Capacity summary'!AA197&lt;&gt;"",IF(LOWER('Capacity summary'!AA197)="x",$BI78*AA78,VALUE('Capacity summary'!AA197)),0),AA78*$BI78),AA78*$BI78),0)</f>
        <v>0</v>
      </c>
      <c r="CE78" s="311">
        <f>IF($BI78&lt;&gt;"",IF('Capacity summary'!$D$14="Yes",IF(COUNTBLANK('Capacity summary'!$H197:$BG197)&lt;52,IF('Capacity summary'!AB197&lt;&gt;"",IF(LOWER('Capacity summary'!AB197)="x",$BI78*AB78,VALUE('Capacity summary'!AB197)),0),AB78*$BI78),AB78*$BI78),0)</f>
        <v>0</v>
      </c>
      <c r="CF78" s="311">
        <f>IF($BI78&lt;&gt;"",IF('Capacity summary'!$D$14="Yes",IF(COUNTBLANK('Capacity summary'!$H197:$BG197)&lt;52,IF('Capacity summary'!AC197&lt;&gt;"",IF(LOWER('Capacity summary'!AC197)="x",$BI78*AC78,VALUE('Capacity summary'!AC197)),0),AC78*$BI78),AC78*$BI78),0)</f>
        <v>0</v>
      </c>
      <c r="CG78" s="311">
        <f>IF($BI78&lt;&gt;"",IF('Capacity summary'!$D$14="Yes",IF(COUNTBLANK('Capacity summary'!$H197:$BG197)&lt;52,IF('Capacity summary'!AD197&lt;&gt;"",IF(LOWER('Capacity summary'!AD197)="x",$BI78*AD78,VALUE('Capacity summary'!AD197)),0),AD78*$BI78),AD78*$BI78),0)</f>
        <v>0</v>
      </c>
      <c r="CH78" s="311">
        <f>IF($BI78&lt;&gt;"",IF('Capacity summary'!$D$14="Yes",IF(COUNTBLANK('Capacity summary'!$H197:$BG197)&lt;52,IF('Capacity summary'!AE197&lt;&gt;"",IF(LOWER('Capacity summary'!AE197)="x",$BI78*AE78,VALUE('Capacity summary'!AE197)),0),AE78*$BI78),AE78*$BI78),0)</f>
        <v>0</v>
      </c>
      <c r="CI78" s="311">
        <f>IF($BI78&lt;&gt;"",IF('Capacity summary'!$D$14="Yes",IF(COUNTBLANK('Capacity summary'!$H197:$BG197)&lt;52,IF('Capacity summary'!AF197&lt;&gt;"",IF(LOWER('Capacity summary'!AF197)="x",$BI78*AF78,VALUE('Capacity summary'!AF197)),0),AF78*$BI78),AF78*$BI78),0)</f>
        <v>0</v>
      </c>
      <c r="CJ78" s="311">
        <f>IF($BI78&lt;&gt;"",IF('Capacity summary'!$D$14="Yes",IF(COUNTBLANK('Capacity summary'!$H197:$BG197)&lt;52,IF('Capacity summary'!AG197&lt;&gt;"",IF(LOWER('Capacity summary'!AG197)="x",$BI78*AG78,VALUE('Capacity summary'!AG197)),0),AG78*$BI78),AG78*$BI78),0)</f>
        <v>0</v>
      </c>
      <c r="CK78" s="311">
        <f>IF($BI78&lt;&gt;"",IF('Capacity summary'!$D$14="Yes",IF(COUNTBLANK('Capacity summary'!$H197:$BG197)&lt;52,IF('Capacity summary'!AH197&lt;&gt;"",IF(LOWER('Capacity summary'!AH197)="x",$BI78*AH78,VALUE('Capacity summary'!AH197)),0),AH78*$BI78),AH78*$BI78),0)</f>
        <v>0</v>
      </c>
      <c r="CL78" s="311">
        <f>IF($BI78&lt;&gt;"",IF('Capacity summary'!$D$14="Yes",IF(COUNTBLANK('Capacity summary'!$H197:$BG197)&lt;52,IF('Capacity summary'!AI197&lt;&gt;"",IF(LOWER('Capacity summary'!AI197)="x",$BI78*AI78,VALUE('Capacity summary'!AI197)),0),AI78*$BI78),AI78*$BI78),0)</f>
        <v>0</v>
      </c>
      <c r="CM78" s="311">
        <f>IF($BI78&lt;&gt;"",IF('Capacity summary'!$D$14="Yes",IF(COUNTBLANK('Capacity summary'!$H197:$BG197)&lt;52,IF('Capacity summary'!AJ197&lt;&gt;"",IF(LOWER('Capacity summary'!AJ197)="x",$BI78*AJ78,VALUE('Capacity summary'!AJ197)),0),AJ78*$BI78),AJ78*$BI78),0)</f>
        <v>0</v>
      </c>
      <c r="CN78" s="311">
        <f>IF($BI78&lt;&gt;"",IF('Capacity summary'!$D$14="Yes",IF(COUNTBLANK('Capacity summary'!$H197:$BG197)&lt;52,IF('Capacity summary'!AK197&lt;&gt;"",IF(LOWER('Capacity summary'!AK197)="x",$BI78*AK78,VALUE('Capacity summary'!AK197)),0),AK78*$BI78),AK78*$BI78),0)</f>
        <v>0</v>
      </c>
      <c r="CO78" s="311">
        <f>IF($BI78&lt;&gt;"",IF('Capacity summary'!$D$14="Yes",IF(COUNTBLANK('Capacity summary'!$H197:$BG197)&lt;52,IF('Capacity summary'!AL197&lt;&gt;"",IF(LOWER('Capacity summary'!AL197)="x",$BI78*AL78,VALUE('Capacity summary'!AL197)),0),AL78*$BI78),AL78*$BI78),0)</f>
        <v>0</v>
      </c>
      <c r="CP78" s="311">
        <f>IF($BI78&lt;&gt;"",IF('Capacity summary'!$D$14="Yes",IF(COUNTBLANK('Capacity summary'!$H197:$BG197)&lt;52,IF('Capacity summary'!AM197&lt;&gt;"",IF(LOWER('Capacity summary'!AM197)="x",$BI78*AM78,VALUE('Capacity summary'!AM197)),0),AM78*$BI78),AM78*$BI78),0)</f>
        <v>0</v>
      </c>
      <c r="CQ78" s="311">
        <f>IF($BI78&lt;&gt;"",IF('Capacity summary'!$D$14="Yes",IF(COUNTBLANK('Capacity summary'!$H197:$BG197)&lt;52,IF('Capacity summary'!AN197&lt;&gt;"",IF(LOWER('Capacity summary'!AN197)="x",$BI78*AN78,VALUE('Capacity summary'!AN197)),0),AN78*$BI78),AN78*$BI78),0)</f>
        <v>0</v>
      </c>
      <c r="CR78" s="311">
        <f>IF($BI78&lt;&gt;"",IF('Capacity summary'!$D$14="Yes",IF(COUNTBLANK('Capacity summary'!$H197:$BG197)&lt;52,IF('Capacity summary'!AO197&lt;&gt;"",IF(LOWER('Capacity summary'!AO197)="x",$BI78*AO78,VALUE('Capacity summary'!AO197)),0),AO78*$BI78),AO78*$BI78),0)</f>
        <v>0</v>
      </c>
      <c r="CS78" s="311">
        <f>IF($BI78&lt;&gt;"",IF('Capacity summary'!$D$14="Yes",IF(COUNTBLANK('Capacity summary'!$H197:$BG197)&lt;52,IF('Capacity summary'!AP197&lt;&gt;"",IF(LOWER('Capacity summary'!AP197)="x",$BI78*AP78,VALUE('Capacity summary'!AP197)),0),AP78*$BI78),AP78*$BI78),0)</f>
        <v>0</v>
      </c>
      <c r="CT78" s="311">
        <f>IF($BI78&lt;&gt;"",IF('Capacity summary'!$D$14="Yes",IF(COUNTBLANK('Capacity summary'!$H197:$BG197)&lt;52,IF('Capacity summary'!AQ197&lt;&gt;"",IF(LOWER('Capacity summary'!AQ197)="x",$BI78*AQ78,VALUE('Capacity summary'!AQ197)),0),AQ78*$BI78),AQ78*$BI78),0)</f>
        <v>0</v>
      </c>
      <c r="CU78" s="311">
        <f>IF($BI78&lt;&gt;"",IF('Capacity summary'!$D$14="Yes",IF(COUNTBLANK('Capacity summary'!$H197:$BG197)&lt;52,IF('Capacity summary'!AR197&lt;&gt;"",IF(LOWER('Capacity summary'!AR197)="x",$BI78*AR78,VALUE('Capacity summary'!AR197)),0),AR78*$BI78),AR78*$BI78),0)</f>
        <v>0</v>
      </c>
      <c r="CV78" s="311">
        <f>IF($BI78&lt;&gt;"",IF('Capacity summary'!$D$14="Yes",IF(COUNTBLANK('Capacity summary'!$H197:$BG197)&lt;52,IF('Capacity summary'!AS197&lt;&gt;"",IF(LOWER('Capacity summary'!AS197)="x",$BI78*AS78,VALUE('Capacity summary'!AS197)),0),AS78*$BI78),AS78*$BI78),0)</f>
        <v>0</v>
      </c>
      <c r="CW78" s="311">
        <f>IF($BI78&lt;&gt;"",IF('Capacity summary'!$D$14="Yes",IF(COUNTBLANK('Capacity summary'!$H197:$BG197)&lt;52,IF('Capacity summary'!AT197&lt;&gt;"",IF(LOWER('Capacity summary'!AT197)="x",$BI78*AT78,VALUE('Capacity summary'!AT197)),0),AT78*$BI78),AT78*$BI78),0)</f>
        <v>0</v>
      </c>
      <c r="CX78" s="311">
        <f>IF($BI78&lt;&gt;"",IF('Capacity summary'!$D$14="Yes",IF(COUNTBLANK('Capacity summary'!$H197:$BG197)&lt;52,IF('Capacity summary'!AU197&lt;&gt;"",IF(LOWER('Capacity summary'!AU197)="x",$BI78*AU78,VALUE('Capacity summary'!AU197)),0),AU78*$BI78),AU78*$BI78),0)</f>
        <v>0</v>
      </c>
      <c r="CY78" s="311">
        <f>IF($BI78&lt;&gt;"",IF('Capacity summary'!$D$14="Yes",IF(COUNTBLANK('Capacity summary'!$H197:$BG197)&lt;52,IF('Capacity summary'!AV197&lt;&gt;"",IF(LOWER('Capacity summary'!AV197)="x",$BI78*AV78,VALUE('Capacity summary'!AV197)),0),AV78*$BI78),AV78*$BI78),0)</f>
        <v>0</v>
      </c>
      <c r="CZ78" s="311">
        <f>IF($BI78&lt;&gt;"",IF('Capacity summary'!$D$14="Yes",IF(COUNTBLANK('Capacity summary'!$H197:$BG197)&lt;52,IF('Capacity summary'!AW197&lt;&gt;"",IF(LOWER('Capacity summary'!AW197)="x",$BI78*AW78,VALUE('Capacity summary'!AW197)),0),AW78*$BI78),AW78*$BI78),0)</f>
        <v>0</v>
      </c>
      <c r="DA78" s="311">
        <f>IF($BI78&lt;&gt;"",IF('Capacity summary'!$D$14="Yes",IF(COUNTBLANK('Capacity summary'!$H197:$BG197)&lt;52,IF('Capacity summary'!AX197&lt;&gt;"",IF(LOWER('Capacity summary'!AX197)="x",$BI78*AX78,VALUE('Capacity summary'!AX197)),0),AX78*$BI78),AX78*$BI78),0)</f>
        <v>0</v>
      </c>
      <c r="DB78" s="311">
        <f>IF($BI78&lt;&gt;"",IF('Capacity summary'!$D$14="Yes",IF(COUNTBLANK('Capacity summary'!$H197:$BG197)&lt;52,IF('Capacity summary'!AY197&lt;&gt;"",IF(LOWER('Capacity summary'!AY197)="x",$BI78*AY78,VALUE('Capacity summary'!AY197)),0),AY78*$BI78),AY78*$BI78),0)</f>
        <v>0</v>
      </c>
      <c r="DC78" s="311">
        <f>IF($BI78&lt;&gt;"",IF('Capacity summary'!$D$14="Yes",IF(COUNTBLANK('Capacity summary'!$H197:$BG197)&lt;52,IF('Capacity summary'!AZ197&lt;&gt;"",IF(LOWER('Capacity summary'!AZ197)="x",$BI78*AZ78,VALUE('Capacity summary'!AZ197)),0),AZ78*$BI78),AZ78*$BI78),0)</f>
        <v>0</v>
      </c>
      <c r="DD78" s="311">
        <f>IF($BI78&lt;&gt;"",IF('Capacity summary'!$D$14="Yes",IF(COUNTBLANK('Capacity summary'!$H197:$BG197)&lt;52,IF('Capacity summary'!BA197&lt;&gt;"",IF(LOWER('Capacity summary'!BA197)="x",$BI78*BA78,VALUE('Capacity summary'!BA197)),0),BA78*$BI78),BA78*$BI78),0)</f>
        <v>0</v>
      </c>
      <c r="DE78" s="311">
        <f>IF($BI78&lt;&gt;"",IF('Capacity summary'!$D$14="Yes",IF(COUNTBLANK('Capacity summary'!$H197:$BG197)&lt;52,IF('Capacity summary'!BB197&lt;&gt;"",IF(LOWER('Capacity summary'!BB197)="x",$BI78*BB78,VALUE('Capacity summary'!BB197)),0),BB78*$BI78),BB78*$BI78),0)</f>
        <v>0</v>
      </c>
      <c r="DF78" s="311">
        <f>IF($BI78&lt;&gt;"",IF('Capacity summary'!$D$14="Yes",IF(COUNTBLANK('Capacity summary'!$H197:$BG197)&lt;52,IF('Capacity summary'!BC197&lt;&gt;"",IF(LOWER('Capacity summary'!BC197)="x",$BI78*BC78,VALUE('Capacity summary'!BC197)),0),BC78*$BI78),BC78*$BI78),0)</f>
        <v>0</v>
      </c>
      <c r="DG78" s="311">
        <f>IF($BI78&lt;&gt;"",IF('Capacity summary'!$D$14="Yes",IF(COUNTBLANK('Capacity summary'!$H197:$BG197)&lt;52,IF('Capacity summary'!BD197&lt;&gt;"",IF(LOWER('Capacity summary'!BD197)="x",$BI78*BD78,VALUE('Capacity summary'!BD197)),0),BD78*$BI78),BD78*$BI78),0)</f>
        <v>0</v>
      </c>
      <c r="DH78" s="311">
        <f>IF($BI78&lt;&gt;"",IF('Capacity summary'!$D$14="Yes",IF(COUNTBLANK('Capacity summary'!$H197:$BG197)&lt;52,IF('Capacity summary'!BE197&lt;&gt;"",IF(LOWER('Capacity summary'!BE197)="x",$BI78*BE78,VALUE('Capacity summary'!BE197)),0),BE78*$BI78),BE78*$BI78),0)</f>
        <v>0</v>
      </c>
      <c r="DI78" s="311">
        <f>IF($BI78&lt;&gt;"",IF('Capacity summary'!$D$14="Yes",IF(COUNTBLANK('Capacity summary'!$H197:$BG197)&lt;52,IF('Capacity summary'!BF197&lt;&gt;"",IF(LOWER('Capacity summary'!BF197)="x",$BI78*BF78,VALUE('Capacity summary'!BF197)),0),BF78*$BI78),BF78*$BI78),0)</f>
        <v>0</v>
      </c>
      <c r="DJ78" s="311">
        <f>IF($BI78&lt;&gt;"",IF('Capacity summary'!$D$14="Yes",IF(COUNTBLANK('Capacity summary'!$H197:$BG197)&lt;52,IF('Capacity summary'!BG197&lt;&gt;"",IF(LOWER('Capacity summary'!BG197)="x",$BI78*BG78,VALUE('Capacity summary'!BG197)),0),BG78*$BI78),BG78*$BI78),0)</f>
        <v>0</v>
      </c>
      <c r="DK78" s="387">
        <f t="shared" si="4"/>
        <v>0</v>
      </c>
      <c r="DL78" s="136">
        <f t="shared" si="5"/>
        <v>0</v>
      </c>
      <c r="DM78" s="311" t="str">
        <f>Capacity!H90</f>
        <v/>
      </c>
    </row>
    <row r="79" spans="1:117" x14ac:dyDescent="0.2">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1">
        <f>IF($BI79&lt;&gt;"",IF('Capacity summary'!$D$14="Yes",IF(COUNTBLANK('Capacity summary'!$H198:$BG198)&lt;52,IF('Capacity summary'!H198&lt;&gt;"",IF(LOWER('Capacity summary'!H198)="x",$BI79*H79,VALUE('Capacity summary'!H198)),0),H79*$BI79),H79*$BI79),0)</f>
        <v>0</v>
      </c>
      <c r="BL79" s="311">
        <f>IF($BI79&lt;&gt;"",IF('Capacity summary'!$D$14="Yes",IF(COUNTBLANK('Capacity summary'!$H198:$BG198)&lt;52,IF('Capacity summary'!I198&lt;&gt;"",IF(LOWER('Capacity summary'!I198)="x",$BI79*I79,VALUE('Capacity summary'!I198)),0),I79*$BI79),I79*$BI79),0)</f>
        <v>0</v>
      </c>
      <c r="BM79" s="311">
        <f>IF($BI79&lt;&gt;"",IF('Capacity summary'!$D$14="Yes",IF(COUNTBLANK('Capacity summary'!$H198:$BG198)&lt;52,IF('Capacity summary'!J198&lt;&gt;"",IF(LOWER('Capacity summary'!J198)="x",$BI79*J79,VALUE('Capacity summary'!J198)),0),J79*$BI79),J79*$BI79),0)</f>
        <v>0</v>
      </c>
      <c r="BN79" s="311">
        <f>IF($BI79&lt;&gt;"",IF('Capacity summary'!$D$14="Yes",IF(COUNTBLANK('Capacity summary'!$H198:$BG198)&lt;52,IF('Capacity summary'!K198&lt;&gt;"",IF(LOWER('Capacity summary'!K198)="x",$BI79*K79,VALUE('Capacity summary'!K198)),0),K79*$BI79),K79*$BI79),0)</f>
        <v>0</v>
      </c>
      <c r="BO79" s="311">
        <f>IF($BI79&lt;&gt;"",IF('Capacity summary'!$D$14="Yes",IF(COUNTBLANK('Capacity summary'!$H198:$BG198)&lt;52,IF('Capacity summary'!L198&lt;&gt;"",IF(LOWER('Capacity summary'!L198)="x",$BI79*L79,VALUE('Capacity summary'!L198)),0),L79*$BI79),L79*$BI79),0)</f>
        <v>0</v>
      </c>
      <c r="BP79" s="311">
        <f>IF($BI79&lt;&gt;"",IF('Capacity summary'!$D$14="Yes",IF(COUNTBLANK('Capacity summary'!$H198:$BG198)&lt;52,IF('Capacity summary'!M198&lt;&gt;"",IF(LOWER('Capacity summary'!M198)="x",$BI79*M79,VALUE('Capacity summary'!M198)),0),M79*$BI79),M79*$BI79),0)</f>
        <v>0</v>
      </c>
      <c r="BQ79" s="311">
        <f>IF($BI79&lt;&gt;"",IF('Capacity summary'!$D$14="Yes",IF(COUNTBLANK('Capacity summary'!$H198:$BG198)&lt;52,IF('Capacity summary'!N198&lt;&gt;"",IF(LOWER('Capacity summary'!N198)="x",$BI79*N79,VALUE('Capacity summary'!N198)),0),N79*$BI79),N79*$BI79),0)</f>
        <v>0</v>
      </c>
      <c r="BR79" s="311">
        <f>IF($BI79&lt;&gt;"",IF('Capacity summary'!$D$14="Yes",IF(COUNTBLANK('Capacity summary'!$H198:$BG198)&lt;52,IF('Capacity summary'!O198&lt;&gt;"",IF(LOWER('Capacity summary'!O198)="x",$BI79*O79,VALUE('Capacity summary'!O198)),0),O79*$BI79),O79*$BI79),0)</f>
        <v>0</v>
      </c>
      <c r="BS79" s="311">
        <f>IF($BI79&lt;&gt;"",IF('Capacity summary'!$D$14="Yes",IF(COUNTBLANK('Capacity summary'!$H198:$BG198)&lt;52,IF('Capacity summary'!P198&lt;&gt;"",IF(LOWER('Capacity summary'!P198)="x",$BI79*P79,VALUE('Capacity summary'!P198)),0),P79*$BI79),P79*$BI79),0)</f>
        <v>0</v>
      </c>
      <c r="BT79" s="311">
        <f>IF($BI79&lt;&gt;"",IF('Capacity summary'!$D$14="Yes",IF(COUNTBLANK('Capacity summary'!$H198:$BG198)&lt;52,IF('Capacity summary'!Q198&lt;&gt;"",IF(LOWER('Capacity summary'!Q198)="x",$BI79*Q79,VALUE('Capacity summary'!Q198)),0),Q79*$BI79),Q79*$BI79),0)</f>
        <v>0</v>
      </c>
      <c r="BU79" s="311">
        <f>IF($BI79&lt;&gt;"",IF('Capacity summary'!$D$14="Yes",IF(COUNTBLANK('Capacity summary'!$H198:$BG198)&lt;52,IF('Capacity summary'!R198&lt;&gt;"",IF(LOWER('Capacity summary'!R198)="x",$BI79*R79,VALUE('Capacity summary'!R198)),0),R79*$BI79),R79*$BI79),0)</f>
        <v>0</v>
      </c>
      <c r="BV79" s="311">
        <f>IF($BI79&lt;&gt;"",IF('Capacity summary'!$D$14="Yes",IF(COUNTBLANK('Capacity summary'!$H198:$BG198)&lt;52,IF('Capacity summary'!S198&lt;&gt;"",IF(LOWER('Capacity summary'!S198)="x",$BI79*S79,VALUE('Capacity summary'!S198)),0),S79*$BI79),S79*$BI79),0)</f>
        <v>0</v>
      </c>
      <c r="BW79" s="311">
        <f>IF($BI79&lt;&gt;"",IF('Capacity summary'!$D$14="Yes",IF(COUNTBLANK('Capacity summary'!$H198:$BG198)&lt;52,IF('Capacity summary'!T198&lt;&gt;"",IF(LOWER('Capacity summary'!T198)="x",$BI79*T79,VALUE('Capacity summary'!T198)),0),T79*$BI79),T79*$BI79),0)</f>
        <v>0</v>
      </c>
      <c r="BX79" s="311">
        <f>IF($BI79&lt;&gt;"",IF('Capacity summary'!$D$14="Yes",IF(COUNTBLANK('Capacity summary'!$H198:$BG198)&lt;52,IF('Capacity summary'!U198&lt;&gt;"",IF(LOWER('Capacity summary'!U198)="x",$BI79*U79,VALUE('Capacity summary'!U198)),0),U79*$BI79),U79*$BI79),0)</f>
        <v>0</v>
      </c>
      <c r="BY79" s="311">
        <f>IF($BI79&lt;&gt;"",IF('Capacity summary'!$D$14="Yes",IF(COUNTBLANK('Capacity summary'!$H198:$BG198)&lt;52,IF('Capacity summary'!V198&lt;&gt;"",IF(LOWER('Capacity summary'!V198)="x",$BI79*V79,VALUE('Capacity summary'!V198)),0),V79*$BI79),V79*$BI79),0)</f>
        <v>0</v>
      </c>
      <c r="BZ79" s="311">
        <f>IF($BI79&lt;&gt;"",IF('Capacity summary'!$D$14="Yes",IF(COUNTBLANK('Capacity summary'!$H198:$BG198)&lt;52,IF('Capacity summary'!W198&lt;&gt;"",IF(LOWER('Capacity summary'!W198)="x",$BI79*W79,VALUE('Capacity summary'!W198)),0),W79*$BI79),W79*$BI79),0)</f>
        <v>0</v>
      </c>
      <c r="CA79" s="311">
        <f>IF($BI79&lt;&gt;"",IF('Capacity summary'!$D$14="Yes",IF(COUNTBLANK('Capacity summary'!$H198:$BG198)&lt;52,IF('Capacity summary'!X198&lt;&gt;"",IF(LOWER('Capacity summary'!X198)="x",$BI79*X79,VALUE('Capacity summary'!X198)),0),X79*$BI79),X79*$BI79),0)</f>
        <v>0</v>
      </c>
      <c r="CB79" s="311">
        <f>IF($BI79&lt;&gt;"",IF('Capacity summary'!$D$14="Yes",IF(COUNTBLANK('Capacity summary'!$H198:$BG198)&lt;52,IF('Capacity summary'!Y198&lt;&gt;"",IF(LOWER('Capacity summary'!Y198)="x",$BI79*Y79,VALUE('Capacity summary'!Y198)),0),Y79*$BI79),Y79*$BI79),0)</f>
        <v>0</v>
      </c>
      <c r="CC79" s="311">
        <f>IF($BI79&lt;&gt;"",IF('Capacity summary'!$D$14="Yes",IF(COUNTBLANK('Capacity summary'!$H198:$BG198)&lt;52,IF('Capacity summary'!Z198&lt;&gt;"",IF(LOWER('Capacity summary'!Z198)="x",$BI79*Z79,VALUE('Capacity summary'!Z198)),0),Z79*$BI79),Z79*$BI79),0)</f>
        <v>0</v>
      </c>
      <c r="CD79" s="311">
        <f>IF($BI79&lt;&gt;"",IF('Capacity summary'!$D$14="Yes",IF(COUNTBLANK('Capacity summary'!$H198:$BG198)&lt;52,IF('Capacity summary'!AA198&lt;&gt;"",IF(LOWER('Capacity summary'!AA198)="x",$BI79*AA79,VALUE('Capacity summary'!AA198)),0),AA79*$BI79),AA79*$BI79),0)</f>
        <v>0</v>
      </c>
      <c r="CE79" s="311">
        <f>IF($BI79&lt;&gt;"",IF('Capacity summary'!$D$14="Yes",IF(COUNTBLANK('Capacity summary'!$H198:$BG198)&lt;52,IF('Capacity summary'!AB198&lt;&gt;"",IF(LOWER('Capacity summary'!AB198)="x",$BI79*AB79,VALUE('Capacity summary'!AB198)),0),AB79*$BI79),AB79*$BI79),0)</f>
        <v>0</v>
      </c>
      <c r="CF79" s="311">
        <f>IF($BI79&lt;&gt;"",IF('Capacity summary'!$D$14="Yes",IF(COUNTBLANK('Capacity summary'!$H198:$BG198)&lt;52,IF('Capacity summary'!AC198&lt;&gt;"",IF(LOWER('Capacity summary'!AC198)="x",$BI79*AC79,VALUE('Capacity summary'!AC198)),0),AC79*$BI79),AC79*$BI79),0)</f>
        <v>0</v>
      </c>
      <c r="CG79" s="311">
        <f>IF($BI79&lt;&gt;"",IF('Capacity summary'!$D$14="Yes",IF(COUNTBLANK('Capacity summary'!$H198:$BG198)&lt;52,IF('Capacity summary'!AD198&lt;&gt;"",IF(LOWER('Capacity summary'!AD198)="x",$BI79*AD79,VALUE('Capacity summary'!AD198)),0),AD79*$BI79),AD79*$BI79),0)</f>
        <v>0</v>
      </c>
      <c r="CH79" s="311">
        <f>IF($BI79&lt;&gt;"",IF('Capacity summary'!$D$14="Yes",IF(COUNTBLANK('Capacity summary'!$H198:$BG198)&lt;52,IF('Capacity summary'!AE198&lt;&gt;"",IF(LOWER('Capacity summary'!AE198)="x",$BI79*AE79,VALUE('Capacity summary'!AE198)),0),AE79*$BI79),AE79*$BI79),0)</f>
        <v>0</v>
      </c>
      <c r="CI79" s="311">
        <f>IF($BI79&lt;&gt;"",IF('Capacity summary'!$D$14="Yes",IF(COUNTBLANK('Capacity summary'!$H198:$BG198)&lt;52,IF('Capacity summary'!AF198&lt;&gt;"",IF(LOWER('Capacity summary'!AF198)="x",$BI79*AF79,VALUE('Capacity summary'!AF198)),0),AF79*$BI79),AF79*$BI79),0)</f>
        <v>0</v>
      </c>
      <c r="CJ79" s="311">
        <f>IF($BI79&lt;&gt;"",IF('Capacity summary'!$D$14="Yes",IF(COUNTBLANK('Capacity summary'!$H198:$BG198)&lt;52,IF('Capacity summary'!AG198&lt;&gt;"",IF(LOWER('Capacity summary'!AG198)="x",$BI79*AG79,VALUE('Capacity summary'!AG198)),0),AG79*$BI79),AG79*$BI79),0)</f>
        <v>0</v>
      </c>
      <c r="CK79" s="311">
        <f>IF($BI79&lt;&gt;"",IF('Capacity summary'!$D$14="Yes",IF(COUNTBLANK('Capacity summary'!$H198:$BG198)&lt;52,IF('Capacity summary'!AH198&lt;&gt;"",IF(LOWER('Capacity summary'!AH198)="x",$BI79*AH79,VALUE('Capacity summary'!AH198)),0),AH79*$BI79),AH79*$BI79),0)</f>
        <v>0</v>
      </c>
      <c r="CL79" s="311">
        <f>IF($BI79&lt;&gt;"",IF('Capacity summary'!$D$14="Yes",IF(COUNTBLANK('Capacity summary'!$H198:$BG198)&lt;52,IF('Capacity summary'!AI198&lt;&gt;"",IF(LOWER('Capacity summary'!AI198)="x",$BI79*AI79,VALUE('Capacity summary'!AI198)),0),AI79*$BI79),AI79*$BI79),0)</f>
        <v>0</v>
      </c>
      <c r="CM79" s="311">
        <f>IF($BI79&lt;&gt;"",IF('Capacity summary'!$D$14="Yes",IF(COUNTBLANK('Capacity summary'!$H198:$BG198)&lt;52,IF('Capacity summary'!AJ198&lt;&gt;"",IF(LOWER('Capacity summary'!AJ198)="x",$BI79*AJ79,VALUE('Capacity summary'!AJ198)),0),AJ79*$BI79),AJ79*$BI79),0)</f>
        <v>0</v>
      </c>
      <c r="CN79" s="311">
        <f>IF($BI79&lt;&gt;"",IF('Capacity summary'!$D$14="Yes",IF(COUNTBLANK('Capacity summary'!$H198:$BG198)&lt;52,IF('Capacity summary'!AK198&lt;&gt;"",IF(LOWER('Capacity summary'!AK198)="x",$BI79*AK79,VALUE('Capacity summary'!AK198)),0),AK79*$BI79),AK79*$BI79),0)</f>
        <v>0</v>
      </c>
      <c r="CO79" s="311">
        <f>IF($BI79&lt;&gt;"",IF('Capacity summary'!$D$14="Yes",IF(COUNTBLANK('Capacity summary'!$H198:$BG198)&lt;52,IF('Capacity summary'!AL198&lt;&gt;"",IF(LOWER('Capacity summary'!AL198)="x",$BI79*AL79,VALUE('Capacity summary'!AL198)),0),AL79*$BI79),AL79*$BI79),0)</f>
        <v>0</v>
      </c>
      <c r="CP79" s="311">
        <f>IF($BI79&lt;&gt;"",IF('Capacity summary'!$D$14="Yes",IF(COUNTBLANK('Capacity summary'!$H198:$BG198)&lt;52,IF('Capacity summary'!AM198&lt;&gt;"",IF(LOWER('Capacity summary'!AM198)="x",$BI79*AM79,VALUE('Capacity summary'!AM198)),0),AM79*$BI79),AM79*$BI79),0)</f>
        <v>0</v>
      </c>
      <c r="CQ79" s="311">
        <f>IF($BI79&lt;&gt;"",IF('Capacity summary'!$D$14="Yes",IF(COUNTBLANK('Capacity summary'!$H198:$BG198)&lt;52,IF('Capacity summary'!AN198&lt;&gt;"",IF(LOWER('Capacity summary'!AN198)="x",$BI79*AN79,VALUE('Capacity summary'!AN198)),0),AN79*$BI79),AN79*$BI79),0)</f>
        <v>0</v>
      </c>
      <c r="CR79" s="311">
        <f>IF($BI79&lt;&gt;"",IF('Capacity summary'!$D$14="Yes",IF(COUNTBLANK('Capacity summary'!$H198:$BG198)&lt;52,IF('Capacity summary'!AO198&lt;&gt;"",IF(LOWER('Capacity summary'!AO198)="x",$BI79*AO79,VALUE('Capacity summary'!AO198)),0),AO79*$BI79),AO79*$BI79),0)</f>
        <v>0</v>
      </c>
      <c r="CS79" s="311">
        <f>IF($BI79&lt;&gt;"",IF('Capacity summary'!$D$14="Yes",IF(COUNTBLANK('Capacity summary'!$H198:$BG198)&lt;52,IF('Capacity summary'!AP198&lt;&gt;"",IF(LOWER('Capacity summary'!AP198)="x",$BI79*AP79,VALUE('Capacity summary'!AP198)),0),AP79*$BI79),AP79*$BI79),0)</f>
        <v>0</v>
      </c>
      <c r="CT79" s="311">
        <f>IF($BI79&lt;&gt;"",IF('Capacity summary'!$D$14="Yes",IF(COUNTBLANK('Capacity summary'!$H198:$BG198)&lt;52,IF('Capacity summary'!AQ198&lt;&gt;"",IF(LOWER('Capacity summary'!AQ198)="x",$BI79*AQ79,VALUE('Capacity summary'!AQ198)),0),AQ79*$BI79),AQ79*$BI79),0)</f>
        <v>0</v>
      </c>
      <c r="CU79" s="311">
        <f>IF($BI79&lt;&gt;"",IF('Capacity summary'!$D$14="Yes",IF(COUNTBLANK('Capacity summary'!$H198:$BG198)&lt;52,IF('Capacity summary'!AR198&lt;&gt;"",IF(LOWER('Capacity summary'!AR198)="x",$BI79*AR79,VALUE('Capacity summary'!AR198)),0),AR79*$BI79),AR79*$BI79),0)</f>
        <v>0</v>
      </c>
      <c r="CV79" s="311">
        <f>IF($BI79&lt;&gt;"",IF('Capacity summary'!$D$14="Yes",IF(COUNTBLANK('Capacity summary'!$H198:$BG198)&lt;52,IF('Capacity summary'!AS198&lt;&gt;"",IF(LOWER('Capacity summary'!AS198)="x",$BI79*AS79,VALUE('Capacity summary'!AS198)),0),AS79*$BI79),AS79*$BI79),0)</f>
        <v>0</v>
      </c>
      <c r="CW79" s="311">
        <f>IF($BI79&lt;&gt;"",IF('Capacity summary'!$D$14="Yes",IF(COUNTBLANK('Capacity summary'!$H198:$BG198)&lt;52,IF('Capacity summary'!AT198&lt;&gt;"",IF(LOWER('Capacity summary'!AT198)="x",$BI79*AT79,VALUE('Capacity summary'!AT198)),0),AT79*$BI79),AT79*$BI79),0)</f>
        <v>0</v>
      </c>
      <c r="CX79" s="311">
        <f>IF($BI79&lt;&gt;"",IF('Capacity summary'!$D$14="Yes",IF(COUNTBLANK('Capacity summary'!$H198:$BG198)&lt;52,IF('Capacity summary'!AU198&lt;&gt;"",IF(LOWER('Capacity summary'!AU198)="x",$BI79*AU79,VALUE('Capacity summary'!AU198)),0),AU79*$BI79),AU79*$BI79),0)</f>
        <v>0</v>
      </c>
      <c r="CY79" s="311">
        <f>IF($BI79&lt;&gt;"",IF('Capacity summary'!$D$14="Yes",IF(COUNTBLANK('Capacity summary'!$H198:$BG198)&lt;52,IF('Capacity summary'!AV198&lt;&gt;"",IF(LOWER('Capacity summary'!AV198)="x",$BI79*AV79,VALUE('Capacity summary'!AV198)),0),AV79*$BI79),AV79*$BI79),0)</f>
        <v>0</v>
      </c>
      <c r="CZ79" s="311">
        <f>IF($BI79&lt;&gt;"",IF('Capacity summary'!$D$14="Yes",IF(COUNTBLANK('Capacity summary'!$H198:$BG198)&lt;52,IF('Capacity summary'!AW198&lt;&gt;"",IF(LOWER('Capacity summary'!AW198)="x",$BI79*AW79,VALUE('Capacity summary'!AW198)),0),AW79*$BI79),AW79*$BI79),0)</f>
        <v>0</v>
      </c>
      <c r="DA79" s="311">
        <f>IF($BI79&lt;&gt;"",IF('Capacity summary'!$D$14="Yes",IF(COUNTBLANK('Capacity summary'!$H198:$BG198)&lt;52,IF('Capacity summary'!AX198&lt;&gt;"",IF(LOWER('Capacity summary'!AX198)="x",$BI79*AX79,VALUE('Capacity summary'!AX198)),0),AX79*$BI79),AX79*$BI79),0)</f>
        <v>0</v>
      </c>
      <c r="DB79" s="311">
        <f>IF($BI79&lt;&gt;"",IF('Capacity summary'!$D$14="Yes",IF(COUNTBLANK('Capacity summary'!$H198:$BG198)&lt;52,IF('Capacity summary'!AY198&lt;&gt;"",IF(LOWER('Capacity summary'!AY198)="x",$BI79*AY79,VALUE('Capacity summary'!AY198)),0),AY79*$BI79),AY79*$BI79),0)</f>
        <v>0</v>
      </c>
      <c r="DC79" s="311">
        <f>IF($BI79&lt;&gt;"",IF('Capacity summary'!$D$14="Yes",IF(COUNTBLANK('Capacity summary'!$H198:$BG198)&lt;52,IF('Capacity summary'!AZ198&lt;&gt;"",IF(LOWER('Capacity summary'!AZ198)="x",$BI79*AZ79,VALUE('Capacity summary'!AZ198)),0),AZ79*$BI79),AZ79*$BI79),0)</f>
        <v>0</v>
      </c>
      <c r="DD79" s="311">
        <f>IF($BI79&lt;&gt;"",IF('Capacity summary'!$D$14="Yes",IF(COUNTBLANK('Capacity summary'!$H198:$BG198)&lt;52,IF('Capacity summary'!BA198&lt;&gt;"",IF(LOWER('Capacity summary'!BA198)="x",$BI79*BA79,VALUE('Capacity summary'!BA198)),0),BA79*$BI79),BA79*$BI79),0)</f>
        <v>0</v>
      </c>
      <c r="DE79" s="311">
        <f>IF($BI79&lt;&gt;"",IF('Capacity summary'!$D$14="Yes",IF(COUNTBLANK('Capacity summary'!$H198:$BG198)&lt;52,IF('Capacity summary'!BB198&lt;&gt;"",IF(LOWER('Capacity summary'!BB198)="x",$BI79*BB79,VALUE('Capacity summary'!BB198)),0),BB79*$BI79),BB79*$BI79),0)</f>
        <v>0</v>
      </c>
      <c r="DF79" s="311">
        <f>IF($BI79&lt;&gt;"",IF('Capacity summary'!$D$14="Yes",IF(COUNTBLANK('Capacity summary'!$H198:$BG198)&lt;52,IF('Capacity summary'!BC198&lt;&gt;"",IF(LOWER('Capacity summary'!BC198)="x",$BI79*BC79,VALUE('Capacity summary'!BC198)),0),BC79*$BI79),BC79*$BI79),0)</f>
        <v>0</v>
      </c>
      <c r="DG79" s="311">
        <f>IF($BI79&lt;&gt;"",IF('Capacity summary'!$D$14="Yes",IF(COUNTBLANK('Capacity summary'!$H198:$BG198)&lt;52,IF('Capacity summary'!BD198&lt;&gt;"",IF(LOWER('Capacity summary'!BD198)="x",$BI79*BD79,VALUE('Capacity summary'!BD198)),0),BD79*$BI79),BD79*$BI79),0)</f>
        <v>0</v>
      </c>
      <c r="DH79" s="311">
        <f>IF($BI79&lt;&gt;"",IF('Capacity summary'!$D$14="Yes",IF(COUNTBLANK('Capacity summary'!$H198:$BG198)&lt;52,IF('Capacity summary'!BE198&lt;&gt;"",IF(LOWER('Capacity summary'!BE198)="x",$BI79*BE79,VALUE('Capacity summary'!BE198)),0),BE79*$BI79),BE79*$BI79),0)</f>
        <v>0</v>
      </c>
      <c r="DI79" s="311">
        <f>IF($BI79&lt;&gt;"",IF('Capacity summary'!$D$14="Yes",IF(COUNTBLANK('Capacity summary'!$H198:$BG198)&lt;52,IF('Capacity summary'!BF198&lt;&gt;"",IF(LOWER('Capacity summary'!BF198)="x",$BI79*BF79,VALUE('Capacity summary'!BF198)),0),BF79*$BI79),BF79*$BI79),0)</f>
        <v>0</v>
      </c>
      <c r="DJ79" s="311">
        <f>IF($BI79&lt;&gt;"",IF('Capacity summary'!$D$14="Yes",IF(COUNTBLANK('Capacity summary'!$H198:$BG198)&lt;52,IF('Capacity summary'!BG198&lt;&gt;"",IF(LOWER('Capacity summary'!BG198)="x",$BI79*BG79,VALUE('Capacity summary'!BG198)),0),BG79*$BI79),BG79*$BI79),0)</f>
        <v>0</v>
      </c>
      <c r="DK79" s="387">
        <f t="shared" si="4"/>
        <v>0</v>
      </c>
      <c r="DL79" s="136">
        <f t="shared" si="5"/>
        <v>0</v>
      </c>
      <c r="DM79" s="311" t="str">
        <f>Capacity!H91</f>
        <v/>
      </c>
    </row>
    <row r="80" spans="1:117" x14ac:dyDescent="0.2">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1">
        <f>IF($BI80&lt;&gt;"",IF('Capacity summary'!$D$14="Yes",IF(COUNTBLANK('Capacity summary'!$H199:$BG199)&lt;52,IF('Capacity summary'!H199&lt;&gt;"",IF(LOWER('Capacity summary'!H199)="x",$BI80*H80,VALUE('Capacity summary'!H199)),0),H80*$BI80),H80*$BI80),0)</f>
        <v>0</v>
      </c>
      <c r="BL80" s="311">
        <f>IF($BI80&lt;&gt;"",IF('Capacity summary'!$D$14="Yes",IF(COUNTBLANK('Capacity summary'!$H199:$BG199)&lt;52,IF('Capacity summary'!I199&lt;&gt;"",IF(LOWER('Capacity summary'!I199)="x",$BI80*I80,VALUE('Capacity summary'!I199)),0),I80*$BI80),I80*$BI80),0)</f>
        <v>0</v>
      </c>
      <c r="BM80" s="311">
        <f>IF($BI80&lt;&gt;"",IF('Capacity summary'!$D$14="Yes",IF(COUNTBLANK('Capacity summary'!$H199:$BG199)&lt;52,IF('Capacity summary'!J199&lt;&gt;"",IF(LOWER('Capacity summary'!J199)="x",$BI80*J80,VALUE('Capacity summary'!J199)),0),J80*$BI80),J80*$BI80),0)</f>
        <v>0</v>
      </c>
      <c r="BN80" s="311">
        <f>IF($BI80&lt;&gt;"",IF('Capacity summary'!$D$14="Yes",IF(COUNTBLANK('Capacity summary'!$H199:$BG199)&lt;52,IF('Capacity summary'!K199&lt;&gt;"",IF(LOWER('Capacity summary'!K199)="x",$BI80*K80,VALUE('Capacity summary'!K199)),0),K80*$BI80),K80*$BI80),0)</f>
        <v>0</v>
      </c>
      <c r="BO80" s="311">
        <f>IF($BI80&lt;&gt;"",IF('Capacity summary'!$D$14="Yes",IF(COUNTBLANK('Capacity summary'!$H199:$BG199)&lt;52,IF('Capacity summary'!L199&lt;&gt;"",IF(LOWER('Capacity summary'!L199)="x",$BI80*L80,VALUE('Capacity summary'!L199)),0),L80*$BI80),L80*$BI80),0)</f>
        <v>0</v>
      </c>
      <c r="BP80" s="311">
        <f>IF($BI80&lt;&gt;"",IF('Capacity summary'!$D$14="Yes",IF(COUNTBLANK('Capacity summary'!$H199:$BG199)&lt;52,IF('Capacity summary'!M199&lt;&gt;"",IF(LOWER('Capacity summary'!M199)="x",$BI80*M80,VALUE('Capacity summary'!M199)),0),M80*$BI80),M80*$BI80),0)</f>
        <v>0</v>
      </c>
      <c r="BQ80" s="311">
        <f>IF($BI80&lt;&gt;"",IF('Capacity summary'!$D$14="Yes",IF(COUNTBLANK('Capacity summary'!$H199:$BG199)&lt;52,IF('Capacity summary'!N199&lt;&gt;"",IF(LOWER('Capacity summary'!N199)="x",$BI80*N80,VALUE('Capacity summary'!N199)),0),N80*$BI80),N80*$BI80),0)</f>
        <v>0</v>
      </c>
      <c r="BR80" s="311">
        <f>IF($BI80&lt;&gt;"",IF('Capacity summary'!$D$14="Yes",IF(COUNTBLANK('Capacity summary'!$H199:$BG199)&lt;52,IF('Capacity summary'!O199&lt;&gt;"",IF(LOWER('Capacity summary'!O199)="x",$BI80*O80,VALUE('Capacity summary'!O199)),0),O80*$BI80),O80*$BI80),0)</f>
        <v>0</v>
      </c>
      <c r="BS80" s="311">
        <f>IF($BI80&lt;&gt;"",IF('Capacity summary'!$D$14="Yes",IF(COUNTBLANK('Capacity summary'!$H199:$BG199)&lt;52,IF('Capacity summary'!P199&lt;&gt;"",IF(LOWER('Capacity summary'!P199)="x",$BI80*P80,VALUE('Capacity summary'!P199)),0),P80*$BI80),P80*$BI80),0)</f>
        <v>0</v>
      </c>
      <c r="BT80" s="311">
        <f>IF($BI80&lt;&gt;"",IF('Capacity summary'!$D$14="Yes",IF(COUNTBLANK('Capacity summary'!$H199:$BG199)&lt;52,IF('Capacity summary'!Q199&lt;&gt;"",IF(LOWER('Capacity summary'!Q199)="x",$BI80*Q80,VALUE('Capacity summary'!Q199)),0),Q80*$BI80),Q80*$BI80),0)</f>
        <v>0</v>
      </c>
      <c r="BU80" s="311">
        <f>IF($BI80&lt;&gt;"",IF('Capacity summary'!$D$14="Yes",IF(COUNTBLANK('Capacity summary'!$H199:$BG199)&lt;52,IF('Capacity summary'!R199&lt;&gt;"",IF(LOWER('Capacity summary'!R199)="x",$BI80*R80,VALUE('Capacity summary'!R199)),0),R80*$BI80),R80*$BI80),0)</f>
        <v>0</v>
      </c>
      <c r="BV80" s="311">
        <f>IF($BI80&lt;&gt;"",IF('Capacity summary'!$D$14="Yes",IF(COUNTBLANK('Capacity summary'!$H199:$BG199)&lt;52,IF('Capacity summary'!S199&lt;&gt;"",IF(LOWER('Capacity summary'!S199)="x",$BI80*S80,VALUE('Capacity summary'!S199)),0),S80*$BI80),S80*$BI80),0)</f>
        <v>0</v>
      </c>
      <c r="BW80" s="311">
        <f>IF($BI80&lt;&gt;"",IF('Capacity summary'!$D$14="Yes",IF(COUNTBLANK('Capacity summary'!$H199:$BG199)&lt;52,IF('Capacity summary'!T199&lt;&gt;"",IF(LOWER('Capacity summary'!T199)="x",$BI80*T80,VALUE('Capacity summary'!T199)),0),T80*$BI80),T80*$BI80),0)</f>
        <v>0</v>
      </c>
      <c r="BX80" s="311">
        <f>IF($BI80&lt;&gt;"",IF('Capacity summary'!$D$14="Yes",IF(COUNTBLANK('Capacity summary'!$H199:$BG199)&lt;52,IF('Capacity summary'!U199&lt;&gt;"",IF(LOWER('Capacity summary'!U199)="x",$BI80*U80,VALUE('Capacity summary'!U199)),0),U80*$BI80),U80*$BI80),0)</f>
        <v>0</v>
      </c>
      <c r="BY80" s="311">
        <f>IF($BI80&lt;&gt;"",IF('Capacity summary'!$D$14="Yes",IF(COUNTBLANK('Capacity summary'!$H199:$BG199)&lt;52,IF('Capacity summary'!V199&lt;&gt;"",IF(LOWER('Capacity summary'!V199)="x",$BI80*V80,VALUE('Capacity summary'!V199)),0),V80*$BI80),V80*$BI80),0)</f>
        <v>0</v>
      </c>
      <c r="BZ80" s="311">
        <f>IF($BI80&lt;&gt;"",IF('Capacity summary'!$D$14="Yes",IF(COUNTBLANK('Capacity summary'!$H199:$BG199)&lt;52,IF('Capacity summary'!W199&lt;&gt;"",IF(LOWER('Capacity summary'!W199)="x",$BI80*W80,VALUE('Capacity summary'!W199)),0),W80*$BI80),W80*$BI80),0)</f>
        <v>0</v>
      </c>
      <c r="CA80" s="311">
        <f>IF($BI80&lt;&gt;"",IF('Capacity summary'!$D$14="Yes",IF(COUNTBLANK('Capacity summary'!$H199:$BG199)&lt;52,IF('Capacity summary'!X199&lt;&gt;"",IF(LOWER('Capacity summary'!X199)="x",$BI80*X80,VALUE('Capacity summary'!X199)),0),X80*$BI80),X80*$BI80),0)</f>
        <v>0</v>
      </c>
      <c r="CB80" s="311">
        <f>IF($BI80&lt;&gt;"",IF('Capacity summary'!$D$14="Yes",IF(COUNTBLANK('Capacity summary'!$H199:$BG199)&lt;52,IF('Capacity summary'!Y199&lt;&gt;"",IF(LOWER('Capacity summary'!Y199)="x",$BI80*Y80,VALUE('Capacity summary'!Y199)),0),Y80*$BI80),Y80*$BI80),0)</f>
        <v>0</v>
      </c>
      <c r="CC80" s="311">
        <f>IF($BI80&lt;&gt;"",IF('Capacity summary'!$D$14="Yes",IF(COUNTBLANK('Capacity summary'!$H199:$BG199)&lt;52,IF('Capacity summary'!Z199&lt;&gt;"",IF(LOWER('Capacity summary'!Z199)="x",$BI80*Z80,VALUE('Capacity summary'!Z199)),0),Z80*$BI80),Z80*$BI80),0)</f>
        <v>0</v>
      </c>
      <c r="CD80" s="311">
        <f>IF($BI80&lt;&gt;"",IF('Capacity summary'!$D$14="Yes",IF(COUNTBLANK('Capacity summary'!$H199:$BG199)&lt;52,IF('Capacity summary'!AA199&lt;&gt;"",IF(LOWER('Capacity summary'!AA199)="x",$BI80*AA80,VALUE('Capacity summary'!AA199)),0),AA80*$BI80),AA80*$BI80),0)</f>
        <v>0</v>
      </c>
      <c r="CE80" s="311">
        <f>IF($BI80&lt;&gt;"",IF('Capacity summary'!$D$14="Yes",IF(COUNTBLANK('Capacity summary'!$H199:$BG199)&lt;52,IF('Capacity summary'!AB199&lt;&gt;"",IF(LOWER('Capacity summary'!AB199)="x",$BI80*AB80,VALUE('Capacity summary'!AB199)),0),AB80*$BI80),AB80*$BI80),0)</f>
        <v>0</v>
      </c>
      <c r="CF80" s="311">
        <f>IF($BI80&lt;&gt;"",IF('Capacity summary'!$D$14="Yes",IF(COUNTBLANK('Capacity summary'!$H199:$BG199)&lt;52,IF('Capacity summary'!AC199&lt;&gt;"",IF(LOWER('Capacity summary'!AC199)="x",$BI80*AC80,VALUE('Capacity summary'!AC199)),0),AC80*$BI80),AC80*$BI80),0)</f>
        <v>0</v>
      </c>
      <c r="CG80" s="311">
        <f>IF($BI80&lt;&gt;"",IF('Capacity summary'!$D$14="Yes",IF(COUNTBLANK('Capacity summary'!$H199:$BG199)&lt;52,IF('Capacity summary'!AD199&lt;&gt;"",IF(LOWER('Capacity summary'!AD199)="x",$BI80*AD80,VALUE('Capacity summary'!AD199)),0),AD80*$BI80),AD80*$BI80),0)</f>
        <v>0</v>
      </c>
      <c r="CH80" s="311">
        <f>IF($BI80&lt;&gt;"",IF('Capacity summary'!$D$14="Yes",IF(COUNTBLANK('Capacity summary'!$H199:$BG199)&lt;52,IF('Capacity summary'!AE199&lt;&gt;"",IF(LOWER('Capacity summary'!AE199)="x",$BI80*AE80,VALUE('Capacity summary'!AE199)),0),AE80*$BI80),AE80*$BI80),0)</f>
        <v>0</v>
      </c>
      <c r="CI80" s="311">
        <f>IF($BI80&lt;&gt;"",IF('Capacity summary'!$D$14="Yes",IF(COUNTBLANK('Capacity summary'!$H199:$BG199)&lt;52,IF('Capacity summary'!AF199&lt;&gt;"",IF(LOWER('Capacity summary'!AF199)="x",$BI80*AF80,VALUE('Capacity summary'!AF199)),0),AF80*$BI80),AF80*$BI80),0)</f>
        <v>0</v>
      </c>
      <c r="CJ80" s="311">
        <f>IF($BI80&lt;&gt;"",IF('Capacity summary'!$D$14="Yes",IF(COUNTBLANK('Capacity summary'!$H199:$BG199)&lt;52,IF('Capacity summary'!AG199&lt;&gt;"",IF(LOWER('Capacity summary'!AG199)="x",$BI80*AG80,VALUE('Capacity summary'!AG199)),0),AG80*$BI80),AG80*$BI80),0)</f>
        <v>0</v>
      </c>
      <c r="CK80" s="311">
        <f>IF($BI80&lt;&gt;"",IF('Capacity summary'!$D$14="Yes",IF(COUNTBLANK('Capacity summary'!$H199:$BG199)&lt;52,IF('Capacity summary'!AH199&lt;&gt;"",IF(LOWER('Capacity summary'!AH199)="x",$BI80*AH80,VALUE('Capacity summary'!AH199)),0),AH80*$BI80),AH80*$BI80),0)</f>
        <v>0</v>
      </c>
      <c r="CL80" s="311">
        <f>IF($BI80&lt;&gt;"",IF('Capacity summary'!$D$14="Yes",IF(COUNTBLANK('Capacity summary'!$H199:$BG199)&lt;52,IF('Capacity summary'!AI199&lt;&gt;"",IF(LOWER('Capacity summary'!AI199)="x",$BI80*AI80,VALUE('Capacity summary'!AI199)),0),AI80*$BI80),AI80*$BI80),0)</f>
        <v>0</v>
      </c>
      <c r="CM80" s="311">
        <f>IF($BI80&lt;&gt;"",IF('Capacity summary'!$D$14="Yes",IF(COUNTBLANK('Capacity summary'!$H199:$BG199)&lt;52,IF('Capacity summary'!AJ199&lt;&gt;"",IF(LOWER('Capacity summary'!AJ199)="x",$BI80*AJ80,VALUE('Capacity summary'!AJ199)),0),AJ80*$BI80),AJ80*$BI80),0)</f>
        <v>0</v>
      </c>
      <c r="CN80" s="311">
        <f>IF($BI80&lt;&gt;"",IF('Capacity summary'!$D$14="Yes",IF(COUNTBLANK('Capacity summary'!$H199:$BG199)&lt;52,IF('Capacity summary'!AK199&lt;&gt;"",IF(LOWER('Capacity summary'!AK199)="x",$BI80*AK80,VALUE('Capacity summary'!AK199)),0),AK80*$BI80),AK80*$BI80),0)</f>
        <v>0</v>
      </c>
      <c r="CO80" s="311">
        <f>IF($BI80&lt;&gt;"",IF('Capacity summary'!$D$14="Yes",IF(COUNTBLANK('Capacity summary'!$H199:$BG199)&lt;52,IF('Capacity summary'!AL199&lt;&gt;"",IF(LOWER('Capacity summary'!AL199)="x",$BI80*AL80,VALUE('Capacity summary'!AL199)),0),AL80*$BI80),AL80*$BI80),0)</f>
        <v>0</v>
      </c>
      <c r="CP80" s="311">
        <f>IF($BI80&lt;&gt;"",IF('Capacity summary'!$D$14="Yes",IF(COUNTBLANK('Capacity summary'!$H199:$BG199)&lt;52,IF('Capacity summary'!AM199&lt;&gt;"",IF(LOWER('Capacity summary'!AM199)="x",$BI80*AM80,VALUE('Capacity summary'!AM199)),0),AM80*$BI80),AM80*$BI80),0)</f>
        <v>0</v>
      </c>
      <c r="CQ80" s="311">
        <f>IF($BI80&lt;&gt;"",IF('Capacity summary'!$D$14="Yes",IF(COUNTBLANK('Capacity summary'!$H199:$BG199)&lt;52,IF('Capacity summary'!AN199&lt;&gt;"",IF(LOWER('Capacity summary'!AN199)="x",$BI80*AN80,VALUE('Capacity summary'!AN199)),0),AN80*$BI80),AN80*$BI80),0)</f>
        <v>0</v>
      </c>
      <c r="CR80" s="311">
        <f>IF($BI80&lt;&gt;"",IF('Capacity summary'!$D$14="Yes",IF(COUNTBLANK('Capacity summary'!$H199:$BG199)&lt;52,IF('Capacity summary'!AO199&lt;&gt;"",IF(LOWER('Capacity summary'!AO199)="x",$BI80*AO80,VALUE('Capacity summary'!AO199)),0),AO80*$BI80),AO80*$BI80),0)</f>
        <v>0</v>
      </c>
      <c r="CS80" s="311">
        <f>IF($BI80&lt;&gt;"",IF('Capacity summary'!$D$14="Yes",IF(COUNTBLANK('Capacity summary'!$H199:$BG199)&lt;52,IF('Capacity summary'!AP199&lt;&gt;"",IF(LOWER('Capacity summary'!AP199)="x",$BI80*AP80,VALUE('Capacity summary'!AP199)),0),AP80*$BI80),AP80*$BI80),0)</f>
        <v>0</v>
      </c>
      <c r="CT80" s="311">
        <f>IF($BI80&lt;&gt;"",IF('Capacity summary'!$D$14="Yes",IF(COUNTBLANK('Capacity summary'!$H199:$BG199)&lt;52,IF('Capacity summary'!AQ199&lt;&gt;"",IF(LOWER('Capacity summary'!AQ199)="x",$BI80*AQ80,VALUE('Capacity summary'!AQ199)),0),AQ80*$BI80),AQ80*$BI80),0)</f>
        <v>0</v>
      </c>
      <c r="CU80" s="311">
        <f>IF($BI80&lt;&gt;"",IF('Capacity summary'!$D$14="Yes",IF(COUNTBLANK('Capacity summary'!$H199:$BG199)&lt;52,IF('Capacity summary'!AR199&lt;&gt;"",IF(LOWER('Capacity summary'!AR199)="x",$BI80*AR80,VALUE('Capacity summary'!AR199)),0),AR80*$BI80),AR80*$BI80),0)</f>
        <v>0</v>
      </c>
      <c r="CV80" s="311">
        <f>IF($BI80&lt;&gt;"",IF('Capacity summary'!$D$14="Yes",IF(COUNTBLANK('Capacity summary'!$H199:$BG199)&lt;52,IF('Capacity summary'!AS199&lt;&gt;"",IF(LOWER('Capacity summary'!AS199)="x",$BI80*AS80,VALUE('Capacity summary'!AS199)),0),AS80*$BI80),AS80*$BI80),0)</f>
        <v>0</v>
      </c>
      <c r="CW80" s="311">
        <f>IF($BI80&lt;&gt;"",IF('Capacity summary'!$D$14="Yes",IF(COUNTBLANK('Capacity summary'!$H199:$BG199)&lt;52,IF('Capacity summary'!AT199&lt;&gt;"",IF(LOWER('Capacity summary'!AT199)="x",$BI80*AT80,VALUE('Capacity summary'!AT199)),0),AT80*$BI80),AT80*$BI80),0)</f>
        <v>0</v>
      </c>
      <c r="CX80" s="311">
        <f>IF($BI80&lt;&gt;"",IF('Capacity summary'!$D$14="Yes",IF(COUNTBLANK('Capacity summary'!$H199:$BG199)&lt;52,IF('Capacity summary'!AU199&lt;&gt;"",IF(LOWER('Capacity summary'!AU199)="x",$BI80*AU80,VALUE('Capacity summary'!AU199)),0),AU80*$BI80),AU80*$BI80),0)</f>
        <v>0</v>
      </c>
      <c r="CY80" s="311">
        <f>IF($BI80&lt;&gt;"",IF('Capacity summary'!$D$14="Yes",IF(COUNTBLANK('Capacity summary'!$H199:$BG199)&lt;52,IF('Capacity summary'!AV199&lt;&gt;"",IF(LOWER('Capacity summary'!AV199)="x",$BI80*AV80,VALUE('Capacity summary'!AV199)),0),AV80*$BI80),AV80*$BI80),0)</f>
        <v>0</v>
      </c>
      <c r="CZ80" s="311">
        <f>IF($BI80&lt;&gt;"",IF('Capacity summary'!$D$14="Yes",IF(COUNTBLANK('Capacity summary'!$H199:$BG199)&lt;52,IF('Capacity summary'!AW199&lt;&gt;"",IF(LOWER('Capacity summary'!AW199)="x",$BI80*AW80,VALUE('Capacity summary'!AW199)),0),AW80*$BI80),AW80*$BI80),0)</f>
        <v>0</v>
      </c>
      <c r="DA80" s="311">
        <f>IF($BI80&lt;&gt;"",IF('Capacity summary'!$D$14="Yes",IF(COUNTBLANK('Capacity summary'!$H199:$BG199)&lt;52,IF('Capacity summary'!AX199&lt;&gt;"",IF(LOWER('Capacity summary'!AX199)="x",$BI80*AX80,VALUE('Capacity summary'!AX199)),0),AX80*$BI80),AX80*$BI80),0)</f>
        <v>0</v>
      </c>
      <c r="DB80" s="311">
        <f>IF($BI80&lt;&gt;"",IF('Capacity summary'!$D$14="Yes",IF(COUNTBLANK('Capacity summary'!$H199:$BG199)&lt;52,IF('Capacity summary'!AY199&lt;&gt;"",IF(LOWER('Capacity summary'!AY199)="x",$BI80*AY80,VALUE('Capacity summary'!AY199)),0),AY80*$BI80),AY80*$BI80),0)</f>
        <v>0</v>
      </c>
      <c r="DC80" s="311">
        <f>IF($BI80&lt;&gt;"",IF('Capacity summary'!$D$14="Yes",IF(COUNTBLANK('Capacity summary'!$H199:$BG199)&lt;52,IF('Capacity summary'!AZ199&lt;&gt;"",IF(LOWER('Capacity summary'!AZ199)="x",$BI80*AZ80,VALUE('Capacity summary'!AZ199)),0),AZ80*$BI80),AZ80*$BI80),0)</f>
        <v>0</v>
      </c>
      <c r="DD80" s="311">
        <f>IF($BI80&lt;&gt;"",IF('Capacity summary'!$D$14="Yes",IF(COUNTBLANK('Capacity summary'!$H199:$BG199)&lt;52,IF('Capacity summary'!BA199&lt;&gt;"",IF(LOWER('Capacity summary'!BA199)="x",$BI80*BA80,VALUE('Capacity summary'!BA199)),0),BA80*$BI80),BA80*$BI80),0)</f>
        <v>0</v>
      </c>
      <c r="DE80" s="311">
        <f>IF($BI80&lt;&gt;"",IF('Capacity summary'!$D$14="Yes",IF(COUNTBLANK('Capacity summary'!$H199:$BG199)&lt;52,IF('Capacity summary'!BB199&lt;&gt;"",IF(LOWER('Capacity summary'!BB199)="x",$BI80*BB80,VALUE('Capacity summary'!BB199)),0),BB80*$BI80),BB80*$BI80),0)</f>
        <v>0</v>
      </c>
      <c r="DF80" s="311">
        <f>IF($BI80&lt;&gt;"",IF('Capacity summary'!$D$14="Yes",IF(COUNTBLANK('Capacity summary'!$H199:$BG199)&lt;52,IF('Capacity summary'!BC199&lt;&gt;"",IF(LOWER('Capacity summary'!BC199)="x",$BI80*BC80,VALUE('Capacity summary'!BC199)),0),BC80*$BI80),BC80*$BI80),0)</f>
        <v>0</v>
      </c>
      <c r="DG80" s="311">
        <f>IF($BI80&lt;&gt;"",IF('Capacity summary'!$D$14="Yes",IF(COUNTBLANK('Capacity summary'!$H199:$BG199)&lt;52,IF('Capacity summary'!BD199&lt;&gt;"",IF(LOWER('Capacity summary'!BD199)="x",$BI80*BD80,VALUE('Capacity summary'!BD199)),0),BD80*$BI80),BD80*$BI80),0)</f>
        <v>0</v>
      </c>
      <c r="DH80" s="311">
        <f>IF($BI80&lt;&gt;"",IF('Capacity summary'!$D$14="Yes",IF(COUNTBLANK('Capacity summary'!$H199:$BG199)&lt;52,IF('Capacity summary'!BE199&lt;&gt;"",IF(LOWER('Capacity summary'!BE199)="x",$BI80*BE80,VALUE('Capacity summary'!BE199)),0),BE80*$BI80),BE80*$BI80),0)</f>
        <v>0</v>
      </c>
      <c r="DI80" s="311">
        <f>IF($BI80&lt;&gt;"",IF('Capacity summary'!$D$14="Yes",IF(COUNTBLANK('Capacity summary'!$H199:$BG199)&lt;52,IF('Capacity summary'!BF199&lt;&gt;"",IF(LOWER('Capacity summary'!BF199)="x",$BI80*BF80,VALUE('Capacity summary'!BF199)),0),BF80*$BI80),BF80*$BI80),0)</f>
        <v>0</v>
      </c>
      <c r="DJ80" s="311">
        <f>IF($BI80&lt;&gt;"",IF('Capacity summary'!$D$14="Yes",IF(COUNTBLANK('Capacity summary'!$H199:$BG199)&lt;52,IF('Capacity summary'!BG199&lt;&gt;"",IF(LOWER('Capacity summary'!BG199)="x",$BI80*BG80,VALUE('Capacity summary'!BG199)),0),BG80*$BI80),BG80*$BI80),0)</f>
        <v>0</v>
      </c>
      <c r="DK80" s="387">
        <f t="shared" si="4"/>
        <v>0</v>
      </c>
      <c r="DL80" s="136">
        <f t="shared" si="5"/>
        <v>0</v>
      </c>
      <c r="DM80" s="311" t="str">
        <f>Capacity!H92</f>
        <v/>
      </c>
    </row>
    <row r="81" spans="1:117" x14ac:dyDescent="0.2">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1">
        <f>IF($BI81&lt;&gt;"",IF('Capacity summary'!$D$14="Yes",IF(COUNTBLANK('Capacity summary'!$H200:$BG200)&lt;52,IF('Capacity summary'!H200&lt;&gt;"",IF(LOWER('Capacity summary'!H200)="x",$BI81*H81,VALUE('Capacity summary'!H200)),0),H81*$BI81),H81*$BI81),0)</f>
        <v>0</v>
      </c>
      <c r="BL81" s="311">
        <f>IF($BI81&lt;&gt;"",IF('Capacity summary'!$D$14="Yes",IF(COUNTBLANK('Capacity summary'!$H200:$BG200)&lt;52,IF('Capacity summary'!I200&lt;&gt;"",IF(LOWER('Capacity summary'!I200)="x",$BI81*I81,VALUE('Capacity summary'!I200)),0),I81*$BI81),I81*$BI81),0)</f>
        <v>0</v>
      </c>
      <c r="BM81" s="311">
        <f>IF($BI81&lt;&gt;"",IF('Capacity summary'!$D$14="Yes",IF(COUNTBLANK('Capacity summary'!$H200:$BG200)&lt;52,IF('Capacity summary'!J200&lt;&gt;"",IF(LOWER('Capacity summary'!J200)="x",$BI81*J81,VALUE('Capacity summary'!J200)),0),J81*$BI81),J81*$BI81),0)</f>
        <v>0</v>
      </c>
      <c r="BN81" s="311">
        <f>IF($BI81&lt;&gt;"",IF('Capacity summary'!$D$14="Yes",IF(COUNTBLANK('Capacity summary'!$H200:$BG200)&lt;52,IF('Capacity summary'!K200&lt;&gt;"",IF(LOWER('Capacity summary'!K200)="x",$BI81*K81,VALUE('Capacity summary'!K200)),0),K81*$BI81),K81*$BI81),0)</f>
        <v>0</v>
      </c>
      <c r="BO81" s="311">
        <f>IF($BI81&lt;&gt;"",IF('Capacity summary'!$D$14="Yes",IF(COUNTBLANK('Capacity summary'!$H200:$BG200)&lt;52,IF('Capacity summary'!L200&lt;&gt;"",IF(LOWER('Capacity summary'!L200)="x",$BI81*L81,VALUE('Capacity summary'!L200)),0),L81*$BI81),L81*$BI81),0)</f>
        <v>0</v>
      </c>
      <c r="BP81" s="311">
        <f>IF($BI81&lt;&gt;"",IF('Capacity summary'!$D$14="Yes",IF(COUNTBLANK('Capacity summary'!$H200:$BG200)&lt;52,IF('Capacity summary'!M200&lt;&gt;"",IF(LOWER('Capacity summary'!M200)="x",$BI81*M81,VALUE('Capacity summary'!M200)),0),M81*$BI81),M81*$BI81),0)</f>
        <v>0</v>
      </c>
      <c r="BQ81" s="311">
        <f>IF($BI81&lt;&gt;"",IF('Capacity summary'!$D$14="Yes",IF(COUNTBLANK('Capacity summary'!$H200:$BG200)&lt;52,IF('Capacity summary'!N200&lt;&gt;"",IF(LOWER('Capacity summary'!N200)="x",$BI81*N81,VALUE('Capacity summary'!N200)),0),N81*$BI81),N81*$BI81),0)</f>
        <v>0</v>
      </c>
      <c r="BR81" s="311">
        <f>IF($BI81&lt;&gt;"",IF('Capacity summary'!$D$14="Yes",IF(COUNTBLANK('Capacity summary'!$H200:$BG200)&lt;52,IF('Capacity summary'!O200&lt;&gt;"",IF(LOWER('Capacity summary'!O200)="x",$BI81*O81,VALUE('Capacity summary'!O200)),0),O81*$BI81),O81*$BI81),0)</f>
        <v>0</v>
      </c>
      <c r="BS81" s="311">
        <f>IF($BI81&lt;&gt;"",IF('Capacity summary'!$D$14="Yes",IF(COUNTBLANK('Capacity summary'!$H200:$BG200)&lt;52,IF('Capacity summary'!P200&lt;&gt;"",IF(LOWER('Capacity summary'!P200)="x",$BI81*P81,VALUE('Capacity summary'!P200)),0),P81*$BI81),P81*$BI81),0)</f>
        <v>0</v>
      </c>
      <c r="BT81" s="311">
        <f>IF($BI81&lt;&gt;"",IF('Capacity summary'!$D$14="Yes",IF(COUNTBLANK('Capacity summary'!$H200:$BG200)&lt;52,IF('Capacity summary'!Q200&lt;&gt;"",IF(LOWER('Capacity summary'!Q200)="x",$BI81*Q81,VALUE('Capacity summary'!Q200)),0),Q81*$BI81),Q81*$BI81),0)</f>
        <v>0</v>
      </c>
      <c r="BU81" s="311">
        <f>IF($BI81&lt;&gt;"",IF('Capacity summary'!$D$14="Yes",IF(COUNTBLANK('Capacity summary'!$H200:$BG200)&lt;52,IF('Capacity summary'!R200&lt;&gt;"",IF(LOWER('Capacity summary'!R200)="x",$BI81*R81,VALUE('Capacity summary'!R200)),0),R81*$BI81),R81*$BI81),0)</f>
        <v>0</v>
      </c>
      <c r="BV81" s="311">
        <f>IF($BI81&lt;&gt;"",IF('Capacity summary'!$D$14="Yes",IF(COUNTBLANK('Capacity summary'!$H200:$BG200)&lt;52,IF('Capacity summary'!S200&lt;&gt;"",IF(LOWER('Capacity summary'!S200)="x",$BI81*S81,VALUE('Capacity summary'!S200)),0),S81*$BI81),S81*$BI81),0)</f>
        <v>0</v>
      </c>
      <c r="BW81" s="311">
        <f>IF($BI81&lt;&gt;"",IF('Capacity summary'!$D$14="Yes",IF(COUNTBLANK('Capacity summary'!$H200:$BG200)&lt;52,IF('Capacity summary'!T200&lt;&gt;"",IF(LOWER('Capacity summary'!T200)="x",$BI81*T81,VALUE('Capacity summary'!T200)),0),T81*$BI81),T81*$BI81),0)</f>
        <v>0</v>
      </c>
      <c r="BX81" s="311">
        <f>IF($BI81&lt;&gt;"",IF('Capacity summary'!$D$14="Yes",IF(COUNTBLANK('Capacity summary'!$H200:$BG200)&lt;52,IF('Capacity summary'!U200&lt;&gt;"",IF(LOWER('Capacity summary'!U200)="x",$BI81*U81,VALUE('Capacity summary'!U200)),0),U81*$BI81),U81*$BI81),0)</f>
        <v>0</v>
      </c>
      <c r="BY81" s="311">
        <f>IF($BI81&lt;&gt;"",IF('Capacity summary'!$D$14="Yes",IF(COUNTBLANK('Capacity summary'!$H200:$BG200)&lt;52,IF('Capacity summary'!V200&lt;&gt;"",IF(LOWER('Capacity summary'!V200)="x",$BI81*V81,VALUE('Capacity summary'!V200)),0),V81*$BI81),V81*$BI81),0)</f>
        <v>0</v>
      </c>
      <c r="BZ81" s="311">
        <f>IF($BI81&lt;&gt;"",IF('Capacity summary'!$D$14="Yes",IF(COUNTBLANK('Capacity summary'!$H200:$BG200)&lt;52,IF('Capacity summary'!W200&lt;&gt;"",IF(LOWER('Capacity summary'!W200)="x",$BI81*W81,VALUE('Capacity summary'!W200)),0),W81*$BI81),W81*$BI81),0)</f>
        <v>0</v>
      </c>
      <c r="CA81" s="311">
        <f>IF($BI81&lt;&gt;"",IF('Capacity summary'!$D$14="Yes",IF(COUNTBLANK('Capacity summary'!$H200:$BG200)&lt;52,IF('Capacity summary'!X200&lt;&gt;"",IF(LOWER('Capacity summary'!X200)="x",$BI81*X81,VALUE('Capacity summary'!X200)),0),X81*$BI81),X81*$BI81),0)</f>
        <v>0</v>
      </c>
      <c r="CB81" s="311">
        <f>IF($BI81&lt;&gt;"",IF('Capacity summary'!$D$14="Yes",IF(COUNTBLANK('Capacity summary'!$H200:$BG200)&lt;52,IF('Capacity summary'!Y200&lt;&gt;"",IF(LOWER('Capacity summary'!Y200)="x",$BI81*Y81,VALUE('Capacity summary'!Y200)),0),Y81*$BI81),Y81*$BI81),0)</f>
        <v>0</v>
      </c>
      <c r="CC81" s="311">
        <f>IF($BI81&lt;&gt;"",IF('Capacity summary'!$D$14="Yes",IF(COUNTBLANK('Capacity summary'!$H200:$BG200)&lt;52,IF('Capacity summary'!Z200&lt;&gt;"",IF(LOWER('Capacity summary'!Z200)="x",$BI81*Z81,VALUE('Capacity summary'!Z200)),0),Z81*$BI81),Z81*$BI81),0)</f>
        <v>0</v>
      </c>
      <c r="CD81" s="311">
        <f>IF($BI81&lt;&gt;"",IF('Capacity summary'!$D$14="Yes",IF(COUNTBLANK('Capacity summary'!$H200:$BG200)&lt;52,IF('Capacity summary'!AA200&lt;&gt;"",IF(LOWER('Capacity summary'!AA200)="x",$BI81*AA81,VALUE('Capacity summary'!AA200)),0),AA81*$BI81),AA81*$BI81),0)</f>
        <v>0</v>
      </c>
      <c r="CE81" s="311">
        <f>IF($BI81&lt;&gt;"",IF('Capacity summary'!$D$14="Yes",IF(COUNTBLANK('Capacity summary'!$H200:$BG200)&lt;52,IF('Capacity summary'!AB200&lt;&gt;"",IF(LOWER('Capacity summary'!AB200)="x",$BI81*AB81,VALUE('Capacity summary'!AB200)),0),AB81*$BI81),AB81*$BI81),0)</f>
        <v>0</v>
      </c>
      <c r="CF81" s="311">
        <f>IF($BI81&lt;&gt;"",IF('Capacity summary'!$D$14="Yes",IF(COUNTBLANK('Capacity summary'!$H200:$BG200)&lt;52,IF('Capacity summary'!AC200&lt;&gt;"",IF(LOWER('Capacity summary'!AC200)="x",$BI81*AC81,VALUE('Capacity summary'!AC200)),0),AC81*$BI81),AC81*$BI81),0)</f>
        <v>0</v>
      </c>
      <c r="CG81" s="311">
        <f>IF($BI81&lt;&gt;"",IF('Capacity summary'!$D$14="Yes",IF(COUNTBLANK('Capacity summary'!$H200:$BG200)&lt;52,IF('Capacity summary'!AD200&lt;&gt;"",IF(LOWER('Capacity summary'!AD200)="x",$BI81*AD81,VALUE('Capacity summary'!AD200)),0),AD81*$BI81),AD81*$BI81),0)</f>
        <v>0</v>
      </c>
      <c r="CH81" s="311">
        <f>IF($BI81&lt;&gt;"",IF('Capacity summary'!$D$14="Yes",IF(COUNTBLANK('Capacity summary'!$H200:$BG200)&lt;52,IF('Capacity summary'!AE200&lt;&gt;"",IF(LOWER('Capacity summary'!AE200)="x",$BI81*AE81,VALUE('Capacity summary'!AE200)),0),AE81*$BI81),AE81*$BI81),0)</f>
        <v>0</v>
      </c>
      <c r="CI81" s="311">
        <f>IF($BI81&lt;&gt;"",IF('Capacity summary'!$D$14="Yes",IF(COUNTBLANK('Capacity summary'!$H200:$BG200)&lt;52,IF('Capacity summary'!AF200&lt;&gt;"",IF(LOWER('Capacity summary'!AF200)="x",$BI81*AF81,VALUE('Capacity summary'!AF200)),0),AF81*$BI81),AF81*$BI81),0)</f>
        <v>0</v>
      </c>
      <c r="CJ81" s="311">
        <f>IF($BI81&lt;&gt;"",IF('Capacity summary'!$D$14="Yes",IF(COUNTBLANK('Capacity summary'!$H200:$BG200)&lt;52,IF('Capacity summary'!AG200&lt;&gt;"",IF(LOWER('Capacity summary'!AG200)="x",$BI81*AG81,VALUE('Capacity summary'!AG200)),0),AG81*$BI81),AG81*$BI81),0)</f>
        <v>0</v>
      </c>
      <c r="CK81" s="311">
        <f>IF($BI81&lt;&gt;"",IF('Capacity summary'!$D$14="Yes",IF(COUNTBLANK('Capacity summary'!$H200:$BG200)&lt;52,IF('Capacity summary'!AH200&lt;&gt;"",IF(LOWER('Capacity summary'!AH200)="x",$BI81*AH81,VALUE('Capacity summary'!AH200)),0),AH81*$BI81),AH81*$BI81),0)</f>
        <v>0</v>
      </c>
      <c r="CL81" s="311">
        <f>IF($BI81&lt;&gt;"",IF('Capacity summary'!$D$14="Yes",IF(COUNTBLANK('Capacity summary'!$H200:$BG200)&lt;52,IF('Capacity summary'!AI200&lt;&gt;"",IF(LOWER('Capacity summary'!AI200)="x",$BI81*AI81,VALUE('Capacity summary'!AI200)),0),AI81*$BI81),AI81*$BI81),0)</f>
        <v>0</v>
      </c>
      <c r="CM81" s="311">
        <f>IF($BI81&lt;&gt;"",IF('Capacity summary'!$D$14="Yes",IF(COUNTBLANK('Capacity summary'!$H200:$BG200)&lt;52,IF('Capacity summary'!AJ200&lt;&gt;"",IF(LOWER('Capacity summary'!AJ200)="x",$BI81*AJ81,VALUE('Capacity summary'!AJ200)),0),AJ81*$BI81),AJ81*$BI81),0)</f>
        <v>0</v>
      </c>
      <c r="CN81" s="311">
        <f>IF($BI81&lt;&gt;"",IF('Capacity summary'!$D$14="Yes",IF(COUNTBLANK('Capacity summary'!$H200:$BG200)&lt;52,IF('Capacity summary'!AK200&lt;&gt;"",IF(LOWER('Capacity summary'!AK200)="x",$BI81*AK81,VALUE('Capacity summary'!AK200)),0),AK81*$BI81),AK81*$BI81),0)</f>
        <v>0</v>
      </c>
      <c r="CO81" s="311">
        <f>IF($BI81&lt;&gt;"",IF('Capacity summary'!$D$14="Yes",IF(COUNTBLANK('Capacity summary'!$H200:$BG200)&lt;52,IF('Capacity summary'!AL200&lt;&gt;"",IF(LOWER('Capacity summary'!AL200)="x",$BI81*AL81,VALUE('Capacity summary'!AL200)),0),AL81*$BI81),AL81*$BI81),0)</f>
        <v>0</v>
      </c>
      <c r="CP81" s="311">
        <f>IF($BI81&lt;&gt;"",IF('Capacity summary'!$D$14="Yes",IF(COUNTBLANK('Capacity summary'!$H200:$BG200)&lt;52,IF('Capacity summary'!AM200&lt;&gt;"",IF(LOWER('Capacity summary'!AM200)="x",$BI81*AM81,VALUE('Capacity summary'!AM200)),0),AM81*$BI81),AM81*$BI81),0)</f>
        <v>0</v>
      </c>
      <c r="CQ81" s="311">
        <f>IF($BI81&lt;&gt;"",IF('Capacity summary'!$D$14="Yes",IF(COUNTBLANK('Capacity summary'!$H200:$BG200)&lt;52,IF('Capacity summary'!AN200&lt;&gt;"",IF(LOWER('Capacity summary'!AN200)="x",$BI81*AN81,VALUE('Capacity summary'!AN200)),0),AN81*$BI81),AN81*$BI81),0)</f>
        <v>0</v>
      </c>
      <c r="CR81" s="311">
        <f>IF($BI81&lt;&gt;"",IF('Capacity summary'!$D$14="Yes",IF(COUNTBLANK('Capacity summary'!$H200:$BG200)&lt;52,IF('Capacity summary'!AO200&lt;&gt;"",IF(LOWER('Capacity summary'!AO200)="x",$BI81*AO81,VALUE('Capacity summary'!AO200)),0),AO81*$BI81),AO81*$BI81),0)</f>
        <v>0</v>
      </c>
      <c r="CS81" s="311">
        <f>IF($BI81&lt;&gt;"",IF('Capacity summary'!$D$14="Yes",IF(COUNTBLANK('Capacity summary'!$H200:$BG200)&lt;52,IF('Capacity summary'!AP200&lt;&gt;"",IF(LOWER('Capacity summary'!AP200)="x",$BI81*AP81,VALUE('Capacity summary'!AP200)),0),AP81*$BI81),AP81*$BI81),0)</f>
        <v>0</v>
      </c>
      <c r="CT81" s="311">
        <f>IF($BI81&lt;&gt;"",IF('Capacity summary'!$D$14="Yes",IF(COUNTBLANK('Capacity summary'!$H200:$BG200)&lt;52,IF('Capacity summary'!AQ200&lt;&gt;"",IF(LOWER('Capacity summary'!AQ200)="x",$BI81*AQ81,VALUE('Capacity summary'!AQ200)),0),AQ81*$BI81),AQ81*$BI81),0)</f>
        <v>0</v>
      </c>
      <c r="CU81" s="311">
        <f>IF($BI81&lt;&gt;"",IF('Capacity summary'!$D$14="Yes",IF(COUNTBLANK('Capacity summary'!$H200:$BG200)&lt;52,IF('Capacity summary'!AR200&lt;&gt;"",IF(LOWER('Capacity summary'!AR200)="x",$BI81*AR81,VALUE('Capacity summary'!AR200)),0),AR81*$BI81),AR81*$BI81),0)</f>
        <v>0</v>
      </c>
      <c r="CV81" s="311">
        <f>IF($BI81&lt;&gt;"",IF('Capacity summary'!$D$14="Yes",IF(COUNTBLANK('Capacity summary'!$H200:$BG200)&lt;52,IF('Capacity summary'!AS200&lt;&gt;"",IF(LOWER('Capacity summary'!AS200)="x",$BI81*AS81,VALUE('Capacity summary'!AS200)),0),AS81*$BI81),AS81*$BI81),0)</f>
        <v>0</v>
      </c>
      <c r="CW81" s="311">
        <f>IF($BI81&lt;&gt;"",IF('Capacity summary'!$D$14="Yes",IF(COUNTBLANK('Capacity summary'!$H200:$BG200)&lt;52,IF('Capacity summary'!AT200&lt;&gt;"",IF(LOWER('Capacity summary'!AT200)="x",$BI81*AT81,VALUE('Capacity summary'!AT200)),0),AT81*$BI81),AT81*$BI81),0)</f>
        <v>0</v>
      </c>
      <c r="CX81" s="311">
        <f>IF($BI81&lt;&gt;"",IF('Capacity summary'!$D$14="Yes",IF(COUNTBLANK('Capacity summary'!$H200:$BG200)&lt;52,IF('Capacity summary'!AU200&lt;&gt;"",IF(LOWER('Capacity summary'!AU200)="x",$BI81*AU81,VALUE('Capacity summary'!AU200)),0),AU81*$BI81),AU81*$BI81),0)</f>
        <v>0</v>
      </c>
      <c r="CY81" s="311">
        <f>IF($BI81&lt;&gt;"",IF('Capacity summary'!$D$14="Yes",IF(COUNTBLANK('Capacity summary'!$H200:$BG200)&lt;52,IF('Capacity summary'!AV200&lt;&gt;"",IF(LOWER('Capacity summary'!AV200)="x",$BI81*AV81,VALUE('Capacity summary'!AV200)),0),AV81*$BI81),AV81*$BI81),0)</f>
        <v>0</v>
      </c>
      <c r="CZ81" s="311">
        <f>IF($BI81&lt;&gt;"",IF('Capacity summary'!$D$14="Yes",IF(COUNTBLANK('Capacity summary'!$H200:$BG200)&lt;52,IF('Capacity summary'!AW200&lt;&gt;"",IF(LOWER('Capacity summary'!AW200)="x",$BI81*AW81,VALUE('Capacity summary'!AW200)),0),AW81*$BI81),AW81*$BI81),0)</f>
        <v>0</v>
      </c>
      <c r="DA81" s="311">
        <f>IF($BI81&lt;&gt;"",IF('Capacity summary'!$D$14="Yes",IF(COUNTBLANK('Capacity summary'!$H200:$BG200)&lt;52,IF('Capacity summary'!AX200&lt;&gt;"",IF(LOWER('Capacity summary'!AX200)="x",$BI81*AX81,VALUE('Capacity summary'!AX200)),0),AX81*$BI81),AX81*$BI81),0)</f>
        <v>0</v>
      </c>
      <c r="DB81" s="311">
        <f>IF($BI81&lt;&gt;"",IF('Capacity summary'!$D$14="Yes",IF(COUNTBLANK('Capacity summary'!$H200:$BG200)&lt;52,IF('Capacity summary'!AY200&lt;&gt;"",IF(LOWER('Capacity summary'!AY200)="x",$BI81*AY81,VALUE('Capacity summary'!AY200)),0),AY81*$BI81),AY81*$BI81),0)</f>
        <v>0</v>
      </c>
      <c r="DC81" s="311">
        <f>IF($BI81&lt;&gt;"",IF('Capacity summary'!$D$14="Yes",IF(COUNTBLANK('Capacity summary'!$H200:$BG200)&lt;52,IF('Capacity summary'!AZ200&lt;&gt;"",IF(LOWER('Capacity summary'!AZ200)="x",$BI81*AZ81,VALUE('Capacity summary'!AZ200)),0),AZ81*$BI81),AZ81*$BI81),0)</f>
        <v>0</v>
      </c>
      <c r="DD81" s="311">
        <f>IF($BI81&lt;&gt;"",IF('Capacity summary'!$D$14="Yes",IF(COUNTBLANK('Capacity summary'!$H200:$BG200)&lt;52,IF('Capacity summary'!BA200&lt;&gt;"",IF(LOWER('Capacity summary'!BA200)="x",$BI81*BA81,VALUE('Capacity summary'!BA200)),0),BA81*$BI81),BA81*$BI81),0)</f>
        <v>0</v>
      </c>
      <c r="DE81" s="311">
        <f>IF($BI81&lt;&gt;"",IF('Capacity summary'!$D$14="Yes",IF(COUNTBLANK('Capacity summary'!$H200:$BG200)&lt;52,IF('Capacity summary'!BB200&lt;&gt;"",IF(LOWER('Capacity summary'!BB200)="x",$BI81*BB81,VALUE('Capacity summary'!BB200)),0),BB81*$BI81),BB81*$BI81),0)</f>
        <v>0</v>
      </c>
      <c r="DF81" s="311">
        <f>IF($BI81&lt;&gt;"",IF('Capacity summary'!$D$14="Yes",IF(COUNTBLANK('Capacity summary'!$H200:$BG200)&lt;52,IF('Capacity summary'!BC200&lt;&gt;"",IF(LOWER('Capacity summary'!BC200)="x",$BI81*BC81,VALUE('Capacity summary'!BC200)),0),BC81*$BI81),BC81*$BI81),0)</f>
        <v>0</v>
      </c>
      <c r="DG81" s="311">
        <f>IF($BI81&lt;&gt;"",IF('Capacity summary'!$D$14="Yes",IF(COUNTBLANK('Capacity summary'!$H200:$BG200)&lt;52,IF('Capacity summary'!BD200&lt;&gt;"",IF(LOWER('Capacity summary'!BD200)="x",$BI81*BD81,VALUE('Capacity summary'!BD200)),0),BD81*$BI81),BD81*$BI81),0)</f>
        <v>0</v>
      </c>
      <c r="DH81" s="311">
        <f>IF($BI81&lt;&gt;"",IF('Capacity summary'!$D$14="Yes",IF(COUNTBLANK('Capacity summary'!$H200:$BG200)&lt;52,IF('Capacity summary'!BE200&lt;&gt;"",IF(LOWER('Capacity summary'!BE200)="x",$BI81*BE81,VALUE('Capacity summary'!BE200)),0),BE81*$BI81),BE81*$BI81),0)</f>
        <v>0</v>
      </c>
      <c r="DI81" s="311">
        <f>IF($BI81&lt;&gt;"",IF('Capacity summary'!$D$14="Yes",IF(COUNTBLANK('Capacity summary'!$H200:$BG200)&lt;52,IF('Capacity summary'!BF200&lt;&gt;"",IF(LOWER('Capacity summary'!BF200)="x",$BI81*BF81,VALUE('Capacity summary'!BF200)),0),BF81*$BI81),BF81*$BI81),0)</f>
        <v>0</v>
      </c>
      <c r="DJ81" s="311">
        <f>IF($BI81&lt;&gt;"",IF('Capacity summary'!$D$14="Yes",IF(COUNTBLANK('Capacity summary'!$H200:$BG200)&lt;52,IF('Capacity summary'!BG200&lt;&gt;"",IF(LOWER('Capacity summary'!BG200)="x",$BI81*BG81,VALUE('Capacity summary'!BG200)),0),BG81*$BI81),BG81*$BI81),0)</f>
        <v>0</v>
      </c>
      <c r="DK81" s="387">
        <f t="shared" si="4"/>
        <v>0</v>
      </c>
      <c r="DL81" s="136">
        <f t="shared" si="5"/>
        <v>0</v>
      </c>
      <c r="DM81" s="311" t="str">
        <f>Capacity!H93</f>
        <v/>
      </c>
    </row>
    <row r="82" spans="1:117" x14ac:dyDescent="0.2">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1">
        <f>IF($BI82&lt;&gt;"",IF('Capacity summary'!$D$14="Yes",IF(COUNTBLANK('Capacity summary'!$H201:$BG201)&lt;52,IF('Capacity summary'!H201&lt;&gt;"",IF(LOWER('Capacity summary'!H201)="x",$BI82*H82,VALUE('Capacity summary'!H201)),0),H82*$BI82),H82*$BI82),0)</f>
        <v>0</v>
      </c>
      <c r="BL82" s="311">
        <f>IF($BI82&lt;&gt;"",IF('Capacity summary'!$D$14="Yes",IF(COUNTBLANK('Capacity summary'!$H201:$BG201)&lt;52,IF('Capacity summary'!I201&lt;&gt;"",IF(LOWER('Capacity summary'!I201)="x",$BI82*I82,VALUE('Capacity summary'!I201)),0),I82*$BI82),I82*$BI82),0)</f>
        <v>0</v>
      </c>
      <c r="BM82" s="311">
        <f>IF($BI82&lt;&gt;"",IF('Capacity summary'!$D$14="Yes",IF(COUNTBLANK('Capacity summary'!$H201:$BG201)&lt;52,IF('Capacity summary'!J201&lt;&gt;"",IF(LOWER('Capacity summary'!J201)="x",$BI82*J82,VALUE('Capacity summary'!J201)),0),J82*$BI82),J82*$BI82),0)</f>
        <v>0</v>
      </c>
      <c r="BN82" s="311">
        <f>IF($BI82&lt;&gt;"",IF('Capacity summary'!$D$14="Yes",IF(COUNTBLANK('Capacity summary'!$H201:$BG201)&lt;52,IF('Capacity summary'!K201&lt;&gt;"",IF(LOWER('Capacity summary'!K201)="x",$BI82*K82,VALUE('Capacity summary'!K201)),0),K82*$BI82),K82*$BI82),0)</f>
        <v>0</v>
      </c>
      <c r="BO82" s="311">
        <f>IF($BI82&lt;&gt;"",IF('Capacity summary'!$D$14="Yes",IF(COUNTBLANK('Capacity summary'!$H201:$BG201)&lt;52,IF('Capacity summary'!L201&lt;&gt;"",IF(LOWER('Capacity summary'!L201)="x",$BI82*L82,VALUE('Capacity summary'!L201)),0),L82*$BI82),L82*$BI82),0)</f>
        <v>0</v>
      </c>
      <c r="BP82" s="311">
        <f>IF($BI82&lt;&gt;"",IF('Capacity summary'!$D$14="Yes",IF(COUNTBLANK('Capacity summary'!$H201:$BG201)&lt;52,IF('Capacity summary'!M201&lt;&gt;"",IF(LOWER('Capacity summary'!M201)="x",$BI82*M82,VALUE('Capacity summary'!M201)),0),M82*$BI82),M82*$BI82),0)</f>
        <v>0</v>
      </c>
      <c r="BQ82" s="311">
        <f>IF($BI82&lt;&gt;"",IF('Capacity summary'!$D$14="Yes",IF(COUNTBLANK('Capacity summary'!$H201:$BG201)&lt;52,IF('Capacity summary'!N201&lt;&gt;"",IF(LOWER('Capacity summary'!N201)="x",$BI82*N82,VALUE('Capacity summary'!N201)),0),N82*$BI82),N82*$BI82),0)</f>
        <v>0</v>
      </c>
      <c r="BR82" s="311">
        <f>IF($BI82&lt;&gt;"",IF('Capacity summary'!$D$14="Yes",IF(COUNTBLANK('Capacity summary'!$H201:$BG201)&lt;52,IF('Capacity summary'!O201&lt;&gt;"",IF(LOWER('Capacity summary'!O201)="x",$BI82*O82,VALUE('Capacity summary'!O201)),0),O82*$BI82),O82*$BI82),0)</f>
        <v>0</v>
      </c>
      <c r="BS82" s="311">
        <f>IF($BI82&lt;&gt;"",IF('Capacity summary'!$D$14="Yes",IF(COUNTBLANK('Capacity summary'!$H201:$BG201)&lt;52,IF('Capacity summary'!P201&lt;&gt;"",IF(LOWER('Capacity summary'!P201)="x",$BI82*P82,VALUE('Capacity summary'!P201)),0),P82*$BI82),P82*$BI82),0)</f>
        <v>0</v>
      </c>
      <c r="BT82" s="311">
        <f>IF($BI82&lt;&gt;"",IF('Capacity summary'!$D$14="Yes",IF(COUNTBLANK('Capacity summary'!$H201:$BG201)&lt;52,IF('Capacity summary'!Q201&lt;&gt;"",IF(LOWER('Capacity summary'!Q201)="x",$BI82*Q82,VALUE('Capacity summary'!Q201)),0),Q82*$BI82),Q82*$BI82),0)</f>
        <v>0</v>
      </c>
      <c r="BU82" s="311">
        <f>IF($BI82&lt;&gt;"",IF('Capacity summary'!$D$14="Yes",IF(COUNTBLANK('Capacity summary'!$H201:$BG201)&lt;52,IF('Capacity summary'!R201&lt;&gt;"",IF(LOWER('Capacity summary'!R201)="x",$BI82*R82,VALUE('Capacity summary'!R201)),0),R82*$BI82),R82*$BI82),0)</f>
        <v>0</v>
      </c>
      <c r="BV82" s="311">
        <f>IF($BI82&lt;&gt;"",IF('Capacity summary'!$D$14="Yes",IF(COUNTBLANK('Capacity summary'!$H201:$BG201)&lt;52,IF('Capacity summary'!S201&lt;&gt;"",IF(LOWER('Capacity summary'!S201)="x",$BI82*S82,VALUE('Capacity summary'!S201)),0),S82*$BI82),S82*$BI82),0)</f>
        <v>0</v>
      </c>
      <c r="BW82" s="311">
        <f>IF($BI82&lt;&gt;"",IF('Capacity summary'!$D$14="Yes",IF(COUNTBLANK('Capacity summary'!$H201:$BG201)&lt;52,IF('Capacity summary'!T201&lt;&gt;"",IF(LOWER('Capacity summary'!T201)="x",$BI82*T82,VALUE('Capacity summary'!T201)),0),T82*$BI82),T82*$BI82),0)</f>
        <v>0</v>
      </c>
      <c r="BX82" s="311">
        <f>IF($BI82&lt;&gt;"",IF('Capacity summary'!$D$14="Yes",IF(COUNTBLANK('Capacity summary'!$H201:$BG201)&lt;52,IF('Capacity summary'!U201&lt;&gt;"",IF(LOWER('Capacity summary'!U201)="x",$BI82*U82,VALUE('Capacity summary'!U201)),0),U82*$BI82),U82*$BI82),0)</f>
        <v>0</v>
      </c>
      <c r="BY82" s="311">
        <f>IF($BI82&lt;&gt;"",IF('Capacity summary'!$D$14="Yes",IF(COUNTBLANK('Capacity summary'!$H201:$BG201)&lt;52,IF('Capacity summary'!V201&lt;&gt;"",IF(LOWER('Capacity summary'!V201)="x",$BI82*V82,VALUE('Capacity summary'!V201)),0),V82*$BI82),V82*$BI82),0)</f>
        <v>0</v>
      </c>
      <c r="BZ82" s="311">
        <f>IF($BI82&lt;&gt;"",IF('Capacity summary'!$D$14="Yes",IF(COUNTBLANK('Capacity summary'!$H201:$BG201)&lt;52,IF('Capacity summary'!W201&lt;&gt;"",IF(LOWER('Capacity summary'!W201)="x",$BI82*W82,VALUE('Capacity summary'!W201)),0),W82*$BI82),W82*$BI82),0)</f>
        <v>0</v>
      </c>
      <c r="CA82" s="311">
        <f>IF($BI82&lt;&gt;"",IF('Capacity summary'!$D$14="Yes",IF(COUNTBLANK('Capacity summary'!$H201:$BG201)&lt;52,IF('Capacity summary'!X201&lt;&gt;"",IF(LOWER('Capacity summary'!X201)="x",$BI82*X82,VALUE('Capacity summary'!X201)),0),X82*$BI82),X82*$BI82),0)</f>
        <v>0</v>
      </c>
      <c r="CB82" s="311">
        <f>IF($BI82&lt;&gt;"",IF('Capacity summary'!$D$14="Yes",IF(COUNTBLANK('Capacity summary'!$H201:$BG201)&lt;52,IF('Capacity summary'!Y201&lt;&gt;"",IF(LOWER('Capacity summary'!Y201)="x",$BI82*Y82,VALUE('Capacity summary'!Y201)),0),Y82*$BI82),Y82*$BI82),0)</f>
        <v>0</v>
      </c>
      <c r="CC82" s="311">
        <f>IF($BI82&lt;&gt;"",IF('Capacity summary'!$D$14="Yes",IF(COUNTBLANK('Capacity summary'!$H201:$BG201)&lt;52,IF('Capacity summary'!Z201&lt;&gt;"",IF(LOWER('Capacity summary'!Z201)="x",$BI82*Z82,VALUE('Capacity summary'!Z201)),0),Z82*$BI82),Z82*$BI82),0)</f>
        <v>0</v>
      </c>
      <c r="CD82" s="311">
        <f>IF($BI82&lt;&gt;"",IF('Capacity summary'!$D$14="Yes",IF(COUNTBLANK('Capacity summary'!$H201:$BG201)&lt;52,IF('Capacity summary'!AA201&lt;&gt;"",IF(LOWER('Capacity summary'!AA201)="x",$BI82*AA82,VALUE('Capacity summary'!AA201)),0),AA82*$BI82),AA82*$BI82),0)</f>
        <v>0</v>
      </c>
      <c r="CE82" s="311">
        <f>IF($BI82&lt;&gt;"",IF('Capacity summary'!$D$14="Yes",IF(COUNTBLANK('Capacity summary'!$H201:$BG201)&lt;52,IF('Capacity summary'!AB201&lt;&gt;"",IF(LOWER('Capacity summary'!AB201)="x",$BI82*AB82,VALUE('Capacity summary'!AB201)),0),AB82*$BI82),AB82*$BI82),0)</f>
        <v>0</v>
      </c>
      <c r="CF82" s="311">
        <f>IF($BI82&lt;&gt;"",IF('Capacity summary'!$D$14="Yes",IF(COUNTBLANK('Capacity summary'!$H201:$BG201)&lt;52,IF('Capacity summary'!AC201&lt;&gt;"",IF(LOWER('Capacity summary'!AC201)="x",$BI82*AC82,VALUE('Capacity summary'!AC201)),0),AC82*$BI82),AC82*$BI82),0)</f>
        <v>0</v>
      </c>
      <c r="CG82" s="311">
        <f>IF($BI82&lt;&gt;"",IF('Capacity summary'!$D$14="Yes",IF(COUNTBLANK('Capacity summary'!$H201:$BG201)&lt;52,IF('Capacity summary'!AD201&lt;&gt;"",IF(LOWER('Capacity summary'!AD201)="x",$BI82*AD82,VALUE('Capacity summary'!AD201)),0),AD82*$BI82),AD82*$BI82),0)</f>
        <v>0</v>
      </c>
      <c r="CH82" s="311">
        <f>IF($BI82&lt;&gt;"",IF('Capacity summary'!$D$14="Yes",IF(COUNTBLANK('Capacity summary'!$H201:$BG201)&lt;52,IF('Capacity summary'!AE201&lt;&gt;"",IF(LOWER('Capacity summary'!AE201)="x",$BI82*AE82,VALUE('Capacity summary'!AE201)),0),AE82*$BI82),AE82*$BI82),0)</f>
        <v>0</v>
      </c>
      <c r="CI82" s="311">
        <f>IF($BI82&lt;&gt;"",IF('Capacity summary'!$D$14="Yes",IF(COUNTBLANK('Capacity summary'!$H201:$BG201)&lt;52,IF('Capacity summary'!AF201&lt;&gt;"",IF(LOWER('Capacity summary'!AF201)="x",$BI82*AF82,VALUE('Capacity summary'!AF201)),0),AF82*$BI82),AF82*$BI82),0)</f>
        <v>0</v>
      </c>
      <c r="CJ82" s="311">
        <f>IF($BI82&lt;&gt;"",IF('Capacity summary'!$D$14="Yes",IF(COUNTBLANK('Capacity summary'!$H201:$BG201)&lt;52,IF('Capacity summary'!AG201&lt;&gt;"",IF(LOWER('Capacity summary'!AG201)="x",$BI82*AG82,VALUE('Capacity summary'!AG201)),0),AG82*$BI82),AG82*$BI82),0)</f>
        <v>0</v>
      </c>
      <c r="CK82" s="311">
        <f>IF($BI82&lt;&gt;"",IF('Capacity summary'!$D$14="Yes",IF(COUNTBLANK('Capacity summary'!$H201:$BG201)&lt;52,IF('Capacity summary'!AH201&lt;&gt;"",IF(LOWER('Capacity summary'!AH201)="x",$BI82*AH82,VALUE('Capacity summary'!AH201)),0),AH82*$BI82),AH82*$BI82),0)</f>
        <v>0</v>
      </c>
      <c r="CL82" s="311">
        <f>IF($BI82&lt;&gt;"",IF('Capacity summary'!$D$14="Yes",IF(COUNTBLANK('Capacity summary'!$H201:$BG201)&lt;52,IF('Capacity summary'!AI201&lt;&gt;"",IF(LOWER('Capacity summary'!AI201)="x",$BI82*AI82,VALUE('Capacity summary'!AI201)),0),AI82*$BI82),AI82*$BI82),0)</f>
        <v>0</v>
      </c>
      <c r="CM82" s="311">
        <f>IF($BI82&lt;&gt;"",IF('Capacity summary'!$D$14="Yes",IF(COUNTBLANK('Capacity summary'!$H201:$BG201)&lt;52,IF('Capacity summary'!AJ201&lt;&gt;"",IF(LOWER('Capacity summary'!AJ201)="x",$BI82*AJ82,VALUE('Capacity summary'!AJ201)),0),AJ82*$BI82),AJ82*$BI82),0)</f>
        <v>0</v>
      </c>
      <c r="CN82" s="311">
        <f>IF($BI82&lt;&gt;"",IF('Capacity summary'!$D$14="Yes",IF(COUNTBLANK('Capacity summary'!$H201:$BG201)&lt;52,IF('Capacity summary'!AK201&lt;&gt;"",IF(LOWER('Capacity summary'!AK201)="x",$BI82*AK82,VALUE('Capacity summary'!AK201)),0),AK82*$BI82),AK82*$BI82),0)</f>
        <v>0</v>
      </c>
      <c r="CO82" s="311">
        <f>IF($BI82&lt;&gt;"",IF('Capacity summary'!$D$14="Yes",IF(COUNTBLANK('Capacity summary'!$H201:$BG201)&lt;52,IF('Capacity summary'!AL201&lt;&gt;"",IF(LOWER('Capacity summary'!AL201)="x",$BI82*AL82,VALUE('Capacity summary'!AL201)),0),AL82*$BI82),AL82*$BI82),0)</f>
        <v>0</v>
      </c>
      <c r="CP82" s="311">
        <f>IF($BI82&lt;&gt;"",IF('Capacity summary'!$D$14="Yes",IF(COUNTBLANK('Capacity summary'!$H201:$BG201)&lt;52,IF('Capacity summary'!AM201&lt;&gt;"",IF(LOWER('Capacity summary'!AM201)="x",$BI82*AM82,VALUE('Capacity summary'!AM201)),0),AM82*$BI82),AM82*$BI82),0)</f>
        <v>0</v>
      </c>
      <c r="CQ82" s="311">
        <f>IF($BI82&lt;&gt;"",IF('Capacity summary'!$D$14="Yes",IF(COUNTBLANK('Capacity summary'!$H201:$BG201)&lt;52,IF('Capacity summary'!AN201&lt;&gt;"",IF(LOWER('Capacity summary'!AN201)="x",$BI82*AN82,VALUE('Capacity summary'!AN201)),0),AN82*$BI82),AN82*$BI82),0)</f>
        <v>0</v>
      </c>
      <c r="CR82" s="311">
        <f>IF($BI82&lt;&gt;"",IF('Capacity summary'!$D$14="Yes",IF(COUNTBLANK('Capacity summary'!$H201:$BG201)&lt;52,IF('Capacity summary'!AO201&lt;&gt;"",IF(LOWER('Capacity summary'!AO201)="x",$BI82*AO82,VALUE('Capacity summary'!AO201)),0),AO82*$BI82),AO82*$BI82),0)</f>
        <v>0</v>
      </c>
      <c r="CS82" s="311">
        <f>IF($BI82&lt;&gt;"",IF('Capacity summary'!$D$14="Yes",IF(COUNTBLANK('Capacity summary'!$H201:$BG201)&lt;52,IF('Capacity summary'!AP201&lt;&gt;"",IF(LOWER('Capacity summary'!AP201)="x",$BI82*AP82,VALUE('Capacity summary'!AP201)),0),AP82*$BI82),AP82*$BI82),0)</f>
        <v>0</v>
      </c>
      <c r="CT82" s="311">
        <f>IF($BI82&lt;&gt;"",IF('Capacity summary'!$D$14="Yes",IF(COUNTBLANK('Capacity summary'!$H201:$BG201)&lt;52,IF('Capacity summary'!AQ201&lt;&gt;"",IF(LOWER('Capacity summary'!AQ201)="x",$BI82*AQ82,VALUE('Capacity summary'!AQ201)),0),AQ82*$BI82),AQ82*$BI82),0)</f>
        <v>0</v>
      </c>
      <c r="CU82" s="311">
        <f>IF($BI82&lt;&gt;"",IF('Capacity summary'!$D$14="Yes",IF(COUNTBLANK('Capacity summary'!$H201:$BG201)&lt;52,IF('Capacity summary'!AR201&lt;&gt;"",IF(LOWER('Capacity summary'!AR201)="x",$BI82*AR82,VALUE('Capacity summary'!AR201)),0),AR82*$BI82),AR82*$BI82),0)</f>
        <v>0</v>
      </c>
      <c r="CV82" s="311">
        <f>IF($BI82&lt;&gt;"",IF('Capacity summary'!$D$14="Yes",IF(COUNTBLANK('Capacity summary'!$H201:$BG201)&lt;52,IF('Capacity summary'!AS201&lt;&gt;"",IF(LOWER('Capacity summary'!AS201)="x",$BI82*AS82,VALUE('Capacity summary'!AS201)),0),AS82*$BI82),AS82*$BI82),0)</f>
        <v>0</v>
      </c>
      <c r="CW82" s="311">
        <f>IF($BI82&lt;&gt;"",IF('Capacity summary'!$D$14="Yes",IF(COUNTBLANK('Capacity summary'!$H201:$BG201)&lt;52,IF('Capacity summary'!AT201&lt;&gt;"",IF(LOWER('Capacity summary'!AT201)="x",$BI82*AT82,VALUE('Capacity summary'!AT201)),0),AT82*$BI82),AT82*$BI82),0)</f>
        <v>0</v>
      </c>
      <c r="CX82" s="311">
        <f>IF($BI82&lt;&gt;"",IF('Capacity summary'!$D$14="Yes",IF(COUNTBLANK('Capacity summary'!$H201:$BG201)&lt;52,IF('Capacity summary'!AU201&lt;&gt;"",IF(LOWER('Capacity summary'!AU201)="x",$BI82*AU82,VALUE('Capacity summary'!AU201)),0),AU82*$BI82),AU82*$BI82),0)</f>
        <v>0</v>
      </c>
      <c r="CY82" s="311">
        <f>IF($BI82&lt;&gt;"",IF('Capacity summary'!$D$14="Yes",IF(COUNTBLANK('Capacity summary'!$H201:$BG201)&lt;52,IF('Capacity summary'!AV201&lt;&gt;"",IF(LOWER('Capacity summary'!AV201)="x",$BI82*AV82,VALUE('Capacity summary'!AV201)),0),AV82*$BI82),AV82*$BI82),0)</f>
        <v>0</v>
      </c>
      <c r="CZ82" s="311">
        <f>IF($BI82&lt;&gt;"",IF('Capacity summary'!$D$14="Yes",IF(COUNTBLANK('Capacity summary'!$H201:$BG201)&lt;52,IF('Capacity summary'!AW201&lt;&gt;"",IF(LOWER('Capacity summary'!AW201)="x",$BI82*AW82,VALUE('Capacity summary'!AW201)),0),AW82*$BI82),AW82*$BI82),0)</f>
        <v>0</v>
      </c>
      <c r="DA82" s="311">
        <f>IF($BI82&lt;&gt;"",IF('Capacity summary'!$D$14="Yes",IF(COUNTBLANK('Capacity summary'!$H201:$BG201)&lt;52,IF('Capacity summary'!AX201&lt;&gt;"",IF(LOWER('Capacity summary'!AX201)="x",$BI82*AX82,VALUE('Capacity summary'!AX201)),0),AX82*$BI82),AX82*$BI82),0)</f>
        <v>0</v>
      </c>
      <c r="DB82" s="311">
        <f>IF($BI82&lt;&gt;"",IF('Capacity summary'!$D$14="Yes",IF(COUNTBLANK('Capacity summary'!$H201:$BG201)&lt;52,IF('Capacity summary'!AY201&lt;&gt;"",IF(LOWER('Capacity summary'!AY201)="x",$BI82*AY82,VALUE('Capacity summary'!AY201)),0),AY82*$BI82),AY82*$BI82),0)</f>
        <v>0</v>
      </c>
      <c r="DC82" s="311">
        <f>IF($BI82&lt;&gt;"",IF('Capacity summary'!$D$14="Yes",IF(COUNTBLANK('Capacity summary'!$H201:$BG201)&lt;52,IF('Capacity summary'!AZ201&lt;&gt;"",IF(LOWER('Capacity summary'!AZ201)="x",$BI82*AZ82,VALUE('Capacity summary'!AZ201)),0),AZ82*$BI82),AZ82*$BI82),0)</f>
        <v>0</v>
      </c>
      <c r="DD82" s="311">
        <f>IF($BI82&lt;&gt;"",IF('Capacity summary'!$D$14="Yes",IF(COUNTBLANK('Capacity summary'!$H201:$BG201)&lt;52,IF('Capacity summary'!BA201&lt;&gt;"",IF(LOWER('Capacity summary'!BA201)="x",$BI82*BA82,VALUE('Capacity summary'!BA201)),0),BA82*$BI82),BA82*$BI82),0)</f>
        <v>0</v>
      </c>
      <c r="DE82" s="311">
        <f>IF($BI82&lt;&gt;"",IF('Capacity summary'!$D$14="Yes",IF(COUNTBLANK('Capacity summary'!$H201:$BG201)&lt;52,IF('Capacity summary'!BB201&lt;&gt;"",IF(LOWER('Capacity summary'!BB201)="x",$BI82*BB82,VALUE('Capacity summary'!BB201)),0),BB82*$BI82),BB82*$BI82),0)</f>
        <v>0</v>
      </c>
      <c r="DF82" s="311">
        <f>IF($BI82&lt;&gt;"",IF('Capacity summary'!$D$14="Yes",IF(COUNTBLANK('Capacity summary'!$H201:$BG201)&lt;52,IF('Capacity summary'!BC201&lt;&gt;"",IF(LOWER('Capacity summary'!BC201)="x",$BI82*BC82,VALUE('Capacity summary'!BC201)),0),BC82*$BI82),BC82*$BI82),0)</f>
        <v>0</v>
      </c>
      <c r="DG82" s="311">
        <f>IF($BI82&lt;&gt;"",IF('Capacity summary'!$D$14="Yes",IF(COUNTBLANK('Capacity summary'!$H201:$BG201)&lt;52,IF('Capacity summary'!BD201&lt;&gt;"",IF(LOWER('Capacity summary'!BD201)="x",$BI82*BD82,VALUE('Capacity summary'!BD201)),0),BD82*$BI82),BD82*$BI82),0)</f>
        <v>0</v>
      </c>
      <c r="DH82" s="311">
        <f>IF($BI82&lt;&gt;"",IF('Capacity summary'!$D$14="Yes",IF(COUNTBLANK('Capacity summary'!$H201:$BG201)&lt;52,IF('Capacity summary'!BE201&lt;&gt;"",IF(LOWER('Capacity summary'!BE201)="x",$BI82*BE82,VALUE('Capacity summary'!BE201)),0),BE82*$BI82),BE82*$BI82),0)</f>
        <v>0</v>
      </c>
      <c r="DI82" s="311">
        <f>IF($BI82&lt;&gt;"",IF('Capacity summary'!$D$14="Yes",IF(COUNTBLANK('Capacity summary'!$H201:$BG201)&lt;52,IF('Capacity summary'!BF201&lt;&gt;"",IF(LOWER('Capacity summary'!BF201)="x",$BI82*BF82,VALUE('Capacity summary'!BF201)),0),BF82*$BI82),BF82*$BI82),0)</f>
        <v>0</v>
      </c>
      <c r="DJ82" s="311">
        <f>IF($BI82&lt;&gt;"",IF('Capacity summary'!$D$14="Yes",IF(COUNTBLANK('Capacity summary'!$H201:$BG201)&lt;52,IF('Capacity summary'!BG201&lt;&gt;"",IF(LOWER('Capacity summary'!BG201)="x",$BI82*BG82,VALUE('Capacity summary'!BG201)),0),BG82*$BI82),BG82*$BI82),0)</f>
        <v>0</v>
      </c>
      <c r="DK82" s="387">
        <f t="shared" si="4"/>
        <v>0</v>
      </c>
      <c r="DL82" s="136">
        <f t="shared" si="5"/>
        <v>0</v>
      </c>
      <c r="DM82" s="311" t="str">
        <f>Capacity!H94</f>
        <v/>
      </c>
    </row>
    <row r="83" spans="1:117" x14ac:dyDescent="0.2">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1">
        <f>IF($BI83&lt;&gt;"",IF('Capacity summary'!$D$14="Yes",IF(COUNTBLANK('Capacity summary'!$H202:$BG202)&lt;52,IF('Capacity summary'!H202&lt;&gt;"",IF(LOWER('Capacity summary'!H202)="x",$BI83*H83,VALUE('Capacity summary'!H202)),0),H83*$BI83),H83*$BI83),0)</f>
        <v>0</v>
      </c>
      <c r="BL83" s="311">
        <f>IF($BI83&lt;&gt;"",IF('Capacity summary'!$D$14="Yes",IF(COUNTBLANK('Capacity summary'!$H202:$BG202)&lt;52,IF('Capacity summary'!I202&lt;&gt;"",IF(LOWER('Capacity summary'!I202)="x",$BI83*I83,VALUE('Capacity summary'!I202)),0),I83*$BI83),I83*$BI83),0)</f>
        <v>0</v>
      </c>
      <c r="BM83" s="311">
        <f>IF($BI83&lt;&gt;"",IF('Capacity summary'!$D$14="Yes",IF(COUNTBLANK('Capacity summary'!$H202:$BG202)&lt;52,IF('Capacity summary'!J202&lt;&gt;"",IF(LOWER('Capacity summary'!J202)="x",$BI83*J83,VALUE('Capacity summary'!J202)),0),J83*$BI83),J83*$BI83),0)</f>
        <v>0</v>
      </c>
      <c r="BN83" s="311">
        <f>IF($BI83&lt;&gt;"",IF('Capacity summary'!$D$14="Yes",IF(COUNTBLANK('Capacity summary'!$H202:$BG202)&lt;52,IF('Capacity summary'!K202&lt;&gt;"",IF(LOWER('Capacity summary'!K202)="x",$BI83*K83,VALUE('Capacity summary'!K202)),0),K83*$BI83),K83*$BI83),0)</f>
        <v>0</v>
      </c>
      <c r="BO83" s="311">
        <f>IF($BI83&lt;&gt;"",IF('Capacity summary'!$D$14="Yes",IF(COUNTBLANK('Capacity summary'!$H202:$BG202)&lt;52,IF('Capacity summary'!L202&lt;&gt;"",IF(LOWER('Capacity summary'!L202)="x",$BI83*L83,VALUE('Capacity summary'!L202)),0),L83*$BI83),L83*$BI83),0)</f>
        <v>0</v>
      </c>
      <c r="BP83" s="311">
        <f>IF($BI83&lt;&gt;"",IF('Capacity summary'!$D$14="Yes",IF(COUNTBLANK('Capacity summary'!$H202:$BG202)&lt;52,IF('Capacity summary'!M202&lt;&gt;"",IF(LOWER('Capacity summary'!M202)="x",$BI83*M83,VALUE('Capacity summary'!M202)),0),M83*$BI83),M83*$BI83),0)</f>
        <v>0</v>
      </c>
      <c r="BQ83" s="311">
        <f>IF($BI83&lt;&gt;"",IF('Capacity summary'!$D$14="Yes",IF(COUNTBLANK('Capacity summary'!$H202:$BG202)&lt;52,IF('Capacity summary'!N202&lt;&gt;"",IF(LOWER('Capacity summary'!N202)="x",$BI83*N83,VALUE('Capacity summary'!N202)),0),N83*$BI83),N83*$BI83),0)</f>
        <v>0</v>
      </c>
      <c r="BR83" s="311">
        <f>IF($BI83&lt;&gt;"",IF('Capacity summary'!$D$14="Yes",IF(COUNTBLANK('Capacity summary'!$H202:$BG202)&lt;52,IF('Capacity summary'!O202&lt;&gt;"",IF(LOWER('Capacity summary'!O202)="x",$BI83*O83,VALUE('Capacity summary'!O202)),0),O83*$BI83),O83*$BI83),0)</f>
        <v>0</v>
      </c>
      <c r="BS83" s="311">
        <f>IF($BI83&lt;&gt;"",IF('Capacity summary'!$D$14="Yes",IF(COUNTBLANK('Capacity summary'!$H202:$BG202)&lt;52,IF('Capacity summary'!P202&lt;&gt;"",IF(LOWER('Capacity summary'!P202)="x",$BI83*P83,VALUE('Capacity summary'!P202)),0),P83*$BI83),P83*$BI83),0)</f>
        <v>0</v>
      </c>
      <c r="BT83" s="311">
        <f>IF($BI83&lt;&gt;"",IF('Capacity summary'!$D$14="Yes",IF(COUNTBLANK('Capacity summary'!$H202:$BG202)&lt;52,IF('Capacity summary'!Q202&lt;&gt;"",IF(LOWER('Capacity summary'!Q202)="x",$BI83*Q83,VALUE('Capacity summary'!Q202)),0),Q83*$BI83),Q83*$BI83),0)</f>
        <v>0</v>
      </c>
      <c r="BU83" s="311">
        <f>IF($BI83&lt;&gt;"",IF('Capacity summary'!$D$14="Yes",IF(COUNTBLANK('Capacity summary'!$H202:$BG202)&lt;52,IF('Capacity summary'!R202&lt;&gt;"",IF(LOWER('Capacity summary'!R202)="x",$BI83*R83,VALUE('Capacity summary'!R202)),0),R83*$BI83),R83*$BI83),0)</f>
        <v>0</v>
      </c>
      <c r="BV83" s="311">
        <f>IF($BI83&lt;&gt;"",IF('Capacity summary'!$D$14="Yes",IF(COUNTBLANK('Capacity summary'!$H202:$BG202)&lt;52,IF('Capacity summary'!S202&lt;&gt;"",IF(LOWER('Capacity summary'!S202)="x",$BI83*S83,VALUE('Capacity summary'!S202)),0),S83*$BI83),S83*$BI83),0)</f>
        <v>0</v>
      </c>
      <c r="BW83" s="311">
        <f>IF($BI83&lt;&gt;"",IF('Capacity summary'!$D$14="Yes",IF(COUNTBLANK('Capacity summary'!$H202:$BG202)&lt;52,IF('Capacity summary'!T202&lt;&gt;"",IF(LOWER('Capacity summary'!T202)="x",$BI83*T83,VALUE('Capacity summary'!T202)),0),T83*$BI83),T83*$BI83),0)</f>
        <v>0</v>
      </c>
      <c r="BX83" s="311">
        <f>IF($BI83&lt;&gt;"",IF('Capacity summary'!$D$14="Yes",IF(COUNTBLANK('Capacity summary'!$H202:$BG202)&lt;52,IF('Capacity summary'!U202&lt;&gt;"",IF(LOWER('Capacity summary'!U202)="x",$BI83*U83,VALUE('Capacity summary'!U202)),0),U83*$BI83),U83*$BI83),0)</f>
        <v>0</v>
      </c>
      <c r="BY83" s="311">
        <f>IF($BI83&lt;&gt;"",IF('Capacity summary'!$D$14="Yes",IF(COUNTBLANK('Capacity summary'!$H202:$BG202)&lt;52,IF('Capacity summary'!V202&lt;&gt;"",IF(LOWER('Capacity summary'!V202)="x",$BI83*V83,VALUE('Capacity summary'!V202)),0),V83*$BI83),V83*$BI83),0)</f>
        <v>0</v>
      </c>
      <c r="BZ83" s="311">
        <f>IF($BI83&lt;&gt;"",IF('Capacity summary'!$D$14="Yes",IF(COUNTBLANK('Capacity summary'!$H202:$BG202)&lt;52,IF('Capacity summary'!W202&lt;&gt;"",IF(LOWER('Capacity summary'!W202)="x",$BI83*W83,VALUE('Capacity summary'!W202)),0),W83*$BI83),W83*$BI83),0)</f>
        <v>0</v>
      </c>
      <c r="CA83" s="311">
        <f>IF($BI83&lt;&gt;"",IF('Capacity summary'!$D$14="Yes",IF(COUNTBLANK('Capacity summary'!$H202:$BG202)&lt;52,IF('Capacity summary'!X202&lt;&gt;"",IF(LOWER('Capacity summary'!X202)="x",$BI83*X83,VALUE('Capacity summary'!X202)),0),X83*$BI83),X83*$BI83),0)</f>
        <v>0</v>
      </c>
      <c r="CB83" s="311">
        <f>IF($BI83&lt;&gt;"",IF('Capacity summary'!$D$14="Yes",IF(COUNTBLANK('Capacity summary'!$H202:$BG202)&lt;52,IF('Capacity summary'!Y202&lt;&gt;"",IF(LOWER('Capacity summary'!Y202)="x",$BI83*Y83,VALUE('Capacity summary'!Y202)),0),Y83*$BI83),Y83*$BI83),0)</f>
        <v>0</v>
      </c>
      <c r="CC83" s="311">
        <f>IF($BI83&lt;&gt;"",IF('Capacity summary'!$D$14="Yes",IF(COUNTBLANK('Capacity summary'!$H202:$BG202)&lt;52,IF('Capacity summary'!Z202&lt;&gt;"",IF(LOWER('Capacity summary'!Z202)="x",$BI83*Z83,VALUE('Capacity summary'!Z202)),0),Z83*$BI83),Z83*$BI83),0)</f>
        <v>0</v>
      </c>
      <c r="CD83" s="311">
        <f>IF($BI83&lt;&gt;"",IF('Capacity summary'!$D$14="Yes",IF(COUNTBLANK('Capacity summary'!$H202:$BG202)&lt;52,IF('Capacity summary'!AA202&lt;&gt;"",IF(LOWER('Capacity summary'!AA202)="x",$BI83*AA83,VALUE('Capacity summary'!AA202)),0),AA83*$BI83),AA83*$BI83),0)</f>
        <v>0</v>
      </c>
      <c r="CE83" s="311">
        <f>IF($BI83&lt;&gt;"",IF('Capacity summary'!$D$14="Yes",IF(COUNTBLANK('Capacity summary'!$H202:$BG202)&lt;52,IF('Capacity summary'!AB202&lt;&gt;"",IF(LOWER('Capacity summary'!AB202)="x",$BI83*AB83,VALUE('Capacity summary'!AB202)),0),AB83*$BI83),AB83*$BI83),0)</f>
        <v>0</v>
      </c>
      <c r="CF83" s="311">
        <f>IF($BI83&lt;&gt;"",IF('Capacity summary'!$D$14="Yes",IF(COUNTBLANK('Capacity summary'!$H202:$BG202)&lt;52,IF('Capacity summary'!AC202&lt;&gt;"",IF(LOWER('Capacity summary'!AC202)="x",$BI83*AC83,VALUE('Capacity summary'!AC202)),0),AC83*$BI83),AC83*$BI83),0)</f>
        <v>0</v>
      </c>
      <c r="CG83" s="311">
        <f>IF($BI83&lt;&gt;"",IF('Capacity summary'!$D$14="Yes",IF(COUNTBLANK('Capacity summary'!$H202:$BG202)&lt;52,IF('Capacity summary'!AD202&lt;&gt;"",IF(LOWER('Capacity summary'!AD202)="x",$BI83*AD83,VALUE('Capacity summary'!AD202)),0),AD83*$BI83),AD83*$BI83),0)</f>
        <v>0</v>
      </c>
      <c r="CH83" s="311">
        <f>IF($BI83&lt;&gt;"",IF('Capacity summary'!$D$14="Yes",IF(COUNTBLANK('Capacity summary'!$H202:$BG202)&lt;52,IF('Capacity summary'!AE202&lt;&gt;"",IF(LOWER('Capacity summary'!AE202)="x",$BI83*AE83,VALUE('Capacity summary'!AE202)),0),AE83*$BI83),AE83*$BI83),0)</f>
        <v>0</v>
      </c>
      <c r="CI83" s="311">
        <f>IF($BI83&lt;&gt;"",IF('Capacity summary'!$D$14="Yes",IF(COUNTBLANK('Capacity summary'!$H202:$BG202)&lt;52,IF('Capacity summary'!AF202&lt;&gt;"",IF(LOWER('Capacity summary'!AF202)="x",$BI83*AF83,VALUE('Capacity summary'!AF202)),0),AF83*$BI83),AF83*$BI83),0)</f>
        <v>0</v>
      </c>
      <c r="CJ83" s="311">
        <f>IF($BI83&lt;&gt;"",IF('Capacity summary'!$D$14="Yes",IF(COUNTBLANK('Capacity summary'!$H202:$BG202)&lt;52,IF('Capacity summary'!AG202&lt;&gt;"",IF(LOWER('Capacity summary'!AG202)="x",$BI83*AG83,VALUE('Capacity summary'!AG202)),0),AG83*$BI83),AG83*$BI83),0)</f>
        <v>0</v>
      </c>
      <c r="CK83" s="311">
        <f>IF($BI83&lt;&gt;"",IF('Capacity summary'!$D$14="Yes",IF(COUNTBLANK('Capacity summary'!$H202:$BG202)&lt;52,IF('Capacity summary'!AH202&lt;&gt;"",IF(LOWER('Capacity summary'!AH202)="x",$BI83*AH83,VALUE('Capacity summary'!AH202)),0),AH83*$BI83),AH83*$BI83),0)</f>
        <v>0</v>
      </c>
      <c r="CL83" s="311">
        <f>IF($BI83&lt;&gt;"",IF('Capacity summary'!$D$14="Yes",IF(COUNTBLANK('Capacity summary'!$H202:$BG202)&lt;52,IF('Capacity summary'!AI202&lt;&gt;"",IF(LOWER('Capacity summary'!AI202)="x",$BI83*AI83,VALUE('Capacity summary'!AI202)),0),AI83*$BI83),AI83*$BI83),0)</f>
        <v>0</v>
      </c>
      <c r="CM83" s="311">
        <f>IF($BI83&lt;&gt;"",IF('Capacity summary'!$D$14="Yes",IF(COUNTBLANK('Capacity summary'!$H202:$BG202)&lt;52,IF('Capacity summary'!AJ202&lt;&gt;"",IF(LOWER('Capacity summary'!AJ202)="x",$BI83*AJ83,VALUE('Capacity summary'!AJ202)),0),AJ83*$BI83),AJ83*$BI83),0)</f>
        <v>0</v>
      </c>
      <c r="CN83" s="311">
        <f>IF($BI83&lt;&gt;"",IF('Capacity summary'!$D$14="Yes",IF(COUNTBLANK('Capacity summary'!$H202:$BG202)&lt;52,IF('Capacity summary'!AK202&lt;&gt;"",IF(LOWER('Capacity summary'!AK202)="x",$BI83*AK83,VALUE('Capacity summary'!AK202)),0),AK83*$BI83),AK83*$BI83),0)</f>
        <v>0</v>
      </c>
      <c r="CO83" s="311">
        <f>IF($BI83&lt;&gt;"",IF('Capacity summary'!$D$14="Yes",IF(COUNTBLANK('Capacity summary'!$H202:$BG202)&lt;52,IF('Capacity summary'!AL202&lt;&gt;"",IF(LOWER('Capacity summary'!AL202)="x",$BI83*AL83,VALUE('Capacity summary'!AL202)),0),AL83*$BI83),AL83*$BI83),0)</f>
        <v>0</v>
      </c>
      <c r="CP83" s="311">
        <f>IF($BI83&lt;&gt;"",IF('Capacity summary'!$D$14="Yes",IF(COUNTBLANK('Capacity summary'!$H202:$BG202)&lt;52,IF('Capacity summary'!AM202&lt;&gt;"",IF(LOWER('Capacity summary'!AM202)="x",$BI83*AM83,VALUE('Capacity summary'!AM202)),0),AM83*$BI83),AM83*$BI83),0)</f>
        <v>0</v>
      </c>
      <c r="CQ83" s="311">
        <f>IF($BI83&lt;&gt;"",IF('Capacity summary'!$D$14="Yes",IF(COUNTBLANK('Capacity summary'!$H202:$BG202)&lt;52,IF('Capacity summary'!AN202&lt;&gt;"",IF(LOWER('Capacity summary'!AN202)="x",$BI83*AN83,VALUE('Capacity summary'!AN202)),0),AN83*$BI83),AN83*$BI83),0)</f>
        <v>0</v>
      </c>
      <c r="CR83" s="311">
        <f>IF($BI83&lt;&gt;"",IF('Capacity summary'!$D$14="Yes",IF(COUNTBLANK('Capacity summary'!$H202:$BG202)&lt;52,IF('Capacity summary'!AO202&lt;&gt;"",IF(LOWER('Capacity summary'!AO202)="x",$BI83*AO83,VALUE('Capacity summary'!AO202)),0),AO83*$BI83),AO83*$BI83),0)</f>
        <v>0</v>
      </c>
      <c r="CS83" s="311">
        <f>IF($BI83&lt;&gt;"",IF('Capacity summary'!$D$14="Yes",IF(COUNTBLANK('Capacity summary'!$H202:$BG202)&lt;52,IF('Capacity summary'!AP202&lt;&gt;"",IF(LOWER('Capacity summary'!AP202)="x",$BI83*AP83,VALUE('Capacity summary'!AP202)),0),AP83*$BI83),AP83*$BI83),0)</f>
        <v>0</v>
      </c>
      <c r="CT83" s="311">
        <f>IF($BI83&lt;&gt;"",IF('Capacity summary'!$D$14="Yes",IF(COUNTBLANK('Capacity summary'!$H202:$BG202)&lt;52,IF('Capacity summary'!AQ202&lt;&gt;"",IF(LOWER('Capacity summary'!AQ202)="x",$BI83*AQ83,VALUE('Capacity summary'!AQ202)),0),AQ83*$BI83),AQ83*$BI83),0)</f>
        <v>0</v>
      </c>
      <c r="CU83" s="311">
        <f>IF($BI83&lt;&gt;"",IF('Capacity summary'!$D$14="Yes",IF(COUNTBLANK('Capacity summary'!$H202:$BG202)&lt;52,IF('Capacity summary'!AR202&lt;&gt;"",IF(LOWER('Capacity summary'!AR202)="x",$BI83*AR83,VALUE('Capacity summary'!AR202)),0),AR83*$BI83),AR83*$BI83),0)</f>
        <v>0</v>
      </c>
      <c r="CV83" s="311">
        <f>IF($BI83&lt;&gt;"",IF('Capacity summary'!$D$14="Yes",IF(COUNTBLANK('Capacity summary'!$H202:$BG202)&lt;52,IF('Capacity summary'!AS202&lt;&gt;"",IF(LOWER('Capacity summary'!AS202)="x",$BI83*AS83,VALUE('Capacity summary'!AS202)),0),AS83*$BI83),AS83*$BI83),0)</f>
        <v>0</v>
      </c>
      <c r="CW83" s="311">
        <f>IF($BI83&lt;&gt;"",IF('Capacity summary'!$D$14="Yes",IF(COUNTBLANK('Capacity summary'!$H202:$BG202)&lt;52,IF('Capacity summary'!AT202&lt;&gt;"",IF(LOWER('Capacity summary'!AT202)="x",$BI83*AT83,VALUE('Capacity summary'!AT202)),0),AT83*$BI83),AT83*$BI83),0)</f>
        <v>0</v>
      </c>
      <c r="CX83" s="311">
        <f>IF($BI83&lt;&gt;"",IF('Capacity summary'!$D$14="Yes",IF(COUNTBLANK('Capacity summary'!$H202:$BG202)&lt;52,IF('Capacity summary'!AU202&lt;&gt;"",IF(LOWER('Capacity summary'!AU202)="x",$BI83*AU83,VALUE('Capacity summary'!AU202)),0),AU83*$BI83),AU83*$BI83),0)</f>
        <v>0</v>
      </c>
      <c r="CY83" s="311">
        <f>IF($BI83&lt;&gt;"",IF('Capacity summary'!$D$14="Yes",IF(COUNTBLANK('Capacity summary'!$H202:$BG202)&lt;52,IF('Capacity summary'!AV202&lt;&gt;"",IF(LOWER('Capacity summary'!AV202)="x",$BI83*AV83,VALUE('Capacity summary'!AV202)),0),AV83*$BI83),AV83*$BI83),0)</f>
        <v>0</v>
      </c>
      <c r="CZ83" s="311">
        <f>IF($BI83&lt;&gt;"",IF('Capacity summary'!$D$14="Yes",IF(COUNTBLANK('Capacity summary'!$H202:$BG202)&lt;52,IF('Capacity summary'!AW202&lt;&gt;"",IF(LOWER('Capacity summary'!AW202)="x",$BI83*AW83,VALUE('Capacity summary'!AW202)),0),AW83*$BI83),AW83*$BI83),0)</f>
        <v>0</v>
      </c>
      <c r="DA83" s="311">
        <f>IF($BI83&lt;&gt;"",IF('Capacity summary'!$D$14="Yes",IF(COUNTBLANK('Capacity summary'!$H202:$BG202)&lt;52,IF('Capacity summary'!AX202&lt;&gt;"",IF(LOWER('Capacity summary'!AX202)="x",$BI83*AX83,VALUE('Capacity summary'!AX202)),0),AX83*$BI83),AX83*$BI83),0)</f>
        <v>0</v>
      </c>
      <c r="DB83" s="311">
        <f>IF($BI83&lt;&gt;"",IF('Capacity summary'!$D$14="Yes",IF(COUNTBLANK('Capacity summary'!$H202:$BG202)&lt;52,IF('Capacity summary'!AY202&lt;&gt;"",IF(LOWER('Capacity summary'!AY202)="x",$BI83*AY83,VALUE('Capacity summary'!AY202)),0),AY83*$BI83),AY83*$BI83),0)</f>
        <v>0</v>
      </c>
      <c r="DC83" s="311">
        <f>IF($BI83&lt;&gt;"",IF('Capacity summary'!$D$14="Yes",IF(COUNTBLANK('Capacity summary'!$H202:$BG202)&lt;52,IF('Capacity summary'!AZ202&lt;&gt;"",IF(LOWER('Capacity summary'!AZ202)="x",$BI83*AZ83,VALUE('Capacity summary'!AZ202)),0),AZ83*$BI83),AZ83*$BI83),0)</f>
        <v>0</v>
      </c>
      <c r="DD83" s="311">
        <f>IF($BI83&lt;&gt;"",IF('Capacity summary'!$D$14="Yes",IF(COUNTBLANK('Capacity summary'!$H202:$BG202)&lt;52,IF('Capacity summary'!BA202&lt;&gt;"",IF(LOWER('Capacity summary'!BA202)="x",$BI83*BA83,VALUE('Capacity summary'!BA202)),0),BA83*$BI83),BA83*$BI83),0)</f>
        <v>0</v>
      </c>
      <c r="DE83" s="311">
        <f>IF($BI83&lt;&gt;"",IF('Capacity summary'!$D$14="Yes",IF(COUNTBLANK('Capacity summary'!$H202:$BG202)&lt;52,IF('Capacity summary'!BB202&lt;&gt;"",IF(LOWER('Capacity summary'!BB202)="x",$BI83*BB83,VALUE('Capacity summary'!BB202)),0),BB83*$BI83),BB83*$BI83),0)</f>
        <v>0</v>
      </c>
      <c r="DF83" s="311">
        <f>IF($BI83&lt;&gt;"",IF('Capacity summary'!$D$14="Yes",IF(COUNTBLANK('Capacity summary'!$H202:$BG202)&lt;52,IF('Capacity summary'!BC202&lt;&gt;"",IF(LOWER('Capacity summary'!BC202)="x",$BI83*BC83,VALUE('Capacity summary'!BC202)),0),BC83*$BI83),BC83*$BI83),0)</f>
        <v>0</v>
      </c>
      <c r="DG83" s="311">
        <f>IF($BI83&lt;&gt;"",IF('Capacity summary'!$D$14="Yes",IF(COUNTBLANK('Capacity summary'!$H202:$BG202)&lt;52,IF('Capacity summary'!BD202&lt;&gt;"",IF(LOWER('Capacity summary'!BD202)="x",$BI83*BD83,VALUE('Capacity summary'!BD202)),0),BD83*$BI83),BD83*$BI83),0)</f>
        <v>0</v>
      </c>
      <c r="DH83" s="311">
        <f>IF($BI83&lt;&gt;"",IF('Capacity summary'!$D$14="Yes",IF(COUNTBLANK('Capacity summary'!$H202:$BG202)&lt;52,IF('Capacity summary'!BE202&lt;&gt;"",IF(LOWER('Capacity summary'!BE202)="x",$BI83*BE83,VALUE('Capacity summary'!BE202)),0),BE83*$BI83),BE83*$BI83),0)</f>
        <v>0</v>
      </c>
      <c r="DI83" s="311">
        <f>IF($BI83&lt;&gt;"",IF('Capacity summary'!$D$14="Yes",IF(COUNTBLANK('Capacity summary'!$H202:$BG202)&lt;52,IF('Capacity summary'!BF202&lt;&gt;"",IF(LOWER('Capacity summary'!BF202)="x",$BI83*BF83,VALUE('Capacity summary'!BF202)),0),BF83*$BI83),BF83*$BI83),0)</f>
        <v>0</v>
      </c>
      <c r="DJ83" s="311">
        <f>IF($BI83&lt;&gt;"",IF('Capacity summary'!$D$14="Yes",IF(COUNTBLANK('Capacity summary'!$H202:$BG202)&lt;52,IF('Capacity summary'!BG202&lt;&gt;"",IF(LOWER('Capacity summary'!BG202)="x",$BI83*BG83,VALUE('Capacity summary'!BG202)),0),BG83*$BI83),BG83*$BI83),0)</f>
        <v>0</v>
      </c>
      <c r="DK83" s="387">
        <f t="shared" si="4"/>
        <v>0</v>
      </c>
      <c r="DL83" s="136">
        <f t="shared" si="5"/>
        <v>0</v>
      </c>
      <c r="DM83" s="311" t="str">
        <f>Capacity!H95</f>
        <v/>
      </c>
    </row>
    <row r="84" spans="1:117" x14ac:dyDescent="0.2">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1">
        <f>IF($BI84&lt;&gt;"",IF('Capacity summary'!$D$14="Yes",IF(COUNTBLANK('Capacity summary'!$H203:$BG203)&lt;52,IF('Capacity summary'!H203&lt;&gt;"",IF(LOWER('Capacity summary'!H203)="x",$BI84*H84,VALUE('Capacity summary'!H203)),0),H84*$BI84),H84*$BI84),0)</f>
        <v>0</v>
      </c>
      <c r="BL84" s="311">
        <f>IF($BI84&lt;&gt;"",IF('Capacity summary'!$D$14="Yes",IF(COUNTBLANK('Capacity summary'!$H203:$BG203)&lt;52,IF('Capacity summary'!I203&lt;&gt;"",IF(LOWER('Capacity summary'!I203)="x",$BI84*I84,VALUE('Capacity summary'!I203)),0),I84*$BI84),I84*$BI84),0)</f>
        <v>0</v>
      </c>
      <c r="BM84" s="311">
        <f>IF($BI84&lt;&gt;"",IF('Capacity summary'!$D$14="Yes",IF(COUNTBLANK('Capacity summary'!$H203:$BG203)&lt;52,IF('Capacity summary'!J203&lt;&gt;"",IF(LOWER('Capacity summary'!J203)="x",$BI84*J84,VALUE('Capacity summary'!J203)),0),J84*$BI84),J84*$BI84),0)</f>
        <v>0</v>
      </c>
      <c r="BN84" s="311">
        <f>IF($BI84&lt;&gt;"",IF('Capacity summary'!$D$14="Yes",IF(COUNTBLANK('Capacity summary'!$H203:$BG203)&lt;52,IF('Capacity summary'!K203&lt;&gt;"",IF(LOWER('Capacity summary'!K203)="x",$BI84*K84,VALUE('Capacity summary'!K203)),0),K84*$BI84),K84*$BI84),0)</f>
        <v>0</v>
      </c>
      <c r="BO84" s="311">
        <f>IF($BI84&lt;&gt;"",IF('Capacity summary'!$D$14="Yes",IF(COUNTBLANK('Capacity summary'!$H203:$BG203)&lt;52,IF('Capacity summary'!L203&lt;&gt;"",IF(LOWER('Capacity summary'!L203)="x",$BI84*L84,VALUE('Capacity summary'!L203)),0),L84*$BI84),L84*$BI84),0)</f>
        <v>0</v>
      </c>
      <c r="BP84" s="311">
        <f>IF($BI84&lt;&gt;"",IF('Capacity summary'!$D$14="Yes",IF(COUNTBLANK('Capacity summary'!$H203:$BG203)&lt;52,IF('Capacity summary'!M203&lt;&gt;"",IF(LOWER('Capacity summary'!M203)="x",$BI84*M84,VALUE('Capacity summary'!M203)),0),M84*$BI84),M84*$BI84),0)</f>
        <v>0</v>
      </c>
      <c r="BQ84" s="311">
        <f>IF($BI84&lt;&gt;"",IF('Capacity summary'!$D$14="Yes",IF(COUNTBLANK('Capacity summary'!$H203:$BG203)&lt;52,IF('Capacity summary'!N203&lt;&gt;"",IF(LOWER('Capacity summary'!N203)="x",$BI84*N84,VALUE('Capacity summary'!N203)),0),N84*$BI84),N84*$BI84),0)</f>
        <v>0</v>
      </c>
      <c r="BR84" s="311">
        <f>IF($BI84&lt;&gt;"",IF('Capacity summary'!$D$14="Yes",IF(COUNTBLANK('Capacity summary'!$H203:$BG203)&lt;52,IF('Capacity summary'!O203&lt;&gt;"",IF(LOWER('Capacity summary'!O203)="x",$BI84*O84,VALUE('Capacity summary'!O203)),0),O84*$BI84),O84*$BI84),0)</f>
        <v>0</v>
      </c>
      <c r="BS84" s="311">
        <f>IF($BI84&lt;&gt;"",IF('Capacity summary'!$D$14="Yes",IF(COUNTBLANK('Capacity summary'!$H203:$BG203)&lt;52,IF('Capacity summary'!P203&lt;&gt;"",IF(LOWER('Capacity summary'!P203)="x",$BI84*P84,VALUE('Capacity summary'!P203)),0),P84*$BI84),P84*$BI84),0)</f>
        <v>0</v>
      </c>
      <c r="BT84" s="311">
        <f>IF($BI84&lt;&gt;"",IF('Capacity summary'!$D$14="Yes",IF(COUNTBLANK('Capacity summary'!$H203:$BG203)&lt;52,IF('Capacity summary'!Q203&lt;&gt;"",IF(LOWER('Capacity summary'!Q203)="x",$BI84*Q84,VALUE('Capacity summary'!Q203)),0),Q84*$BI84),Q84*$BI84),0)</f>
        <v>0</v>
      </c>
      <c r="BU84" s="311">
        <f>IF($BI84&lt;&gt;"",IF('Capacity summary'!$D$14="Yes",IF(COUNTBLANK('Capacity summary'!$H203:$BG203)&lt;52,IF('Capacity summary'!R203&lt;&gt;"",IF(LOWER('Capacity summary'!R203)="x",$BI84*R84,VALUE('Capacity summary'!R203)),0),R84*$BI84),R84*$BI84),0)</f>
        <v>0</v>
      </c>
      <c r="BV84" s="311">
        <f>IF($BI84&lt;&gt;"",IF('Capacity summary'!$D$14="Yes",IF(COUNTBLANK('Capacity summary'!$H203:$BG203)&lt;52,IF('Capacity summary'!S203&lt;&gt;"",IF(LOWER('Capacity summary'!S203)="x",$BI84*S84,VALUE('Capacity summary'!S203)),0),S84*$BI84),S84*$BI84),0)</f>
        <v>0</v>
      </c>
      <c r="BW84" s="311">
        <f>IF($BI84&lt;&gt;"",IF('Capacity summary'!$D$14="Yes",IF(COUNTBLANK('Capacity summary'!$H203:$BG203)&lt;52,IF('Capacity summary'!T203&lt;&gt;"",IF(LOWER('Capacity summary'!T203)="x",$BI84*T84,VALUE('Capacity summary'!T203)),0),T84*$BI84),T84*$BI84),0)</f>
        <v>0</v>
      </c>
      <c r="BX84" s="311">
        <f>IF($BI84&lt;&gt;"",IF('Capacity summary'!$D$14="Yes",IF(COUNTBLANK('Capacity summary'!$H203:$BG203)&lt;52,IF('Capacity summary'!U203&lt;&gt;"",IF(LOWER('Capacity summary'!U203)="x",$BI84*U84,VALUE('Capacity summary'!U203)),0),U84*$BI84),U84*$BI84),0)</f>
        <v>0</v>
      </c>
      <c r="BY84" s="311">
        <f>IF($BI84&lt;&gt;"",IF('Capacity summary'!$D$14="Yes",IF(COUNTBLANK('Capacity summary'!$H203:$BG203)&lt;52,IF('Capacity summary'!V203&lt;&gt;"",IF(LOWER('Capacity summary'!V203)="x",$BI84*V84,VALUE('Capacity summary'!V203)),0),V84*$BI84),V84*$BI84),0)</f>
        <v>0</v>
      </c>
      <c r="BZ84" s="311">
        <f>IF($BI84&lt;&gt;"",IF('Capacity summary'!$D$14="Yes",IF(COUNTBLANK('Capacity summary'!$H203:$BG203)&lt;52,IF('Capacity summary'!W203&lt;&gt;"",IF(LOWER('Capacity summary'!W203)="x",$BI84*W84,VALUE('Capacity summary'!W203)),0),W84*$BI84),W84*$BI84),0)</f>
        <v>0</v>
      </c>
      <c r="CA84" s="311">
        <f>IF($BI84&lt;&gt;"",IF('Capacity summary'!$D$14="Yes",IF(COUNTBLANK('Capacity summary'!$H203:$BG203)&lt;52,IF('Capacity summary'!X203&lt;&gt;"",IF(LOWER('Capacity summary'!X203)="x",$BI84*X84,VALUE('Capacity summary'!X203)),0),X84*$BI84),X84*$BI84),0)</f>
        <v>0</v>
      </c>
      <c r="CB84" s="311">
        <f>IF($BI84&lt;&gt;"",IF('Capacity summary'!$D$14="Yes",IF(COUNTBLANK('Capacity summary'!$H203:$BG203)&lt;52,IF('Capacity summary'!Y203&lt;&gt;"",IF(LOWER('Capacity summary'!Y203)="x",$BI84*Y84,VALUE('Capacity summary'!Y203)),0),Y84*$BI84),Y84*$BI84),0)</f>
        <v>0</v>
      </c>
      <c r="CC84" s="311">
        <f>IF($BI84&lt;&gt;"",IF('Capacity summary'!$D$14="Yes",IF(COUNTBLANK('Capacity summary'!$H203:$BG203)&lt;52,IF('Capacity summary'!Z203&lt;&gt;"",IF(LOWER('Capacity summary'!Z203)="x",$BI84*Z84,VALUE('Capacity summary'!Z203)),0),Z84*$BI84),Z84*$BI84),0)</f>
        <v>0</v>
      </c>
      <c r="CD84" s="311">
        <f>IF($BI84&lt;&gt;"",IF('Capacity summary'!$D$14="Yes",IF(COUNTBLANK('Capacity summary'!$H203:$BG203)&lt;52,IF('Capacity summary'!AA203&lt;&gt;"",IF(LOWER('Capacity summary'!AA203)="x",$BI84*AA84,VALUE('Capacity summary'!AA203)),0),AA84*$BI84),AA84*$BI84),0)</f>
        <v>0</v>
      </c>
      <c r="CE84" s="311">
        <f>IF($BI84&lt;&gt;"",IF('Capacity summary'!$D$14="Yes",IF(COUNTBLANK('Capacity summary'!$H203:$BG203)&lt;52,IF('Capacity summary'!AB203&lt;&gt;"",IF(LOWER('Capacity summary'!AB203)="x",$BI84*AB84,VALUE('Capacity summary'!AB203)),0),AB84*$BI84),AB84*$BI84),0)</f>
        <v>0</v>
      </c>
      <c r="CF84" s="311">
        <f>IF($BI84&lt;&gt;"",IF('Capacity summary'!$D$14="Yes",IF(COUNTBLANK('Capacity summary'!$H203:$BG203)&lt;52,IF('Capacity summary'!AC203&lt;&gt;"",IF(LOWER('Capacity summary'!AC203)="x",$BI84*AC84,VALUE('Capacity summary'!AC203)),0),AC84*$BI84),AC84*$BI84),0)</f>
        <v>0</v>
      </c>
      <c r="CG84" s="311">
        <f>IF($BI84&lt;&gt;"",IF('Capacity summary'!$D$14="Yes",IF(COUNTBLANK('Capacity summary'!$H203:$BG203)&lt;52,IF('Capacity summary'!AD203&lt;&gt;"",IF(LOWER('Capacity summary'!AD203)="x",$BI84*AD84,VALUE('Capacity summary'!AD203)),0),AD84*$BI84),AD84*$BI84),0)</f>
        <v>0</v>
      </c>
      <c r="CH84" s="311">
        <f>IF($BI84&lt;&gt;"",IF('Capacity summary'!$D$14="Yes",IF(COUNTBLANK('Capacity summary'!$H203:$BG203)&lt;52,IF('Capacity summary'!AE203&lt;&gt;"",IF(LOWER('Capacity summary'!AE203)="x",$BI84*AE84,VALUE('Capacity summary'!AE203)),0),AE84*$BI84),AE84*$BI84),0)</f>
        <v>0</v>
      </c>
      <c r="CI84" s="311">
        <f>IF($BI84&lt;&gt;"",IF('Capacity summary'!$D$14="Yes",IF(COUNTBLANK('Capacity summary'!$H203:$BG203)&lt;52,IF('Capacity summary'!AF203&lt;&gt;"",IF(LOWER('Capacity summary'!AF203)="x",$BI84*AF84,VALUE('Capacity summary'!AF203)),0),AF84*$BI84),AF84*$BI84),0)</f>
        <v>0</v>
      </c>
      <c r="CJ84" s="311">
        <f>IF($BI84&lt;&gt;"",IF('Capacity summary'!$D$14="Yes",IF(COUNTBLANK('Capacity summary'!$H203:$BG203)&lt;52,IF('Capacity summary'!AG203&lt;&gt;"",IF(LOWER('Capacity summary'!AG203)="x",$BI84*AG84,VALUE('Capacity summary'!AG203)),0),AG84*$BI84),AG84*$BI84),0)</f>
        <v>0</v>
      </c>
      <c r="CK84" s="311">
        <f>IF($BI84&lt;&gt;"",IF('Capacity summary'!$D$14="Yes",IF(COUNTBLANK('Capacity summary'!$H203:$BG203)&lt;52,IF('Capacity summary'!AH203&lt;&gt;"",IF(LOWER('Capacity summary'!AH203)="x",$BI84*AH84,VALUE('Capacity summary'!AH203)),0),AH84*$BI84),AH84*$BI84),0)</f>
        <v>0</v>
      </c>
      <c r="CL84" s="311">
        <f>IF($BI84&lt;&gt;"",IF('Capacity summary'!$D$14="Yes",IF(COUNTBLANK('Capacity summary'!$H203:$BG203)&lt;52,IF('Capacity summary'!AI203&lt;&gt;"",IF(LOWER('Capacity summary'!AI203)="x",$BI84*AI84,VALUE('Capacity summary'!AI203)),0),AI84*$BI84),AI84*$BI84),0)</f>
        <v>0</v>
      </c>
      <c r="CM84" s="311">
        <f>IF($BI84&lt;&gt;"",IF('Capacity summary'!$D$14="Yes",IF(COUNTBLANK('Capacity summary'!$H203:$BG203)&lt;52,IF('Capacity summary'!AJ203&lt;&gt;"",IF(LOWER('Capacity summary'!AJ203)="x",$BI84*AJ84,VALUE('Capacity summary'!AJ203)),0),AJ84*$BI84),AJ84*$BI84),0)</f>
        <v>0</v>
      </c>
      <c r="CN84" s="311">
        <f>IF($BI84&lt;&gt;"",IF('Capacity summary'!$D$14="Yes",IF(COUNTBLANK('Capacity summary'!$H203:$BG203)&lt;52,IF('Capacity summary'!AK203&lt;&gt;"",IF(LOWER('Capacity summary'!AK203)="x",$BI84*AK84,VALUE('Capacity summary'!AK203)),0),AK84*$BI84),AK84*$BI84),0)</f>
        <v>0</v>
      </c>
      <c r="CO84" s="311">
        <f>IF($BI84&lt;&gt;"",IF('Capacity summary'!$D$14="Yes",IF(COUNTBLANK('Capacity summary'!$H203:$BG203)&lt;52,IF('Capacity summary'!AL203&lt;&gt;"",IF(LOWER('Capacity summary'!AL203)="x",$BI84*AL84,VALUE('Capacity summary'!AL203)),0),AL84*$BI84),AL84*$BI84),0)</f>
        <v>0</v>
      </c>
      <c r="CP84" s="311">
        <f>IF($BI84&lt;&gt;"",IF('Capacity summary'!$D$14="Yes",IF(COUNTBLANK('Capacity summary'!$H203:$BG203)&lt;52,IF('Capacity summary'!AM203&lt;&gt;"",IF(LOWER('Capacity summary'!AM203)="x",$BI84*AM84,VALUE('Capacity summary'!AM203)),0),AM84*$BI84),AM84*$BI84),0)</f>
        <v>0</v>
      </c>
      <c r="CQ84" s="311">
        <f>IF($BI84&lt;&gt;"",IF('Capacity summary'!$D$14="Yes",IF(COUNTBLANK('Capacity summary'!$H203:$BG203)&lt;52,IF('Capacity summary'!AN203&lt;&gt;"",IF(LOWER('Capacity summary'!AN203)="x",$BI84*AN84,VALUE('Capacity summary'!AN203)),0),AN84*$BI84),AN84*$BI84),0)</f>
        <v>0</v>
      </c>
      <c r="CR84" s="311">
        <f>IF($BI84&lt;&gt;"",IF('Capacity summary'!$D$14="Yes",IF(COUNTBLANK('Capacity summary'!$H203:$BG203)&lt;52,IF('Capacity summary'!AO203&lt;&gt;"",IF(LOWER('Capacity summary'!AO203)="x",$BI84*AO84,VALUE('Capacity summary'!AO203)),0),AO84*$BI84),AO84*$BI84),0)</f>
        <v>0</v>
      </c>
      <c r="CS84" s="311">
        <f>IF($BI84&lt;&gt;"",IF('Capacity summary'!$D$14="Yes",IF(COUNTBLANK('Capacity summary'!$H203:$BG203)&lt;52,IF('Capacity summary'!AP203&lt;&gt;"",IF(LOWER('Capacity summary'!AP203)="x",$BI84*AP84,VALUE('Capacity summary'!AP203)),0),AP84*$BI84),AP84*$BI84),0)</f>
        <v>0</v>
      </c>
      <c r="CT84" s="311">
        <f>IF($BI84&lt;&gt;"",IF('Capacity summary'!$D$14="Yes",IF(COUNTBLANK('Capacity summary'!$H203:$BG203)&lt;52,IF('Capacity summary'!AQ203&lt;&gt;"",IF(LOWER('Capacity summary'!AQ203)="x",$BI84*AQ84,VALUE('Capacity summary'!AQ203)),0),AQ84*$BI84),AQ84*$BI84),0)</f>
        <v>0</v>
      </c>
      <c r="CU84" s="311">
        <f>IF($BI84&lt;&gt;"",IF('Capacity summary'!$D$14="Yes",IF(COUNTBLANK('Capacity summary'!$H203:$BG203)&lt;52,IF('Capacity summary'!AR203&lt;&gt;"",IF(LOWER('Capacity summary'!AR203)="x",$BI84*AR84,VALUE('Capacity summary'!AR203)),0),AR84*$BI84),AR84*$BI84),0)</f>
        <v>0</v>
      </c>
      <c r="CV84" s="311">
        <f>IF($BI84&lt;&gt;"",IF('Capacity summary'!$D$14="Yes",IF(COUNTBLANK('Capacity summary'!$H203:$BG203)&lt;52,IF('Capacity summary'!AS203&lt;&gt;"",IF(LOWER('Capacity summary'!AS203)="x",$BI84*AS84,VALUE('Capacity summary'!AS203)),0),AS84*$BI84),AS84*$BI84),0)</f>
        <v>0</v>
      </c>
      <c r="CW84" s="311">
        <f>IF($BI84&lt;&gt;"",IF('Capacity summary'!$D$14="Yes",IF(COUNTBLANK('Capacity summary'!$H203:$BG203)&lt;52,IF('Capacity summary'!AT203&lt;&gt;"",IF(LOWER('Capacity summary'!AT203)="x",$BI84*AT84,VALUE('Capacity summary'!AT203)),0),AT84*$BI84),AT84*$BI84),0)</f>
        <v>0</v>
      </c>
      <c r="CX84" s="311">
        <f>IF($BI84&lt;&gt;"",IF('Capacity summary'!$D$14="Yes",IF(COUNTBLANK('Capacity summary'!$H203:$BG203)&lt;52,IF('Capacity summary'!AU203&lt;&gt;"",IF(LOWER('Capacity summary'!AU203)="x",$BI84*AU84,VALUE('Capacity summary'!AU203)),0),AU84*$BI84),AU84*$BI84),0)</f>
        <v>0</v>
      </c>
      <c r="CY84" s="311">
        <f>IF($BI84&lt;&gt;"",IF('Capacity summary'!$D$14="Yes",IF(COUNTBLANK('Capacity summary'!$H203:$BG203)&lt;52,IF('Capacity summary'!AV203&lt;&gt;"",IF(LOWER('Capacity summary'!AV203)="x",$BI84*AV84,VALUE('Capacity summary'!AV203)),0),AV84*$BI84),AV84*$BI84),0)</f>
        <v>0</v>
      </c>
      <c r="CZ84" s="311">
        <f>IF($BI84&lt;&gt;"",IF('Capacity summary'!$D$14="Yes",IF(COUNTBLANK('Capacity summary'!$H203:$BG203)&lt;52,IF('Capacity summary'!AW203&lt;&gt;"",IF(LOWER('Capacity summary'!AW203)="x",$BI84*AW84,VALUE('Capacity summary'!AW203)),0),AW84*$BI84),AW84*$BI84),0)</f>
        <v>0</v>
      </c>
      <c r="DA84" s="311">
        <f>IF($BI84&lt;&gt;"",IF('Capacity summary'!$D$14="Yes",IF(COUNTBLANK('Capacity summary'!$H203:$BG203)&lt;52,IF('Capacity summary'!AX203&lt;&gt;"",IF(LOWER('Capacity summary'!AX203)="x",$BI84*AX84,VALUE('Capacity summary'!AX203)),0),AX84*$BI84),AX84*$BI84),0)</f>
        <v>0</v>
      </c>
      <c r="DB84" s="311">
        <f>IF($BI84&lt;&gt;"",IF('Capacity summary'!$D$14="Yes",IF(COUNTBLANK('Capacity summary'!$H203:$BG203)&lt;52,IF('Capacity summary'!AY203&lt;&gt;"",IF(LOWER('Capacity summary'!AY203)="x",$BI84*AY84,VALUE('Capacity summary'!AY203)),0),AY84*$BI84),AY84*$BI84),0)</f>
        <v>0</v>
      </c>
      <c r="DC84" s="311">
        <f>IF($BI84&lt;&gt;"",IF('Capacity summary'!$D$14="Yes",IF(COUNTBLANK('Capacity summary'!$H203:$BG203)&lt;52,IF('Capacity summary'!AZ203&lt;&gt;"",IF(LOWER('Capacity summary'!AZ203)="x",$BI84*AZ84,VALUE('Capacity summary'!AZ203)),0),AZ84*$BI84),AZ84*$BI84),0)</f>
        <v>0</v>
      </c>
      <c r="DD84" s="311">
        <f>IF($BI84&lt;&gt;"",IF('Capacity summary'!$D$14="Yes",IF(COUNTBLANK('Capacity summary'!$H203:$BG203)&lt;52,IF('Capacity summary'!BA203&lt;&gt;"",IF(LOWER('Capacity summary'!BA203)="x",$BI84*BA84,VALUE('Capacity summary'!BA203)),0),BA84*$BI84),BA84*$BI84),0)</f>
        <v>0</v>
      </c>
      <c r="DE84" s="311">
        <f>IF($BI84&lt;&gt;"",IF('Capacity summary'!$D$14="Yes",IF(COUNTBLANK('Capacity summary'!$H203:$BG203)&lt;52,IF('Capacity summary'!BB203&lt;&gt;"",IF(LOWER('Capacity summary'!BB203)="x",$BI84*BB84,VALUE('Capacity summary'!BB203)),0),BB84*$BI84),BB84*$BI84),0)</f>
        <v>0</v>
      </c>
      <c r="DF84" s="311">
        <f>IF($BI84&lt;&gt;"",IF('Capacity summary'!$D$14="Yes",IF(COUNTBLANK('Capacity summary'!$H203:$BG203)&lt;52,IF('Capacity summary'!BC203&lt;&gt;"",IF(LOWER('Capacity summary'!BC203)="x",$BI84*BC84,VALUE('Capacity summary'!BC203)),0),BC84*$BI84),BC84*$BI84),0)</f>
        <v>0</v>
      </c>
      <c r="DG84" s="311">
        <f>IF($BI84&lt;&gt;"",IF('Capacity summary'!$D$14="Yes",IF(COUNTBLANK('Capacity summary'!$H203:$BG203)&lt;52,IF('Capacity summary'!BD203&lt;&gt;"",IF(LOWER('Capacity summary'!BD203)="x",$BI84*BD84,VALUE('Capacity summary'!BD203)),0),BD84*$BI84),BD84*$BI84),0)</f>
        <v>0</v>
      </c>
      <c r="DH84" s="311">
        <f>IF($BI84&lt;&gt;"",IF('Capacity summary'!$D$14="Yes",IF(COUNTBLANK('Capacity summary'!$H203:$BG203)&lt;52,IF('Capacity summary'!BE203&lt;&gt;"",IF(LOWER('Capacity summary'!BE203)="x",$BI84*BE84,VALUE('Capacity summary'!BE203)),0),BE84*$BI84),BE84*$BI84),0)</f>
        <v>0</v>
      </c>
      <c r="DI84" s="311">
        <f>IF($BI84&lt;&gt;"",IF('Capacity summary'!$D$14="Yes",IF(COUNTBLANK('Capacity summary'!$H203:$BG203)&lt;52,IF('Capacity summary'!BF203&lt;&gt;"",IF(LOWER('Capacity summary'!BF203)="x",$BI84*BF84,VALUE('Capacity summary'!BF203)),0),BF84*$BI84),BF84*$BI84),0)</f>
        <v>0</v>
      </c>
      <c r="DJ84" s="311">
        <f>IF($BI84&lt;&gt;"",IF('Capacity summary'!$D$14="Yes",IF(COUNTBLANK('Capacity summary'!$H203:$BG203)&lt;52,IF('Capacity summary'!BG203&lt;&gt;"",IF(LOWER('Capacity summary'!BG203)="x",$BI84*BG84,VALUE('Capacity summary'!BG203)),0),BG84*$BI84),BG84*$BI84),0)</f>
        <v>0</v>
      </c>
      <c r="DK84" s="387">
        <f t="shared" si="4"/>
        <v>0</v>
      </c>
      <c r="DL84" s="136">
        <f t="shared" si="5"/>
        <v>0</v>
      </c>
      <c r="DM84" s="311" t="str">
        <f>Capacity!H96</f>
        <v/>
      </c>
    </row>
    <row r="85" spans="1:117" x14ac:dyDescent="0.2">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1">
        <f>IF($BI85&lt;&gt;"",IF('Capacity summary'!$D$14="Yes",IF(COUNTBLANK('Capacity summary'!$H204:$BG204)&lt;52,IF('Capacity summary'!H204&lt;&gt;"",IF(LOWER('Capacity summary'!H204)="x",$BI85*H85,VALUE('Capacity summary'!H204)),0),H85*$BI85),H85*$BI85),0)</f>
        <v>0</v>
      </c>
      <c r="BL85" s="311">
        <f>IF($BI85&lt;&gt;"",IF('Capacity summary'!$D$14="Yes",IF(COUNTBLANK('Capacity summary'!$H204:$BG204)&lt;52,IF('Capacity summary'!I204&lt;&gt;"",IF(LOWER('Capacity summary'!I204)="x",$BI85*I85,VALUE('Capacity summary'!I204)),0),I85*$BI85),I85*$BI85),0)</f>
        <v>0</v>
      </c>
      <c r="BM85" s="311">
        <f>IF($BI85&lt;&gt;"",IF('Capacity summary'!$D$14="Yes",IF(COUNTBLANK('Capacity summary'!$H204:$BG204)&lt;52,IF('Capacity summary'!J204&lt;&gt;"",IF(LOWER('Capacity summary'!J204)="x",$BI85*J85,VALUE('Capacity summary'!J204)),0),J85*$BI85),J85*$BI85),0)</f>
        <v>0</v>
      </c>
      <c r="BN85" s="311">
        <f>IF($BI85&lt;&gt;"",IF('Capacity summary'!$D$14="Yes",IF(COUNTBLANK('Capacity summary'!$H204:$BG204)&lt;52,IF('Capacity summary'!K204&lt;&gt;"",IF(LOWER('Capacity summary'!K204)="x",$BI85*K85,VALUE('Capacity summary'!K204)),0),K85*$BI85),K85*$BI85),0)</f>
        <v>0</v>
      </c>
      <c r="BO85" s="311">
        <f>IF($BI85&lt;&gt;"",IF('Capacity summary'!$D$14="Yes",IF(COUNTBLANK('Capacity summary'!$H204:$BG204)&lt;52,IF('Capacity summary'!L204&lt;&gt;"",IF(LOWER('Capacity summary'!L204)="x",$BI85*L85,VALUE('Capacity summary'!L204)),0),L85*$BI85),L85*$BI85),0)</f>
        <v>0</v>
      </c>
      <c r="BP85" s="311">
        <f>IF($BI85&lt;&gt;"",IF('Capacity summary'!$D$14="Yes",IF(COUNTBLANK('Capacity summary'!$H204:$BG204)&lt;52,IF('Capacity summary'!M204&lt;&gt;"",IF(LOWER('Capacity summary'!M204)="x",$BI85*M85,VALUE('Capacity summary'!M204)),0),M85*$BI85),M85*$BI85),0)</f>
        <v>0</v>
      </c>
      <c r="BQ85" s="311">
        <f>IF($BI85&lt;&gt;"",IF('Capacity summary'!$D$14="Yes",IF(COUNTBLANK('Capacity summary'!$H204:$BG204)&lt;52,IF('Capacity summary'!N204&lt;&gt;"",IF(LOWER('Capacity summary'!N204)="x",$BI85*N85,VALUE('Capacity summary'!N204)),0),N85*$BI85),N85*$BI85),0)</f>
        <v>0</v>
      </c>
      <c r="BR85" s="311">
        <f>IF($BI85&lt;&gt;"",IF('Capacity summary'!$D$14="Yes",IF(COUNTBLANK('Capacity summary'!$H204:$BG204)&lt;52,IF('Capacity summary'!O204&lt;&gt;"",IF(LOWER('Capacity summary'!O204)="x",$BI85*O85,VALUE('Capacity summary'!O204)),0),O85*$BI85),O85*$BI85),0)</f>
        <v>0</v>
      </c>
      <c r="BS85" s="311">
        <f>IF($BI85&lt;&gt;"",IF('Capacity summary'!$D$14="Yes",IF(COUNTBLANK('Capacity summary'!$H204:$BG204)&lt;52,IF('Capacity summary'!P204&lt;&gt;"",IF(LOWER('Capacity summary'!P204)="x",$BI85*P85,VALUE('Capacity summary'!P204)),0),P85*$BI85),P85*$BI85),0)</f>
        <v>0</v>
      </c>
      <c r="BT85" s="311">
        <f>IF($BI85&lt;&gt;"",IF('Capacity summary'!$D$14="Yes",IF(COUNTBLANK('Capacity summary'!$H204:$BG204)&lt;52,IF('Capacity summary'!Q204&lt;&gt;"",IF(LOWER('Capacity summary'!Q204)="x",$BI85*Q85,VALUE('Capacity summary'!Q204)),0),Q85*$BI85),Q85*$BI85),0)</f>
        <v>0</v>
      </c>
      <c r="BU85" s="311">
        <f>IF($BI85&lt;&gt;"",IF('Capacity summary'!$D$14="Yes",IF(COUNTBLANK('Capacity summary'!$H204:$BG204)&lt;52,IF('Capacity summary'!R204&lt;&gt;"",IF(LOWER('Capacity summary'!R204)="x",$BI85*R85,VALUE('Capacity summary'!R204)),0),R85*$BI85),R85*$BI85),0)</f>
        <v>0</v>
      </c>
      <c r="BV85" s="311">
        <f>IF($BI85&lt;&gt;"",IF('Capacity summary'!$D$14="Yes",IF(COUNTBLANK('Capacity summary'!$H204:$BG204)&lt;52,IF('Capacity summary'!S204&lt;&gt;"",IF(LOWER('Capacity summary'!S204)="x",$BI85*S85,VALUE('Capacity summary'!S204)),0),S85*$BI85),S85*$BI85),0)</f>
        <v>0</v>
      </c>
      <c r="BW85" s="311">
        <f>IF($BI85&lt;&gt;"",IF('Capacity summary'!$D$14="Yes",IF(COUNTBLANK('Capacity summary'!$H204:$BG204)&lt;52,IF('Capacity summary'!T204&lt;&gt;"",IF(LOWER('Capacity summary'!T204)="x",$BI85*T85,VALUE('Capacity summary'!T204)),0),T85*$BI85),T85*$BI85),0)</f>
        <v>0</v>
      </c>
      <c r="BX85" s="311">
        <f>IF($BI85&lt;&gt;"",IF('Capacity summary'!$D$14="Yes",IF(COUNTBLANK('Capacity summary'!$H204:$BG204)&lt;52,IF('Capacity summary'!U204&lt;&gt;"",IF(LOWER('Capacity summary'!U204)="x",$BI85*U85,VALUE('Capacity summary'!U204)),0),U85*$BI85),U85*$BI85),0)</f>
        <v>0</v>
      </c>
      <c r="BY85" s="311">
        <f>IF($BI85&lt;&gt;"",IF('Capacity summary'!$D$14="Yes",IF(COUNTBLANK('Capacity summary'!$H204:$BG204)&lt;52,IF('Capacity summary'!V204&lt;&gt;"",IF(LOWER('Capacity summary'!V204)="x",$BI85*V85,VALUE('Capacity summary'!V204)),0),V85*$BI85),V85*$BI85),0)</f>
        <v>0</v>
      </c>
      <c r="BZ85" s="311">
        <f>IF($BI85&lt;&gt;"",IF('Capacity summary'!$D$14="Yes",IF(COUNTBLANK('Capacity summary'!$H204:$BG204)&lt;52,IF('Capacity summary'!W204&lt;&gt;"",IF(LOWER('Capacity summary'!W204)="x",$BI85*W85,VALUE('Capacity summary'!W204)),0),W85*$BI85),W85*$BI85),0)</f>
        <v>0</v>
      </c>
      <c r="CA85" s="311">
        <f>IF($BI85&lt;&gt;"",IF('Capacity summary'!$D$14="Yes",IF(COUNTBLANK('Capacity summary'!$H204:$BG204)&lt;52,IF('Capacity summary'!X204&lt;&gt;"",IF(LOWER('Capacity summary'!X204)="x",$BI85*X85,VALUE('Capacity summary'!X204)),0),X85*$BI85),X85*$BI85),0)</f>
        <v>0</v>
      </c>
      <c r="CB85" s="311">
        <f>IF($BI85&lt;&gt;"",IF('Capacity summary'!$D$14="Yes",IF(COUNTBLANK('Capacity summary'!$H204:$BG204)&lt;52,IF('Capacity summary'!Y204&lt;&gt;"",IF(LOWER('Capacity summary'!Y204)="x",$BI85*Y85,VALUE('Capacity summary'!Y204)),0),Y85*$BI85),Y85*$BI85),0)</f>
        <v>0</v>
      </c>
      <c r="CC85" s="311">
        <f>IF($BI85&lt;&gt;"",IF('Capacity summary'!$D$14="Yes",IF(COUNTBLANK('Capacity summary'!$H204:$BG204)&lt;52,IF('Capacity summary'!Z204&lt;&gt;"",IF(LOWER('Capacity summary'!Z204)="x",$BI85*Z85,VALUE('Capacity summary'!Z204)),0),Z85*$BI85),Z85*$BI85),0)</f>
        <v>0</v>
      </c>
      <c r="CD85" s="311">
        <f>IF($BI85&lt;&gt;"",IF('Capacity summary'!$D$14="Yes",IF(COUNTBLANK('Capacity summary'!$H204:$BG204)&lt;52,IF('Capacity summary'!AA204&lt;&gt;"",IF(LOWER('Capacity summary'!AA204)="x",$BI85*AA85,VALUE('Capacity summary'!AA204)),0),AA85*$BI85),AA85*$BI85),0)</f>
        <v>0</v>
      </c>
      <c r="CE85" s="311">
        <f>IF($BI85&lt;&gt;"",IF('Capacity summary'!$D$14="Yes",IF(COUNTBLANK('Capacity summary'!$H204:$BG204)&lt;52,IF('Capacity summary'!AB204&lt;&gt;"",IF(LOWER('Capacity summary'!AB204)="x",$BI85*AB85,VALUE('Capacity summary'!AB204)),0),AB85*$BI85),AB85*$BI85),0)</f>
        <v>0</v>
      </c>
      <c r="CF85" s="311">
        <f>IF($BI85&lt;&gt;"",IF('Capacity summary'!$D$14="Yes",IF(COUNTBLANK('Capacity summary'!$H204:$BG204)&lt;52,IF('Capacity summary'!AC204&lt;&gt;"",IF(LOWER('Capacity summary'!AC204)="x",$BI85*AC85,VALUE('Capacity summary'!AC204)),0),AC85*$BI85),AC85*$BI85),0)</f>
        <v>0</v>
      </c>
      <c r="CG85" s="311">
        <f>IF($BI85&lt;&gt;"",IF('Capacity summary'!$D$14="Yes",IF(COUNTBLANK('Capacity summary'!$H204:$BG204)&lt;52,IF('Capacity summary'!AD204&lt;&gt;"",IF(LOWER('Capacity summary'!AD204)="x",$BI85*AD85,VALUE('Capacity summary'!AD204)),0),AD85*$BI85),AD85*$BI85),0)</f>
        <v>0</v>
      </c>
      <c r="CH85" s="311">
        <f>IF($BI85&lt;&gt;"",IF('Capacity summary'!$D$14="Yes",IF(COUNTBLANK('Capacity summary'!$H204:$BG204)&lt;52,IF('Capacity summary'!AE204&lt;&gt;"",IF(LOWER('Capacity summary'!AE204)="x",$BI85*AE85,VALUE('Capacity summary'!AE204)),0),AE85*$BI85),AE85*$BI85),0)</f>
        <v>0</v>
      </c>
      <c r="CI85" s="311">
        <f>IF($BI85&lt;&gt;"",IF('Capacity summary'!$D$14="Yes",IF(COUNTBLANK('Capacity summary'!$H204:$BG204)&lt;52,IF('Capacity summary'!AF204&lt;&gt;"",IF(LOWER('Capacity summary'!AF204)="x",$BI85*AF85,VALUE('Capacity summary'!AF204)),0),AF85*$BI85),AF85*$BI85),0)</f>
        <v>0</v>
      </c>
      <c r="CJ85" s="311">
        <f>IF($BI85&lt;&gt;"",IF('Capacity summary'!$D$14="Yes",IF(COUNTBLANK('Capacity summary'!$H204:$BG204)&lt;52,IF('Capacity summary'!AG204&lt;&gt;"",IF(LOWER('Capacity summary'!AG204)="x",$BI85*AG85,VALUE('Capacity summary'!AG204)),0),AG85*$BI85),AG85*$BI85),0)</f>
        <v>0</v>
      </c>
      <c r="CK85" s="311">
        <f>IF($BI85&lt;&gt;"",IF('Capacity summary'!$D$14="Yes",IF(COUNTBLANK('Capacity summary'!$H204:$BG204)&lt;52,IF('Capacity summary'!AH204&lt;&gt;"",IF(LOWER('Capacity summary'!AH204)="x",$BI85*AH85,VALUE('Capacity summary'!AH204)),0),AH85*$BI85),AH85*$BI85),0)</f>
        <v>0</v>
      </c>
      <c r="CL85" s="311">
        <f>IF($BI85&lt;&gt;"",IF('Capacity summary'!$D$14="Yes",IF(COUNTBLANK('Capacity summary'!$H204:$BG204)&lt;52,IF('Capacity summary'!AI204&lt;&gt;"",IF(LOWER('Capacity summary'!AI204)="x",$BI85*AI85,VALUE('Capacity summary'!AI204)),0),AI85*$BI85),AI85*$BI85),0)</f>
        <v>0</v>
      </c>
      <c r="CM85" s="311">
        <f>IF($BI85&lt;&gt;"",IF('Capacity summary'!$D$14="Yes",IF(COUNTBLANK('Capacity summary'!$H204:$BG204)&lt;52,IF('Capacity summary'!AJ204&lt;&gt;"",IF(LOWER('Capacity summary'!AJ204)="x",$BI85*AJ85,VALUE('Capacity summary'!AJ204)),0),AJ85*$BI85),AJ85*$BI85),0)</f>
        <v>0</v>
      </c>
      <c r="CN85" s="311">
        <f>IF($BI85&lt;&gt;"",IF('Capacity summary'!$D$14="Yes",IF(COUNTBLANK('Capacity summary'!$H204:$BG204)&lt;52,IF('Capacity summary'!AK204&lt;&gt;"",IF(LOWER('Capacity summary'!AK204)="x",$BI85*AK85,VALUE('Capacity summary'!AK204)),0),AK85*$BI85),AK85*$BI85),0)</f>
        <v>0</v>
      </c>
      <c r="CO85" s="311">
        <f>IF($BI85&lt;&gt;"",IF('Capacity summary'!$D$14="Yes",IF(COUNTBLANK('Capacity summary'!$H204:$BG204)&lt;52,IF('Capacity summary'!AL204&lt;&gt;"",IF(LOWER('Capacity summary'!AL204)="x",$BI85*AL85,VALUE('Capacity summary'!AL204)),0),AL85*$BI85),AL85*$BI85),0)</f>
        <v>0</v>
      </c>
      <c r="CP85" s="311">
        <f>IF($BI85&lt;&gt;"",IF('Capacity summary'!$D$14="Yes",IF(COUNTBLANK('Capacity summary'!$H204:$BG204)&lt;52,IF('Capacity summary'!AM204&lt;&gt;"",IF(LOWER('Capacity summary'!AM204)="x",$BI85*AM85,VALUE('Capacity summary'!AM204)),0),AM85*$BI85),AM85*$BI85),0)</f>
        <v>0</v>
      </c>
      <c r="CQ85" s="311">
        <f>IF($BI85&lt;&gt;"",IF('Capacity summary'!$D$14="Yes",IF(COUNTBLANK('Capacity summary'!$H204:$BG204)&lt;52,IF('Capacity summary'!AN204&lt;&gt;"",IF(LOWER('Capacity summary'!AN204)="x",$BI85*AN85,VALUE('Capacity summary'!AN204)),0),AN85*$BI85),AN85*$BI85),0)</f>
        <v>0</v>
      </c>
      <c r="CR85" s="311">
        <f>IF($BI85&lt;&gt;"",IF('Capacity summary'!$D$14="Yes",IF(COUNTBLANK('Capacity summary'!$H204:$BG204)&lt;52,IF('Capacity summary'!AO204&lt;&gt;"",IF(LOWER('Capacity summary'!AO204)="x",$BI85*AO85,VALUE('Capacity summary'!AO204)),0),AO85*$BI85),AO85*$BI85),0)</f>
        <v>0</v>
      </c>
      <c r="CS85" s="311">
        <f>IF($BI85&lt;&gt;"",IF('Capacity summary'!$D$14="Yes",IF(COUNTBLANK('Capacity summary'!$H204:$BG204)&lt;52,IF('Capacity summary'!AP204&lt;&gt;"",IF(LOWER('Capacity summary'!AP204)="x",$BI85*AP85,VALUE('Capacity summary'!AP204)),0),AP85*$BI85),AP85*$BI85),0)</f>
        <v>0</v>
      </c>
      <c r="CT85" s="311">
        <f>IF($BI85&lt;&gt;"",IF('Capacity summary'!$D$14="Yes",IF(COUNTBLANK('Capacity summary'!$H204:$BG204)&lt;52,IF('Capacity summary'!AQ204&lt;&gt;"",IF(LOWER('Capacity summary'!AQ204)="x",$BI85*AQ85,VALUE('Capacity summary'!AQ204)),0),AQ85*$BI85),AQ85*$BI85),0)</f>
        <v>0</v>
      </c>
      <c r="CU85" s="311">
        <f>IF($BI85&lt;&gt;"",IF('Capacity summary'!$D$14="Yes",IF(COUNTBLANK('Capacity summary'!$H204:$BG204)&lt;52,IF('Capacity summary'!AR204&lt;&gt;"",IF(LOWER('Capacity summary'!AR204)="x",$BI85*AR85,VALUE('Capacity summary'!AR204)),0),AR85*$BI85),AR85*$BI85),0)</f>
        <v>0</v>
      </c>
      <c r="CV85" s="311">
        <f>IF($BI85&lt;&gt;"",IF('Capacity summary'!$D$14="Yes",IF(COUNTBLANK('Capacity summary'!$H204:$BG204)&lt;52,IF('Capacity summary'!AS204&lt;&gt;"",IF(LOWER('Capacity summary'!AS204)="x",$BI85*AS85,VALUE('Capacity summary'!AS204)),0),AS85*$BI85),AS85*$BI85),0)</f>
        <v>0</v>
      </c>
      <c r="CW85" s="311">
        <f>IF($BI85&lt;&gt;"",IF('Capacity summary'!$D$14="Yes",IF(COUNTBLANK('Capacity summary'!$H204:$BG204)&lt;52,IF('Capacity summary'!AT204&lt;&gt;"",IF(LOWER('Capacity summary'!AT204)="x",$BI85*AT85,VALUE('Capacity summary'!AT204)),0),AT85*$BI85),AT85*$BI85),0)</f>
        <v>0</v>
      </c>
      <c r="CX85" s="311">
        <f>IF($BI85&lt;&gt;"",IF('Capacity summary'!$D$14="Yes",IF(COUNTBLANK('Capacity summary'!$H204:$BG204)&lt;52,IF('Capacity summary'!AU204&lt;&gt;"",IF(LOWER('Capacity summary'!AU204)="x",$BI85*AU85,VALUE('Capacity summary'!AU204)),0),AU85*$BI85),AU85*$BI85),0)</f>
        <v>0</v>
      </c>
      <c r="CY85" s="311">
        <f>IF($BI85&lt;&gt;"",IF('Capacity summary'!$D$14="Yes",IF(COUNTBLANK('Capacity summary'!$H204:$BG204)&lt;52,IF('Capacity summary'!AV204&lt;&gt;"",IF(LOWER('Capacity summary'!AV204)="x",$BI85*AV85,VALUE('Capacity summary'!AV204)),0),AV85*$BI85),AV85*$BI85),0)</f>
        <v>0</v>
      </c>
      <c r="CZ85" s="311">
        <f>IF($BI85&lt;&gt;"",IF('Capacity summary'!$D$14="Yes",IF(COUNTBLANK('Capacity summary'!$H204:$BG204)&lt;52,IF('Capacity summary'!AW204&lt;&gt;"",IF(LOWER('Capacity summary'!AW204)="x",$BI85*AW85,VALUE('Capacity summary'!AW204)),0),AW85*$BI85),AW85*$BI85),0)</f>
        <v>0</v>
      </c>
      <c r="DA85" s="311">
        <f>IF($BI85&lt;&gt;"",IF('Capacity summary'!$D$14="Yes",IF(COUNTBLANK('Capacity summary'!$H204:$BG204)&lt;52,IF('Capacity summary'!AX204&lt;&gt;"",IF(LOWER('Capacity summary'!AX204)="x",$BI85*AX85,VALUE('Capacity summary'!AX204)),0),AX85*$BI85),AX85*$BI85),0)</f>
        <v>0</v>
      </c>
      <c r="DB85" s="311">
        <f>IF($BI85&lt;&gt;"",IF('Capacity summary'!$D$14="Yes",IF(COUNTBLANK('Capacity summary'!$H204:$BG204)&lt;52,IF('Capacity summary'!AY204&lt;&gt;"",IF(LOWER('Capacity summary'!AY204)="x",$BI85*AY85,VALUE('Capacity summary'!AY204)),0),AY85*$BI85),AY85*$BI85),0)</f>
        <v>0</v>
      </c>
      <c r="DC85" s="311">
        <f>IF($BI85&lt;&gt;"",IF('Capacity summary'!$D$14="Yes",IF(COUNTBLANK('Capacity summary'!$H204:$BG204)&lt;52,IF('Capacity summary'!AZ204&lt;&gt;"",IF(LOWER('Capacity summary'!AZ204)="x",$BI85*AZ85,VALUE('Capacity summary'!AZ204)),0),AZ85*$BI85),AZ85*$BI85),0)</f>
        <v>0</v>
      </c>
      <c r="DD85" s="311">
        <f>IF($BI85&lt;&gt;"",IF('Capacity summary'!$D$14="Yes",IF(COUNTBLANK('Capacity summary'!$H204:$BG204)&lt;52,IF('Capacity summary'!BA204&lt;&gt;"",IF(LOWER('Capacity summary'!BA204)="x",$BI85*BA85,VALUE('Capacity summary'!BA204)),0),BA85*$BI85),BA85*$BI85),0)</f>
        <v>0</v>
      </c>
      <c r="DE85" s="311">
        <f>IF($BI85&lt;&gt;"",IF('Capacity summary'!$D$14="Yes",IF(COUNTBLANK('Capacity summary'!$H204:$BG204)&lt;52,IF('Capacity summary'!BB204&lt;&gt;"",IF(LOWER('Capacity summary'!BB204)="x",$BI85*BB85,VALUE('Capacity summary'!BB204)),0),BB85*$BI85),BB85*$BI85),0)</f>
        <v>0</v>
      </c>
      <c r="DF85" s="311">
        <f>IF($BI85&lt;&gt;"",IF('Capacity summary'!$D$14="Yes",IF(COUNTBLANK('Capacity summary'!$H204:$BG204)&lt;52,IF('Capacity summary'!BC204&lt;&gt;"",IF(LOWER('Capacity summary'!BC204)="x",$BI85*BC85,VALUE('Capacity summary'!BC204)),0),BC85*$BI85),BC85*$BI85),0)</f>
        <v>0</v>
      </c>
      <c r="DG85" s="311">
        <f>IF($BI85&lt;&gt;"",IF('Capacity summary'!$D$14="Yes",IF(COUNTBLANK('Capacity summary'!$H204:$BG204)&lt;52,IF('Capacity summary'!BD204&lt;&gt;"",IF(LOWER('Capacity summary'!BD204)="x",$BI85*BD85,VALUE('Capacity summary'!BD204)),0),BD85*$BI85),BD85*$BI85),0)</f>
        <v>0</v>
      </c>
      <c r="DH85" s="311">
        <f>IF($BI85&lt;&gt;"",IF('Capacity summary'!$D$14="Yes",IF(COUNTBLANK('Capacity summary'!$H204:$BG204)&lt;52,IF('Capacity summary'!BE204&lt;&gt;"",IF(LOWER('Capacity summary'!BE204)="x",$BI85*BE85,VALUE('Capacity summary'!BE204)),0),BE85*$BI85),BE85*$BI85),0)</f>
        <v>0</v>
      </c>
      <c r="DI85" s="311">
        <f>IF($BI85&lt;&gt;"",IF('Capacity summary'!$D$14="Yes",IF(COUNTBLANK('Capacity summary'!$H204:$BG204)&lt;52,IF('Capacity summary'!BF204&lt;&gt;"",IF(LOWER('Capacity summary'!BF204)="x",$BI85*BF85,VALUE('Capacity summary'!BF204)),0),BF85*$BI85),BF85*$BI85),0)</f>
        <v>0</v>
      </c>
      <c r="DJ85" s="311">
        <f>IF($BI85&lt;&gt;"",IF('Capacity summary'!$D$14="Yes",IF(COUNTBLANK('Capacity summary'!$H204:$BG204)&lt;52,IF('Capacity summary'!BG204&lt;&gt;"",IF(LOWER('Capacity summary'!BG204)="x",$BI85*BG85,VALUE('Capacity summary'!BG204)),0),BG85*$BI85),BG85*$BI85),0)</f>
        <v>0</v>
      </c>
      <c r="DK85" s="387">
        <f t="shared" si="4"/>
        <v>0</v>
      </c>
      <c r="DL85" s="136">
        <f t="shared" si="5"/>
        <v>0</v>
      </c>
      <c r="DM85" s="311" t="str">
        <f>Capacity!H97</f>
        <v/>
      </c>
    </row>
    <row r="86" spans="1:117" x14ac:dyDescent="0.2">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1">
        <f>IF($BI86&lt;&gt;"",IF('Capacity summary'!$D$14="Yes",IF(COUNTBLANK('Capacity summary'!$H205:$BG205)&lt;52,IF('Capacity summary'!H205&lt;&gt;"",IF(LOWER('Capacity summary'!H205)="x",$BI86*H86,VALUE('Capacity summary'!H205)),0),H86*$BI86),H86*$BI86),0)</f>
        <v>0</v>
      </c>
      <c r="BL86" s="311">
        <f>IF($BI86&lt;&gt;"",IF('Capacity summary'!$D$14="Yes",IF(COUNTBLANK('Capacity summary'!$H205:$BG205)&lt;52,IF('Capacity summary'!I205&lt;&gt;"",IF(LOWER('Capacity summary'!I205)="x",$BI86*I86,VALUE('Capacity summary'!I205)),0),I86*$BI86),I86*$BI86),0)</f>
        <v>0</v>
      </c>
      <c r="BM86" s="311">
        <f>IF($BI86&lt;&gt;"",IF('Capacity summary'!$D$14="Yes",IF(COUNTBLANK('Capacity summary'!$H205:$BG205)&lt;52,IF('Capacity summary'!J205&lt;&gt;"",IF(LOWER('Capacity summary'!J205)="x",$BI86*J86,VALUE('Capacity summary'!J205)),0),J86*$BI86),J86*$BI86),0)</f>
        <v>0</v>
      </c>
      <c r="BN86" s="311">
        <f>IF($BI86&lt;&gt;"",IF('Capacity summary'!$D$14="Yes",IF(COUNTBLANK('Capacity summary'!$H205:$BG205)&lt;52,IF('Capacity summary'!K205&lt;&gt;"",IF(LOWER('Capacity summary'!K205)="x",$BI86*K86,VALUE('Capacity summary'!K205)),0),K86*$BI86),K86*$BI86),0)</f>
        <v>0</v>
      </c>
      <c r="BO86" s="311">
        <f>IF($BI86&lt;&gt;"",IF('Capacity summary'!$D$14="Yes",IF(COUNTBLANK('Capacity summary'!$H205:$BG205)&lt;52,IF('Capacity summary'!L205&lt;&gt;"",IF(LOWER('Capacity summary'!L205)="x",$BI86*L86,VALUE('Capacity summary'!L205)),0),L86*$BI86),L86*$BI86),0)</f>
        <v>0</v>
      </c>
      <c r="BP86" s="311">
        <f>IF($BI86&lt;&gt;"",IF('Capacity summary'!$D$14="Yes",IF(COUNTBLANK('Capacity summary'!$H205:$BG205)&lt;52,IF('Capacity summary'!M205&lt;&gt;"",IF(LOWER('Capacity summary'!M205)="x",$BI86*M86,VALUE('Capacity summary'!M205)),0),M86*$BI86),M86*$BI86),0)</f>
        <v>0</v>
      </c>
      <c r="BQ86" s="311">
        <f>IF($BI86&lt;&gt;"",IF('Capacity summary'!$D$14="Yes",IF(COUNTBLANK('Capacity summary'!$H205:$BG205)&lt;52,IF('Capacity summary'!N205&lt;&gt;"",IF(LOWER('Capacity summary'!N205)="x",$BI86*N86,VALUE('Capacity summary'!N205)),0),N86*$BI86),N86*$BI86),0)</f>
        <v>0</v>
      </c>
      <c r="BR86" s="311">
        <f>IF($BI86&lt;&gt;"",IF('Capacity summary'!$D$14="Yes",IF(COUNTBLANK('Capacity summary'!$H205:$BG205)&lt;52,IF('Capacity summary'!O205&lt;&gt;"",IF(LOWER('Capacity summary'!O205)="x",$BI86*O86,VALUE('Capacity summary'!O205)),0),O86*$BI86),O86*$BI86),0)</f>
        <v>0</v>
      </c>
      <c r="BS86" s="311">
        <f>IF($BI86&lt;&gt;"",IF('Capacity summary'!$D$14="Yes",IF(COUNTBLANK('Capacity summary'!$H205:$BG205)&lt;52,IF('Capacity summary'!P205&lt;&gt;"",IF(LOWER('Capacity summary'!P205)="x",$BI86*P86,VALUE('Capacity summary'!P205)),0),P86*$BI86),P86*$BI86),0)</f>
        <v>0</v>
      </c>
      <c r="BT86" s="311">
        <f>IF($BI86&lt;&gt;"",IF('Capacity summary'!$D$14="Yes",IF(COUNTBLANK('Capacity summary'!$H205:$BG205)&lt;52,IF('Capacity summary'!Q205&lt;&gt;"",IF(LOWER('Capacity summary'!Q205)="x",$BI86*Q86,VALUE('Capacity summary'!Q205)),0),Q86*$BI86),Q86*$BI86),0)</f>
        <v>0</v>
      </c>
      <c r="BU86" s="311">
        <f>IF($BI86&lt;&gt;"",IF('Capacity summary'!$D$14="Yes",IF(COUNTBLANK('Capacity summary'!$H205:$BG205)&lt;52,IF('Capacity summary'!R205&lt;&gt;"",IF(LOWER('Capacity summary'!R205)="x",$BI86*R86,VALUE('Capacity summary'!R205)),0),R86*$BI86),R86*$BI86),0)</f>
        <v>0</v>
      </c>
      <c r="BV86" s="311">
        <f>IF($BI86&lt;&gt;"",IF('Capacity summary'!$D$14="Yes",IF(COUNTBLANK('Capacity summary'!$H205:$BG205)&lt;52,IF('Capacity summary'!S205&lt;&gt;"",IF(LOWER('Capacity summary'!S205)="x",$BI86*S86,VALUE('Capacity summary'!S205)),0),S86*$BI86),S86*$BI86),0)</f>
        <v>0</v>
      </c>
      <c r="BW86" s="311">
        <f>IF($BI86&lt;&gt;"",IF('Capacity summary'!$D$14="Yes",IF(COUNTBLANK('Capacity summary'!$H205:$BG205)&lt;52,IF('Capacity summary'!T205&lt;&gt;"",IF(LOWER('Capacity summary'!T205)="x",$BI86*T86,VALUE('Capacity summary'!T205)),0),T86*$BI86),T86*$BI86),0)</f>
        <v>0</v>
      </c>
      <c r="BX86" s="311">
        <f>IF($BI86&lt;&gt;"",IF('Capacity summary'!$D$14="Yes",IF(COUNTBLANK('Capacity summary'!$H205:$BG205)&lt;52,IF('Capacity summary'!U205&lt;&gt;"",IF(LOWER('Capacity summary'!U205)="x",$BI86*U86,VALUE('Capacity summary'!U205)),0),U86*$BI86),U86*$BI86),0)</f>
        <v>0</v>
      </c>
      <c r="BY86" s="311">
        <f>IF($BI86&lt;&gt;"",IF('Capacity summary'!$D$14="Yes",IF(COUNTBLANK('Capacity summary'!$H205:$BG205)&lt;52,IF('Capacity summary'!V205&lt;&gt;"",IF(LOWER('Capacity summary'!V205)="x",$BI86*V86,VALUE('Capacity summary'!V205)),0),V86*$BI86),V86*$BI86),0)</f>
        <v>0</v>
      </c>
      <c r="BZ86" s="311">
        <f>IF($BI86&lt;&gt;"",IF('Capacity summary'!$D$14="Yes",IF(COUNTBLANK('Capacity summary'!$H205:$BG205)&lt;52,IF('Capacity summary'!W205&lt;&gt;"",IF(LOWER('Capacity summary'!W205)="x",$BI86*W86,VALUE('Capacity summary'!W205)),0),W86*$BI86),W86*$BI86),0)</f>
        <v>0</v>
      </c>
      <c r="CA86" s="311">
        <f>IF($BI86&lt;&gt;"",IF('Capacity summary'!$D$14="Yes",IF(COUNTBLANK('Capacity summary'!$H205:$BG205)&lt;52,IF('Capacity summary'!X205&lt;&gt;"",IF(LOWER('Capacity summary'!X205)="x",$BI86*X86,VALUE('Capacity summary'!X205)),0),X86*$BI86),X86*$BI86),0)</f>
        <v>0</v>
      </c>
      <c r="CB86" s="311">
        <f>IF($BI86&lt;&gt;"",IF('Capacity summary'!$D$14="Yes",IF(COUNTBLANK('Capacity summary'!$H205:$BG205)&lt;52,IF('Capacity summary'!Y205&lt;&gt;"",IF(LOWER('Capacity summary'!Y205)="x",$BI86*Y86,VALUE('Capacity summary'!Y205)),0),Y86*$BI86),Y86*$BI86),0)</f>
        <v>0</v>
      </c>
      <c r="CC86" s="311">
        <f>IF($BI86&lt;&gt;"",IF('Capacity summary'!$D$14="Yes",IF(COUNTBLANK('Capacity summary'!$H205:$BG205)&lt;52,IF('Capacity summary'!Z205&lt;&gt;"",IF(LOWER('Capacity summary'!Z205)="x",$BI86*Z86,VALUE('Capacity summary'!Z205)),0),Z86*$BI86),Z86*$BI86),0)</f>
        <v>0</v>
      </c>
      <c r="CD86" s="311">
        <f>IF($BI86&lt;&gt;"",IF('Capacity summary'!$D$14="Yes",IF(COUNTBLANK('Capacity summary'!$H205:$BG205)&lt;52,IF('Capacity summary'!AA205&lt;&gt;"",IF(LOWER('Capacity summary'!AA205)="x",$BI86*AA86,VALUE('Capacity summary'!AA205)),0),AA86*$BI86),AA86*$BI86),0)</f>
        <v>0</v>
      </c>
      <c r="CE86" s="311">
        <f>IF($BI86&lt;&gt;"",IF('Capacity summary'!$D$14="Yes",IF(COUNTBLANK('Capacity summary'!$H205:$BG205)&lt;52,IF('Capacity summary'!AB205&lt;&gt;"",IF(LOWER('Capacity summary'!AB205)="x",$BI86*AB86,VALUE('Capacity summary'!AB205)),0),AB86*$BI86),AB86*$BI86),0)</f>
        <v>0</v>
      </c>
      <c r="CF86" s="311">
        <f>IF($BI86&lt;&gt;"",IF('Capacity summary'!$D$14="Yes",IF(COUNTBLANK('Capacity summary'!$H205:$BG205)&lt;52,IF('Capacity summary'!AC205&lt;&gt;"",IF(LOWER('Capacity summary'!AC205)="x",$BI86*AC86,VALUE('Capacity summary'!AC205)),0),AC86*$BI86),AC86*$BI86),0)</f>
        <v>0</v>
      </c>
      <c r="CG86" s="311">
        <f>IF($BI86&lt;&gt;"",IF('Capacity summary'!$D$14="Yes",IF(COUNTBLANK('Capacity summary'!$H205:$BG205)&lt;52,IF('Capacity summary'!AD205&lt;&gt;"",IF(LOWER('Capacity summary'!AD205)="x",$BI86*AD86,VALUE('Capacity summary'!AD205)),0),AD86*$BI86),AD86*$BI86),0)</f>
        <v>0</v>
      </c>
      <c r="CH86" s="311">
        <f>IF($BI86&lt;&gt;"",IF('Capacity summary'!$D$14="Yes",IF(COUNTBLANK('Capacity summary'!$H205:$BG205)&lt;52,IF('Capacity summary'!AE205&lt;&gt;"",IF(LOWER('Capacity summary'!AE205)="x",$BI86*AE86,VALUE('Capacity summary'!AE205)),0),AE86*$BI86),AE86*$BI86),0)</f>
        <v>0</v>
      </c>
      <c r="CI86" s="311">
        <f>IF($BI86&lt;&gt;"",IF('Capacity summary'!$D$14="Yes",IF(COUNTBLANK('Capacity summary'!$H205:$BG205)&lt;52,IF('Capacity summary'!AF205&lt;&gt;"",IF(LOWER('Capacity summary'!AF205)="x",$BI86*AF86,VALUE('Capacity summary'!AF205)),0),AF86*$BI86),AF86*$BI86),0)</f>
        <v>0</v>
      </c>
      <c r="CJ86" s="311">
        <f>IF($BI86&lt;&gt;"",IF('Capacity summary'!$D$14="Yes",IF(COUNTBLANK('Capacity summary'!$H205:$BG205)&lt;52,IF('Capacity summary'!AG205&lt;&gt;"",IF(LOWER('Capacity summary'!AG205)="x",$BI86*AG86,VALUE('Capacity summary'!AG205)),0),AG86*$BI86),AG86*$BI86),0)</f>
        <v>0</v>
      </c>
      <c r="CK86" s="311">
        <f>IF($BI86&lt;&gt;"",IF('Capacity summary'!$D$14="Yes",IF(COUNTBLANK('Capacity summary'!$H205:$BG205)&lt;52,IF('Capacity summary'!AH205&lt;&gt;"",IF(LOWER('Capacity summary'!AH205)="x",$BI86*AH86,VALUE('Capacity summary'!AH205)),0),AH86*$BI86),AH86*$BI86),0)</f>
        <v>0</v>
      </c>
      <c r="CL86" s="311">
        <f>IF($BI86&lt;&gt;"",IF('Capacity summary'!$D$14="Yes",IF(COUNTBLANK('Capacity summary'!$H205:$BG205)&lt;52,IF('Capacity summary'!AI205&lt;&gt;"",IF(LOWER('Capacity summary'!AI205)="x",$BI86*AI86,VALUE('Capacity summary'!AI205)),0),AI86*$BI86),AI86*$BI86),0)</f>
        <v>0</v>
      </c>
      <c r="CM86" s="311">
        <f>IF($BI86&lt;&gt;"",IF('Capacity summary'!$D$14="Yes",IF(COUNTBLANK('Capacity summary'!$H205:$BG205)&lt;52,IF('Capacity summary'!AJ205&lt;&gt;"",IF(LOWER('Capacity summary'!AJ205)="x",$BI86*AJ86,VALUE('Capacity summary'!AJ205)),0),AJ86*$BI86),AJ86*$BI86),0)</f>
        <v>0</v>
      </c>
      <c r="CN86" s="311">
        <f>IF($BI86&lt;&gt;"",IF('Capacity summary'!$D$14="Yes",IF(COUNTBLANK('Capacity summary'!$H205:$BG205)&lt;52,IF('Capacity summary'!AK205&lt;&gt;"",IF(LOWER('Capacity summary'!AK205)="x",$BI86*AK86,VALUE('Capacity summary'!AK205)),0),AK86*$BI86),AK86*$BI86),0)</f>
        <v>0</v>
      </c>
      <c r="CO86" s="311">
        <f>IF($BI86&lt;&gt;"",IF('Capacity summary'!$D$14="Yes",IF(COUNTBLANK('Capacity summary'!$H205:$BG205)&lt;52,IF('Capacity summary'!AL205&lt;&gt;"",IF(LOWER('Capacity summary'!AL205)="x",$BI86*AL86,VALUE('Capacity summary'!AL205)),0),AL86*$BI86),AL86*$BI86),0)</f>
        <v>0</v>
      </c>
      <c r="CP86" s="311">
        <f>IF($BI86&lt;&gt;"",IF('Capacity summary'!$D$14="Yes",IF(COUNTBLANK('Capacity summary'!$H205:$BG205)&lt;52,IF('Capacity summary'!AM205&lt;&gt;"",IF(LOWER('Capacity summary'!AM205)="x",$BI86*AM86,VALUE('Capacity summary'!AM205)),0),AM86*$BI86),AM86*$BI86),0)</f>
        <v>0</v>
      </c>
      <c r="CQ86" s="311">
        <f>IF($BI86&lt;&gt;"",IF('Capacity summary'!$D$14="Yes",IF(COUNTBLANK('Capacity summary'!$H205:$BG205)&lt;52,IF('Capacity summary'!AN205&lt;&gt;"",IF(LOWER('Capacity summary'!AN205)="x",$BI86*AN86,VALUE('Capacity summary'!AN205)),0),AN86*$BI86),AN86*$BI86),0)</f>
        <v>0</v>
      </c>
      <c r="CR86" s="311">
        <f>IF($BI86&lt;&gt;"",IF('Capacity summary'!$D$14="Yes",IF(COUNTBLANK('Capacity summary'!$H205:$BG205)&lt;52,IF('Capacity summary'!AO205&lt;&gt;"",IF(LOWER('Capacity summary'!AO205)="x",$BI86*AO86,VALUE('Capacity summary'!AO205)),0),AO86*$BI86),AO86*$BI86),0)</f>
        <v>0</v>
      </c>
      <c r="CS86" s="311">
        <f>IF($BI86&lt;&gt;"",IF('Capacity summary'!$D$14="Yes",IF(COUNTBLANK('Capacity summary'!$H205:$BG205)&lt;52,IF('Capacity summary'!AP205&lt;&gt;"",IF(LOWER('Capacity summary'!AP205)="x",$BI86*AP86,VALUE('Capacity summary'!AP205)),0),AP86*$BI86),AP86*$BI86),0)</f>
        <v>0</v>
      </c>
      <c r="CT86" s="311">
        <f>IF($BI86&lt;&gt;"",IF('Capacity summary'!$D$14="Yes",IF(COUNTBLANK('Capacity summary'!$H205:$BG205)&lt;52,IF('Capacity summary'!AQ205&lt;&gt;"",IF(LOWER('Capacity summary'!AQ205)="x",$BI86*AQ86,VALUE('Capacity summary'!AQ205)),0),AQ86*$BI86),AQ86*$BI86),0)</f>
        <v>0</v>
      </c>
      <c r="CU86" s="311">
        <f>IF($BI86&lt;&gt;"",IF('Capacity summary'!$D$14="Yes",IF(COUNTBLANK('Capacity summary'!$H205:$BG205)&lt;52,IF('Capacity summary'!AR205&lt;&gt;"",IF(LOWER('Capacity summary'!AR205)="x",$BI86*AR86,VALUE('Capacity summary'!AR205)),0),AR86*$BI86),AR86*$BI86),0)</f>
        <v>0</v>
      </c>
      <c r="CV86" s="311">
        <f>IF($BI86&lt;&gt;"",IF('Capacity summary'!$D$14="Yes",IF(COUNTBLANK('Capacity summary'!$H205:$BG205)&lt;52,IF('Capacity summary'!AS205&lt;&gt;"",IF(LOWER('Capacity summary'!AS205)="x",$BI86*AS86,VALUE('Capacity summary'!AS205)),0),AS86*$BI86),AS86*$BI86),0)</f>
        <v>0</v>
      </c>
      <c r="CW86" s="311">
        <f>IF($BI86&lt;&gt;"",IF('Capacity summary'!$D$14="Yes",IF(COUNTBLANK('Capacity summary'!$H205:$BG205)&lt;52,IF('Capacity summary'!AT205&lt;&gt;"",IF(LOWER('Capacity summary'!AT205)="x",$BI86*AT86,VALUE('Capacity summary'!AT205)),0),AT86*$BI86),AT86*$BI86),0)</f>
        <v>0</v>
      </c>
      <c r="CX86" s="311">
        <f>IF($BI86&lt;&gt;"",IF('Capacity summary'!$D$14="Yes",IF(COUNTBLANK('Capacity summary'!$H205:$BG205)&lt;52,IF('Capacity summary'!AU205&lt;&gt;"",IF(LOWER('Capacity summary'!AU205)="x",$BI86*AU86,VALUE('Capacity summary'!AU205)),0),AU86*$BI86),AU86*$BI86),0)</f>
        <v>0</v>
      </c>
      <c r="CY86" s="311">
        <f>IF($BI86&lt;&gt;"",IF('Capacity summary'!$D$14="Yes",IF(COUNTBLANK('Capacity summary'!$H205:$BG205)&lt;52,IF('Capacity summary'!AV205&lt;&gt;"",IF(LOWER('Capacity summary'!AV205)="x",$BI86*AV86,VALUE('Capacity summary'!AV205)),0),AV86*$BI86),AV86*$BI86),0)</f>
        <v>0</v>
      </c>
      <c r="CZ86" s="311">
        <f>IF($BI86&lt;&gt;"",IF('Capacity summary'!$D$14="Yes",IF(COUNTBLANK('Capacity summary'!$H205:$BG205)&lt;52,IF('Capacity summary'!AW205&lt;&gt;"",IF(LOWER('Capacity summary'!AW205)="x",$BI86*AW86,VALUE('Capacity summary'!AW205)),0),AW86*$BI86),AW86*$BI86),0)</f>
        <v>0</v>
      </c>
      <c r="DA86" s="311">
        <f>IF($BI86&lt;&gt;"",IF('Capacity summary'!$D$14="Yes",IF(COUNTBLANK('Capacity summary'!$H205:$BG205)&lt;52,IF('Capacity summary'!AX205&lt;&gt;"",IF(LOWER('Capacity summary'!AX205)="x",$BI86*AX86,VALUE('Capacity summary'!AX205)),0),AX86*$BI86),AX86*$BI86),0)</f>
        <v>0</v>
      </c>
      <c r="DB86" s="311">
        <f>IF($BI86&lt;&gt;"",IF('Capacity summary'!$D$14="Yes",IF(COUNTBLANK('Capacity summary'!$H205:$BG205)&lt;52,IF('Capacity summary'!AY205&lt;&gt;"",IF(LOWER('Capacity summary'!AY205)="x",$BI86*AY86,VALUE('Capacity summary'!AY205)),0),AY86*$BI86),AY86*$BI86),0)</f>
        <v>0</v>
      </c>
      <c r="DC86" s="311">
        <f>IF($BI86&lt;&gt;"",IF('Capacity summary'!$D$14="Yes",IF(COUNTBLANK('Capacity summary'!$H205:$BG205)&lt;52,IF('Capacity summary'!AZ205&lt;&gt;"",IF(LOWER('Capacity summary'!AZ205)="x",$BI86*AZ86,VALUE('Capacity summary'!AZ205)),0),AZ86*$BI86),AZ86*$BI86),0)</f>
        <v>0</v>
      </c>
      <c r="DD86" s="311">
        <f>IF($BI86&lt;&gt;"",IF('Capacity summary'!$D$14="Yes",IF(COUNTBLANK('Capacity summary'!$H205:$BG205)&lt;52,IF('Capacity summary'!BA205&lt;&gt;"",IF(LOWER('Capacity summary'!BA205)="x",$BI86*BA86,VALUE('Capacity summary'!BA205)),0),BA86*$BI86),BA86*$BI86),0)</f>
        <v>0</v>
      </c>
      <c r="DE86" s="311">
        <f>IF($BI86&lt;&gt;"",IF('Capacity summary'!$D$14="Yes",IF(COUNTBLANK('Capacity summary'!$H205:$BG205)&lt;52,IF('Capacity summary'!BB205&lt;&gt;"",IF(LOWER('Capacity summary'!BB205)="x",$BI86*BB86,VALUE('Capacity summary'!BB205)),0),BB86*$BI86),BB86*$BI86),0)</f>
        <v>0</v>
      </c>
      <c r="DF86" s="311">
        <f>IF($BI86&lt;&gt;"",IF('Capacity summary'!$D$14="Yes",IF(COUNTBLANK('Capacity summary'!$H205:$BG205)&lt;52,IF('Capacity summary'!BC205&lt;&gt;"",IF(LOWER('Capacity summary'!BC205)="x",$BI86*BC86,VALUE('Capacity summary'!BC205)),0),BC86*$BI86),BC86*$BI86),0)</f>
        <v>0</v>
      </c>
      <c r="DG86" s="311">
        <f>IF($BI86&lt;&gt;"",IF('Capacity summary'!$D$14="Yes",IF(COUNTBLANK('Capacity summary'!$H205:$BG205)&lt;52,IF('Capacity summary'!BD205&lt;&gt;"",IF(LOWER('Capacity summary'!BD205)="x",$BI86*BD86,VALUE('Capacity summary'!BD205)),0),BD86*$BI86),BD86*$BI86),0)</f>
        <v>0</v>
      </c>
      <c r="DH86" s="311">
        <f>IF($BI86&lt;&gt;"",IF('Capacity summary'!$D$14="Yes",IF(COUNTBLANK('Capacity summary'!$H205:$BG205)&lt;52,IF('Capacity summary'!BE205&lt;&gt;"",IF(LOWER('Capacity summary'!BE205)="x",$BI86*BE86,VALUE('Capacity summary'!BE205)),0),BE86*$BI86),BE86*$BI86),0)</f>
        <v>0</v>
      </c>
      <c r="DI86" s="311">
        <f>IF($BI86&lt;&gt;"",IF('Capacity summary'!$D$14="Yes",IF(COUNTBLANK('Capacity summary'!$H205:$BG205)&lt;52,IF('Capacity summary'!BF205&lt;&gt;"",IF(LOWER('Capacity summary'!BF205)="x",$BI86*BF86,VALUE('Capacity summary'!BF205)),0),BF86*$BI86),BF86*$BI86),0)</f>
        <v>0</v>
      </c>
      <c r="DJ86" s="311">
        <f>IF($BI86&lt;&gt;"",IF('Capacity summary'!$D$14="Yes",IF(COUNTBLANK('Capacity summary'!$H205:$BG205)&lt;52,IF('Capacity summary'!BG205&lt;&gt;"",IF(LOWER('Capacity summary'!BG205)="x",$BI86*BG86,VALUE('Capacity summary'!BG205)),0),BG86*$BI86),BG86*$BI86),0)</f>
        <v>0</v>
      </c>
      <c r="DK86" s="387">
        <f t="shared" si="4"/>
        <v>0</v>
      </c>
      <c r="DL86" s="136">
        <f t="shared" si="5"/>
        <v>0</v>
      </c>
      <c r="DM86" s="311" t="str">
        <f>Capacity!H98</f>
        <v/>
      </c>
    </row>
    <row r="87" spans="1:117" x14ac:dyDescent="0.2">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1">
        <f>IF($BI87&lt;&gt;"",IF('Capacity summary'!$D$14="Yes",IF(COUNTBLANK('Capacity summary'!$H206:$BG206)&lt;52,IF('Capacity summary'!H206&lt;&gt;"",IF(LOWER('Capacity summary'!H206)="x",$BI87*H87,VALUE('Capacity summary'!H206)),0),H87*$BI87),H87*$BI87),0)</f>
        <v>0</v>
      </c>
      <c r="BL87" s="311">
        <f>IF($BI87&lt;&gt;"",IF('Capacity summary'!$D$14="Yes",IF(COUNTBLANK('Capacity summary'!$H206:$BG206)&lt;52,IF('Capacity summary'!I206&lt;&gt;"",IF(LOWER('Capacity summary'!I206)="x",$BI87*I87,VALUE('Capacity summary'!I206)),0),I87*$BI87),I87*$BI87),0)</f>
        <v>0</v>
      </c>
      <c r="BM87" s="311">
        <f>IF($BI87&lt;&gt;"",IF('Capacity summary'!$D$14="Yes",IF(COUNTBLANK('Capacity summary'!$H206:$BG206)&lt;52,IF('Capacity summary'!J206&lt;&gt;"",IF(LOWER('Capacity summary'!J206)="x",$BI87*J87,VALUE('Capacity summary'!J206)),0),J87*$BI87),J87*$BI87),0)</f>
        <v>0</v>
      </c>
      <c r="BN87" s="311">
        <f>IF($BI87&lt;&gt;"",IF('Capacity summary'!$D$14="Yes",IF(COUNTBLANK('Capacity summary'!$H206:$BG206)&lt;52,IF('Capacity summary'!K206&lt;&gt;"",IF(LOWER('Capacity summary'!K206)="x",$BI87*K87,VALUE('Capacity summary'!K206)),0),K87*$BI87),K87*$BI87),0)</f>
        <v>0</v>
      </c>
      <c r="BO87" s="311">
        <f>IF($BI87&lt;&gt;"",IF('Capacity summary'!$D$14="Yes",IF(COUNTBLANK('Capacity summary'!$H206:$BG206)&lt;52,IF('Capacity summary'!L206&lt;&gt;"",IF(LOWER('Capacity summary'!L206)="x",$BI87*L87,VALUE('Capacity summary'!L206)),0),L87*$BI87),L87*$BI87),0)</f>
        <v>0</v>
      </c>
      <c r="BP87" s="311">
        <f>IF($BI87&lt;&gt;"",IF('Capacity summary'!$D$14="Yes",IF(COUNTBLANK('Capacity summary'!$H206:$BG206)&lt;52,IF('Capacity summary'!M206&lt;&gt;"",IF(LOWER('Capacity summary'!M206)="x",$BI87*M87,VALUE('Capacity summary'!M206)),0),M87*$BI87),M87*$BI87),0)</f>
        <v>0</v>
      </c>
      <c r="BQ87" s="311">
        <f>IF($BI87&lt;&gt;"",IF('Capacity summary'!$D$14="Yes",IF(COUNTBLANK('Capacity summary'!$H206:$BG206)&lt;52,IF('Capacity summary'!N206&lt;&gt;"",IF(LOWER('Capacity summary'!N206)="x",$BI87*N87,VALUE('Capacity summary'!N206)),0),N87*$BI87),N87*$BI87),0)</f>
        <v>0</v>
      </c>
      <c r="BR87" s="311">
        <f>IF($BI87&lt;&gt;"",IF('Capacity summary'!$D$14="Yes",IF(COUNTBLANK('Capacity summary'!$H206:$BG206)&lt;52,IF('Capacity summary'!O206&lt;&gt;"",IF(LOWER('Capacity summary'!O206)="x",$BI87*O87,VALUE('Capacity summary'!O206)),0),O87*$BI87),O87*$BI87),0)</f>
        <v>0</v>
      </c>
      <c r="BS87" s="311">
        <f>IF($BI87&lt;&gt;"",IF('Capacity summary'!$D$14="Yes",IF(COUNTBLANK('Capacity summary'!$H206:$BG206)&lt;52,IF('Capacity summary'!P206&lt;&gt;"",IF(LOWER('Capacity summary'!P206)="x",$BI87*P87,VALUE('Capacity summary'!P206)),0),P87*$BI87),P87*$BI87),0)</f>
        <v>0</v>
      </c>
      <c r="BT87" s="311">
        <f>IF($BI87&lt;&gt;"",IF('Capacity summary'!$D$14="Yes",IF(COUNTBLANK('Capacity summary'!$H206:$BG206)&lt;52,IF('Capacity summary'!Q206&lt;&gt;"",IF(LOWER('Capacity summary'!Q206)="x",$BI87*Q87,VALUE('Capacity summary'!Q206)),0),Q87*$BI87),Q87*$BI87),0)</f>
        <v>0</v>
      </c>
      <c r="BU87" s="311">
        <f>IF($BI87&lt;&gt;"",IF('Capacity summary'!$D$14="Yes",IF(COUNTBLANK('Capacity summary'!$H206:$BG206)&lt;52,IF('Capacity summary'!R206&lt;&gt;"",IF(LOWER('Capacity summary'!R206)="x",$BI87*R87,VALUE('Capacity summary'!R206)),0),R87*$BI87),R87*$BI87),0)</f>
        <v>0</v>
      </c>
      <c r="BV87" s="311">
        <f>IF($BI87&lt;&gt;"",IF('Capacity summary'!$D$14="Yes",IF(COUNTBLANK('Capacity summary'!$H206:$BG206)&lt;52,IF('Capacity summary'!S206&lt;&gt;"",IF(LOWER('Capacity summary'!S206)="x",$BI87*S87,VALUE('Capacity summary'!S206)),0),S87*$BI87),S87*$BI87),0)</f>
        <v>0</v>
      </c>
      <c r="BW87" s="311">
        <f>IF($BI87&lt;&gt;"",IF('Capacity summary'!$D$14="Yes",IF(COUNTBLANK('Capacity summary'!$H206:$BG206)&lt;52,IF('Capacity summary'!T206&lt;&gt;"",IF(LOWER('Capacity summary'!T206)="x",$BI87*T87,VALUE('Capacity summary'!T206)),0),T87*$BI87),T87*$BI87),0)</f>
        <v>0</v>
      </c>
      <c r="BX87" s="311">
        <f>IF($BI87&lt;&gt;"",IF('Capacity summary'!$D$14="Yes",IF(COUNTBLANK('Capacity summary'!$H206:$BG206)&lt;52,IF('Capacity summary'!U206&lt;&gt;"",IF(LOWER('Capacity summary'!U206)="x",$BI87*U87,VALUE('Capacity summary'!U206)),0),U87*$BI87),U87*$BI87),0)</f>
        <v>0</v>
      </c>
      <c r="BY87" s="311">
        <f>IF($BI87&lt;&gt;"",IF('Capacity summary'!$D$14="Yes",IF(COUNTBLANK('Capacity summary'!$H206:$BG206)&lt;52,IF('Capacity summary'!V206&lt;&gt;"",IF(LOWER('Capacity summary'!V206)="x",$BI87*V87,VALUE('Capacity summary'!V206)),0),V87*$BI87),V87*$BI87),0)</f>
        <v>0</v>
      </c>
      <c r="BZ87" s="311">
        <f>IF($BI87&lt;&gt;"",IF('Capacity summary'!$D$14="Yes",IF(COUNTBLANK('Capacity summary'!$H206:$BG206)&lt;52,IF('Capacity summary'!W206&lt;&gt;"",IF(LOWER('Capacity summary'!W206)="x",$BI87*W87,VALUE('Capacity summary'!W206)),0),W87*$BI87),W87*$BI87),0)</f>
        <v>0</v>
      </c>
      <c r="CA87" s="311">
        <f>IF($BI87&lt;&gt;"",IF('Capacity summary'!$D$14="Yes",IF(COUNTBLANK('Capacity summary'!$H206:$BG206)&lt;52,IF('Capacity summary'!X206&lt;&gt;"",IF(LOWER('Capacity summary'!X206)="x",$BI87*X87,VALUE('Capacity summary'!X206)),0),X87*$BI87),X87*$BI87),0)</f>
        <v>0</v>
      </c>
      <c r="CB87" s="311">
        <f>IF($BI87&lt;&gt;"",IF('Capacity summary'!$D$14="Yes",IF(COUNTBLANK('Capacity summary'!$H206:$BG206)&lt;52,IF('Capacity summary'!Y206&lt;&gt;"",IF(LOWER('Capacity summary'!Y206)="x",$BI87*Y87,VALUE('Capacity summary'!Y206)),0),Y87*$BI87),Y87*$BI87),0)</f>
        <v>0</v>
      </c>
      <c r="CC87" s="311">
        <f>IF($BI87&lt;&gt;"",IF('Capacity summary'!$D$14="Yes",IF(COUNTBLANK('Capacity summary'!$H206:$BG206)&lt;52,IF('Capacity summary'!Z206&lt;&gt;"",IF(LOWER('Capacity summary'!Z206)="x",$BI87*Z87,VALUE('Capacity summary'!Z206)),0),Z87*$BI87),Z87*$BI87),0)</f>
        <v>0</v>
      </c>
      <c r="CD87" s="311">
        <f>IF($BI87&lt;&gt;"",IF('Capacity summary'!$D$14="Yes",IF(COUNTBLANK('Capacity summary'!$H206:$BG206)&lt;52,IF('Capacity summary'!AA206&lt;&gt;"",IF(LOWER('Capacity summary'!AA206)="x",$BI87*AA87,VALUE('Capacity summary'!AA206)),0),AA87*$BI87),AA87*$BI87),0)</f>
        <v>0</v>
      </c>
      <c r="CE87" s="311">
        <f>IF($BI87&lt;&gt;"",IF('Capacity summary'!$D$14="Yes",IF(COUNTBLANK('Capacity summary'!$H206:$BG206)&lt;52,IF('Capacity summary'!AB206&lt;&gt;"",IF(LOWER('Capacity summary'!AB206)="x",$BI87*AB87,VALUE('Capacity summary'!AB206)),0),AB87*$BI87),AB87*$BI87),0)</f>
        <v>0</v>
      </c>
      <c r="CF87" s="311">
        <f>IF($BI87&lt;&gt;"",IF('Capacity summary'!$D$14="Yes",IF(COUNTBLANK('Capacity summary'!$H206:$BG206)&lt;52,IF('Capacity summary'!AC206&lt;&gt;"",IF(LOWER('Capacity summary'!AC206)="x",$BI87*AC87,VALUE('Capacity summary'!AC206)),0),AC87*$BI87),AC87*$BI87),0)</f>
        <v>0</v>
      </c>
      <c r="CG87" s="311">
        <f>IF($BI87&lt;&gt;"",IF('Capacity summary'!$D$14="Yes",IF(COUNTBLANK('Capacity summary'!$H206:$BG206)&lt;52,IF('Capacity summary'!AD206&lt;&gt;"",IF(LOWER('Capacity summary'!AD206)="x",$BI87*AD87,VALUE('Capacity summary'!AD206)),0),AD87*$BI87),AD87*$BI87),0)</f>
        <v>0</v>
      </c>
      <c r="CH87" s="311">
        <f>IF($BI87&lt;&gt;"",IF('Capacity summary'!$D$14="Yes",IF(COUNTBLANK('Capacity summary'!$H206:$BG206)&lt;52,IF('Capacity summary'!AE206&lt;&gt;"",IF(LOWER('Capacity summary'!AE206)="x",$BI87*AE87,VALUE('Capacity summary'!AE206)),0),AE87*$BI87),AE87*$BI87),0)</f>
        <v>0</v>
      </c>
      <c r="CI87" s="311">
        <f>IF($BI87&lt;&gt;"",IF('Capacity summary'!$D$14="Yes",IF(COUNTBLANK('Capacity summary'!$H206:$BG206)&lt;52,IF('Capacity summary'!AF206&lt;&gt;"",IF(LOWER('Capacity summary'!AF206)="x",$BI87*AF87,VALUE('Capacity summary'!AF206)),0),AF87*$BI87),AF87*$BI87),0)</f>
        <v>0</v>
      </c>
      <c r="CJ87" s="311">
        <f>IF($BI87&lt;&gt;"",IF('Capacity summary'!$D$14="Yes",IF(COUNTBLANK('Capacity summary'!$H206:$BG206)&lt;52,IF('Capacity summary'!AG206&lt;&gt;"",IF(LOWER('Capacity summary'!AG206)="x",$BI87*AG87,VALUE('Capacity summary'!AG206)),0),AG87*$BI87),AG87*$BI87),0)</f>
        <v>0</v>
      </c>
      <c r="CK87" s="311">
        <f>IF($BI87&lt;&gt;"",IF('Capacity summary'!$D$14="Yes",IF(COUNTBLANK('Capacity summary'!$H206:$BG206)&lt;52,IF('Capacity summary'!AH206&lt;&gt;"",IF(LOWER('Capacity summary'!AH206)="x",$BI87*AH87,VALUE('Capacity summary'!AH206)),0),AH87*$BI87),AH87*$BI87),0)</f>
        <v>0</v>
      </c>
      <c r="CL87" s="311">
        <f>IF($BI87&lt;&gt;"",IF('Capacity summary'!$D$14="Yes",IF(COUNTBLANK('Capacity summary'!$H206:$BG206)&lt;52,IF('Capacity summary'!AI206&lt;&gt;"",IF(LOWER('Capacity summary'!AI206)="x",$BI87*AI87,VALUE('Capacity summary'!AI206)),0),AI87*$BI87),AI87*$BI87),0)</f>
        <v>0</v>
      </c>
      <c r="CM87" s="311">
        <f>IF($BI87&lt;&gt;"",IF('Capacity summary'!$D$14="Yes",IF(COUNTBLANK('Capacity summary'!$H206:$BG206)&lt;52,IF('Capacity summary'!AJ206&lt;&gt;"",IF(LOWER('Capacity summary'!AJ206)="x",$BI87*AJ87,VALUE('Capacity summary'!AJ206)),0),AJ87*$BI87),AJ87*$BI87),0)</f>
        <v>0</v>
      </c>
      <c r="CN87" s="311">
        <f>IF($BI87&lt;&gt;"",IF('Capacity summary'!$D$14="Yes",IF(COUNTBLANK('Capacity summary'!$H206:$BG206)&lt;52,IF('Capacity summary'!AK206&lt;&gt;"",IF(LOWER('Capacity summary'!AK206)="x",$BI87*AK87,VALUE('Capacity summary'!AK206)),0),AK87*$BI87),AK87*$BI87),0)</f>
        <v>0</v>
      </c>
      <c r="CO87" s="311">
        <f>IF($BI87&lt;&gt;"",IF('Capacity summary'!$D$14="Yes",IF(COUNTBLANK('Capacity summary'!$H206:$BG206)&lt;52,IF('Capacity summary'!AL206&lt;&gt;"",IF(LOWER('Capacity summary'!AL206)="x",$BI87*AL87,VALUE('Capacity summary'!AL206)),0),AL87*$BI87),AL87*$BI87),0)</f>
        <v>0</v>
      </c>
      <c r="CP87" s="311">
        <f>IF($BI87&lt;&gt;"",IF('Capacity summary'!$D$14="Yes",IF(COUNTBLANK('Capacity summary'!$H206:$BG206)&lt;52,IF('Capacity summary'!AM206&lt;&gt;"",IF(LOWER('Capacity summary'!AM206)="x",$BI87*AM87,VALUE('Capacity summary'!AM206)),0),AM87*$BI87),AM87*$BI87),0)</f>
        <v>0</v>
      </c>
      <c r="CQ87" s="311">
        <f>IF($BI87&lt;&gt;"",IF('Capacity summary'!$D$14="Yes",IF(COUNTBLANK('Capacity summary'!$H206:$BG206)&lt;52,IF('Capacity summary'!AN206&lt;&gt;"",IF(LOWER('Capacity summary'!AN206)="x",$BI87*AN87,VALUE('Capacity summary'!AN206)),0),AN87*$BI87),AN87*$BI87),0)</f>
        <v>0</v>
      </c>
      <c r="CR87" s="311">
        <f>IF($BI87&lt;&gt;"",IF('Capacity summary'!$D$14="Yes",IF(COUNTBLANK('Capacity summary'!$H206:$BG206)&lt;52,IF('Capacity summary'!AO206&lt;&gt;"",IF(LOWER('Capacity summary'!AO206)="x",$BI87*AO87,VALUE('Capacity summary'!AO206)),0),AO87*$BI87),AO87*$BI87),0)</f>
        <v>0</v>
      </c>
      <c r="CS87" s="311">
        <f>IF($BI87&lt;&gt;"",IF('Capacity summary'!$D$14="Yes",IF(COUNTBLANK('Capacity summary'!$H206:$BG206)&lt;52,IF('Capacity summary'!AP206&lt;&gt;"",IF(LOWER('Capacity summary'!AP206)="x",$BI87*AP87,VALUE('Capacity summary'!AP206)),0),AP87*$BI87),AP87*$BI87),0)</f>
        <v>0</v>
      </c>
      <c r="CT87" s="311">
        <f>IF($BI87&lt;&gt;"",IF('Capacity summary'!$D$14="Yes",IF(COUNTBLANK('Capacity summary'!$H206:$BG206)&lt;52,IF('Capacity summary'!AQ206&lt;&gt;"",IF(LOWER('Capacity summary'!AQ206)="x",$BI87*AQ87,VALUE('Capacity summary'!AQ206)),0),AQ87*$BI87),AQ87*$BI87),0)</f>
        <v>0</v>
      </c>
      <c r="CU87" s="311">
        <f>IF($BI87&lt;&gt;"",IF('Capacity summary'!$D$14="Yes",IF(COUNTBLANK('Capacity summary'!$H206:$BG206)&lt;52,IF('Capacity summary'!AR206&lt;&gt;"",IF(LOWER('Capacity summary'!AR206)="x",$BI87*AR87,VALUE('Capacity summary'!AR206)),0),AR87*$BI87),AR87*$BI87),0)</f>
        <v>0</v>
      </c>
      <c r="CV87" s="311">
        <f>IF($BI87&lt;&gt;"",IF('Capacity summary'!$D$14="Yes",IF(COUNTBLANK('Capacity summary'!$H206:$BG206)&lt;52,IF('Capacity summary'!AS206&lt;&gt;"",IF(LOWER('Capacity summary'!AS206)="x",$BI87*AS87,VALUE('Capacity summary'!AS206)),0),AS87*$BI87),AS87*$BI87),0)</f>
        <v>0</v>
      </c>
      <c r="CW87" s="311">
        <f>IF($BI87&lt;&gt;"",IF('Capacity summary'!$D$14="Yes",IF(COUNTBLANK('Capacity summary'!$H206:$BG206)&lt;52,IF('Capacity summary'!AT206&lt;&gt;"",IF(LOWER('Capacity summary'!AT206)="x",$BI87*AT87,VALUE('Capacity summary'!AT206)),0),AT87*$BI87),AT87*$BI87),0)</f>
        <v>0</v>
      </c>
      <c r="CX87" s="311">
        <f>IF($BI87&lt;&gt;"",IF('Capacity summary'!$D$14="Yes",IF(COUNTBLANK('Capacity summary'!$H206:$BG206)&lt;52,IF('Capacity summary'!AU206&lt;&gt;"",IF(LOWER('Capacity summary'!AU206)="x",$BI87*AU87,VALUE('Capacity summary'!AU206)),0),AU87*$BI87),AU87*$BI87),0)</f>
        <v>0</v>
      </c>
      <c r="CY87" s="311">
        <f>IF($BI87&lt;&gt;"",IF('Capacity summary'!$D$14="Yes",IF(COUNTBLANK('Capacity summary'!$H206:$BG206)&lt;52,IF('Capacity summary'!AV206&lt;&gt;"",IF(LOWER('Capacity summary'!AV206)="x",$BI87*AV87,VALUE('Capacity summary'!AV206)),0),AV87*$BI87),AV87*$BI87),0)</f>
        <v>0</v>
      </c>
      <c r="CZ87" s="311">
        <f>IF($BI87&lt;&gt;"",IF('Capacity summary'!$D$14="Yes",IF(COUNTBLANK('Capacity summary'!$H206:$BG206)&lt;52,IF('Capacity summary'!AW206&lt;&gt;"",IF(LOWER('Capacity summary'!AW206)="x",$BI87*AW87,VALUE('Capacity summary'!AW206)),0),AW87*$BI87),AW87*$BI87),0)</f>
        <v>0</v>
      </c>
      <c r="DA87" s="311">
        <f>IF($BI87&lt;&gt;"",IF('Capacity summary'!$D$14="Yes",IF(COUNTBLANK('Capacity summary'!$H206:$BG206)&lt;52,IF('Capacity summary'!AX206&lt;&gt;"",IF(LOWER('Capacity summary'!AX206)="x",$BI87*AX87,VALUE('Capacity summary'!AX206)),0),AX87*$BI87),AX87*$BI87),0)</f>
        <v>0</v>
      </c>
      <c r="DB87" s="311">
        <f>IF($BI87&lt;&gt;"",IF('Capacity summary'!$D$14="Yes",IF(COUNTBLANK('Capacity summary'!$H206:$BG206)&lt;52,IF('Capacity summary'!AY206&lt;&gt;"",IF(LOWER('Capacity summary'!AY206)="x",$BI87*AY87,VALUE('Capacity summary'!AY206)),0),AY87*$BI87),AY87*$BI87),0)</f>
        <v>0</v>
      </c>
      <c r="DC87" s="311">
        <f>IF($BI87&lt;&gt;"",IF('Capacity summary'!$D$14="Yes",IF(COUNTBLANK('Capacity summary'!$H206:$BG206)&lt;52,IF('Capacity summary'!AZ206&lt;&gt;"",IF(LOWER('Capacity summary'!AZ206)="x",$BI87*AZ87,VALUE('Capacity summary'!AZ206)),0),AZ87*$BI87),AZ87*$BI87),0)</f>
        <v>0</v>
      </c>
      <c r="DD87" s="311">
        <f>IF($BI87&lt;&gt;"",IF('Capacity summary'!$D$14="Yes",IF(COUNTBLANK('Capacity summary'!$H206:$BG206)&lt;52,IF('Capacity summary'!BA206&lt;&gt;"",IF(LOWER('Capacity summary'!BA206)="x",$BI87*BA87,VALUE('Capacity summary'!BA206)),0),BA87*$BI87),BA87*$BI87),0)</f>
        <v>0</v>
      </c>
      <c r="DE87" s="311">
        <f>IF($BI87&lt;&gt;"",IF('Capacity summary'!$D$14="Yes",IF(COUNTBLANK('Capacity summary'!$H206:$BG206)&lt;52,IF('Capacity summary'!BB206&lt;&gt;"",IF(LOWER('Capacity summary'!BB206)="x",$BI87*BB87,VALUE('Capacity summary'!BB206)),0),BB87*$BI87),BB87*$BI87),0)</f>
        <v>0</v>
      </c>
      <c r="DF87" s="311">
        <f>IF($BI87&lt;&gt;"",IF('Capacity summary'!$D$14="Yes",IF(COUNTBLANK('Capacity summary'!$H206:$BG206)&lt;52,IF('Capacity summary'!BC206&lt;&gt;"",IF(LOWER('Capacity summary'!BC206)="x",$BI87*BC87,VALUE('Capacity summary'!BC206)),0),BC87*$BI87),BC87*$BI87),0)</f>
        <v>0</v>
      </c>
      <c r="DG87" s="311">
        <f>IF($BI87&lt;&gt;"",IF('Capacity summary'!$D$14="Yes",IF(COUNTBLANK('Capacity summary'!$H206:$BG206)&lt;52,IF('Capacity summary'!BD206&lt;&gt;"",IF(LOWER('Capacity summary'!BD206)="x",$BI87*BD87,VALUE('Capacity summary'!BD206)),0),BD87*$BI87),BD87*$BI87),0)</f>
        <v>0</v>
      </c>
      <c r="DH87" s="311">
        <f>IF($BI87&lt;&gt;"",IF('Capacity summary'!$D$14="Yes",IF(COUNTBLANK('Capacity summary'!$H206:$BG206)&lt;52,IF('Capacity summary'!BE206&lt;&gt;"",IF(LOWER('Capacity summary'!BE206)="x",$BI87*BE87,VALUE('Capacity summary'!BE206)),0),BE87*$BI87),BE87*$BI87),0)</f>
        <v>0</v>
      </c>
      <c r="DI87" s="311">
        <f>IF($BI87&lt;&gt;"",IF('Capacity summary'!$D$14="Yes",IF(COUNTBLANK('Capacity summary'!$H206:$BG206)&lt;52,IF('Capacity summary'!BF206&lt;&gt;"",IF(LOWER('Capacity summary'!BF206)="x",$BI87*BF87,VALUE('Capacity summary'!BF206)),0),BF87*$BI87),BF87*$BI87),0)</f>
        <v>0</v>
      </c>
      <c r="DJ87" s="311">
        <f>IF($BI87&lt;&gt;"",IF('Capacity summary'!$D$14="Yes",IF(COUNTBLANK('Capacity summary'!$H206:$BG206)&lt;52,IF('Capacity summary'!BG206&lt;&gt;"",IF(LOWER('Capacity summary'!BG206)="x",$BI87*BG87,VALUE('Capacity summary'!BG206)),0),BG87*$BI87),BG87*$BI87),0)</f>
        <v>0</v>
      </c>
      <c r="DK87" s="387">
        <f t="shared" si="4"/>
        <v>0</v>
      </c>
      <c r="DL87" s="136">
        <f t="shared" si="5"/>
        <v>0</v>
      </c>
      <c r="DM87" s="311" t="str">
        <f>Capacity!H99</f>
        <v/>
      </c>
    </row>
    <row r="88" spans="1:117" x14ac:dyDescent="0.2">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1">
        <f>IF($BI88&lt;&gt;"",IF('Capacity summary'!$D$14="Yes",IF(COUNTBLANK('Capacity summary'!$H207:$BG207)&lt;52,IF('Capacity summary'!H207&lt;&gt;"",IF(LOWER('Capacity summary'!H207)="x",$BI88*H88,VALUE('Capacity summary'!H207)),0),H88*$BI88),H88*$BI88),0)</f>
        <v>0</v>
      </c>
      <c r="BL88" s="311">
        <f>IF($BI88&lt;&gt;"",IF('Capacity summary'!$D$14="Yes",IF(COUNTBLANK('Capacity summary'!$H207:$BG207)&lt;52,IF('Capacity summary'!I207&lt;&gt;"",IF(LOWER('Capacity summary'!I207)="x",$BI88*I88,VALUE('Capacity summary'!I207)),0),I88*$BI88),I88*$BI88),0)</f>
        <v>0</v>
      </c>
      <c r="BM88" s="311">
        <f>IF($BI88&lt;&gt;"",IF('Capacity summary'!$D$14="Yes",IF(COUNTBLANK('Capacity summary'!$H207:$BG207)&lt;52,IF('Capacity summary'!J207&lt;&gt;"",IF(LOWER('Capacity summary'!J207)="x",$BI88*J88,VALUE('Capacity summary'!J207)),0),J88*$BI88),J88*$BI88),0)</f>
        <v>0</v>
      </c>
      <c r="BN88" s="311">
        <f>IF($BI88&lt;&gt;"",IF('Capacity summary'!$D$14="Yes",IF(COUNTBLANK('Capacity summary'!$H207:$BG207)&lt;52,IF('Capacity summary'!K207&lt;&gt;"",IF(LOWER('Capacity summary'!K207)="x",$BI88*K88,VALUE('Capacity summary'!K207)),0),K88*$BI88),K88*$BI88),0)</f>
        <v>0</v>
      </c>
      <c r="BO88" s="311">
        <f>IF($BI88&lt;&gt;"",IF('Capacity summary'!$D$14="Yes",IF(COUNTBLANK('Capacity summary'!$H207:$BG207)&lt;52,IF('Capacity summary'!L207&lt;&gt;"",IF(LOWER('Capacity summary'!L207)="x",$BI88*L88,VALUE('Capacity summary'!L207)),0),L88*$BI88),L88*$BI88),0)</f>
        <v>0</v>
      </c>
      <c r="BP88" s="311">
        <f>IF($BI88&lt;&gt;"",IF('Capacity summary'!$D$14="Yes",IF(COUNTBLANK('Capacity summary'!$H207:$BG207)&lt;52,IF('Capacity summary'!M207&lt;&gt;"",IF(LOWER('Capacity summary'!M207)="x",$BI88*M88,VALUE('Capacity summary'!M207)),0),M88*$BI88),M88*$BI88),0)</f>
        <v>0</v>
      </c>
      <c r="BQ88" s="311">
        <f>IF($BI88&lt;&gt;"",IF('Capacity summary'!$D$14="Yes",IF(COUNTBLANK('Capacity summary'!$H207:$BG207)&lt;52,IF('Capacity summary'!N207&lt;&gt;"",IF(LOWER('Capacity summary'!N207)="x",$BI88*N88,VALUE('Capacity summary'!N207)),0),N88*$BI88),N88*$BI88),0)</f>
        <v>0</v>
      </c>
      <c r="BR88" s="311">
        <f>IF($BI88&lt;&gt;"",IF('Capacity summary'!$D$14="Yes",IF(COUNTBLANK('Capacity summary'!$H207:$BG207)&lt;52,IF('Capacity summary'!O207&lt;&gt;"",IF(LOWER('Capacity summary'!O207)="x",$BI88*O88,VALUE('Capacity summary'!O207)),0),O88*$BI88),O88*$BI88),0)</f>
        <v>0</v>
      </c>
      <c r="BS88" s="311">
        <f>IF($BI88&lt;&gt;"",IF('Capacity summary'!$D$14="Yes",IF(COUNTBLANK('Capacity summary'!$H207:$BG207)&lt;52,IF('Capacity summary'!P207&lt;&gt;"",IF(LOWER('Capacity summary'!P207)="x",$BI88*P88,VALUE('Capacity summary'!P207)),0),P88*$BI88),P88*$BI88),0)</f>
        <v>0</v>
      </c>
      <c r="BT88" s="311">
        <f>IF($BI88&lt;&gt;"",IF('Capacity summary'!$D$14="Yes",IF(COUNTBLANK('Capacity summary'!$H207:$BG207)&lt;52,IF('Capacity summary'!Q207&lt;&gt;"",IF(LOWER('Capacity summary'!Q207)="x",$BI88*Q88,VALUE('Capacity summary'!Q207)),0),Q88*$BI88),Q88*$BI88),0)</f>
        <v>0</v>
      </c>
      <c r="BU88" s="311">
        <f>IF($BI88&lt;&gt;"",IF('Capacity summary'!$D$14="Yes",IF(COUNTBLANK('Capacity summary'!$H207:$BG207)&lt;52,IF('Capacity summary'!R207&lt;&gt;"",IF(LOWER('Capacity summary'!R207)="x",$BI88*R88,VALUE('Capacity summary'!R207)),0),R88*$BI88),R88*$BI88),0)</f>
        <v>0</v>
      </c>
      <c r="BV88" s="311">
        <f>IF($BI88&lt;&gt;"",IF('Capacity summary'!$D$14="Yes",IF(COUNTBLANK('Capacity summary'!$H207:$BG207)&lt;52,IF('Capacity summary'!S207&lt;&gt;"",IF(LOWER('Capacity summary'!S207)="x",$BI88*S88,VALUE('Capacity summary'!S207)),0),S88*$BI88),S88*$BI88),0)</f>
        <v>0</v>
      </c>
      <c r="BW88" s="311">
        <f>IF($BI88&lt;&gt;"",IF('Capacity summary'!$D$14="Yes",IF(COUNTBLANK('Capacity summary'!$H207:$BG207)&lt;52,IF('Capacity summary'!T207&lt;&gt;"",IF(LOWER('Capacity summary'!T207)="x",$BI88*T88,VALUE('Capacity summary'!T207)),0),T88*$BI88),T88*$BI88),0)</f>
        <v>0</v>
      </c>
      <c r="BX88" s="311">
        <f>IF($BI88&lt;&gt;"",IF('Capacity summary'!$D$14="Yes",IF(COUNTBLANK('Capacity summary'!$H207:$BG207)&lt;52,IF('Capacity summary'!U207&lt;&gt;"",IF(LOWER('Capacity summary'!U207)="x",$BI88*U88,VALUE('Capacity summary'!U207)),0),U88*$BI88),U88*$BI88),0)</f>
        <v>0</v>
      </c>
      <c r="BY88" s="311">
        <f>IF($BI88&lt;&gt;"",IF('Capacity summary'!$D$14="Yes",IF(COUNTBLANK('Capacity summary'!$H207:$BG207)&lt;52,IF('Capacity summary'!V207&lt;&gt;"",IF(LOWER('Capacity summary'!V207)="x",$BI88*V88,VALUE('Capacity summary'!V207)),0),V88*$BI88),V88*$BI88),0)</f>
        <v>0</v>
      </c>
      <c r="BZ88" s="311">
        <f>IF($BI88&lt;&gt;"",IF('Capacity summary'!$D$14="Yes",IF(COUNTBLANK('Capacity summary'!$H207:$BG207)&lt;52,IF('Capacity summary'!W207&lt;&gt;"",IF(LOWER('Capacity summary'!W207)="x",$BI88*W88,VALUE('Capacity summary'!W207)),0),W88*$BI88),W88*$BI88),0)</f>
        <v>0</v>
      </c>
      <c r="CA88" s="311">
        <f>IF($BI88&lt;&gt;"",IF('Capacity summary'!$D$14="Yes",IF(COUNTBLANK('Capacity summary'!$H207:$BG207)&lt;52,IF('Capacity summary'!X207&lt;&gt;"",IF(LOWER('Capacity summary'!X207)="x",$BI88*X88,VALUE('Capacity summary'!X207)),0),X88*$BI88),X88*$BI88),0)</f>
        <v>0</v>
      </c>
      <c r="CB88" s="311">
        <f>IF($BI88&lt;&gt;"",IF('Capacity summary'!$D$14="Yes",IF(COUNTBLANK('Capacity summary'!$H207:$BG207)&lt;52,IF('Capacity summary'!Y207&lt;&gt;"",IF(LOWER('Capacity summary'!Y207)="x",$BI88*Y88,VALUE('Capacity summary'!Y207)),0),Y88*$BI88),Y88*$BI88),0)</f>
        <v>0</v>
      </c>
      <c r="CC88" s="311">
        <f>IF($BI88&lt;&gt;"",IF('Capacity summary'!$D$14="Yes",IF(COUNTBLANK('Capacity summary'!$H207:$BG207)&lt;52,IF('Capacity summary'!Z207&lt;&gt;"",IF(LOWER('Capacity summary'!Z207)="x",$BI88*Z88,VALUE('Capacity summary'!Z207)),0),Z88*$BI88),Z88*$BI88),0)</f>
        <v>0</v>
      </c>
      <c r="CD88" s="311">
        <f>IF($BI88&lt;&gt;"",IF('Capacity summary'!$D$14="Yes",IF(COUNTBLANK('Capacity summary'!$H207:$BG207)&lt;52,IF('Capacity summary'!AA207&lt;&gt;"",IF(LOWER('Capacity summary'!AA207)="x",$BI88*AA88,VALUE('Capacity summary'!AA207)),0),AA88*$BI88),AA88*$BI88),0)</f>
        <v>0</v>
      </c>
      <c r="CE88" s="311">
        <f>IF($BI88&lt;&gt;"",IF('Capacity summary'!$D$14="Yes",IF(COUNTBLANK('Capacity summary'!$H207:$BG207)&lt;52,IF('Capacity summary'!AB207&lt;&gt;"",IF(LOWER('Capacity summary'!AB207)="x",$BI88*AB88,VALUE('Capacity summary'!AB207)),0),AB88*$BI88),AB88*$BI88),0)</f>
        <v>0</v>
      </c>
      <c r="CF88" s="311">
        <f>IF($BI88&lt;&gt;"",IF('Capacity summary'!$D$14="Yes",IF(COUNTBLANK('Capacity summary'!$H207:$BG207)&lt;52,IF('Capacity summary'!AC207&lt;&gt;"",IF(LOWER('Capacity summary'!AC207)="x",$BI88*AC88,VALUE('Capacity summary'!AC207)),0),AC88*$BI88),AC88*$BI88),0)</f>
        <v>0</v>
      </c>
      <c r="CG88" s="311">
        <f>IF($BI88&lt;&gt;"",IF('Capacity summary'!$D$14="Yes",IF(COUNTBLANK('Capacity summary'!$H207:$BG207)&lt;52,IF('Capacity summary'!AD207&lt;&gt;"",IF(LOWER('Capacity summary'!AD207)="x",$BI88*AD88,VALUE('Capacity summary'!AD207)),0),AD88*$BI88),AD88*$BI88),0)</f>
        <v>0</v>
      </c>
      <c r="CH88" s="311">
        <f>IF($BI88&lt;&gt;"",IF('Capacity summary'!$D$14="Yes",IF(COUNTBLANK('Capacity summary'!$H207:$BG207)&lt;52,IF('Capacity summary'!AE207&lt;&gt;"",IF(LOWER('Capacity summary'!AE207)="x",$BI88*AE88,VALUE('Capacity summary'!AE207)),0),AE88*$BI88),AE88*$BI88),0)</f>
        <v>0</v>
      </c>
      <c r="CI88" s="311">
        <f>IF($BI88&lt;&gt;"",IF('Capacity summary'!$D$14="Yes",IF(COUNTBLANK('Capacity summary'!$H207:$BG207)&lt;52,IF('Capacity summary'!AF207&lt;&gt;"",IF(LOWER('Capacity summary'!AF207)="x",$BI88*AF88,VALUE('Capacity summary'!AF207)),0),AF88*$BI88),AF88*$BI88),0)</f>
        <v>0</v>
      </c>
      <c r="CJ88" s="311">
        <f>IF($BI88&lt;&gt;"",IF('Capacity summary'!$D$14="Yes",IF(COUNTBLANK('Capacity summary'!$H207:$BG207)&lt;52,IF('Capacity summary'!AG207&lt;&gt;"",IF(LOWER('Capacity summary'!AG207)="x",$BI88*AG88,VALUE('Capacity summary'!AG207)),0),AG88*$BI88),AG88*$BI88),0)</f>
        <v>0</v>
      </c>
      <c r="CK88" s="311">
        <f>IF($BI88&lt;&gt;"",IF('Capacity summary'!$D$14="Yes",IF(COUNTBLANK('Capacity summary'!$H207:$BG207)&lt;52,IF('Capacity summary'!AH207&lt;&gt;"",IF(LOWER('Capacity summary'!AH207)="x",$BI88*AH88,VALUE('Capacity summary'!AH207)),0),AH88*$BI88),AH88*$BI88),0)</f>
        <v>0</v>
      </c>
      <c r="CL88" s="311">
        <f>IF($BI88&lt;&gt;"",IF('Capacity summary'!$D$14="Yes",IF(COUNTBLANK('Capacity summary'!$H207:$BG207)&lt;52,IF('Capacity summary'!AI207&lt;&gt;"",IF(LOWER('Capacity summary'!AI207)="x",$BI88*AI88,VALUE('Capacity summary'!AI207)),0),AI88*$BI88),AI88*$BI88),0)</f>
        <v>0</v>
      </c>
      <c r="CM88" s="311">
        <f>IF($BI88&lt;&gt;"",IF('Capacity summary'!$D$14="Yes",IF(COUNTBLANK('Capacity summary'!$H207:$BG207)&lt;52,IF('Capacity summary'!AJ207&lt;&gt;"",IF(LOWER('Capacity summary'!AJ207)="x",$BI88*AJ88,VALUE('Capacity summary'!AJ207)),0),AJ88*$BI88),AJ88*$BI88),0)</f>
        <v>0</v>
      </c>
      <c r="CN88" s="311">
        <f>IF($BI88&lt;&gt;"",IF('Capacity summary'!$D$14="Yes",IF(COUNTBLANK('Capacity summary'!$H207:$BG207)&lt;52,IF('Capacity summary'!AK207&lt;&gt;"",IF(LOWER('Capacity summary'!AK207)="x",$BI88*AK88,VALUE('Capacity summary'!AK207)),0),AK88*$BI88),AK88*$BI88),0)</f>
        <v>0</v>
      </c>
      <c r="CO88" s="311">
        <f>IF($BI88&lt;&gt;"",IF('Capacity summary'!$D$14="Yes",IF(COUNTBLANK('Capacity summary'!$H207:$BG207)&lt;52,IF('Capacity summary'!AL207&lt;&gt;"",IF(LOWER('Capacity summary'!AL207)="x",$BI88*AL88,VALUE('Capacity summary'!AL207)),0),AL88*$BI88),AL88*$BI88),0)</f>
        <v>0</v>
      </c>
      <c r="CP88" s="311">
        <f>IF($BI88&lt;&gt;"",IF('Capacity summary'!$D$14="Yes",IF(COUNTBLANK('Capacity summary'!$H207:$BG207)&lt;52,IF('Capacity summary'!AM207&lt;&gt;"",IF(LOWER('Capacity summary'!AM207)="x",$BI88*AM88,VALUE('Capacity summary'!AM207)),0),AM88*$BI88),AM88*$BI88),0)</f>
        <v>0</v>
      </c>
      <c r="CQ88" s="311">
        <f>IF($BI88&lt;&gt;"",IF('Capacity summary'!$D$14="Yes",IF(COUNTBLANK('Capacity summary'!$H207:$BG207)&lt;52,IF('Capacity summary'!AN207&lt;&gt;"",IF(LOWER('Capacity summary'!AN207)="x",$BI88*AN88,VALUE('Capacity summary'!AN207)),0),AN88*$BI88),AN88*$BI88),0)</f>
        <v>0</v>
      </c>
      <c r="CR88" s="311">
        <f>IF($BI88&lt;&gt;"",IF('Capacity summary'!$D$14="Yes",IF(COUNTBLANK('Capacity summary'!$H207:$BG207)&lt;52,IF('Capacity summary'!AO207&lt;&gt;"",IF(LOWER('Capacity summary'!AO207)="x",$BI88*AO88,VALUE('Capacity summary'!AO207)),0),AO88*$BI88),AO88*$BI88),0)</f>
        <v>0</v>
      </c>
      <c r="CS88" s="311">
        <f>IF($BI88&lt;&gt;"",IF('Capacity summary'!$D$14="Yes",IF(COUNTBLANK('Capacity summary'!$H207:$BG207)&lt;52,IF('Capacity summary'!AP207&lt;&gt;"",IF(LOWER('Capacity summary'!AP207)="x",$BI88*AP88,VALUE('Capacity summary'!AP207)),0),AP88*$BI88),AP88*$BI88),0)</f>
        <v>0</v>
      </c>
      <c r="CT88" s="311">
        <f>IF($BI88&lt;&gt;"",IF('Capacity summary'!$D$14="Yes",IF(COUNTBLANK('Capacity summary'!$H207:$BG207)&lt;52,IF('Capacity summary'!AQ207&lt;&gt;"",IF(LOWER('Capacity summary'!AQ207)="x",$BI88*AQ88,VALUE('Capacity summary'!AQ207)),0),AQ88*$BI88),AQ88*$BI88),0)</f>
        <v>0</v>
      </c>
      <c r="CU88" s="311">
        <f>IF($BI88&lt;&gt;"",IF('Capacity summary'!$D$14="Yes",IF(COUNTBLANK('Capacity summary'!$H207:$BG207)&lt;52,IF('Capacity summary'!AR207&lt;&gt;"",IF(LOWER('Capacity summary'!AR207)="x",$BI88*AR88,VALUE('Capacity summary'!AR207)),0),AR88*$BI88),AR88*$BI88),0)</f>
        <v>0</v>
      </c>
      <c r="CV88" s="311">
        <f>IF($BI88&lt;&gt;"",IF('Capacity summary'!$D$14="Yes",IF(COUNTBLANK('Capacity summary'!$H207:$BG207)&lt;52,IF('Capacity summary'!AS207&lt;&gt;"",IF(LOWER('Capacity summary'!AS207)="x",$BI88*AS88,VALUE('Capacity summary'!AS207)),0),AS88*$BI88),AS88*$BI88),0)</f>
        <v>0</v>
      </c>
      <c r="CW88" s="311">
        <f>IF($BI88&lt;&gt;"",IF('Capacity summary'!$D$14="Yes",IF(COUNTBLANK('Capacity summary'!$H207:$BG207)&lt;52,IF('Capacity summary'!AT207&lt;&gt;"",IF(LOWER('Capacity summary'!AT207)="x",$BI88*AT88,VALUE('Capacity summary'!AT207)),0),AT88*$BI88),AT88*$BI88),0)</f>
        <v>0</v>
      </c>
      <c r="CX88" s="311">
        <f>IF($BI88&lt;&gt;"",IF('Capacity summary'!$D$14="Yes",IF(COUNTBLANK('Capacity summary'!$H207:$BG207)&lt;52,IF('Capacity summary'!AU207&lt;&gt;"",IF(LOWER('Capacity summary'!AU207)="x",$BI88*AU88,VALUE('Capacity summary'!AU207)),0),AU88*$BI88),AU88*$BI88),0)</f>
        <v>0</v>
      </c>
      <c r="CY88" s="311">
        <f>IF($BI88&lt;&gt;"",IF('Capacity summary'!$D$14="Yes",IF(COUNTBLANK('Capacity summary'!$H207:$BG207)&lt;52,IF('Capacity summary'!AV207&lt;&gt;"",IF(LOWER('Capacity summary'!AV207)="x",$BI88*AV88,VALUE('Capacity summary'!AV207)),0),AV88*$BI88),AV88*$BI88),0)</f>
        <v>0</v>
      </c>
      <c r="CZ88" s="311">
        <f>IF($BI88&lt;&gt;"",IF('Capacity summary'!$D$14="Yes",IF(COUNTBLANK('Capacity summary'!$H207:$BG207)&lt;52,IF('Capacity summary'!AW207&lt;&gt;"",IF(LOWER('Capacity summary'!AW207)="x",$BI88*AW88,VALUE('Capacity summary'!AW207)),0),AW88*$BI88),AW88*$BI88),0)</f>
        <v>0</v>
      </c>
      <c r="DA88" s="311">
        <f>IF($BI88&lt;&gt;"",IF('Capacity summary'!$D$14="Yes",IF(COUNTBLANK('Capacity summary'!$H207:$BG207)&lt;52,IF('Capacity summary'!AX207&lt;&gt;"",IF(LOWER('Capacity summary'!AX207)="x",$BI88*AX88,VALUE('Capacity summary'!AX207)),0),AX88*$BI88),AX88*$BI88),0)</f>
        <v>0</v>
      </c>
      <c r="DB88" s="311">
        <f>IF($BI88&lt;&gt;"",IF('Capacity summary'!$D$14="Yes",IF(COUNTBLANK('Capacity summary'!$H207:$BG207)&lt;52,IF('Capacity summary'!AY207&lt;&gt;"",IF(LOWER('Capacity summary'!AY207)="x",$BI88*AY88,VALUE('Capacity summary'!AY207)),0),AY88*$BI88),AY88*$BI88),0)</f>
        <v>0</v>
      </c>
      <c r="DC88" s="311">
        <f>IF($BI88&lt;&gt;"",IF('Capacity summary'!$D$14="Yes",IF(COUNTBLANK('Capacity summary'!$H207:$BG207)&lt;52,IF('Capacity summary'!AZ207&lt;&gt;"",IF(LOWER('Capacity summary'!AZ207)="x",$BI88*AZ88,VALUE('Capacity summary'!AZ207)),0),AZ88*$BI88),AZ88*$BI88),0)</f>
        <v>0</v>
      </c>
      <c r="DD88" s="311">
        <f>IF($BI88&lt;&gt;"",IF('Capacity summary'!$D$14="Yes",IF(COUNTBLANK('Capacity summary'!$H207:$BG207)&lt;52,IF('Capacity summary'!BA207&lt;&gt;"",IF(LOWER('Capacity summary'!BA207)="x",$BI88*BA88,VALUE('Capacity summary'!BA207)),0),BA88*$BI88),BA88*$BI88),0)</f>
        <v>0</v>
      </c>
      <c r="DE88" s="311">
        <f>IF($BI88&lt;&gt;"",IF('Capacity summary'!$D$14="Yes",IF(COUNTBLANK('Capacity summary'!$H207:$BG207)&lt;52,IF('Capacity summary'!BB207&lt;&gt;"",IF(LOWER('Capacity summary'!BB207)="x",$BI88*BB88,VALUE('Capacity summary'!BB207)),0),BB88*$BI88),BB88*$BI88),0)</f>
        <v>0</v>
      </c>
      <c r="DF88" s="311">
        <f>IF($BI88&lt;&gt;"",IF('Capacity summary'!$D$14="Yes",IF(COUNTBLANK('Capacity summary'!$H207:$BG207)&lt;52,IF('Capacity summary'!BC207&lt;&gt;"",IF(LOWER('Capacity summary'!BC207)="x",$BI88*BC88,VALUE('Capacity summary'!BC207)),0),BC88*$BI88),BC88*$BI88),0)</f>
        <v>0</v>
      </c>
      <c r="DG88" s="311">
        <f>IF($BI88&lt;&gt;"",IF('Capacity summary'!$D$14="Yes",IF(COUNTBLANK('Capacity summary'!$H207:$BG207)&lt;52,IF('Capacity summary'!BD207&lt;&gt;"",IF(LOWER('Capacity summary'!BD207)="x",$BI88*BD88,VALUE('Capacity summary'!BD207)),0),BD88*$BI88),BD88*$BI88),0)</f>
        <v>0</v>
      </c>
      <c r="DH88" s="311">
        <f>IF($BI88&lt;&gt;"",IF('Capacity summary'!$D$14="Yes",IF(COUNTBLANK('Capacity summary'!$H207:$BG207)&lt;52,IF('Capacity summary'!BE207&lt;&gt;"",IF(LOWER('Capacity summary'!BE207)="x",$BI88*BE88,VALUE('Capacity summary'!BE207)),0),BE88*$BI88),BE88*$BI88),0)</f>
        <v>0</v>
      </c>
      <c r="DI88" s="311">
        <f>IF($BI88&lt;&gt;"",IF('Capacity summary'!$D$14="Yes",IF(COUNTBLANK('Capacity summary'!$H207:$BG207)&lt;52,IF('Capacity summary'!BF207&lt;&gt;"",IF(LOWER('Capacity summary'!BF207)="x",$BI88*BF88,VALUE('Capacity summary'!BF207)),0),BF88*$BI88),BF88*$BI88),0)</f>
        <v>0</v>
      </c>
      <c r="DJ88" s="311">
        <f>IF($BI88&lt;&gt;"",IF('Capacity summary'!$D$14="Yes",IF(COUNTBLANK('Capacity summary'!$H207:$BG207)&lt;52,IF('Capacity summary'!BG207&lt;&gt;"",IF(LOWER('Capacity summary'!BG207)="x",$BI88*BG88,VALUE('Capacity summary'!BG207)),0),BG88*$BI88),BG88*$BI88),0)</f>
        <v>0</v>
      </c>
      <c r="DK88" s="387">
        <f t="shared" si="4"/>
        <v>0</v>
      </c>
      <c r="DL88" s="136">
        <f t="shared" si="5"/>
        <v>0</v>
      </c>
      <c r="DM88" s="311" t="str">
        <f>Capacity!H100</f>
        <v/>
      </c>
    </row>
    <row r="89" spans="1:117" x14ac:dyDescent="0.2">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1">
        <f>IF($BI89&lt;&gt;"",IF('Capacity summary'!$D$14="Yes",IF(COUNTBLANK('Capacity summary'!$H208:$BG208)&lt;52,IF('Capacity summary'!H208&lt;&gt;"",IF(LOWER('Capacity summary'!H208)="x",$BI89*H89,VALUE('Capacity summary'!H208)),0),H89*$BI89),H89*$BI89),0)</f>
        <v>0</v>
      </c>
      <c r="BL89" s="311">
        <f>IF($BI89&lt;&gt;"",IF('Capacity summary'!$D$14="Yes",IF(COUNTBLANK('Capacity summary'!$H208:$BG208)&lt;52,IF('Capacity summary'!I208&lt;&gt;"",IF(LOWER('Capacity summary'!I208)="x",$BI89*I89,VALUE('Capacity summary'!I208)),0),I89*$BI89),I89*$BI89),0)</f>
        <v>0</v>
      </c>
      <c r="BM89" s="311">
        <f>IF($BI89&lt;&gt;"",IF('Capacity summary'!$D$14="Yes",IF(COUNTBLANK('Capacity summary'!$H208:$BG208)&lt;52,IF('Capacity summary'!J208&lt;&gt;"",IF(LOWER('Capacity summary'!J208)="x",$BI89*J89,VALUE('Capacity summary'!J208)),0),J89*$BI89),J89*$BI89),0)</f>
        <v>0</v>
      </c>
      <c r="BN89" s="311">
        <f>IF($BI89&lt;&gt;"",IF('Capacity summary'!$D$14="Yes",IF(COUNTBLANK('Capacity summary'!$H208:$BG208)&lt;52,IF('Capacity summary'!K208&lt;&gt;"",IF(LOWER('Capacity summary'!K208)="x",$BI89*K89,VALUE('Capacity summary'!K208)),0),K89*$BI89),K89*$BI89),0)</f>
        <v>0</v>
      </c>
      <c r="BO89" s="311">
        <f>IF($BI89&lt;&gt;"",IF('Capacity summary'!$D$14="Yes",IF(COUNTBLANK('Capacity summary'!$H208:$BG208)&lt;52,IF('Capacity summary'!L208&lt;&gt;"",IF(LOWER('Capacity summary'!L208)="x",$BI89*L89,VALUE('Capacity summary'!L208)),0),L89*$BI89),L89*$BI89),0)</f>
        <v>0</v>
      </c>
      <c r="BP89" s="311">
        <f>IF($BI89&lt;&gt;"",IF('Capacity summary'!$D$14="Yes",IF(COUNTBLANK('Capacity summary'!$H208:$BG208)&lt;52,IF('Capacity summary'!M208&lt;&gt;"",IF(LOWER('Capacity summary'!M208)="x",$BI89*M89,VALUE('Capacity summary'!M208)),0),M89*$BI89),M89*$BI89),0)</f>
        <v>0</v>
      </c>
      <c r="BQ89" s="311">
        <f>IF($BI89&lt;&gt;"",IF('Capacity summary'!$D$14="Yes",IF(COUNTBLANK('Capacity summary'!$H208:$BG208)&lt;52,IF('Capacity summary'!N208&lt;&gt;"",IF(LOWER('Capacity summary'!N208)="x",$BI89*N89,VALUE('Capacity summary'!N208)),0),N89*$BI89),N89*$BI89),0)</f>
        <v>0</v>
      </c>
      <c r="BR89" s="311">
        <f>IF($BI89&lt;&gt;"",IF('Capacity summary'!$D$14="Yes",IF(COUNTBLANK('Capacity summary'!$H208:$BG208)&lt;52,IF('Capacity summary'!O208&lt;&gt;"",IF(LOWER('Capacity summary'!O208)="x",$BI89*O89,VALUE('Capacity summary'!O208)),0),O89*$BI89),O89*$BI89),0)</f>
        <v>0</v>
      </c>
      <c r="BS89" s="311">
        <f>IF($BI89&lt;&gt;"",IF('Capacity summary'!$D$14="Yes",IF(COUNTBLANK('Capacity summary'!$H208:$BG208)&lt;52,IF('Capacity summary'!P208&lt;&gt;"",IF(LOWER('Capacity summary'!P208)="x",$BI89*P89,VALUE('Capacity summary'!P208)),0),P89*$BI89),P89*$BI89),0)</f>
        <v>0</v>
      </c>
      <c r="BT89" s="311">
        <f>IF($BI89&lt;&gt;"",IF('Capacity summary'!$D$14="Yes",IF(COUNTBLANK('Capacity summary'!$H208:$BG208)&lt;52,IF('Capacity summary'!Q208&lt;&gt;"",IF(LOWER('Capacity summary'!Q208)="x",$BI89*Q89,VALUE('Capacity summary'!Q208)),0),Q89*$BI89),Q89*$BI89),0)</f>
        <v>0</v>
      </c>
      <c r="BU89" s="311">
        <f>IF($BI89&lt;&gt;"",IF('Capacity summary'!$D$14="Yes",IF(COUNTBLANK('Capacity summary'!$H208:$BG208)&lt;52,IF('Capacity summary'!R208&lt;&gt;"",IF(LOWER('Capacity summary'!R208)="x",$BI89*R89,VALUE('Capacity summary'!R208)),0),R89*$BI89),R89*$BI89),0)</f>
        <v>0</v>
      </c>
      <c r="BV89" s="311">
        <f>IF($BI89&lt;&gt;"",IF('Capacity summary'!$D$14="Yes",IF(COUNTBLANK('Capacity summary'!$H208:$BG208)&lt;52,IF('Capacity summary'!S208&lt;&gt;"",IF(LOWER('Capacity summary'!S208)="x",$BI89*S89,VALUE('Capacity summary'!S208)),0),S89*$BI89),S89*$BI89),0)</f>
        <v>0</v>
      </c>
      <c r="BW89" s="311">
        <f>IF($BI89&lt;&gt;"",IF('Capacity summary'!$D$14="Yes",IF(COUNTBLANK('Capacity summary'!$H208:$BG208)&lt;52,IF('Capacity summary'!T208&lt;&gt;"",IF(LOWER('Capacity summary'!T208)="x",$BI89*T89,VALUE('Capacity summary'!T208)),0),T89*$BI89),T89*$BI89),0)</f>
        <v>0</v>
      </c>
      <c r="BX89" s="311">
        <f>IF($BI89&lt;&gt;"",IF('Capacity summary'!$D$14="Yes",IF(COUNTBLANK('Capacity summary'!$H208:$BG208)&lt;52,IF('Capacity summary'!U208&lt;&gt;"",IF(LOWER('Capacity summary'!U208)="x",$BI89*U89,VALUE('Capacity summary'!U208)),0),U89*$BI89),U89*$BI89),0)</f>
        <v>0</v>
      </c>
      <c r="BY89" s="311">
        <f>IF($BI89&lt;&gt;"",IF('Capacity summary'!$D$14="Yes",IF(COUNTBLANK('Capacity summary'!$H208:$BG208)&lt;52,IF('Capacity summary'!V208&lt;&gt;"",IF(LOWER('Capacity summary'!V208)="x",$BI89*V89,VALUE('Capacity summary'!V208)),0),V89*$BI89),V89*$BI89),0)</f>
        <v>0</v>
      </c>
      <c r="BZ89" s="311">
        <f>IF($BI89&lt;&gt;"",IF('Capacity summary'!$D$14="Yes",IF(COUNTBLANK('Capacity summary'!$H208:$BG208)&lt;52,IF('Capacity summary'!W208&lt;&gt;"",IF(LOWER('Capacity summary'!W208)="x",$BI89*W89,VALUE('Capacity summary'!W208)),0),W89*$BI89),W89*$BI89),0)</f>
        <v>0</v>
      </c>
      <c r="CA89" s="311">
        <f>IF($BI89&lt;&gt;"",IF('Capacity summary'!$D$14="Yes",IF(COUNTBLANK('Capacity summary'!$H208:$BG208)&lt;52,IF('Capacity summary'!X208&lt;&gt;"",IF(LOWER('Capacity summary'!X208)="x",$BI89*X89,VALUE('Capacity summary'!X208)),0),X89*$BI89),X89*$BI89),0)</f>
        <v>0</v>
      </c>
      <c r="CB89" s="311">
        <f>IF($BI89&lt;&gt;"",IF('Capacity summary'!$D$14="Yes",IF(COUNTBLANK('Capacity summary'!$H208:$BG208)&lt;52,IF('Capacity summary'!Y208&lt;&gt;"",IF(LOWER('Capacity summary'!Y208)="x",$BI89*Y89,VALUE('Capacity summary'!Y208)),0),Y89*$BI89),Y89*$BI89),0)</f>
        <v>0</v>
      </c>
      <c r="CC89" s="311">
        <f>IF($BI89&lt;&gt;"",IF('Capacity summary'!$D$14="Yes",IF(COUNTBLANK('Capacity summary'!$H208:$BG208)&lt;52,IF('Capacity summary'!Z208&lt;&gt;"",IF(LOWER('Capacity summary'!Z208)="x",$BI89*Z89,VALUE('Capacity summary'!Z208)),0),Z89*$BI89),Z89*$BI89),0)</f>
        <v>0</v>
      </c>
      <c r="CD89" s="311">
        <f>IF($BI89&lt;&gt;"",IF('Capacity summary'!$D$14="Yes",IF(COUNTBLANK('Capacity summary'!$H208:$BG208)&lt;52,IF('Capacity summary'!AA208&lt;&gt;"",IF(LOWER('Capacity summary'!AA208)="x",$BI89*AA89,VALUE('Capacity summary'!AA208)),0),AA89*$BI89),AA89*$BI89),0)</f>
        <v>0</v>
      </c>
      <c r="CE89" s="311">
        <f>IF($BI89&lt;&gt;"",IF('Capacity summary'!$D$14="Yes",IF(COUNTBLANK('Capacity summary'!$H208:$BG208)&lt;52,IF('Capacity summary'!AB208&lt;&gt;"",IF(LOWER('Capacity summary'!AB208)="x",$BI89*AB89,VALUE('Capacity summary'!AB208)),0),AB89*$BI89),AB89*$BI89),0)</f>
        <v>0</v>
      </c>
      <c r="CF89" s="311">
        <f>IF($BI89&lt;&gt;"",IF('Capacity summary'!$D$14="Yes",IF(COUNTBLANK('Capacity summary'!$H208:$BG208)&lt;52,IF('Capacity summary'!AC208&lt;&gt;"",IF(LOWER('Capacity summary'!AC208)="x",$BI89*AC89,VALUE('Capacity summary'!AC208)),0),AC89*$BI89),AC89*$BI89),0)</f>
        <v>0</v>
      </c>
      <c r="CG89" s="311">
        <f>IF($BI89&lt;&gt;"",IF('Capacity summary'!$D$14="Yes",IF(COUNTBLANK('Capacity summary'!$H208:$BG208)&lt;52,IF('Capacity summary'!AD208&lt;&gt;"",IF(LOWER('Capacity summary'!AD208)="x",$BI89*AD89,VALUE('Capacity summary'!AD208)),0),AD89*$BI89),AD89*$BI89),0)</f>
        <v>0</v>
      </c>
      <c r="CH89" s="311">
        <f>IF($BI89&lt;&gt;"",IF('Capacity summary'!$D$14="Yes",IF(COUNTBLANK('Capacity summary'!$H208:$BG208)&lt;52,IF('Capacity summary'!AE208&lt;&gt;"",IF(LOWER('Capacity summary'!AE208)="x",$BI89*AE89,VALUE('Capacity summary'!AE208)),0),AE89*$BI89),AE89*$BI89),0)</f>
        <v>0</v>
      </c>
      <c r="CI89" s="311">
        <f>IF($BI89&lt;&gt;"",IF('Capacity summary'!$D$14="Yes",IF(COUNTBLANK('Capacity summary'!$H208:$BG208)&lt;52,IF('Capacity summary'!AF208&lt;&gt;"",IF(LOWER('Capacity summary'!AF208)="x",$BI89*AF89,VALUE('Capacity summary'!AF208)),0),AF89*$BI89),AF89*$BI89),0)</f>
        <v>0</v>
      </c>
      <c r="CJ89" s="311">
        <f>IF($BI89&lt;&gt;"",IF('Capacity summary'!$D$14="Yes",IF(COUNTBLANK('Capacity summary'!$H208:$BG208)&lt;52,IF('Capacity summary'!AG208&lt;&gt;"",IF(LOWER('Capacity summary'!AG208)="x",$BI89*AG89,VALUE('Capacity summary'!AG208)),0),AG89*$BI89),AG89*$BI89),0)</f>
        <v>0</v>
      </c>
      <c r="CK89" s="311">
        <f>IF($BI89&lt;&gt;"",IF('Capacity summary'!$D$14="Yes",IF(COUNTBLANK('Capacity summary'!$H208:$BG208)&lt;52,IF('Capacity summary'!AH208&lt;&gt;"",IF(LOWER('Capacity summary'!AH208)="x",$BI89*AH89,VALUE('Capacity summary'!AH208)),0),AH89*$BI89),AH89*$BI89),0)</f>
        <v>0</v>
      </c>
      <c r="CL89" s="311">
        <f>IF($BI89&lt;&gt;"",IF('Capacity summary'!$D$14="Yes",IF(COUNTBLANK('Capacity summary'!$H208:$BG208)&lt;52,IF('Capacity summary'!AI208&lt;&gt;"",IF(LOWER('Capacity summary'!AI208)="x",$BI89*AI89,VALUE('Capacity summary'!AI208)),0),AI89*$BI89),AI89*$BI89),0)</f>
        <v>0</v>
      </c>
      <c r="CM89" s="311">
        <f>IF($BI89&lt;&gt;"",IF('Capacity summary'!$D$14="Yes",IF(COUNTBLANK('Capacity summary'!$H208:$BG208)&lt;52,IF('Capacity summary'!AJ208&lt;&gt;"",IF(LOWER('Capacity summary'!AJ208)="x",$BI89*AJ89,VALUE('Capacity summary'!AJ208)),0),AJ89*$BI89),AJ89*$BI89),0)</f>
        <v>0</v>
      </c>
      <c r="CN89" s="311">
        <f>IF($BI89&lt;&gt;"",IF('Capacity summary'!$D$14="Yes",IF(COUNTBLANK('Capacity summary'!$H208:$BG208)&lt;52,IF('Capacity summary'!AK208&lt;&gt;"",IF(LOWER('Capacity summary'!AK208)="x",$BI89*AK89,VALUE('Capacity summary'!AK208)),0),AK89*$BI89),AK89*$BI89),0)</f>
        <v>0</v>
      </c>
      <c r="CO89" s="311">
        <f>IF($BI89&lt;&gt;"",IF('Capacity summary'!$D$14="Yes",IF(COUNTBLANK('Capacity summary'!$H208:$BG208)&lt;52,IF('Capacity summary'!AL208&lt;&gt;"",IF(LOWER('Capacity summary'!AL208)="x",$BI89*AL89,VALUE('Capacity summary'!AL208)),0),AL89*$BI89),AL89*$BI89),0)</f>
        <v>0</v>
      </c>
      <c r="CP89" s="311">
        <f>IF($BI89&lt;&gt;"",IF('Capacity summary'!$D$14="Yes",IF(COUNTBLANK('Capacity summary'!$H208:$BG208)&lt;52,IF('Capacity summary'!AM208&lt;&gt;"",IF(LOWER('Capacity summary'!AM208)="x",$BI89*AM89,VALUE('Capacity summary'!AM208)),0),AM89*$BI89),AM89*$BI89),0)</f>
        <v>0</v>
      </c>
      <c r="CQ89" s="311">
        <f>IF($BI89&lt;&gt;"",IF('Capacity summary'!$D$14="Yes",IF(COUNTBLANK('Capacity summary'!$H208:$BG208)&lt;52,IF('Capacity summary'!AN208&lt;&gt;"",IF(LOWER('Capacity summary'!AN208)="x",$BI89*AN89,VALUE('Capacity summary'!AN208)),0),AN89*$BI89),AN89*$BI89),0)</f>
        <v>0</v>
      </c>
      <c r="CR89" s="311">
        <f>IF($BI89&lt;&gt;"",IF('Capacity summary'!$D$14="Yes",IF(COUNTBLANK('Capacity summary'!$H208:$BG208)&lt;52,IF('Capacity summary'!AO208&lt;&gt;"",IF(LOWER('Capacity summary'!AO208)="x",$BI89*AO89,VALUE('Capacity summary'!AO208)),0),AO89*$BI89),AO89*$BI89),0)</f>
        <v>0</v>
      </c>
      <c r="CS89" s="311">
        <f>IF($BI89&lt;&gt;"",IF('Capacity summary'!$D$14="Yes",IF(COUNTBLANK('Capacity summary'!$H208:$BG208)&lt;52,IF('Capacity summary'!AP208&lt;&gt;"",IF(LOWER('Capacity summary'!AP208)="x",$BI89*AP89,VALUE('Capacity summary'!AP208)),0),AP89*$BI89),AP89*$BI89),0)</f>
        <v>0</v>
      </c>
      <c r="CT89" s="311">
        <f>IF($BI89&lt;&gt;"",IF('Capacity summary'!$D$14="Yes",IF(COUNTBLANK('Capacity summary'!$H208:$BG208)&lt;52,IF('Capacity summary'!AQ208&lt;&gt;"",IF(LOWER('Capacity summary'!AQ208)="x",$BI89*AQ89,VALUE('Capacity summary'!AQ208)),0),AQ89*$BI89),AQ89*$BI89),0)</f>
        <v>0</v>
      </c>
      <c r="CU89" s="311">
        <f>IF($BI89&lt;&gt;"",IF('Capacity summary'!$D$14="Yes",IF(COUNTBLANK('Capacity summary'!$H208:$BG208)&lt;52,IF('Capacity summary'!AR208&lt;&gt;"",IF(LOWER('Capacity summary'!AR208)="x",$BI89*AR89,VALUE('Capacity summary'!AR208)),0),AR89*$BI89),AR89*$BI89),0)</f>
        <v>0</v>
      </c>
      <c r="CV89" s="311">
        <f>IF($BI89&lt;&gt;"",IF('Capacity summary'!$D$14="Yes",IF(COUNTBLANK('Capacity summary'!$H208:$BG208)&lt;52,IF('Capacity summary'!AS208&lt;&gt;"",IF(LOWER('Capacity summary'!AS208)="x",$BI89*AS89,VALUE('Capacity summary'!AS208)),0),AS89*$BI89),AS89*$BI89),0)</f>
        <v>0</v>
      </c>
      <c r="CW89" s="311">
        <f>IF($BI89&lt;&gt;"",IF('Capacity summary'!$D$14="Yes",IF(COUNTBLANK('Capacity summary'!$H208:$BG208)&lt;52,IF('Capacity summary'!AT208&lt;&gt;"",IF(LOWER('Capacity summary'!AT208)="x",$BI89*AT89,VALUE('Capacity summary'!AT208)),0),AT89*$BI89),AT89*$BI89),0)</f>
        <v>0</v>
      </c>
      <c r="CX89" s="311">
        <f>IF($BI89&lt;&gt;"",IF('Capacity summary'!$D$14="Yes",IF(COUNTBLANK('Capacity summary'!$H208:$BG208)&lt;52,IF('Capacity summary'!AU208&lt;&gt;"",IF(LOWER('Capacity summary'!AU208)="x",$BI89*AU89,VALUE('Capacity summary'!AU208)),0),AU89*$BI89),AU89*$BI89),0)</f>
        <v>0</v>
      </c>
      <c r="CY89" s="311">
        <f>IF($BI89&lt;&gt;"",IF('Capacity summary'!$D$14="Yes",IF(COUNTBLANK('Capacity summary'!$H208:$BG208)&lt;52,IF('Capacity summary'!AV208&lt;&gt;"",IF(LOWER('Capacity summary'!AV208)="x",$BI89*AV89,VALUE('Capacity summary'!AV208)),0),AV89*$BI89),AV89*$BI89),0)</f>
        <v>0</v>
      </c>
      <c r="CZ89" s="311">
        <f>IF($BI89&lt;&gt;"",IF('Capacity summary'!$D$14="Yes",IF(COUNTBLANK('Capacity summary'!$H208:$BG208)&lt;52,IF('Capacity summary'!AW208&lt;&gt;"",IF(LOWER('Capacity summary'!AW208)="x",$BI89*AW89,VALUE('Capacity summary'!AW208)),0),AW89*$BI89),AW89*$BI89),0)</f>
        <v>0</v>
      </c>
      <c r="DA89" s="311">
        <f>IF($BI89&lt;&gt;"",IF('Capacity summary'!$D$14="Yes",IF(COUNTBLANK('Capacity summary'!$H208:$BG208)&lt;52,IF('Capacity summary'!AX208&lt;&gt;"",IF(LOWER('Capacity summary'!AX208)="x",$BI89*AX89,VALUE('Capacity summary'!AX208)),0),AX89*$BI89),AX89*$BI89),0)</f>
        <v>0</v>
      </c>
      <c r="DB89" s="311">
        <f>IF($BI89&lt;&gt;"",IF('Capacity summary'!$D$14="Yes",IF(COUNTBLANK('Capacity summary'!$H208:$BG208)&lt;52,IF('Capacity summary'!AY208&lt;&gt;"",IF(LOWER('Capacity summary'!AY208)="x",$BI89*AY89,VALUE('Capacity summary'!AY208)),0),AY89*$BI89),AY89*$BI89),0)</f>
        <v>0</v>
      </c>
      <c r="DC89" s="311">
        <f>IF($BI89&lt;&gt;"",IF('Capacity summary'!$D$14="Yes",IF(COUNTBLANK('Capacity summary'!$H208:$BG208)&lt;52,IF('Capacity summary'!AZ208&lt;&gt;"",IF(LOWER('Capacity summary'!AZ208)="x",$BI89*AZ89,VALUE('Capacity summary'!AZ208)),0),AZ89*$BI89),AZ89*$BI89),0)</f>
        <v>0</v>
      </c>
      <c r="DD89" s="311">
        <f>IF($BI89&lt;&gt;"",IF('Capacity summary'!$D$14="Yes",IF(COUNTBLANK('Capacity summary'!$H208:$BG208)&lt;52,IF('Capacity summary'!BA208&lt;&gt;"",IF(LOWER('Capacity summary'!BA208)="x",$BI89*BA89,VALUE('Capacity summary'!BA208)),0),BA89*$BI89),BA89*$BI89),0)</f>
        <v>0</v>
      </c>
      <c r="DE89" s="311">
        <f>IF($BI89&lt;&gt;"",IF('Capacity summary'!$D$14="Yes",IF(COUNTBLANK('Capacity summary'!$H208:$BG208)&lt;52,IF('Capacity summary'!BB208&lt;&gt;"",IF(LOWER('Capacity summary'!BB208)="x",$BI89*BB89,VALUE('Capacity summary'!BB208)),0),BB89*$BI89),BB89*$BI89),0)</f>
        <v>0</v>
      </c>
      <c r="DF89" s="311">
        <f>IF($BI89&lt;&gt;"",IF('Capacity summary'!$D$14="Yes",IF(COUNTBLANK('Capacity summary'!$H208:$BG208)&lt;52,IF('Capacity summary'!BC208&lt;&gt;"",IF(LOWER('Capacity summary'!BC208)="x",$BI89*BC89,VALUE('Capacity summary'!BC208)),0),BC89*$BI89),BC89*$BI89),0)</f>
        <v>0</v>
      </c>
      <c r="DG89" s="311">
        <f>IF($BI89&lt;&gt;"",IF('Capacity summary'!$D$14="Yes",IF(COUNTBLANK('Capacity summary'!$H208:$BG208)&lt;52,IF('Capacity summary'!BD208&lt;&gt;"",IF(LOWER('Capacity summary'!BD208)="x",$BI89*BD89,VALUE('Capacity summary'!BD208)),0),BD89*$BI89),BD89*$BI89),0)</f>
        <v>0</v>
      </c>
      <c r="DH89" s="311">
        <f>IF($BI89&lt;&gt;"",IF('Capacity summary'!$D$14="Yes",IF(COUNTBLANK('Capacity summary'!$H208:$BG208)&lt;52,IF('Capacity summary'!BE208&lt;&gt;"",IF(LOWER('Capacity summary'!BE208)="x",$BI89*BE89,VALUE('Capacity summary'!BE208)),0),BE89*$BI89),BE89*$BI89),0)</f>
        <v>0</v>
      </c>
      <c r="DI89" s="311">
        <f>IF($BI89&lt;&gt;"",IF('Capacity summary'!$D$14="Yes",IF(COUNTBLANK('Capacity summary'!$H208:$BG208)&lt;52,IF('Capacity summary'!BF208&lt;&gt;"",IF(LOWER('Capacity summary'!BF208)="x",$BI89*BF89,VALUE('Capacity summary'!BF208)),0),BF89*$BI89),BF89*$BI89),0)</f>
        <v>0</v>
      </c>
      <c r="DJ89" s="311">
        <f>IF($BI89&lt;&gt;"",IF('Capacity summary'!$D$14="Yes",IF(COUNTBLANK('Capacity summary'!$H208:$BG208)&lt;52,IF('Capacity summary'!BG208&lt;&gt;"",IF(LOWER('Capacity summary'!BG208)="x",$BI89*BG89,VALUE('Capacity summary'!BG208)),0),BG89*$BI89),BG89*$BI89),0)</f>
        <v>0</v>
      </c>
      <c r="DK89" s="387">
        <f t="shared" si="4"/>
        <v>0</v>
      </c>
      <c r="DL89" s="136">
        <f t="shared" si="5"/>
        <v>0</v>
      </c>
      <c r="DM89" s="311" t="str">
        <f>Capacity!H101</f>
        <v/>
      </c>
    </row>
    <row r="90" spans="1:117" x14ac:dyDescent="0.2">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1">
        <f>IF($BI90&lt;&gt;"",IF('Capacity summary'!$D$14="Yes",IF(COUNTBLANK('Capacity summary'!$H209:$BG209)&lt;52,IF('Capacity summary'!H209&lt;&gt;"",IF(LOWER('Capacity summary'!H209)="x",$BI90*H90,VALUE('Capacity summary'!H209)),0),H90*$BI90),H90*$BI90),0)</f>
        <v>0</v>
      </c>
      <c r="BL90" s="311">
        <f>IF($BI90&lt;&gt;"",IF('Capacity summary'!$D$14="Yes",IF(COUNTBLANK('Capacity summary'!$H209:$BG209)&lt;52,IF('Capacity summary'!I209&lt;&gt;"",IF(LOWER('Capacity summary'!I209)="x",$BI90*I90,VALUE('Capacity summary'!I209)),0),I90*$BI90),I90*$BI90),0)</f>
        <v>0</v>
      </c>
      <c r="BM90" s="311">
        <f>IF($BI90&lt;&gt;"",IF('Capacity summary'!$D$14="Yes",IF(COUNTBLANK('Capacity summary'!$H209:$BG209)&lt;52,IF('Capacity summary'!J209&lt;&gt;"",IF(LOWER('Capacity summary'!J209)="x",$BI90*J90,VALUE('Capacity summary'!J209)),0),J90*$BI90),J90*$BI90),0)</f>
        <v>0</v>
      </c>
      <c r="BN90" s="311">
        <f>IF($BI90&lt;&gt;"",IF('Capacity summary'!$D$14="Yes",IF(COUNTBLANK('Capacity summary'!$H209:$BG209)&lt;52,IF('Capacity summary'!K209&lt;&gt;"",IF(LOWER('Capacity summary'!K209)="x",$BI90*K90,VALUE('Capacity summary'!K209)),0),K90*$BI90),K90*$BI90),0)</f>
        <v>0</v>
      </c>
      <c r="BO90" s="311">
        <f>IF($BI90&lt;&gt;"",IF('Capacity summary'!$D$14="Yes",IF(COUNTBLANK('Capacity summary'!$H209:$BG209)&lt;52,IF('Capacity summary'!L209&lt;&gt;"",IF(LOWER('Capacity summary'!L209)="x",$BI90*L90,VALUE('Capacity summary'!L209)),0),L90*$BI90),L90*$BI90),0)</f>
        <v>0</v>
      </c>
      <c r="BP90" s="311">
        <f>IF($BI90&lt;&gt;"",IF('Capacity summary'!$D$14="Yes",IF(COUNTBLANK('Capacity summary'!$H209:$BG209)&lt;52,IF('Capacity summary'!M209&lt;&gt;"",IF(LOWER('Capacity summary'!M209)="x",$BI90*M90,VALUE('Capacity summary'!M209)),0),M90*$BI90),M90*$BI90),0)</f>
        <v>0</v>
      </c>
      <c r="BQ90" s="311">
        <f>IF($BI90&lt;&gt;"",IF('Capacity summary'!$D$14="Yes",IF(COUNTBLANK('Capacity summary'!$H209:$BG209)&lt;52,IF('Capacity summary'!N209&lt;&gt;"",IF(LOWER('Capacity summary'!N209)="x",$BI90*N90,VALUE('Capacity summary'!N209)),0),N90*$BI90),N90*$BI90),0)</f>
        <v>0</v>
      </c>
      <c r="BR90" s="311">
        <f>IF($BI90&lt;&gt;"",IF('Capacity summary'!$D$14="Yes",IF(COUNTBLANK('Capacity summary'!$H209:$BG209)&lt;52,IF('Capacity summary'!O209&lt;&gt;"",IF(LOWER('Capacity summary'!O209)="x",$BI90*O90,VALUE('Capacity summary'!O209)),0),O90*$BI90),O90*$BI90),0)</f>
        <v>0</v>
      </c>
      <c r="BS90" s="311">
        <f>IF($BI90&lt;&gt;"",IF('Capacity summary'!$D$14="Yes",IF(COUNTBLANK('Capacity summary'!$H209:$BG209)&lt;52,IF('Capacity summary'!P209&lt;&gt;"",IF(LOWER('Capacity summary'!P209)="x",$BI90*P90,VALUE('Capacity summary'!P209)),0),P90*$BI90),P90*$BI90),0)</f>
        <v>0</v>
      </c>
      <c r="BT90" s="311">
        <f>IF($BI90&lt;&gt;"",IF('Capacity summary'!$D$14="Yes",IF(COUNTBLANK('Capacity summary'!$H209:$BG209)&lt;52,IF('Capacity summary'!Q209&lt;&gt;"",IF(LOWER('Capacity summary'!Q209)="x",$BI90*Q90,VALUE('Capacity summary'!Q209)),0),Q90*$BI90),Q90*$BI90),0)</f>
        <v>0</v>
      </c>
      <c r="BU90" s="311">
        <f>IF($BI90&lt;&gt;"",IF('Capacity summary'!$D$14="Yes",IF(COUNTBLANK('Capacity summary'!$H209:$BG209)&lt;52,IF('Capacity summary'!R209&lt;&gt;"",IF(LOWER('Capacity summary'!R209)="x",$BI90*R90,VALUE('Capacity summary'!R209)),0),R90*$BI90),R90*$BI90),0)</f>
        <v>0</v>
      </c>
      <c r="BV90" s="311">
        <f>IF($BI90&lt;&gt;"",IF('Capacity summary'!$D$14="Yes",IF(COUNTBLANK('Capacity summary'!$H209:$BG209)&lt;52,IF('Capacity summary'!S209&lt;&gt;"",IF(LOWER('Capacity summary'!S209)="x",$BI90*S90,VALUE('Capacity summary'!S209)),0),S90*$BI90),S90*$BI90),0)</f>
        <v>0</v>
      </c>
      <c r="BW90" s="311">
        <f>IF($BI90&lt;&gt;"",IF('Capacity summary'!$D$14="Yes",IF(COUNTBLANK('Capacity summary'!$H209:$BG209)&lt;52,IF('Capacity summary'!T209&lt;&gt;"",IF(LOWER('Capacity summary'!T209)="x",$BI90*T90,VALUE('Capacity summary'!T209)),0),T90*$BI90),T90*$BI90),0)</f>
        <v>0</v>
      </c>
      <c r="BX90" s="311">
        <f>IF($BI90&lt;&gt;"",IF('Capacity summary'!$D$14="Yes",IF(COUNTBLANK('Capacity summary'!$H209:$BG209)&lt;52,IF('Capacity summary'!U209&lt;&gt;"",IF(LOWER('Capacity summary'!U209)="x",$BI90*U90,VALUE('Capacity summary'!U209)),0),U90*$BI90),U90*$BI90),0)</f>
        <v>0</v>
      </c>
      <c r="BY90" s="311">
        <f>IF($BI90&lt;&gt;"",IF('Capacity summary'!$D$14="Yes",IF(COUNTBLANK('Capacity summary'!$H209:$BG209)&lt;52,IF('Capacity summary'!V209&lt;&gt;"",IF(LOWER('Capacity summary'!V209)="x",$BI90*V90,VALUE('Capacity summary'!V209)),0),V90*$BI90),V90*$BI90),0)</f>
        <v>0</v>
      </c>
      <c r="BZ90" s="311">
        <f>IF($BI90&lt;&gt;"",IF('Capacity summary'!$D$14="Yes",IF(COUNTBLANK('Capacity summary'!$H209:$BG209)&lt;52,IF('Capacity summary'!W209&lt;&gt;"",IF(LOWER('Capacity summary'!W209)="x",$BI90*W90,VALUE('Capacity summary'!W209)),0),W90*$BI90),W90*$BI90),0)</f>
        <v>0</v>
      </c>
      <c r="CA90" s="311">
        <f>IF($BI90&lt;&gt;"",IF('Capacity summary'!$D$14="Yes",IF(COUNTBLANK('Capacity summary'!$H209:$BG209)&lt;52,IF('Capacity summary'!X209&lt;&gt;"",IF(LOWER('Capacity summary'!X209)="x",$BI90*X90,VALUE('Capacity summary'!X209)),0),X90*$BI90),X90*$BI90),0)</f>
        <v>0</v>
      </c>
      <c r="CB90" s="311">
        <f>IF($BI90&lt;&gt;"",IF('Capacity summary'!$D$14="Yes",IF(COUNTBLANK('Capacity summary'!$H209:$BG209)&lt;52,IF('Capacity summary'!Y209&lt;&gt;"",IF(LOWER('Capacity summary'!Y209)="x",$BI90*Y90,VALUE('Capacity summary'!Y209)),0),Y90*$BI90),Y90*$BI90),0)</f>
        <v>0</v>
      </c>
      <c r="CC90" s="311">
        <f>IF($BI90&lt;&gt;"",IF('Capacity summary'!$D$14="Yes",IF(COUNTBLANK('Capacity summary'!$H209:$BG209)&lt;52,IF('Capacity summary'!Z209&lt;&gt;"",IF(LOWER('Capacity summary'!Z209)="x",$BI90*Z90,VALUE('Capacity summary'!Z209)),0),Z90*$BI90),Z90*$BI90),0)</f>
        <v>0</v>
      </c>
      <c r="CD90" s="311">
        <f>IF($BI90&lt;&gt;"",IF('Capacity summary'!$D$14="Yes",IF(COUNTBLANK('Capacity summary'!$H209:$BG209)&lt;52,IF('Capacity summary'!AA209&lt;&gt;"",IF(LOWER('Capacity summary'!AA209)="x",$BI90*AA90,VALUE('Capacity summary'!AA209)),0),AA90*$BI90),AA90*$BI90),0)</f>
        <v>0</v>
      </c>
      <c r="CE90" s="311">
        <f>IF($BI90&lt;&gt;"",IF('Capacity summary'!$D$14="Yes",IF(COUNTBLANK('Capacity summary'!$H209:$BG209)&lt;52,IF('Capacity summary'!AB209&lt;&gt;"",IF(LOWER('Capacity summary'!AB209)="x",$BI90*AB90,VALUE('Capacity summary'!AB209)),0),AB90*$BI90),AB90*$BI90),0)</f>
        <v>0</v>
      </c>
      <c r="CF90" s="311">
        <f>IF($BI90&lt;&gt;"",IF('Capacity summary'!$D$14="Yes",IF(COUNTBLANK('Capacity summary'!$H209:$BG209)&lt;52,IF('Capacity summary'!AC209&lt;&gt;"",IF(LOWER('Capacity summary'!AC209)="x",$BI90*AC90,VALUE('Capacity summary'!AC209)),0),AC90*$BI90),AC90*$BI90),0)</f>
        <v>0</v>
      </c>
      <c r="CG90" s="311">
        <f>IF($BI90&lt;&gt;"",IF('Capacity summary'!$D$14="Yes",IF(COUNTBLANK('Capacity summary'!$H209:$BG209)&lt;52,IF('Capacity summary'!AD209&lt;&gt;"",IF(LOWER('Capacity summary'!AD209)="x",$BI90*AD90,VALUE('Capacity summary'!AD209)),0),AD90*$BI90),AD90*$BI90),0)</f>
        <v>0</v>
      </c>
      <c r="CH90" s="311">
        <f>IF($BI90&lt;&gt;"",IF('Capacity summary'!$D$14="Yes",IF(COUNTBLANK('Capacity summary'!$H209:$BG209)&lt;52,IF('Capacity summary'!AE209&lt;&gt;"",IF(LOWER('Capacity summary'!AE209)="x",$BI90*AE90,VALUE('Capacity summary'!AE209)),0),AE90*$BI90),AE90*$BI90),0)</f>
        <v>0</v>
      </c>
      <c r="CI90" s="311">
        <f>IF($BI90&lt;&gt;"",IF('Capacity summary'!$D$14="Yes",IF(COUNTBLANK('Capacity summary'!$H209:$BG209)&lt;52,IF('Capacity summary'!AF209&lt;&gt;"",IF(LOWER('Capacity summary'!AF209)="x",$BI90*AF90,VALUE('Capacity summary'!AF209)),0),AF90*$BI90),AF90*$BI90),0)</f>
        <v>0</v>
      </c>
      <c r="CJ90" s="311">
        <f>IF($BI90&lt;&gt;"",IF('Capacity summary'!$D$14="Yes",IF(COUNTBLANK('Capacity summary'!$H209:$BG209)&lt;52,IF('Capacity summary'!AG209&lt;&gt;"",IF(LOWER('Capacity summary'!AG209)="x",$BI90*AG90,VALUE('Capacity summary'!AG209)),0),AG90*$BI90),AG90*$BI90),0)</f>
        <v>0</v>
      </c>
      <c r="CK90" s="311">
        <f>IF($BI90&lt;&gt;"",IF('Capacity summary'!$D$14="Yes",IF(COUNTBLANK('Capacity summary'!$H209:$BG209)&lt;52,IF('Capacity summary'!AH209&lt;&gt;"",IF(LOWER('Capacity summary'!AH209)="x",$BI90*AH90,VALUE('Capacity summary'!AH209)),0),AH90*$BI90),AH90*$BI90),0)</f>
        <v>0</v>
      </c>
      <c r="CL90" s="311">
        <f>IF($BI90&lt;&gt;"",IF('Capacity summary'!$D$14="Yes",IF(COUNTBLANK('Capacity summary'!$H209:$BG209)&lt;52,IF('Capacity summary'!AI209&lt;&gt;"",IF(LOWER('Capacity summary'!AI209)="x",$BI90*AI90,VALUE('Capacity summary'!AI209)),0),AI90*$BI90),AI90*$BI90),0)</f>
        <v>0</v>
      </c>
      <c r="CM90" s="311">
        <f>IF($BI90&lt;&gt;"",IF('Capacity summary'!$D$14="Yes",IF(COUNTBLANK('Capacity summary'!$H209:$BG209)&lt;52,IF('Capacity summary'!AJ209&lt;&gt;"",IF(LOWER('Capacity summary'!AJ209)="x",$BI90*AJ90,VALUE('Capacity summary'!AJ209)),0),AJ90*$BI90),AJ90*$BI90),0)</f>
        <v>0</v>
      </c>
      <c r="CN90" s="311">
        <f>IF($BI90&lt;&gt;"",IF('Capacity summary'!$D$14="Yes",IF(COUNTBLANK('Capacity summary'!$H209:$BG209)&lt;52,IF('Capacity summary'!AK209&lt;&gt;"",IF(LOWER('Capacity summary'!AK209)="x",$BI90*AK90,VALUE('Capacity summary'!AK209)),0),AK90*$BI90),AK90*$BI90),0)</f>
        <v>0</v>
      </c>
      <c r="CO90" s="311">
        <f>IF($BI90&lt;&gt;"",IF('Capacity summary'!$D$14="Yes",IF(COUNTBLANK('Capacity summary'!$H209:$BG209)&lt;52,IF('Capacity summary'!AL209&lt;&gt;"",IF(LOWER('Capacity summary'!AL209)="x",$BI90*AL90,VALUE('Capacity summary'!AL209)),0),AL90*$BI90),AL90*$BI90),0)</f>
        <v>0</v>
      </c>
      <c r="CP90" s="311">
        <f>IF($BI90&lt;&gt;"",IF('Capacity summary'!$D$14="Yes",IF(COUNTBLANK('Capacity summary'!$H209:$BG209)&lt;52,IF('Capacity summary'!AM209&lt;&gt;"",IF(LOWER('Capacity summary'!AM209)="x",$BI90*AM90,VALUE('Capacity summary'!AM209)),0),AM90*$BI90),AM90*$BI90),0)</f>
        <v>0</v>
      </c>
      <c r="CQ90" s="311">
        <f>IF($BI90&lt;&gt;"",IF('Capacity summary'!$D$14="Yes",IF(COUNTBLANK('Capacity summary'!$H209:$BG209)&lt;52,IF('Capacity summary'!AN209&lt;&gt;"",IF(LOWER('Capacity summary'!AN209)="x",$BI90*AN90,VALUE('Capacity summary'!AN209)),0),AN90*$BI90),AN90*$BI90),0)</f>
        <v>0</v>
      </c>
      <c r="CR90" s="311">
        <f>IF($BI90&lt;&gt;"",IF('Capacity summary'!$D$14="Yes",IF(COUNTBLANK('Capacity summary'!$H209:$BG209)&lt;52,IF('Capacity summary'!AO209&lt;&gt;"",IF(LOWER('Capacity summary'!AO209)="x",$BI90*AO90,VALUE('Capacity summary'!AO209)),0),AO90*$BI90),AO90*$BI90),0)</f>
        <v>0</v>
      </c>
      <c r="CS90" s="311">
        <f>IF($BI90&lt;&gt;"",IF('Capacity summary'!$D$14="Yes",IF(COUNTBLANK('Capacity summary'!$H209:$BG209)&lt;52,IF('Capacity summary'!AP209&lt;&gt;"",IF(LOWER('Capacity summary'!AP209)="x",$BI90*AP90,VALUE('Capacity summary'!AP209)),0),AP90*$BI90),AP90*$BI90),0)</f>
        <v>0</v>
      </c>
      <c r="CT90" s="311">
        <f>IF($BI90&lt;&gt;"",IF('Capacity summary'!$D$14="Yes",IF(COUNTBLANK('Capacity summary'!$H209:$BG209)&lt;52,IF('Capacity summary'!AQ209&lt;&gt;"",IF(LOWER('Capacity summary'!AQ209)="x",$BI90*AQ90,VALUE('Capacity summary'!AQ209)),0),AQ90*$BI90),AQ90*$BI90),0)</f>
        <v>0</v>
      </c>
      <c r="CU90" s="311">
        <f>IF($BI90&lt;&gt;"",IF('Capacity summary'!$D$14="Yes",IF(COUNTBLANK('Capacity summary'!$H209:$BG209)&lt;52,IF('Capacity summary'!AR209&lt;&gt;"",IF(LOWER('Capacity summary'!AR209)="x",$BI90*AR90,VALUE('Capacity summary'!AR209)),0),AR90*$BI90),AR90*$BI90),0)</f>
        <v>0</v>
      </c>
      <c r="CV90" s="311">
        <f>IF($BI90&lt;&gt;"",IF('Capacity summary'!$D$14="Yes",IF(COUNTBLANK('Capacity summary'!$H209:$BG209)&lt;52,IF('Capacity summary'!AS209&lt;&gt;"",IF(LOWER('Capacity summary'!AS209)="x",$BI90*AS90,VALUE('Capacity summary'!AS209)),0),AS90*$BI90),AS90*$BI90),0)</f>
        <v>0</v>
      </c>
      <c r="CW90" s="311">
        <f>IF($BI90&lt;&gt;"",IF('Capacity summary'!$D$14="Yes",IF(COUNTBLANK('Capacity summary'!$H209:$BG209)&lt;52,IF('Capacity summary'!AT209&lt;&gt;"",IF(LOWER('Capacity summary'!AT209)="x",$BI90*AT90,VALUE('Capacity summary'!AT209)),0),AT90*$BI90),AT90*$BI90),0)</f>
        <v>0</v>
      </c>
      <c r="CX90" s="311">
        <f>IF($BI90&lt;&gt;"",IF('Capacity summary'!$D$14="Yes",IF(COUNTBLANK('Capacity summary'!$H209:$BG209)&lt;52,IF('Capacity summary'!AU209&lt;&gt;"",IF(LOWER('Capacity summary'!AU209)="x",$BI90*AU90,VALUE('Capacity summary'!AU209)),0),AU90*$BI90),AU90*$BI90),0)</f>
        <v>0</v>
      </c>
      <c r="CY90" s="311">
        <f>IF($BI90&lt;&gt;"",IF('Capacity summary'!$D$14="Yes",IF(COUNTBLANK('Capacity summary'!$H209:$BG209)&lt;52,IF('Capacity summary'!AV209&lt;&gt;"",IF(LOWER('Capacity summary'!AV209)="x",$BI90*AV90,VALUE('Capacity summary'!AV209)),0),AV90*$BI90),AV90*$BI90),0)</f>
        <v>0</v>
      </c>
      <c r="CZ90" s="311">
        <f>IF($BI90&lt;&gt;"",IF('Capacity summary'!$D$14="Yes",IF(COUNTBLANK('Capacity summary'!$H209:$BG209)&lt;52,IF('Capacity summary'!AW209&lt;&gt;"",IF(LOWER('Capacity summary'!AW209)="x",$BI90*AW90,VALUE('Capacity summary'!AW209)),0),AW90*$BI90),AW90*$BI90),0)</f>
        <v>0</v>
      </c>
      <c r="DA90" s="311">
        <f>IF($BI90&lt;&gt;"",IF('Capacity summary'!$D$14="Yes",IF(COUNTBLANK('Capacity summary'!$H209:$BG209)&lt;52,IF('Capacity summary'!AX209&lt;&gt;"",IF(LOWER('Capacity summary'!AX209)="x",$BI90*AX90,VALUE('Capacity summary'!AX209)),0),AX90*$BI90),AX90*$BI90),0)</f>
        <v>0</v>
      </c>
      <c r="DB90" s="311">
        <f>IF($BI90&lt;&gt;"",IF('Capacity summary'!$D$14="Yes",IF(COUNTBLANK('Capacity summary'!$H209:$BG209)&lt;52,IF('Capacity summary'!AY209&lt;&gt;"",IF(LOWER('Capacity summary'!AY209)="x",$BI90*AY90,VALUE('Capacity summary'!AY209)),0),AY90*$BI90),AY90*$BI90),0)</f>
        <v>0</v>
      </c>
      <c r="DC90" s="311">
        <f>IF($BI90&lt;&gt;"",IF('Capacity summary'!$D$14="Yes",IF(COUNTBLANK('Capacity summary'!$H209:$BG209)&lt;52,IF('Capacity summary'!AZ209&lt;&gt;"",IF(LOWER('Capacity summary'!AZ209)="x",$BI90*AZ90,VALUE('Capacity summary'!AZ209)),0),AZ90*$BI90),AZ90*$BI90),0)</f>
        <v>0</v>
      </c>
      <c r="DD90" s="311">
        <f>IF($BI90&lt;&gt;"",IF('Capacity summary'!$D$14="Yes",IF(COUNTBLANK('Capacity summary'!$H209:$BG209)&lt;52,IF('Capacity summary'!BA209&lt;&gt;"",IF(LOWER('Capacity summary'!BA209)="x",$BI90*BA90,VALUE('Capacity summary'!BA209)),0),BA90*$BI90),BA90*$BI90),0)</f>
        <v>0</v>
      </c>
      <c r="DE90" s="311">
        <f>IF($BI90&lt;&gt;"",IF('Capacity summary'!$D$14="Yes",IF(COUNTBLANK('Capacity summary'!$H209:$BG209)&lt;52,IF('Capacity summary'!BB209&lt;&gt;"",IF(LOWER('Capacity summary'!BB209)="x",$BI90*BB90,VALUE('Capacity summary'!BB209)),0),BB90*$BI90),BB90*$BI90),0)</f>
        <v>0</v>
      </c>
      <c r="DF90" s="311">
        <f>IF($BI90&lt;&gt;"",IF('Capacity summary'!$D$14="Yes",IF(COUNTBLANK('Capacity summary'!$H209:$BG209)&lt;52,IF('Capacity summary'!BC209&lt;&gt;"",IF(LOWER('Capacity summary'!BC209)="x",$BI90*BC90,VALUE('Capacity summary'!BC209)),0),BC90*$BI90),BC90*$BI90),0)</f>
        <v>0</v>
      </c>
      <c r="DG90" s="311">
        <f>IF($BI90&lt;&gt;"",IF('Capacity summary'!$D$14="Yes",IF(COUNTBLANK('Capacity summary'!$H209:$BG209)&lt;52,IF('Capacity summary'!BD209&lt;&gt;"",IF(LOWER('Capacity summary'!BD209)="x",$BI90*BD90,VALUE('Capacity summary'!BD209)),0),BD90*$BI90),BD90*$BI90),0)</f>
        <v>0</v>
      </c>
      <c r="DH90" s="311">
        <f>IF($BI90&lt;&gt;"",IF('Capacity summary'!$D$14="Yes",IF(COUNTBLANK('Capacity summary'!$H209:$BG209)&lt;52,IF('Capacity summary'!BE209&lt;&gt;"",IF(LOWER('Capacity summary'!BE209)="x",$BI90*BE90,VALUE('Capacity summary'!BE209)),0),BE90*$BI90),BE90*$BI90),0)</f>
        <v>0</v>
      </c>
      <c r="DI90" s="311">
        <f>IF($BI90&lt;&gt;"",IF('Capacity summary'!$D$14="Yes",IF(COUNTBLANK('Capacity summary'!$H209:$BG209)&lt;52,IF('Capacity summary'!BF209&lt;&gt;"",IF(LOWER('Capacity summary'!BF209)="x",$BI90*BF90,VALUE('Capacity summary'!BF209)),0),BF90*$BI90),BF90*$BI90),0)</f>
        <v>0</v>
      </c>
      <c r="DJ90" s="311">
        <f>IF($BI90&lt;&gt;"",IF('Capacity summary'!$D$14="Yes",IF(COUNTBLANK('Capacity summary'!$H209:$BG209)&lt;52,IF('Capacity summary'!BG209&lt;&gt;"",IF(LOWER('Capacity summary'!BG209)="x",$BI90*BG90,VALUE('Capacity summary'!BG209)),0),BG90*$BI90),BG90*$BI90),0)</f>
        <v>0</v>
      </c>
      <c r="DK90" s="387">
        <f t="shared" si="4"/>
        <v>0</v>
      </c>
      <c r="DL90" s="136">
        <f t="shared" si="5"/>
        <v>0</v>
      </c>
      <c r="DM90" s="311" t="str">
        <f>Capacity!H102</f>
        <v/>
      </c>
    </row>
    <row r="91" spans="1:117" x14ac:dyDescent="0.2">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1">
        <f>IF($BI91&lt;&gt;"",IF('Capacity summary'!$D$14="Yes",IF(COUNTBLANK('Capacity summary'!$H210:$BG210)&lt;52,IF('Capacity summary'!H210&lt;&gt;"",IF(LOWER('Capacity summary'!H210)="x",$BI91*H91,VALUE('Capacity summary'!H210)),0),H91*$BI91),H91*$BI91),0)</f>
        <v>0</v>
      </c>
      <c r="BL91" s="311">
        <f>IF($BI91&lt;&gt;"",IF('Capacity summary'!$D$14="Yes",IF(COUNTBLANK('Capacity summary'!$H210:$BG210)&lt;52,IF('Capacity summary'!I210&lt;&gt;"",IF(LOWER('Capacity summary'!I210)="x",$BI91*I91,VALUE('Capacity summary'!I210)),0),I91*$BI91),I91*$BI91),0)</f>
        <v>0</v>
      </c>
      <c r="BM91" s="311">
        <f>IF($BI91&lt;&gt;"",IF('Capacity summary'!$D$14="Yes",IF(COUNTBLANK('Capacity summary'!$H210:$BG210)&lt;52,IF('Capacity summary'!J210&lt;&gt;"",IF(LOWER('Capacity summary'!J210)="x",$BI91*J91,VALUE('Capacity summary'!J210)),0),J91*$BI91),J91*$BI91),0)</f>
        <v>0</v>
      </c>
      <c r="BN91" s="311">
        <f>IF($BI91&lt;&gt;"",IF('Capacity summary'!$D$14="Yes",IF(COUNTBLANK('Capacity summary'!$H210:$BG210)&lt;52,IF('Capacity summary'!K210&lt;&gt;"",IF(LOWER('Capacity summary'!K210)="x",$BI91*K91,VALUE('Capacity summary'!K210)),0),K91*$BI91),K91*$BI91),0)</f>
        <v>0</v>
      </c>
      <c r="BO91" s="311">
        <f>IF($BI91&lt;&gt;"",IF('Capacity summary'!$D$14="Yes",IF(COUNTBLANK('Capacity summary'!$H210:$BG210)&lt;52,IF('Capacity summary'!L210&lt;&gt;"",IF(LOWER('Capacity summary'!L210)="x",$BI91*L91,VALUE('Capacity summary'!L210)),0),L91*$BI91),L91*$BI91),0)</f>
        <v>0</v>
      </c>
      <c r="BP91" s="311">
        <f>IF($BI91&lt;&gt;"",IF('Capacity summary'!$D$14="Yes",IF(COUNTBLANK('Capacity summary'!$H210:$BG210)&lt;52,IF('Capacity summary'!M210&lt;&gt;"",IF(LOWER('Capacity summary'!M210)="x",$BI91*M91,VALUE('Capacity summary'!M210)),0),M91*$BI91),M91*$BI91),0)</f>
        <v>0</v>
      </c>
      <c r="BQ91" s="311">
        <f>IF($BI91&lt;&gt;"",IF('Capacity summary'!$D$14="Yes",IF(COUNTBLANK('Capacity summary'!$H210:$BG210)&lt;52,IF('Capacity summary'!N210&lt;&gt;"",IF(LOWER('Capacity summary'!N210)="x",$BI91*N91,VALUE('Capacity summary'!N210)),0),N91*$BI91),N91*$BI91),0)</f>
        <v>0</v>
      </c>
      <c r="BR91" s="311">
        <f>IF($BI91&lt;&gt;"",IF('Capacity summary'!$D$14="Yes",IF(COUNTBLANK('Capacity summary'!$H210:$BG210)&lt;52,IF('Capacity summary'!O210&lt;&gt;"",IF(LOWER('Capacity summary'!O210)="x",$BI91*O91,VALUE('Capacity summary'!O210)),0),O91*$BI91),O91*$BI91),0)</f>
        <v>0</v>
      </c>
      <c r="BS91" s="311">
        <f>IF($BI91&lt;&gt;"",IF('Capacity summary'!$D$14="Yes",IF(COUNTBLANK('Capacity summary'!$H210:$BG210)&lt;52,IF('Capacity summary'!P210&lt;&gt;"",IF(LOWER('Capacity summary'!P210)="x",$BI91*P91,VALUE('Capacity summary'!P210)),0),P91*$BI91),P91*$BI91),0)</f>
        <v>0</v>
      </c>
      <c r="BT91" s="311">
        <f>IF($BI91&lt;&gt;"",IF('Capacity summary'!$D$14="Yes",IF(COUNTBLANK('Capacity summary'!$H210:$BG210)&lt;52,IF('Capacity summary'!Q210&lt;&gt;"",IF(LOWER('Capacity summary'!Q210)="x",$BI91*Q91,VALUE('Capacity summary'!Q210)),0),Q91*$BI91),Q91*$BI91),0)</f>
        <v>0</v>
      </c>
      <c r="BU91" s="311">
        <f>IF($BI91&lt;&gt;"",IF('Capacity summary'!$D$14="Yes",IF(COUNTBLANK('Capacity summary'!$H210:$BG210)&lt;52,IF('Capacity summary'!R210&lt;&gt;"",IF(LOWER('Capacity summary'!R210)="x",$BI91*R91,VALUE('Capacity summary'!R210)),0),R91*$BI91),R91*$BI91),0)</f>
        <v>0</v>
      </c>
      <c r="BV91" s="311">
        <f>IF($BI91&lt;&gt;"",IF('Capacity summary'!$D$14="Yes",IF(COUNTBLANK('Capacity summary'!$H210:$BG210)&lt;52,IF('Capacity summary'!S210&lt;&gt;"",IF(LOWER('Capacity summary'!S210)="x",$BI91*S91,VALUE('Capacity summary'!S210)),0),S91*$BI91),S91*$BI91),0)</f>
        <v>0</v>
      </c>
      <c r="BW91" s="311">
        <f>IF($BI91&lt;&gt;"",IF('Capacity summary'!$D$14="Yes",IF(COUNTBLANK('Capacity summary'!$H210:$BG210)&lt;52,IF('Capacity summary'!T210&lt;&gt;"",IF(LOWER('Capacity summary'!T210)="x",$BI91*T91,VALUE('Capacity summary'!T210)),0),T91*$BI91),T91*$BI91),0)</f>
        <v>0</v>
      </c>
      <c r="BX91" s="311">
        <f>IF($BI91&lt;&gt;"",IF('Capacity summary'!$D$14="Yes",IF(COUNTBLANK('Capacity summary'!$H210:$BG210)&lt;52,IF('Capacity summary'!U210&lt;&gt;"",IF(LOWER('Capacity summary'!U210)="x",$BI91*U91,VALUE('Capacity summary'!U210)),0),U91*$BI91),U91*$BI91),0)</f>
        <v>0</v>
      </c>
      <c r="BY91" s="311">
        <f>IF($BI91&lt;&gt;"",IF('Capacity summary'!$D$14="Yes",IF(COUNTBLANK('Capacity summary'!$H210:$BG210)&lt;52,IF('Capacity summary'!V210&lt;&gt;"",IF(LOWER('Capacity summary'!V210)="x",$BI91*V91,VALUE('Capacity summary'!V210)),0),V91*$BI91),V91*$BI91),0)</f>
        <v>0</v>
      </c>
      <c r="BZ91" s="311">
        <f>IF($BI91&lt;&gt;"",IF('Capacity summary'!$D$14="Yes",IF(COUNTBLANK('Capacity summary'!$H210:$BG210)&lt;52,IF('Capacity summary'!W210&lt;&gt;"",IF(LOWER('Capacity summary'!W210)="x",$BI91*W91,VALUE('Capacity summary'!W210)),0),W91*$BI91),W91*$BI91),0)</f>
        <v>0</v>
      </c>
      <c r="CA91" s="311">
        <f>IF($BI91&lt;&gt;"",IF('Capacity summary'!$D$14="Yes",IF(COUNTBLANK('Capacity summary'!$H210:$BG210)&lt;52,IF('Capacity summary'!X210&lt;&gt;"",IF(LOWER('Capacity summary'!X210)="x",$BI91*X91,VALUE('Capacity summary'!X210)),0),X91*$BI91),X91*$BI91),0)</f>
        <v>0</v>
      </c>
      <c r="CB91" s="311">
        <f>IF($BI91&lt;&gt;"",IF('Capacity summary'!$D$14="Yes",IF(COUNTBLANK('Capacity summary'!$H210:$BG210)&lt;52,IF('Capacity summary'!Y210&lt;&gt;"",IF(LOWER('Capacity summary'!Y210)="x",$BI91*Y91,VALUE('Capacity summary'!Y210)),0),Y91*$BI91),Y91*$BI91),0)</f>
        <v>0</v>
      </c>
      <c r="CC91" s="311">
        <f>IF($BI91&lt;&gt;"",IF('Capacity summary'!$D$14="Yes",IF(COUNTBLANK('Capacity summary'!$H210:$BG210)&lt;52,IF('Capacity summary'!Z210&lt;&gt;"",IF(LOWER('Capacity summary'!Z210)="x",$BI91*Z91,VALUE('Capacity summary'!Z210)),0),Z91*$BI91),Z91*$BI91),0)</f>
        <v>0</v>
      </c>
      <c r="CD91" s="311">
        <f>IF($BI91&lt;&gt;"",IF('Capacity summary'!$D$14="Yes",IF(COUNTBLANK('Capacity summary'!$H210:$BG210)&lt;52,IF('Capacity summary'!AA210&lt;&gt;"",IF(LOWER('Capacity summary'!AA210)="x",$BI91*AA91,VALUE('Capacity summary'!AA210)),0),AA91*$BI91),AA91*$BI91),0)</f>
        <v>0</v>
      </c>
      <c r="CE91" s="311">
        <f>IF($BI91&lt;&gt;"",IF('Capacity summary'!$D$14="Yes",IF(COUNTBLANK('Capacity summary'!$H210:$BG210)&lt;52,IF('Capacity summary'!AB210&lt;&gt;"",IF(LOWER('Capacity summary'!AB210)="x",$BI91*AB91,VALUE('Capacity summary'!AB210)),0),AB91*$BI91),AB91*$BI91),0)</f>
        <v>0</v>
      </c>
      <c r="CF91" s="311">
        <f>IF($BI91&lt;&gt;"",IF('Capacity summary'!$D$14="Yes",IF(COUNTBLANK('Capacity summary'!$H210:$BG210)&lt;52,IF('Capacity summary'!AC210&lt;&gt;"",IF(LOWER('Capacity summary'!AC210)="x",$BI91*AC91,VALUE('Capacity summary'!AC210)),0),AC91*$BI91),AC91*$BI91),0)</f>
        <v>0</v>
      </c>
      <c r="CG91" s="311">
        <f>IF($BI91&lt;&gt;"",IF('Capacity summary'!$D$14="Yes",IF(COUNTBLANK('Capacity summary'!$H210:$BG210)&lt;52,IF('Capacity summary'!AD210&lt;&gt;"",IF(LOWER('Capacity summary'!AD210)="x",$BI91*AD91,VALUE('Capacity summary'!AD210)),0),AD91*$BI91),AD91*$BI91),0)</f>
        <v>0</v>
      </c>
      <c r="CH91" s="311">
        <f>IF($BI91&lt;&gt;"",IF('Capacity summary'!$D$14="Yes",IF(COUNTBLANK('Capacity summary'!$H210:$BG210)&lt;52,IF('Capacity summary'!AE210&lt;&gt;"",IF(LOWER('Capacity summary'!AE210)="x",$BI91*AE91,VALUE('Capacity summary'!AE210)),0),AE91*$BI91),AE91*$BI91),0)</f>
        <v>0</v>
      </c>
      <c r="CI91" s="311">
        <f>IF($BI91&lt;&gt;"",IF('Capacity summary'!$D$14="Yes",IF(COUNTBLANK('Capacity summary'!$H210:$BG210)&lt;52,IF('Capacity summary'!AF210&lt;&gt;"",IF(LOWER('Capacity summary'!AF210)="x",$BI91*AF91,VALUE('Capacity summary'!AF210)),0),AF91*$BI91),AF91*$BI91),0)</f>
        <v>0</v>
      </c>
      <c r="CJ91" s="311">
        <f>IF($BI91&lt;&gt;"",IF('Capacity summary'!$D$14="Yes",IF(COUNTBLANK('Capacity summary'!$H210:$BG210)&lt;52,IF('Capacity summary'!AG210&lt;&gt;"",IF(LOWER('Capacity summary'!AG210)="x",$BI91*AG91,VALUE('Capacity summary'!AG210)),0),AG91*$BI91),AG91*$BI91),0)</f>
        <v>0</v>
      </c>
      <c r="CK91" s="311">
        <f>IF($BI91&lt;&gt;"",IF('Capacity summary'!$D$14="Yes",IF(COUNTBLANK('Capacity summary'!$H210:$BG210)&lt;52,IF('Capacity summary'!AH210&lt;&gt;"",IF(LOWER('Capacity summary'!AH210)="x",$BI91*AH91,VALUE('Capacity summary'!AH210)),0),AH91*$BI91),AH91*$BI91),0)</f>
        <v>0</v>
      </c>
      <c r="CL91" s="311">
        <f>IF($BI91&lt;&gt;"",IF('Capacity summary'!$D$14="Yes",IF(COUNTBLANK('Capacity summary'!$H210:$BG210)&lt;52,IF('Capacity summary'!AI210&lt;&gt;"",IF(LOWER('Capacity summary'!AI210)="x",$BI91*AI91,VALUE('Capacity summary'!AI210)),0),AI91*$BI91),AI91*$BI91),0)</f>
        <v>0</v>
      </c>
      <c r="CM91" s="311">
        <f>IF($BI91&lt;&gt;"",IF('Capacity summary'!$D$14="Yes",IF(COUNTBLANK('Capacity summary'!$H210:$BG210)&lt;52,IF('Capacity summary'!AJ210&lt;&gt;"",IF(LOWER('Capacity summary'!AJ210)="x",$BI91*AJ91,VALUE('Capacity summary'!AJ210)),0),AJ91*$BI91),AJ91*$BI91),0)</f>
        <v>0</v>
      </c>
      <c r="CN91" s="311">
        <f>IF($BI91&lt;&gt;"",IF('Capacity summary'!$D$14="Yes",IF(COUNTBLANK('Capacity summary'!$H210:$BG210)&lt;52,IF('Capacity summary'!AK210&lt;&gt;"",IF(LOWER('Capacity summary'!AK210)="x",$BI91*AK91,VALUE('Capacity summary'!AK210)),0),AK91*$BI91),AK91*$BI91),0)</f>
        <v>0</v>
      </c>
      <c r="CO91" s="311">
        <f>IF($BI91&lt;&gt;"",IF('Capacity summary'!$D$14="Yes",IF(COUNTBLANK('Capacity summary'!$H210:$BG210)&lt;52,IF('Capacity summary'!AL210&lt;&gt;"",IF(LOWER('Capacity summary'!AL210)="x",$BI91*AL91,VALUE('Capacity summary'!AL210)),0),AL91*$BI91),AL91*$BI91),0)</f>
        <v>0</v>
      </c>
      <c r="CP91" s="311">
        <f>IF($BI91&lt;&gt;"",IF('Capacity summary'!$D$14="Yes",IF(COUNTBLANK('Capacity summary'!$H210:$BG210)&lt;52,IF('Capacity summary'!AM210&lt;&gt;"",IF(LOWER('Capacity summary'!AM210)="x",$BI91*AM91,VALUE('Capacity summary'!AM210)),0),AM91*$BI91),AM91*$BI91),0)</f>
        <v>0</v>
      </c>
      <c r="CQ91" s="311">
        <f>IF($BI91&lt;&gt;"",IF('Capacity summary'!$D$14="Yes",IF(COUNTBLANK('Capacity summary'!$H210:$BG210)&lt;52,IF('Capacity summary'!AN210&lt;&gt;"",IF(LOWER('Capacity summary'!AN210)="x",$BI91*AN91,VALUE('Capacity summary'!AN210)),0),AN91*$BI91),AN91*$BI91),0)</f>
        <v>0</v>
      </c>
      <c r="CR91" s="311">
        <f>IF($BI91&lt;&gt;"",IF('Capacity summary'!$D$14="Yes",IF(COUNTBLANK('Capacity summary'!$H210:$BG210)&lt;52,IF('Capacity summary'!AO210&lt;&gt;"",IF(LOWER('Capacity summary'!AO210)="x",$BI91*AO91,VALUE('Capacity summary'!AO210)),0),AO91*$BI91),AO91*$BI91),0)</f>
        <v>0</v>
      </c>
      <c r="CS91" s="311">
        <f>IF($BI91&lt;&gt;"",IF('Capacity summary'!$D$14="Yes",IF(COUNTBLANK('Capacity summary'!$H210:$BG210)&lt;52,IF('Capacity summary'!AP210&lt;&gt;"",IF(LOWER('Capacity summary'!AP210)="x",$BI91*AP91,VALUE('Capacity summary'!AP210)),0),AP91*$BI91),AP91*$BI91),0)</f>
        <v>0</v>
      </c>
      <c r="CT91" s="311">
        <f>IF($BI91&lt;&gt;"",IF('Capacity summary'!$D$14="Yes",IF(COUNTBLANK('Capacity summary'!$H210:$BG210)&lt;52,IF('Capacity summary'!AQ210&lt;&gt;"",IF(LOWER('Capacity summary'!AQ210)="x",$BI91*AQ91,VALUE('Capacity summary'!AQ210)),0),AQ91*$BI91),AQ91*$BI91),0)</f>
        <v>0</v>
      </c>
      <c r="CU91" s="311">
        <f>IF($BI91&lt;&gt;"",IF('Capacity summary'!$D$14="Yes",IF(COUNTBLANK('Capacity summary'!$H210:$BG210)&lt;52,IF('Capacity summary'!AR210&lt;&gt;"",IF(LOWER('Capacity summary'!AR210)="x",$BI91*AR91,VALUE('Capacity summary'!AR210)),0),AR91*$BI91),AR91*$BI91),0)</f>
        <v>0</v>
      </c>
      <c r="CV91" s="311">
        <f>IF($BI91&lt;&gt;"",IF('Capacity summary'!$D$14="Yes",IF(COUNTBLANK('Capacity summary'!$H210:$BG210)&lt;52,IF('Capacity summary'!AS210&lt;&gt;"",IF(LOWER('Capacity summary'!AS210)="x",$BI91*AS91,VALUE('Capacity summary'!AS210)),0),AS91*$BI91),AS91*$BI91),0)</f>
        <v>0</v>
      </c>
      <c r="CW91" s="311">
        <f>IF($BI91&lt;&gt;"",IF('Capacity summary'!$D$14="Yes",IF(COUNTBLANK('Capacity summary'!$H210:$BG210)&lt;52,IF('Capacity summary'!AT210&lt;&gt;"",IF(LOWER('Capacity summary'!AT210)="x",$BI91*AT91,VALUE('Capacity summary'!AT210)),0),AT91*$BI91),AT91*$BI91),0)</f>
        <v>0</v>
      </c>
      <c r="CX91" s="311">
        <f>IF($BI91&lt;&gt;"",IF('Capacity summary'!$D$14="Yes",IF(COUNTBLANK('Capacity summary'!$H210:$BG210)&lt;52,IF('Capacity summary'!AU210&lt;&gt;"",IF(LOWER('Capacity summary'!AU210)="x",$BI91*AU91,VALUE('Capacity summary'!AU210)),0),AU91*$BI91),AU91*$BI91),0)</f>
        <v>0</v>
      </c>
      <c r="CY91" s="311">
        <f>IF($BI91&lt;&gt;"",IF('Capacity summary'!$D$14="Yes",IF(COUNTBLANK('Capacity summary'!$H210:$BG210)&lt;52,IF('Capacity summary'!AV210&lt;&gt;"",IF(LOWER('Capacity summary'!AV210)="x",$BI91*AV91,VALUE('Capacity summary'!AV210)),0),AV91*$BI91),AV91*$BI91),0)</f>
        <v>0</v>
      </c>
      <c r="CZ91" s="311">
        <f>IF($BI91&lt;&gt;"",IF('Capacity summary'!$D$14="Yes",IF(COUNTBLANK('Capacity summary'!$H210:$BG210)&lt;52,IF('Capacity summary'!AW210&lt;&gt;"",IF(LOWER('Capacity summary'!AW210)="x",$BI91*AW91,VALUE('Capacity summary'!AW210)),0),AW91*$BI91),AW91*$BI91),0)</f>
        <v>0</v>
      </c>
      <c r="DA91" s="311">
        <f>IF($BI91&lt;&gt;"",IF('Capacity summary'!$D$14="Yes",IF(COUNTBLANK('Capacity summary'!$H210:$BG210)&lt;52,IF('Capacity summary'!AX210&lt;&gt;"",IF(LOWER('Capacity summary'!AX210)="x",$BI91*AX91,VALUE('Capacity summary'!AX210)),0),AX91*$BI91),AX91*$BI91),0)</f>
        <v>0</v>
      </c>
      <c r="DB91" s="311">
        <f>IF($BI91&lt;&gt;"",IF('Capacity summary'!$D$14="Yes",IF(COUNTBLANK('Capacity summary'!$H210:$BG210)&lt;52,IF('Capacity summary'!AY210&lt;&gt;"",IF(LOWER('Capacity summary'!AY210)="x",$BI91*AY91,VALUE('Capacity summary'!AY210)),0),AY91*$BI91),AY91*$BI91),0)</f>
        <v>0</v>
      </c>
      <c r="DC91" s="311">
        <f>IF($BI91&lt;&gt;"",IF('Capacity summary'!$D$14="Yes",IF(COUNTBLANK('Capacity summary'!$H210:$BG210)&lt;52,IF('Capacity summary'!AZ210&lt;&gt;"",IF(LOWER('Capacity summary'!AZ210)="x",$BI91*AZ91,VALUE('Capacity summary'!AZ210)),0),AZ91*$BI91),AZ91*$BI91),0)</f>
        <v>0</v>
      </c>
      <c r="DD91" s="311">
        <f>IF($BI91&lt;&gt;"",IF('Capacity summary'!$D$14="Yes",IF(COUNTBLANK('Capacity summary'!$H210:$BG210)&lt;52,IF('Capacity summary'!BA210&lt;&gt;"",IF(LOWER('Capacity summary'!BA210)="x",$BI91*BA91,VALUE('Capacity summary'!BA210)),0),BA91*$BI91),BA91*$BI91),0)</f>
        <v>0</v>
      </c>
      <c r="DE91" s="311">
        <f>IF($BI91&lt;&gt;"",IF('Capacity summary'!$D$14="Yes",IF(COUNTBLANK('Capacity summary'!$H210:$BG210)&lt;52,IF('Capacity summary'!BB210&lt;&gt;"",IF(LOWER('Capacity summary'!BB210)="x",$BI91*BB91,VALUE('Capacity summary'!BB210)),0),BB91*$BI91),BB91*$BI91),0)</f>
        <v>0</v>
      </c>
      <c r="DF91" s="311">
        <f>IF($BI91&lt;&gt;"",IF('Capacity summary'!$D$14="Yes",IF(COUNTBLANK('Capacity summary'!$H210:$BG210)&lt;52,IF('Capacity summary'!BC210&lt;&gt;"",IF(LOWER('Capacity summary'!BC210)="x",$BI91*BC91,VALUE('Capacity summary'!BC210)),0),BC91*$BI91),BC91*$BI91),0)</f>
        <v>0</v>
      </c>
      <c r="DG91" s="311">
        <f>IF($BI91&lt;&gt;"",IF('Capacity summary'!$D$14="Yes",IF(COUNTBLANK('Capacity summary'!$H210:$BG210)&lt;52,IF('Capacity summary'!BD210&lt;&gt;"",IF(LOWER('Capacity summary'!BD210)="x",$BI91*BD91,VALUE('Capacity summary'!BD210)),0),BD91*$BI91),BD91*$BI91),0)</f>
        <v>0</v>
      </c>
      <c r="DH91" s="311">
        <f>IF($BI91&lt;&gt;"",IF('Capacity summary'!$D$14="Yes",IF(COUNTBLANK('Capacity summary'!$H210:$BG210)&lt;52,IF('Capacity summary'!BE210&lt;&gt;"",IF(LOWER('Capacity summary'!BE210)="x",$BI91*BE91,VALUE('Capacity summary'!BE210)),0),BE91*$BI91),BE91*$BI91),0)</f>
        <v>0</v>
      </c>
      <c r="DI91" s="311">
        <f>IF($BI91&lt;&gt;"",IF('Capacity summary'!$D$14="Yes",IF(COUNTBLANK('Capacity summary'!$H210:$BG210)&lt;52,IF('Capacity summary'!BF210&lt;&gt;"",IF(LOWER('Capacity summary'!BF210)="x",$BI91*BF91,VALUE('Capacity summary'!BF210)),0),BF91*$BI91),BF91*$BI91),0)</f>
        <v>0</v>
      </c>
      <c r="DJ91" s="311">
        <f>IF($BI91&lt;&gt;"",IF('Capacity summary'!$D$14="Yes",IF(COUNTBLANK('Capacity summary'!$H210:$BG210)&lt;52,IF('Capacity summary'!BG210&lt;&gt;"",IF(LOWER('Capacity summary'!BG210)="x",$BI91*BG91,VALUE('Capacity summary'!BG210)),0),BG91*$BI91),BG91*$BI91),0)</f>
        <v>0</v>
      </c>
      <c r="DK91" s="387">
        <f t="shared" si="4"/>
        <v>0</v>
      </c>
      <c r="DL91" s="136">
        <f t="shared" si="5"/>
        <v>0</v>
      </c>
      <c r="DM91" s="311" t="str">
        <f>Capacity!H103</f>
        <v/>
      </c>
    </row>
    <row r="92" spans="1:117" x14ac:dyDescent="0.2">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1">
        <f>IF($BI92&lt;&gt;"",IF('Capacity summary'!$D$14="Yes",IF(COUNTBLANK('Capacity summary'!$H211:$BG211)&lt;52,IF('Capacity summary'!H211&lt;&gt;"",IF(LOWER('Capacity summary'!H211)="x",$BI92*H92,VALUE('Capacity summary'!H211)),0),H92*$BI92),H92*$BI92),0)</f>
        <v>0</v>
      </c>
      <c r="BL92" s="311">
        <f>IF($BI92&lt;&gt;"",IF('Capacity summary'!$D$14="Yes",IF(COUNTBLANK('Capacity summary'!$H211:$BG211)&lt;52,IF('Capacity summary'!I211&lt;&gt;"",IF(LOWER('Capacity summary'!I211)="x",$BI92*I92,VALUE('Capacity summary'!I211)),0),I92*$BI92),I92*$BI92),0)</f>
        <v>0</v>
      </c>
      <c r="BM92" s="311">
        <f>IF($BI92&lt;&gt;"",IF('Capacity summary'!$D$14="Yes",IF(COUNTBLANK('Capacity summary'!$H211:$BG211)&lt;52,IF('Capacity summary'!J211&lt;&gt;"",IF(LOWER('Capacity summary'!J211)="x",$BI92*J92,VALUE('Capacity summary'!J211)),0),J92*$BI92),J92*$BI92),0)</f>
        <v>0</v>
      </c>
      <c r="BN92" s="311">
        <f>IF($BI92&lt;&gt;"",IF('Capacity summary'!$D$14="Yes",IF(COUNTBLANK('Capacity summary'!$H211:$BG211)&lt;52,IF('Capacity summary'!K211&lt;&gt;"",IF(LOWER('Capacity summary'!K211)="x",$BI92*K92,VALUE('Capacity summary'!K211)),0),K92*$BI92),K92*$BI92),0)</f>
        <v>0</v>
      </c>
      <c r="BO92" s="311">
        <f>IF($BI92&lt;&gt;"",IF('Capacity summary'!$D$14="Yes",IF(COUNTBLANK('Capacity summary'!$H211:$BG211)&lt;52,IF('Capacity summary'!L211&lt;&gt;"",IF(LOWER('Capacity summary'!L211)="x",$BI92*L92,VALUE('Capacity summary'!L211)),0),L92*$BI92),L92*$BI92),0)</f>
        <v>0</v>
      </c>
      <c r="BP92" s="311">
        <f>IF($BI92&lt;&gt;"",IF('Capacity summary'!$D$14="Yes",IF(COUNTBLANK('Capacity summary'!$H211:$BG211)&lt;52,IF('Capacity summary'!M211&lt;&gt;"",IF(LOWER('Capacity summary'!M211)="x",$BI92*M92,VALUE('Capacity summary'!M211)),0),M92*$BI92),M92*$BI92),0)</f>
        <v>0</v>
      </c>
      <c r="BQ92" s="311">
        <f>IF($BI92&lt;&gt;"",IF('Capacity summary'!$D$14="Yes",IF(COUNTBLANK('Capacity summary'!$H211:$BG211)&lt;52,IF('Capacity summary'!N211&lt;&gt;"",IF(LOWER('Capacity summary'!N211)="x",$BI92*N92,VALUE('Capacity summary'!N211)),0),N92*$BI92),N92*$BI92),0)</f>
        <v>0</v>
      </c>
      <c r="BR92" s="311">
        <f>IF($BI92&lt;&gt;"",IF('Capacity summary'!$D$14="Yes",IF(COUNTBLANK('Capacity summary'!$H211:$BG211)&lt;52,IF('Capacity summary'!O211&lt;&gt;"",IF(LOWER('Capacity summary'!O211)="x",$BI92*O92,VALUE('Capacity summary'!O211)),0),O92*$BI92),O92*$BI92),0)</f>
        <v>0</v>
      </c>
      <c r="BS92" s="311">
        <f>IF($BI92&lt;&gt;"",IF('Capacity summary'!$D$14="Yes",IF(COUNTBLANK('Capacity summary'!$H211:$BG211)&lt;52,IF('Capacity summary'!P211&lt;&gt;"",IF(LOWER('Capacity summary'!P211)="x",$BI92*P92,VALUE('Capacity summary'!P211)),0),P92*$BI92),P92*$BI92),0)</f>
        <v>0</v>
      </c>
      <c r="BT92" s="311">
        <f>IF($BI92&lt;&gt;"",IF('Capacity summary'!$D$14="Yes",IF(COUNTBLANK('Capacity summary'!$H211:$BG211)&lt;52,IF('Capacity summary'!Q211&lt;&gt;"",IF(LOWER('Capacity summary'!Q211)="x",$BI92*Q92,VALUE('Capacity summary'!Q211)),0),Q92*$BI92),Q92*$BI92),0)</f>
        <v>0</v>
      </c>
      <c r="BU92" s="311">
        <f>IF($BI92&lt;&gt;"",IF('Capacity summary'!$D$14="Yes",IF(COUNTBLANK('Capacity summary'!$H211:$BG211)&lt;52,IF('Capacity summary'!R211&lt;&gt;"",IF(LOWER('Capacity summary'!R211)="x",$BI92*R92,VALUE('Capacity summary'!R211)),0),R92*$BI92),R92*$BI92),0)</f>
        <v>0</v>
      </c>
      <c r="BV92" s="311">
        <f>IF($BI92&lt;&gt;"",IF('Capacity summary'!$D$14="Yes",IF(COUNTBLANK('Capacity summary'!$H211:$BG211)&lt;52,IF('Capacity summary'!S211&lt;&gt;"",IF(LOWER('Capacity summary'!S211)="x",$BI92*S92,VALUE('Capacity summary'!S211)),0),S92*$BI92),S92*$BI92),0)</f>
        <v>0</v>
      </c>
      <c r="BW92" s="311">
        <f>IF($BI92&lt;&gt;"",IF('Capacity summary'!$D$14="Yes",IF(COUNTBLANK('Capacity summary'!$H211:$BG211)&lt;52,IF('Capacity summary'!T211&lt;&gt;"",IF(LOWER('Capacity summary'!T211)="x",$BI92*T92,VALUE('Capacity summary'!T211)),0),T92*$BI92),T92*$BI92),0)</f>
        <v>0</v>
      </c>
      <c r="BX92" s="311">
        <f>IF($BI92&lt;&gt;"",IF('Capacity summary'!$D$14="Yes",IF(COUNTBLANK('Capacity summary'!$H211:$BG211)&lt;52,IF('Capacity summary'!U211&lt;&gt;"",IF(LOWER('Capacity summary'!U211)="x",$BI92*U92,VALUE('Capacity summary'!U211)),0),U92*$BI92),U92*$BI92),0)</f>
        <v>0</v>
      </c>
      <c r="BY92" s="311">
        <f>IF($BI92&lt;&gt;"",IF('Capacity summary'!$D$14="Yes",IF(COUNTBLANK('Capacity summary'!$H211:$BG211)&lt;52,IF('Capacity summary'!V211&lt;&gt;"",IF(LOWER('Capacity summary'!V211)="x",$BI92*V92,VALUE('Capacity summary'!V211)),0),V92*$BI92),V92*$BI92),0)</f>
        <v>0</v>
      </c>
      <c r="BZ92" s="311">
        <f>IF($BI92&lt;&gt;"",IF('Capacity summary'!$D$14="Yes",IF(COUNTBLANK('Capacity summary'!$H211:$BG211)&lt;52,IF('Capacity summary'!W211&lt;&gt;"",IF(LOWER('Capacity summary'!W211)="x",$BI92*W92,VALUE('Capacity summary'!W211)),0),W92*$BI92),W92*$BI92),0)</f>
        <v>0</v>
      </c>
      <c r="CA92" s="311">
        <f>IF($BI92&lt;&gt;"",IF('Capacity summary'!$D$14="Yes",IF(COUNTBLANK('Capacity summary'!$H211:$BG211)&lt;52,IF('Capacity summary'!X211&lt;&gt;"",IF(LOWER('Capacity summary'!X211)="x",$BI92*X92,VALUE('Capacity summary'!X211)),0),X92*$BI92),X92*$BI92),0)</f>
        <v>0</v>
      </c>
      <c r="CB92" s="311">
        <f>IF($BI92&lt;&gt;"",IF('Capacity summary'!$D$14="Yes",IF(COUNTBLANK('Capacity summary'!$H211:$BG211)&lt;52,IF('Capacity summary'!Y211&lt;&gt;"",IF(LOWER('Capacity summary'!Y211)="x",$BI92*Y92,VALUE('Capacity summary'!Y211)),0),Y92*$BI92),Y92*$BI92),0)</f>
        <v>0</v>
      </c>
      <c r="CC92" s="311">
        <f>IF($BI92&lt;&gt;"",IF('Capacity summary'!$D$14="Yes",IF(COUNTBLANK('Capacity summary'!$H211:$BG211)&lt;52,IF('Capacity summary'!Z211&lt;&gt;"",IF(LOWER('Capacity summary'!Z211)="x",$BI92*Z92,VALUE('Capacity summary'!Z211)),0),Z92*$BI92),Z92*$BI92),0)</f>
        <v>0</v>
      </c>
      <c r="CD92" s="311">
        <f>IF($BI92&lt;&gt;"",IF('Capacity summary'!$D$14="Yes",IF(COUNTBLANK('Capacity summary'!$H211:$BG211)&lt;52,IF('Capacity summary'!AA211&lt;&gt;"",IF(LOWER('Capacity summary'!AA211)="x",$BI92*AA92,VALUE('Capacity summary'!AA211)),0),AA92*$BI92),AA92*$BI92),0)</f>
        <v>0</v>
      </c>
      <c r="CE92" s="311">
        <f>IF($BI92&lt;&gt;"",IF('Capacity summary'!$D$14="Yes",IF(COUNTBLANK('Capacity summary'!$H211:$BG211)&lt;52,IF('Capacity summary'!AB211&lt;&gt;"",IF(LOWER('Capacity summary'!AB211)="x",$BI92*AB92,VALUE('Capacity summary'!AB211)),0),AB92*$BI92),AB92*$BI92),0)</f>
        <v>0</v>
      </c>
      <c r="CF92" s="311">
        <f>IF($BI92&lt;&gt;"",IF('Capacity summary'!$D$14="Yes",IF(COUNTBLANK('Capacity summary'!$H211:$BG211)&lt;52,IF('Capacity summary'!AC211&lt;&gt;"",IF(LOWER('Capacity summary'!AC211)="x",$BI92*AC92,VALUE('Capacity summary'!AC211)),0),AC92*$BI92),AC92*$BI92),0)</f>
        <v>0</v>
      </c>
      <c r="CG92" s="311">
        <f>IF($BI92&lt;&gt;"",IF('Capacity summary'!$D$14="Yes",IF(COUNTBLANK('Capacity summary'!$H211:$BG211)&lt;52,IF('Capacity summary'!AD211&lt;&gt;"",IF(LOWER('Capacity summary'!AD211)="x",$BI92*AD92,VALUE('Capacity summary'!AD211)),0),AD92*$BI92),AD92*$BI92),0)</f>
        <v>0</v>
      </c>
      <c r="CH92" s="311">
        <f>IF($BI92&lt;&gt;"",IF('Capacity summary'!$D$14="Yes",IF(COUNTBLANK('Capacity summary'!$H211:$BG211)&lt;52,IF('Capacity summary'!AE211&lt;&gt;"",IF(LOWER('Capacity summary'!AE211)="x",$BI92*AE92,VALUE('Capacity summary'!AE211)),0),AE92*$BI92),AE92*$BI92),0)</f>
        <v>0</v>
      </c>
      <c r="CI92" s="311">
        <f>IF($BI92&lt;&gt;"",IF('Capacity summary'!$D$14="Yes",IF(COUNTBLANK('Capacity summary'!$H211:$BG211)&lt;52,IF('Capacity summary'!AF211&lt;&gt;"",IF(LOWER('Capacity summary'!AF211)="x",$BI92*AF92,VALUE('Capacity summary'!AF211)),0),AF92*$BI92),AF92*$BI92),0)</f>
        <v>0</v>
      </c>
      <c r="CJ92" s="311">
        <f>IF($BI92&lt;&gt;"",IF('Capacity summary'!$D$14="Yes",IF(COUNTBLANK('Capacity summary'!$H211:$BG211)&lt;52,IF('Capacity summary'!AG211&lt;&gt;"",IF(LOWER('Capacity summary'!AG211)="x",$BI92*AG92,VALUE('Capacity summary'!AG211)),0),AG92*$BI92),AG92*$BI92),0)</f>
        <v>0</v>
      </c>
      <c r="CK92" s="311">
        <f>IF($BI92&lt;&gt;"",IF('Capacity summary'!$D$14="Yes",IF(COUNTBLANK('Capacity summary'!$H211:$BG211)&lt;52,IF('Capacity summary'!AH211&lt;&gt;"",IF(LOWER('Capacity summary'!AH211)="x",$BI92*AH92,VALUE('Capacity summary'!AH211)),0),AH92*$BI92),AH92*$BI92),0)</f>
        <v>0</v>
      </c>
      <c r="CL92" s="311">
        <f>IF($BI92&lt;&gt;"",IF('Capacity summary'!$D$14="Yes",IF(COUNTBLANK('Capacity summary'!$H211:$BG211)&lt;52,IF('Capacity summary'!AI211&lt;&gt;"",IF(LOWER('Capacity summary'!AI211)="x",$BI92*AI92,VALUE('Capacity summary'!AI211)),0),AI92*$BI92),AI92*$BI92),0)</f>
        <v>0</v>
      </c>
      <c r="CM92" s="311">
        <f>IF($BI92&lt;&gt;"",IF('Capacity summary'!$D$14="Yes",IF(COUNTBLANK('Capacity summary'!$H211:$BG211)&lt;52,IF('Capacity summary'!AJ211&lt;&gt;"",IF(LOWER('Capacity summary'!AJ211)="x",$BI92*AJ92,VALUE('Capacity summary'!AJ211)),0),AJ92*$BI92),AJ92*$BI92),0)</f>
        <v>0</v>
      </c>
      <c r="CN92" s="311">
        <f>IF($BI92&lt;&gt;"",IF('Capacity summary'!$D$14="Yes",IF(COUNTBLANK('Capacity summary'!$H211:$BG211)&lt;52,IF('Capacity summary'!AK211&lt;&gt;"",IF(LOWER('Capacity summary'!AK211)="x",$BI92*AK92,VALUE('Capacity summary'!AK211)),0),AK92*$BI92),AK92*$BI92),0)</f>
        <v>0</v>
      </c>
      <c r="CO92" s="311">
        <f>IF($BI92&lt;&gt;"",IF('Capacity summary'!$D$14="Yes",IF(COUNTBLANK('Capacity summary'!$H211:$BG211)&lt;52,IF('Capacity summary'!AL211&lt;&gt;"",IF(LOWER('Capacity summary'!AL211)="x",$BI92*AL92,VALUE('Capacity summary'!AL211)),0),AL92*$BI92),AL92*$BI92),0)</f>
        <v>0</v>
      </c>
      <c r="CP92" s="311">
        <f>IF($BI92&lt;&gt;"",IF('Capacity summary'!$D$14="Yes",IF(COUNTBLANK('Capacity summary'!$H211:$BG211)&lt;52,IF('Capacity summary'!AM211&lt;&gt;"",IF(LOWER('Capacity summary'!AM211)="x",$BI92*AM92,VALUE('Capacity summary'!AM211)),0),AM92*$BI92),AM92*$BI92),0)</f>
        <v>0</v>
      </c>
      <c r="CQ92" s="311">
        <f>IF($BI92&lt;&gt;"",IF('Capacity summary'!$D$14="Yes",IF(COUNTBLANK('Capacity summary'!$H211:$BG211)&lt;52,IF('Capacity summary'!AN211&lt;&gt;"",IF(LOWER('Capacity summary'!AN211)="x",$BI92*AN92,VALUE('Capacity summary'!AN211)),0),AN92*$BI92),AN92*$BI92),0)</f>
        <v>0</v>
      </c>
      <c r="CR92" s="311">
        <f>IF($BI92&lt;&gt;"",IF('Capacity summary'!$D$14="Yes",IF(COUNTBLANK('Capacity summary'!$H211:$BG211)&lt;52,IF('Capacity summary'!AO211&lt;&gt;"",IF(LOWER('Capacity summary'!AO211)="x",$BI92*AO92,VALUE('Capacity summary'!AO211)),0),AO92*$BI92),AO92*$BI92),0)</f>
        <v>0</v>
      </c>
      <c r="CS92" s="311">
        <f>IF($BI92&lt;&gt;"",IF('Capacity summary'!$D$14="Yes",IF(COUNTBLANK('Capacity summary'!$H211:$BG211)&lt;52,IF('Capacity summary'!AP211&lt;&gt;"",IF(LOWER('Capacity summary'!AP211)="x",$BI92*AP92,VALUE('Capacity summary'!AP211)),0),AP92*$BI92),AP92*$BI92),0)</f>
        <v>0</v>
      </c>
      <c r="CT92" s="311">
        <f>IF($BI92&lt;&gt;"",IF('Capacity summary'!$D$14="Yes",IF(COUNTBLANK('Capacity summary'!$H211:$BG211)&lt;52,IF('Capacity summary'!AQ211&lt;&gt;"",IF(LOWER('Capacity summary'!AQ211)="x",$BI92*AQ92,VALUE('Capacity summary'!AQ211)),0),AQ92*$BI92),AQ92*$BI92),0)</f>
        <v>0</v>
      </c>
      <c r="CU92" s="311">
        <f>IF($BI92&lt;&gt;"",IF('Capacity summary'!$D$14="Yes",IF(COUNTBLANK('Capacity summary'!$H211:$BG211)&lt;52,IF('Capacity summary'!AR211&lt;&gt;"",IF(LOWER('Capacity summary'!AR211)="x",$BI92*AR92,VALUE('Capacity summary'!AR211)),0),AR92*$BI92),AR92*$BI92),0)</f>
        <v>0</v>
      </c>
      <c r="CV92" s="311">
        <f>IF($BI92&lt;&gt;"",IF('Capacity summary'!$D$14="Yes",IF(COUNTBLANK('Capacity summary'!$H211:$BG211)&lt;52,IF('Capacity summary'!AS211&lt;&gt;"",IF(LOWER('Capacity summary'!AS211)="x",$BI92*AS92,VALUE('Capacity summary'!AS211)),0),AS92*$BI92),AS92*$BI92),0)</f>
        <v>0</v>
      </c>
      <c r="CW92" s="311">
        <f>IF($BI92&lt;&gt;"",IF('Capacity summary'!$D$14="Yes",IF(COUNTBLANK('Capacity summary'!$H211:$BG211)&lt;52,IF('Capacity summary'!AT211&lt;&gt;"",IF(LOWER('Capacity summary'!AT211)="x",$BI92*AT92,VALUE('Capacity summary'!AT211)),0),AT92*$BI92),AT92*$BI92),0)</f>
        <v>0</v>
      </c>
      <c r="CX92" s="311">
        <f>IF($BI92&lt;&gt;"",IF('Capacity summary'!$D$14="Yes",IF(COUNTBLANK('Capacity summary'!$H211:$BG211)&lt;52,IF('Capacity summary'!AU211&lt;&gt;"",IF(LOWER('Capacity summary'!AU211)="x",$BI92*AU92,VALUE('Capacity summary'!AU211)),0),AU92*$BI92),AU92*$BI92),0)</f>
        <v>0</v>
      </c>
      <c r="CY92" s="311">
        <f>IF($BI92&lt;&gt;"",IF('Capacity summary'!$D$14="Yes",IF(COUNTBLANK('Capacity summary'!$H211:$BG211)&lt;52,IF('Capacity summary'!AV211&lt;&gt;"",IF(LOWER('Capacity summary'!AV211)="x",$BI92*AV92,VALUE('Capacity summary'!AV211)),0),AV92*$BI92),AV92*$BI92),0)</f>
        <v>0</v>
      </c>
      <c r="CZ92" s="311">
        <f>IF($BI92&lt;&gt;"",IF('Capacity summary'!$D$14="Yes",IF(COUNTBLANK('Capacity summary'!$H211:$BG211)&lt;52,IF('Capacity summary'!AW211&lt;&gt;"",IF(LOWER('Capacity summary'!AW211)="x",$BI92*AW92,VALUE('Capacity summary'!AW211)),0),AW92*$BI92),AW92*$BI92),0)</f>
        <v>0</v>
      </c>
      <c r="DA92" s="311">
        <f>IF($BI92&lt;&gt;"",IF('Capacity summary'!$D$14="Yes",IF(COUNTBLANK('Capacity summary'!$H211:$BG211)&lt;52,IF('Capacity summary'!AX211&lt;&gt;"",IF(LOWER('Capacity summary'!AX211)="x",$BI92*AX92,VALUE('Capacity summary'!AX211)),0),AX92*$BI92),AX92*$BI92),0)</f>
        <v>0</v>
      </c>
      <c r="DB92" s="311">
        <f>IF($BI92&lt;&gt;"",IF('Capacity summary'!$D$14="Yes",IF(COUNTBLANK('Capacity summary'!$H211:$BG211)&lt;52,IF('Capacity summary'!AY211&lt;&gt;"",IF(LOWER('Capacity summary'!AY211)="x",$BI92*AY92,VALUE('Capacity summary'!AY211)),0),AY92*$BI92),AY92*$BI92),0)</f>
        <v>0</v>
      </c>
      <c r="DC92" s="311">
        <f>IF($BI92&lt;&gt;"",IF('Capacity summary'!$D$14="Yes",IF(COUNTBLANK('Capacity summary'!$H211:$BG211)&lt;52,IF('Capacity summary'!AZ211&lt;&gt;"",IF(LOWER('Capacity summary'!AZ211)="x",$BI92*AZ92,VALUE('Capacity summary'!AZ211)),0),AZ92*$BI92),AZ92*$BI92),0)</f>
        <v>0</v>
      </c>
      <c r="DD92" s="311">
        <f>IF($BI92&lt;&gt;"",IF('Capacity summary'!$D$14="Yes",IF(COUNTBLANK('Capacity summary'!$H211:$BG211)&lt;52,IF('Capacity summary'!BA211&lt;&gt;"",IF(LOWER('Capacity summary'!BA211)="x",$BI92*BA92,VALUE('Capacity summary'!BA211)),0),BA92*$BI92),BA92*$BI92),0)</f>
        <v>0</v>
      </c>
      <c r="DE92" s="311">
        <f>IF($BI92&lt;&gt;"",IF('Capacity summary'!$D$14="Yes",IF(COUNTBLANK('Capacity summary'!$H211:$BG211)&lt;52,IF('Capacity summary'!BB211&lt;&gt;"",IF(LOWER('Capacity summary'!BB211)="x",$BI92*BB92,VALUE('Capacity summary'!BB211)),0),BB92*$BI92),BB92*$BI92),0)</f>
        <v>0</v>
      </c>
      <c r="DF92" s="311">
        <f>IF($BI92&lt;&gt;"",IF('Capacity summary'!$D$14="Yes",IF(COUNTBLANK('Capacity summary'!$H211:$BG211)&lt;52,IF('Capacity summary'!BC211&lt;&gt;"",IF(LOWER('Capacity summary'!BC211)="x",$BI92*BC92,VALUE('Capacity summary'!BC211)),0),BC92*$BI92),BC92*$BI92),0)</f>
        <v>0</v>
      </c>
      <c r="DG92" s="311">
        <f>IF($BI92&lt;&gt;"",IF('Capacity summary'!$D$14="Yes",IF(COUNTBLANK('Capacity summary'!$H211:$BG211)&lt;52,IF('Capacity summary'!BD211&lt;&gt;"",IF(LOWER('Capacity summary'!BD211)="x",$BI92*BD92,VALUE('Capacity summary'!BD211)),0),BD92*$BI92),BD92*$BI92),0)</f>
        <v>0</v>
      </c>
      <c r="DH92" s="311">
        <f>IF($BI92&lt;&gt;"",IF('Capacity summary'!$D$14="Yes",IF(COUNTBLANK('Capacity summary'!$H211:$BG211)&lt;52,IF('Capacity summary'!BE211&lt;&gt;"",IF(LOWER('Capacity summary'!BE211)="x",$BI92*BE92,VALUE('Capacity summary'!BE211)),0),BE92*$BI92),BE92*$BI92),0)</f>
        <v>0</v>
      </c>
      <c r="DI92" s="311">
        <f>IF($BI92&lt;&gt;"",IF('Capacity summary'!$D$14="Yes",IF(COUNTBLANK('Capacity summary'!$H211:$BG211)&lt;52,IF('Capacity summary'!BF211&lt;&gt;"",IF(LOWER('Capacity summary'!BF211)="x",$BI92*BF92,VALUE('Capacity summary'!BF211)),0),BF92*$BI92),BF92*$BI92),0)</f>
        <v>0</v>
      </c>
      <c r="DJ92" s="311">
        <f>IF($BI92&lt;&gt;"",IF('Capacity summary'!$D$14="Yes",IF(COUNTBLANK('Capacity summary'!$H211:$BG211)&lt;52,IF('Capacity summary'!BG211&lt;&gt;"",IF(LOWER('Capacity summary'!BG211)="x",$BI92*BG92,VALUE('Capacity summary'!BG211)),0),BG92*$BI92),BG92*$BI92),0)</f>
        <v>0</v>
      </c>
      <c r="DK92" s="387">
        <f t="shared" si="4"/>
        <v>0</v>
      </c>
      <c r="DL92" s="136">
        <f t="shared" si="5"/>
        <v>0</v>
      </c>
      <c r="DM92" s="311" t="str">
        <f>Capacity!H104</f>
        <v/>
      </c>
    </row>
    <row r="93" spans="1:117" x14ac:dyDescent="0.2">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1">
        <f>IF($BI93&lt;&gt;"",IF('Capacity summary'!$D$14="Yes",IF(COUNTBLANK('Capacity summary'!$H212:$BG212)&lt;52,IF('Capacity summary'!H212&lt;&gt;"",IF(LOWER('Capacity summary'!H212)="x",$BI93*H93,VALUE('Capacity summary'!H212)),0),H93*$BI93),H93*$BI93),0)</f>
        <v>0</v>
      </c>
      <c r="BL93" s="311">
        <f>IF($BI93&lt;&gt;"",IF('Capacity summary'!$D$14="Yes",IF(COUNTBLANK('Capacity summary'!$H212:$BG212)&lt;52,IF('Capacity summary'!I212&lt;&gt;"",IF(LOWER('Capacity summary'!I212)="x",$BI93*I93,VALUE('Capacity summary'!I212)),0),I93*$BI93),I93*$BI93),0)</f>
        <v>0</v>
      </c>
      <c r="BM93" s="311">
        <f>IF($BI93&lt;&gt;"",IF('Capacity summary'!$D$14="Yes",IF(COUNTBLANK('Capacity summary'!$H212:$BG212)&lt;52,IF('Capacity summary'!J212&lt;&gt;"",IF(LOWER('Capacity summary'!J212)="x",$BI93*J93,VALUE('Capacity summary'!J212)),0),J93*$BI93),J93*$BI93),0)</f>
        <v>0</v>
      </c>
      <c r="BN93" s="311">
        <f>IF($BI93&lt;&gt;"",IF('Capacity summary'!$D$14="Yes",IF(COUNTBLANK('Capacity summary'!$H212:$BG212)&lt;52,IF('Capacity summary'!K212&lt;&gt;"",IF(LOWER('Capacity summary'!K212)="x",$BI93*K93,VALUE('Capacity summary'!K212)),0),K93*$BI93),K93*$BI93),0)</f>
        <v>0</v>
      </c>
      <c r="BO93" s="311">
        <f>IF($BI93&lt;&gt;"",IF('Capacity summary'!$D$14="Yes",IF(COUNTBLANK('Capacity summary'!$H212:$BG212)&lt;52,IF('Capacity summary'!L212&lt;&gt;"",IF(LOWER('Capacity summary'!L212)="x",$BI93*L93,VALUE('Capacity summary'!L212)),0),L93*$BI93),L93*$BI93),0)</f>
        <v>0</v>
      </c>
      <c r="BP93" s="311">
        <f>IF($BI93&lt;&gt;"",IF('Capacity summary'!$D$14="Yes",IF(COUNTBLANK('Capacity summary'!$H212:$BG212)&lt;52,IF('Capacity summary'!M212&lt;&gt;"",IF(LOWER('Capacity summary'!M212)="x",$BI93*M93,VALUE('Capacity summary'!M212)),0),M93*$BI93),M93*$BI93),0)</f>
        <v>0</v>
      </c>
      <c r="BQ93" s="311">
        <f>IF($BI93&lt;&gt;"",IF('Capacity summary'!$D$14="Yes",IF(COUNTBLANK('Capacity summary'!$H212:$BG212)&lt;52,IF('Capacity summary'!N212&lt;&gt;"",IF(LOWER('Capacity summary'!N212)="x",$BI93*N93,VALUE('Capacity summary'!N212)),0),N93*$BI93),N93*$BI93),0)</f>
        <v>0</v>
      </c>
      <c r="BR93" s="311">
        <f>IF($BI93&lt;&gt;"",IF('Capacity summary'!$D$14="Yes",IF(COUNTBLANK('Capacity summary'!$H212:$BG212)&lt;52,IF('Capacity summary'!O212&lt;&gt;"",IF(LOWER('Capacity summary'!O212)="x",$BI93*O93,VALUE('Capacity summary'!O212)),0),O93*$BI93),O93*$BI93),0)</f>
        <v>0</v>
      </c>
      <c r="BS93" s="311">
        <f>IF($BI93&lt;&gt;"",IF('Capacity summary'!$D$14="Yes",IF(COUNTBLANK('Capacity summary'!$H212:$BG212)&lt;52,IF('Capacity summary'!P212&lt;&gt;"",IF(LOWER('Capacity summary'!P212)="x",$BI93*P93,VALUE('Capacity summary'!P212)),0),P93*$BI93),P93*$BI93),0)</f>
        <v>0</v>
      </c>
      <c r="BT93" s="311">
        <f>IF($BI93&lt;&gt;"",IF('Capacity summary'!$D$14="Yes",IF(COUNTBLANK('Capacity summary'!$H212:$BG212)&lt;52,IF('Capacity summary'!Q212&lt;&gt;"",IF(LOWER('Capacity summary'!Q212)="x",$BI93*Q93,VALUE('Capacity summary'!Q212)),0),Q93*$BI93),Q93*$BI93),0)</f>
        <v>0</v>
      </c>
      <c r="BU93" s="311">
        <f>IF($BI93&lt;&gt;"",IF('Capacity summary'!$D$14="Yes",IF(COUNTBLANK('Capacity summary'!$H212:$BG212)&lt;52,IF('Capacity summary'!R212&lt;&gt;"",IF(LOWER('Capacity summary'!R212)="x",$BI93*R93,VALUE('Capacity summary'!R212)),0),R93*$BI93),R93*$BI93),0)</f>
        <v>0</v>
      </c>
      <c r="BV93" s="311">
        <f>IF($BI93&lt;&gt;"",IF('Capacity summary'!$D$14="Yes",IF(COUNTBLANK('Capacity summary'!$H212:$BG212)&lt;52,IF('Capacity summary'!S212&lt;&gt;"",IF(LOWER('Capacity summary'!S212)="x",$BI93*S93,VALUE('Capacity summary'!S212)),0),S93*$BI93),S93*$BI93),0)</f>
        <v>0</v>
      </c>
      <c r="BW93" s="311">
        <f>IF($BI93&lt;&gt;"",IF('Capacity summary'!$D$14="Yes",IF(COUNTBLANK('Capacity summary'!$H212:$BG212)&lt;52,IF('Capacity summary'!T212&lt;&gt;"",IF(LOWER('Capacity summary'!T212)="x",$BI93*T93,VALUE('Capacity summary'!T212)),0),T93*$BI93),T93*$BI93),0)</f>
        <v>0</v>
      </c>
      <c r="BX93" s="311">
        <f>IF($BI93&lt;&gt;"",IF('Capacity summary'!$D$14="Yes",IF(COUNTBLANK('Capacity summary'!$H212:$BG212)&lt;52,IF('Capacity summary'!U212&lt;&gt;"",IF(LOWER('Capacity summary'!U212)="x",$BI93*U93,VALUE('Capacity summary'!U212)),0),U93*$BI93),U93*$BI93),0)</f>
        <v>0</v>
      </c>
      <c r="BY93" s="311">
        <f>IF($BI93&lt;&gt;"",IF('Capacity summary'!$D$14="Yes",IF(COUNTBLANK('Capacity summary'!$H212:$BG212)&lt;52,IF('Capacity summary'!V212&lt;&gt;"",IF(LOWER('Capacity summary'!V212)="x",$BI93*V93,VALUE('Capacity summary'!V212)),0),V93*$BI93),V93*$BI93),0)</f>
        <v>0</v>
      </c>
      <c r="BZ93" s="311">
        <f>IF($BI93&lt;&gt;"",IF('Capacity summary'!$D$14="Yes",IF(COUNTBLANK('Capacity summary'!$H212:$BG212)&lt;52,IF('Capacity summary'!W212&lt;&gt;"",IF(LOWER('Capacity summary'!W212)="x",$BI93*W93,VALUE('Capacity summary'!W212)),0),W93*$BI93),W93*$BI93),0)</f>
        <v>0</v>
      </c>
      <c r="CA93" s="311">
        <f>IF($BI93&lt;&gt;"",IF('Capacity summary'!$D$14="Yes",IF(COUNTBLANK('Capacity summary'!$H212:$BG212)&lt;52,IF('Capacity summary'!X212&lt;&gt;"",IF(LOWER('Capacity summary'!X212)="x",$BI93*X93,VALUE('Capacity summary'!X212)),0),X93*$BI93),X93*$BI93),0)</f>
        <v>0</v>
      </c>
      <c r="CB93" s="311">
        <f>IF($BI93&lt;&gt;"",IF('Capacity summary'!$D$14="Yes",IF(COUNTBLANK('Capacity summary'!$H212:$BG212)&lt;52,IF('Capacity summary'!Y212&lt;&gt;"",IF(LOWER('Capacity summary'!Y212)="x",$BI93*Y93,VALUE('Capacity summary'!Y212)),0),Y93*$BI93),Y93*$BI93),0)</f>
        <v>0</v>
      </c>
      <c r="CC93" s="311">
        <f>IF($BI93&lt;&gt;"",IF('Capacity summary'!$D$14="Yes",IF(COUNTBLANK('Capacity summary'!$H212:$BG212)&lt;52,IF('Capacity summary'!Z212&lt;&gt;"",IF(LOWER('Capacity summary'!Z212)="x",$BI93*Z93,VALUE('Capacity summary'!Z212)),0),Z93*$BI93),Z93*$BI93),0)</f>
        <v>0</v>
      </c>
      <c r="CD93" s="311">
        <f>IF($BI93&lt;&gt;"",IF('Capacity summary'!$D$14="Yes",IF(COUNTBLANK('Capacity summary'!$H212:$BG212)&lt;52,IF('Capacity summary'!AA212&lt;&gt;"",IF(LOWER('Capacity summary'!AA212)="x",$BI93*AA93,VALUE('Capacity summary'!AA212)),0),AA93*$BI93),AA93*$BI93),0)</f>
        <v>0</v>
      </c>
      <c r="CE93" s="311">
        <f>IF($BI93&lt;&gt;"",IF('Capacity summary'!$D$14="Yes",IF(COUNTBLANK('Capacity summary'!$H212:$BG212)&lt;52,IF('Capacity summary'!AB212&lt;&gt;"",IF(LOWER('Capacity summary'!AB212)="x",$BI93*AB93,VALUE('Capacity summary'!AB212)),0),AB93*$BI93),AB93*$BI93),0)</f>
        <v>0</v>
      </c>
      <c r="CF93" s="311">
        <f>IF($BI93&lt;&gt;"",IF('Capacity summary'!$D$14="Yes",IF(COUNTBLANK('Capacity summary'!$H212:$BG212)&lt;52,IF('Capacity summary'!AC212&lt;&gt;"",IF(LOWER('Capacity summary'!AC212)="x",$BI93*AC93,VALUE('Capacity summary'!AC212)),0),AC93*$BI93),AC93*$BI93),0)</f>
        <v>0</v>
      </c>
      <c r="CG93" s="311">
        <f>IF($BI93&lt;&gt;"",IF('Capacity summary'!$D$14="Yes",IF(COUNTBLANK('Capacity summary'!$H212:$BG212)&lt;52,IF('Capacity summary'!AD212&lt;&gt;"",IF(LOWER('Capacity summary'!AD212)="x",$BI93*AD93,VALUE('Capacity summary'!AD212)),0),AD93*$BI93),AD93*$BI93),0)</f>
        <v>0</v>
      </c>
      <c r="CH93" s="311">
        <f>IF($BI93&lt;&gt;"",IF('Capacity summary'!$D$14="Yes",IF(COUNTBLANK('Capacity summary'!$H212:$BG212)&lt;52,IF('Capacity summary'!AE212&lt;&gt;"",IF(LOWER('Capacity summary'!AE212)="x",$BI93*AE93,VALUE('Capacity summary'!AE212)),0),AE93*$BI93),AE93*$BI93),0)</f>
        <v>0</v>
      </c>
      <c r="CI93" s="311">
        <f>IF($BI93&lt;&gt;"",IF('Capacity summary'!$D$14="Yes",IF(COUNTBLANK('Capacity summary'!$H212:$BG212)&lt;52,IF('Capacity summary'!AF212&lt;&gt;"",IF(LOWER('Capacity summary'!AF212)="x",$BI93*AF93,VALUE('Capacity summary'!AF212)),0),AF93*$BI93),AF93*$BI93),0)</f>
        <v>0</v>
      </c>
      <c r="CJ93" s="311">
        <f>IF($BI93&lt;&gt;"",IF('Capacity summary'!$D$14="Yes",IF(COUNTBLANK('Capacity summary'!$H212:$BG212)&lt;52,IF('Capacity summary'!AG212&lt;&gt;"",IF(LOWER('Capacity summary'!AG212)="x",$BI93*AG93,VALUE('Capacity summary'!AG212)),0),AG93*$BI93),AG93*$BI93),0)</f>
        <v>0</v>
      </c>
      <c r="CK93" s="311">
        <f>IF($BI93&lt;&gt;"",IF('Capacity summary'!$D$14="Yes",IF(COUNTBLANK('Capacity summary'!$H212:$BG212)&lt;52,IF('Capacity summary'!AH212&lt;&gt;"",IF(LOWER('Capacity summary'!AH212)="x",$BI93*AH93,VALUE('Capacity summary'!AH212)),0),AH93*$BI93),AH93*$BI93),0)</f>
        <v>0</v>
      </c>
      <c r="CL93" s="311">
        <f>IF($BI93&lt;&gt;"",IF('Capacity summary'!$D$14="Yes",IF(COUNTBLANK('Capacity summary'!$H212:$BG212)&lt;52,IF('Capacity summary'!AI212&lt;&gt;"",IF(LOWER('Capacity summary'!AI212)="x",$BI93*AI93,VALUE('Capacity summary'!AI212)),0),AI93*$BI93),AI93*$BI93),0)</f>
        <v>0</v>
      </c>
      <c r="CM93" s="311">
        <f>IF($BI93&lt;&gt;"",IF('Capacity summary'!$D$14="Yes",IF(COUNTBLANK('Capacity summary'!$H212:$BG212)&lt;52,IF('Capacity summary'!AJ212&lt;&gt;"",IF(LOWER('Capacity summary'!AJ212)="x",$BI93*AJ93,VALUE('Capacity summary'!AJ212)),0),AJ93*$BI93),AJ93*$BI93),0)</f>
        <v>0</v>
      </c>
      <c r="CN93" s="311">
        <f>IF($BI93&lt;&gt;"",IF('Capacity summary'!$D$14="Yes",IF(COUNTBLANK('Capacity summary'!$H212:$BG212)&lt;52,IF('Capacity summary'!AK212&lt;&gt;"",IF(LOWER('Capacity summary'!AK212)="x",$BI93*AK93,VALUE('Capacity summary'!AK212)),0),AK93*$BI93),AK93*$BI93),0)</f>
        <v>0</v>
      </c>
      <c r="CO93" s="311">
        <f>IF($BI93&lt;&gt;"",IF('Capacity summary'!$D$14="Yes",IF(COUNTBLANK('Capacity summary'!$H212:$BG212)&lt;52,IF('Capacity summary'!AL212&lt;&gt;"",IF(LOWER('Capacity summary'!AL212)="x",$BI93*AL93,VALUE('Capacity summary'!AL212)),0),AL93*$BI93),AL93*$BI93),0)</f>
        <v>0</v>
      </c>
      <c r="CP93" s="311">
        <f>IF($BI93&lt;&gt;"",IF('Capacity summary'!$D$14="Yes",IF(COUNTBLANK('Capacity summary'!$H212:$BG212)&lt;52,IF('Capacity summary'!AM212&lt;&gt;"",IF(LOWER('Capacity summary'!AM212)="x",$BI93*AM93,VALUE('Capacity summary'!AM212)),0),AM93*$BI93),AM93*$BI93),0)</f>
        <v>0</v>
      </c>
      <c r="CQ93" s="311">
        <f>IF($BI93&lt;&gt;"",IF('Capacity summary'!$D$14="Yes",IF(COUNTBLANK('Capacity summary'!$H212:$BG212)&lt;52,IF('Capacity summary'!AN212&lt;&gt;"",IF(LOWER('Capacity summary'!AN212)="x",$BI93*AN93,VALUE('Capacity summary'!AN212)),0),AN93*$BI93),AN93*$BI93),0)</f>
        <v>0</v>
      </c>
      <c r="CR93" s="311">
        <f>IF($BI93&lt;&gt;"",IF('Capacity summary'!$D$14="Yes",IF(COUNTBLANK('Capacity summary'!$H212:$BG212)&lt;52,IF('Capacity summary'!AO212&lt;&gt;"",IF(LOWER('Capacity summary'!AO212)="x",$BI93*AO93,VALUE('Capacity summary'!AO212)),0),AO93*$BI93),AO93*$BI93),0)</f>
        <v>0</v>
      </c>
      <c r="CS93" s="311">
        <f>IF($BI93&lt;&gt;"",IF('Capacity summary'!$D$14="Yes",IF(COUNTBLANK('Capacity summary'!$H212:$BG212)&lt;52,IF('Capacity summary'!AP212&lt;&gt;"",IF(LOWER('Capacity summary'!AP212)="x",$BI93*AP93,VALUE('Capacity summary'!AP212)),0),AP93*$BI93),AP93*$BI93),0)</f>
        <v>0</v>
      </c>
      <c r="CT93" s="311">
        <f>IF($BI93&lt;&gt;"",IF('Capacity summary'!$D$14="Yes",IF(COUNTBLANK('Capacity summary'!$H212:$BG212)&lt;52,IF('Capacity summary'!AQ212&lt;&gt;"",IF(LOWER('Capacity summary'!AQ212)="x",$BI93*AQ93,VALUE('Capacity summary'!AQ212)),0),AQ93*$BI93),AQ93*$BI93),0)</f>
        <v>0</v>
      </c>
      <c r="CU93" s="311">
        <f>IF($BI93&lt;&gt;"",IF('Capacity summary'!$D$14="Yes",IF(COUNTBLANK('Capacity summary'!$H212:$BG212)&lt;52,IF('Capacity summary'!AR212&lt;&gt;"",IF(LOWER('Capacity summary'!AR212)="x",$BI93*AR93,VALUE('Capacity summary'!AR212)),0),AR93*$BI93),AR93*$BI93),0)</f>
        <v>0</v>
      </c>
      <c r="CV93" s="311">
        <f>IF($BI93&lt;&gt;"",IF('Capacity summary'!$D$14="Yes",IF(COUNTBLANK('Capacity summary'!$H212:$BG212)&lt;52,IF('Capacity summary'!AS212&lt;&gt;"",IF(LOWER('Capacity summary'!AS212)="x",$BI93*AS93,VALUE('Capacity summary'!AS212)),0),AS93*$BI93),AS93*$BI93),0)</f>
        <v>0</v>
      </c>
      <c r="CW93" s="311">
        <f>IF($BI93&lt;&gt;"",IF('Capacity summary'!$D$14="Yes",IF(COUNTBLANK('Capacity summary'!$H212:$BG212)&lt;52,IF('Capacity summary'!AT212&lt;&gt;"",IF(LOWER('Capacity summary'!AT212)="x",$BI93*AT93,VALUE('Capacity summary'!AT212)),0),AT93*$BI93),AT93*$BI93),0)</f>
        <v>0</v>
      </c>
      <c r="CX93" s="311">
        <f>IF($BI93&lt;&gt;"",IF('Capacity summary'!$D$14="Yes",IF(COUNTBLANK('Capacity summary'!$H212:$BG212)&lt;52,IF('Capacity summary'!AU212&lt;&gt;"",IF(LOWER('Capacity summary'!AU212)="x",$BI93*AU93,VALUE('Capacity summary'!AU212)),0),AU93*$BI93),AU93*$BI93),0)</f>
        <v>0</v>
      </c>
      <c r="CY93" s="311">
        <f>IF($BI93&lt;&gt;"",IF('Capacity summary'!$D$14="Yes",IF(COUNTBLANK('Capacity summary'!$H212:$BG212)&lt;52,IF('Capacity summary'!AV212&lt;&gt;"",IF(LOWER('Capacity summary'!AV212)="x",$BI93*AV93,VALUE('Capacity summary'!AV212)),0),AV93*$BI93),AV93*$BI93),0)</f>
        <v>0</v>
      </c>
      <c r="CZ93" s="311">
        <f>IF($BI93&lt;&gt;"",IF('Capacity summary'!$D$14="Yes",IF(COUNTBLANK('Capacity summary'!$H212:$BG212)&lt;52,IF('Capacity summary'!AW212&lt;&gt;"",IF(LOWER('Capacity summary'!AW212)="x",$BI93*AW93,VALUE('Capacity summary'!AW212)),0),AW93*$BI93),AW93*$BI93),0)</f>
        <v>0</v>
      </c>
      <c r="DA93" s="311">
        <f>IF($BI93&lt;&gt;"",IF('Capacity summary'!$D$14="Yes",IF(COUNTBLANK('Capacity summary'!$H212:$BG212)&lt;52,IF('Capacity summary'!AX212&lt;&gt;"",IF(LOWER('Capacity summary'!AX212)="x",$BI93*AX93,VALUE('Capacity summary'!AX212)),0),AX93*$BI93),AX93*$BI93),0)</f>
        <v>0</v>
      </c>
      <c r="DB93" s="311">
        <f>IF($BI93&lt;&gt;"",IF('Capacity summary'!$D$14="Yes",IF(COUNTBLANK('Capacity summary'!$H212:$BG212)&lt;52,IF('Capacity summary'!AY212&lt;&gt;"",IF(LOWER('Capacity summary'!AY212)="x",$BI93*AY93,VALUE('Capacity summary'!AY212)),0),AY93*$BI93),AY93*$BI93),0)</f>
        <v>0</v>
      </c>
      <c r="DC93" s="311">
        <f>IF($BI93&lt;&gt;"",IF('Capacity summary'!$D$14="Yes",IF(COUNTBLANK('Capacity summary'!$H212:$BG212)&lt;52,IF('Capacity summary'!AZ212&lt;&gt;"",IF(LOWER('Capacity summary'!AZ212)="x",$BI93*AZ93,VALUE('Capacity summary'!AZ212)),0),AZ93*$BI93),AZ93*$BI93),0)</f>
        <v>0</v>
      </c>
      <c r="DD93" s="311">
        <f>IF($BI93&lt;&gt;"",IF('Capacity summary'!$D$14="Yes",IF(COUNTBLANK('Capacity summary'!$H212:$BG212)&lt;52,IF('Capacity summary'!BA212&lt;&gt;"",IF(LOWER('Capacity summary'!BA212)="x",$BI93*BA93,VALUE('Capacity summary'!BA212)),0),BA93*$BI93),BA93*$BI93),0)</f>
        <v>0</v>
      </c>
      <c r="DE93" s="311">
        <f>IF($BI93&lt;&gt;"",IF('Capacity summary'!$D$14="Yes",IF(COUNTBLANK('Capacity summary'!$H212:$BG212)&lt;52,IF('Capacity summary'!BB212&lt;&gt;"",IF(LOWER('Capacity summary'!BB212)="x",$BI93*BB93,VALUE('Capacity summary'!BB212)),0),BB93*$BI93),BB93*$BI93),0)</f>
        <v>0</v>
      </c>
      <c r="DF93" s="311">
        <f>IF($BI93&lt;&gt;"",IF('Capacity summary'!$D$14="Yes",IF(COUNTBLANK('Capacity summary'!$H212:$BG212)&lt;52,IF('Capacity summary'!BC212&lt;&gt;"",IF(LOWER('Capacity summary'!BC212)="x",$BI93*BC93,VALUE('Capacity summary'!BC212)),0),BC93*$BI93),BC93*$BI93),0)</f>
        <v>0</v>
      </c>
      <c r="DG93" s="311">
        <f>IF($BI93&lt;&gt;"",IF('Capacity summary'!$D$14="Yes",IF(COUNTBLANK('Capacity summary'!$H212:$BG212)&lt;52,IF('Capacity summary'!BD212&lt;&gt;"",IF(LOWER('Capacity summary'!BD212)="x",$BI93*BD93,VALUE('Capacity summary'!BD212)),0),BD93*$BI93),BD93*$BI93),0)</f>
        <v>0</v>
      </c>
      <c r="DH93" s="311">
        <f>IF($BI93&lt;&gt;"",IF('Capacity summary'!$D$14="Yes",IF(COUNTBLANK('Capacity summary'!$H212:$BG212)&lt;52,IF('Capacity summary'!BE212&lt;&gt;"",IF(LOWER('Capacity summary'!BE212)="x",$BI93*BE93,VALUE('Capacity summary'!BE212)),0),BE93*$BI93),BE93*$BI93),0)</f>
        <v>0</v>
      </c>
      <c r="DI93" s="311">
        <f>IF($BI93&lt;&gt;"",IF('Capacity summary'!$D$14="Yes",IF(COUNTBLANK('Capacity summary'!$H212:$BG212)&lt;52,IF('Capacity summary'!BF212&lt;&gt;"",IF(LOWER('Capacity summary'!BF212)="x",$BI93*BF93,VALUE('Capacity summary'!BF212)),0),BF93*$BI93),BF93*$BI93),0)</f>
        <v>0</v>
      </c>
      <c r="DJ93" s="311">
        <f>IF($BI93&lt;&gt;"",IF('Capacity summary'!$D$14="Yes",IF(COUNTBLANK('Capacity summary'!$H212:$BG212)&lt;52,IF('Capacity summary'!BG212&lt;&gt;"",IF(LOWER('Capacity summary'!BG212)="x",$BI93*BG93,VALUE('Capacity summary'!BG212)),0),BG93*$BI93),BG93*$BI93),0)</f>
        <v>0</v>
      </c>
      <c r="DK93" s="387">
        <f t="shared" si="4"/>
        <v>0</v>
      </c>
      <c r="DL93" s="136">
        <f t="shared" si="5"/>
        <v>0</v>
      </c>
      <c r="DM93" s="311" t="str">
        <f>Capacity!H105</f>
        <v/>
      </c>
    </row>
    <row r="94" spans="1:117" x14ac:dyDescent="0.2">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1">
        <f>IF($BI94&lt;&gt;"",IF('Capacity summary'!$D$14="Yes",IF(COUNTBLANK('Capacity summary'!$H213:$BG213)&lt;52,IF('Capacity summary'!H213&lt;&gt;"",IF(LOWER('Capacity summary'!H213)="x",$BI94*H94,VALUE('Capacity summary'!H213)),0),H94*$BI94),H94*$BI94),0)</f>
        <v>0</v>
      </c>
      <c r="BL94" s="311">
        <f>IF($BI94&lt;&gt;"",IF('Capacity summary'!$D$14="Yes",IF(COUNTBLANK('Capacity summary'!$H213:$BG213)&lt;52,IF('Capacity summary'!I213&lt;&gt;"",IF(LOWER('Capacity summary'!I213)="x",$BI94*I94,VALUE('Capacity summary'!I213)),0),I94*$BI94),I94*$BI94),0)</f>
        <v>0</v>
      </c>
      <c r="BM94" s="311">
        <f>IF($BI94&lt;&gt;"",IF('Capacity summary'!$D$14="Yes",IF(COUNTBLANK('Capacity summary'!$H213:$BG213)&lt;52,IF('Capacity summary'!J213&lt;&gt;"",IF(LOWER('Capacity summary'!J213)="x",$BI94*J94,VALUE('Capacity summary'!J213)),0),J94*$BI94),J94*$BI94),0)</f>
        <v>0</v>
      </c>
      <c r="BN94" s="311">
        <f>IF($BI94&lt;&gt;"",IF('Capacity summary'!$D$14="Yes",IF(COUNTBLANK('Capacity summary'!$H213:$BG213)&lt;52,IF('Capacity summary'!K213&lt;&gt;"",IF(LOWER('Capacity summary'!K213)="x",$BI94*K94,VALUE('Capacity summary'!K213)),0),K94*$BI94),K94*$BI94),0)</f>
        <v>0</v>
      </c>
      <c r="BO94" s="311">
        <f>IF($BI94&lt;&gt;"",IF('Capacity summary'!$D$14="Yes",IF(COUNTBLANK('Capacity summary'!$H213:$BG213)&lt;52,IF('Capacity summary'!L213&lt;&gt;"",IF(LOWER('Capacity summary'!L213)="x",$BI94*L94,VALUE('Capacity summary'!L213)),0),L94*$BI94),L94*$BI94),0)</f>
        <v>0</v>
      </c>
      <c r="BP94" s="311">
        <f>IF($BI94&lt;&gt;"",IF('Capacity summary'!$D$14="Yes",IF(COUNTBLANK('Capacity summary'!$H213:$BG213)&lt;52,IF('Capacity summary'!M213&lt;&gt;"",IF(LOWER('Capacity summary'!M213)="x",$BI94*M94,VALUE('Capacity summary'!M213)),0),M94*$BI94),M94*$BI94),0)</f>
        <v>0</v>
      </c>
      <c r="BQ94" s="311">
        <f>IF($BI94&lt;&gt;"",IF('Capacity summary'!$D$14="Yes",IF(COUNTBLANK('Capacity summary'!$H213:$BG213)&lt;52,IF('Capacity summary'!N213&lt;&gt;"",IF(LOWER('Capacity summary'!N213)="x",$BI94*N94,VALUE('Capacity summary'!N213)),0),N94*$BI94),N94*$BI94),0)</f>
        <v>0</v>
      </c>
      <c r="BR94" s="311">
        <f>IF($BI94&lt;&gt;"",IF('Capacity summary'!$D$14="Yes",IF(COUNTBLANK('Capacity summary'!$H213:$BG213)&lt;52,IF('Capacity summary'!O213&lt;&gt;"",IF(LOWER('Capacity summary'!O213)="x",$BI94*O94,VALUE('Capacity summary'!O213)),0),O94*$BI94),O94*$BI94),0)</f>
        <v>0</v>
      </c>
      <c r="BS94" s="311">
        <f>IF($BI94&lt;&gt;"",IF('Capacity summary'!$D$14="Yes",IF(COUNTBLANK('Capacity summary'!$H213:$BG213)&lt;52,IF('Capacity summary'!P213&lt;&gt;"",IF(LOWER('Capacity summary'!P213)="x",$BI94*P94,VALUE('Capacity summary'!P213)),0),P94*$BI94),P94*$BI94),0)</f>
        <v>0</v>
      </c>
      <c r="BT94" s="311">
        <f>IF($BI94&lt;&gt;"",IF('Capacity summary'!$D$14="Yes",IF(COUNTBLANK('Capacity summary'!$H213:$BG213)&lt;52,IF('Capacity summary'!Q213&lt;&gt;"",IF(LOWER('Capacity summary'!Q213)="x",$BI94*Q94,VALUE('Capacity summary'!Q213)),0),Q94*$BI94),Q94*$BI94),0)</f>
        <v>0</v>
      </c>
      <c r="BU94" s="311">
        <f>IF($BI94&lt;&gt;"",IF('Capacity summary'!$D$14="Yes",IF(COUNTBLANK('Capacity summary'!$H213:$BG213)&lt;52,IF('Capacity summary'!R213&lt;&gt;"",IF(LOWER('Capacity summary'!R213)="x",$BI94*R94,VALUE('Capacity summary'!R213)),0),R94*$BI94),R94*$BI94),0)</f>
        <v>0</v>
      </c>
      <c r="BV94" s="311">
        <f>IF($BI94&lt;&gt;"",IF('Capacity summary'!$D$14="Yes",IF(COUNTBLANK('Capacity summary'!$H213:$BG213)&lt;52,IF('Capacity summary'!S213&lt;&gt;"",IF(LOWER('Capacity summary'!S213)="x",$BI94*S94,VALUE('Capacity summary'!S213)),0),S94*$BI94),S94*$BI94),0)</f>
        <v>0</v>
      </c>
      <c r="BW94" s="311">
        <f>IF($BI94&lt;&gt;"",IF('Capacity summary'!$D$14="Yes",IF(COUNTBLANK('Capacity summary'!$H213:$BG213)&lt;52,IF('Capacity summary'!T213&lt;&gt;"",IF(LOWER('Capacity summary'!T213)="x",$BI94*T94,VALUE('Capacity summary'!T213)),0),T94*$BI94),T94*$BI94),0)</f>
        <v>0</v>
      </c>
      <c r="BX94" s="311">
        <f>IF($BI94&lt;&gt;"",IF('Capacity summary'!$D$14="Yes",IF(COUNTBLANK('Capacity summary'!$H213:$BG213)&lt;52,IF('Capacity summary'!U213&lt;&gt;"",IF(LOWER('Capacity summary'!U213)="x",$BI94*U94,VALUE('Capacity summary'!U213)),0),U94*$BI94),U94*$BI94),0)</f>
        <v>0</v>
      </c>
      <c r="BY94" s="311">
        <f>IF($BI94&lt;&gt;"",IF('Capacity summary'!$D$14="Yes",IF(COUNTBLANK('Capacity summary'!$H213:$BG213)&lt;52,IF('Capacity summary'!V213&lt;&gt;"",IF(LOWER('Capacity summary'!V213)="x",$BI94*V94,VALUE('Capacity summary'!V213)),0),V94*$BI94),V94*$BI94),0)</f>
        <v>0</v>
      </c>
      <c r="BZ94" s="311">
        <f>IF($BI94&lt;&gt;"",IF('Capacity summary'!$D$14="Yes",IF(COUNTBLANK('Capacity summary'!$H213:$BG213)&lt;52,IF('Capacity summary'!W213&lt;&gt;"",IF(LOWER('Capacity summary'!W213)="x",$BI94*W94,VALUE('Capacity summary'!W213)),0),W94*$BI94),W94*$BI94),0)</f>
        <v>0</v>
      </c>
      <c r="CA94" s="311">
        <f>IF($BI94&lt;&gt;"",IF('Capacity summary'!$D$14="Yes",IF(COUNTBLANK('Capacity summary'!$H213:$BG213)&lt;52,IF('Capacity summary'!X213&lt;&gt;"",IF(LOWER('Capacity summary'!X213)="x",$BI94*X94,VALUE('Capacity summary'!X213)),0),X94*$BI94),X94*$BI94),0)</f>
        <v>0</v>
      </c>
      <c r="CB94" s="311">
        <f>IF($BI94&lt;&gt;"",IF('Capacity summary'!$D$14="Yes",IF(COUNTBLANK('Capacity summary'!$H213:$BG213)&lt;52,IF('Capacity summary'!Y213&lt;&gt;"",IF(LOWER('Capacity summary'!Y213)="x",$BI94*Y94,VALUE('Capacity summary'!Y213)),0),Y94*$BI94),Y94*$BI94),0)</f>
        <v>0</v>
      </c>
      <c r="CC94" s="311">
        <f>IF($BI94&lt;&gt;"",IF('Capacity summary'!$D$14="Yes",IF(COUNTBLANK('Capacity summary'!$H213:$BG213)&lt;52,IF('Capacity summary'!Z213&lt;&gt;"",IF(LOWER('Capacity summary'!Z213)="x",$BI94*Z94,VALUE('Capacity summary'!Z213)),0),Z94*$BI94),Z94*$BI94),0)</f>
        <v>0</v>
      </c>
      <c r="CD94" s="311">
        <f>IF($BI94&lt;&gt;"",IF('Capacity summary'!$D$14="Yes",IF(COUNTBLANK('Capacity summary'!$H213:$BG213)&lt;52,IF('Capacity summary'!AA213&lt;&gt;"",IF(LOWER('Capacity summary'!AA213)="x",$BI94*AA94,VALUE('Capacity summary'!AA213)),0),AA94*$BI94),AA94*$BI94),0)</f>
        <v>0</v>
      </c>
      <c r="CE94" s="311">
        <f>IF($BI94&lt;&gt;"",IF('Capacity summary'!$D$14="Yes",IF(COUNTBLANK('Capacity summary'!$H213:$BG213)&lt;52,IF('Capacity summary'!AB213&lt;&gt;"",IF(LOWER('Capacity summary'!AB213)="x",$BI94*AB94,VALUE('Capacity summary'!AB213)),0),AB94*$BI94),AB94*$BI94),0)</f>
        <v>0</v>
      </c>
      <c r="CF94" s="311">
        <f>IF($BI94&lt;&gt;"",IF('Capacity summary'!$D$14="Yes",IF(COUNTBLANK('Capacity summary'!$H213:$BG213)&lt;52,IF('Capacity summary'!AC213&lt;&gt;"",IF(LOWER('Capacity summary'!AC213)="x",$BI94*AC94,VALUE('Capacity summary'!AC213)),0),AC94*$BI94),AC94*$BI94),0)</f>
        <v>0</v>
      </c>
      <c r="CG94" s="311">
        <f>IF($BI94&lt;&gt;"",IF('Capacity summary'!$D$14="Yes",IF(COUNTBLANK('Capacity summary'!$H213:$BG213)&lt;52,IF('Capacity summary'!AD213&lt;&gt;"",IF(LOWER('Capacity summary'!AD213)="x",$BI94*AD94,VALUE('Capacity summary'!AD213)),0),AD94*$BI94),AD94*$BI94),0)</f>
        <v>0</v>
      </c>
      <c r="CH94" s="311">
        <f>IF($BI94&lt;&gt;"",IF('Capacity summary'!$D$14="Yes",IF(COUNTBLANK('Capacity summary'!$H213:$BG213)&lt;52,IF('Capacity summary'!AE213&lt;&gt;"",IF(LOWER('Capacity summary'!AE213)="x",$BI94*AE94,VALUE('Capacity summary'!AE213)),0),AE94*$BI94),AE94*$BI94),0)</f>
        <v>0</v>
      </c>
      <c r="CI94" s="311">
        <f>IF($BI94&lt;&gt;"",IF('Capacity summary'!$D$14="Yes",IF(COUNTBLANK('Capacity summary'!$H213:$BG213)&lt;52,IF('Capacity summary'!AF213&lt;&gt;"",IF(LOWER('Capacity summary'!AF213)="x",$BI94*AF94,VALUE('Capacity summary'!AF213)),0),AF94*$BI94),AF94*$BI94),0)</f>
        <v>0</v>
      </c>
      <c r="CJ94" s="311">
        <f>IF($BI94&lt;&gt;"",IF('Capacity summary'!$D$14="Yes",IF(COUNTBLANK('Capacity summary'!$H213:$BG213)&lt;52,IF('Capacity summary'!AG213&lt;&gt;"",IF(LOWER('Capacity summary'!AG213)="x",$BI94*AG94,VALUE('Capacity summary'!AG213)),0),AG94*$BI94),AG94*$BI94),0)</f>
        <v>0</v>
      </c>
      <c r="CK94" s="311">
        <f>IF($BI94&lt;&gt;"",IF('Capacity summary'!$D$14="Yes",IF(COUNTBLANK('Capacity summary'!$H213:$BG213)&lt;52,IF('Capacity summary'!AH213&lt;&gt;"",IF(LOWER('Capacity summary'!AH213)="x",$BI94*AH94,VALUE('Capacity summary'!AH213)),0),AH94*$BI94),AH94*$BI94),0)</f>
        <v>0</v>
      </c>
      <c r="CL94" s="311">
        <f>IF($BI94&lt;&gt;"",IF('Capacity summary'!$D$14="Yes",IF(COUNTBLANK('Capacity summary'!$H213:$BG213)&lt;52,IF('Capacity summary'!AI213&lt;&gt;"",IF(LOWER('Capacity summary'!AI213)="x",$BI94*AI94,VALUE('Capacity summary'!AI213)),0),AI94*$BI94),AI94*$BI94),0)</f>
        <v>0</v>
      </c>
      <c r="CM94" s="311">
        <f>IF($BI94&lt;&gt;"",IF('Capacity summary'!$D$14="Yes",IF(COUNTBLANK('Capacity summary'!$H213:$BG213)&lt;52,IF('Capacity summary'!AJ213&lt;&gt;"",IF(LOWER('Capacity summary'!AJ213)="x",$BI94*AJ94,VALUE('Capacity summary'!AJ213)),0),AJ94*$BI94),AJ94*$BI94),0)</f>
        <v>0</v>
      </c>
      <c r="CN94" s="311">
        <f>IF($BI94&lt;&gt;"",IF('Capacity summary'!$D$14="Yes",IF(COUNTBLANK('Capacity summary'!$H213:$BG213)&lt;52,IF('Capacity summary'!AK213&lt;&gt;"",IF(LOWER('Capacity summary'!AK213)="x",$BI94*AK94,VALUE('Capacity summary'!AK213)),0),AK94*$BI94),AK94*$BI94),0)</f>
        <v>0</v>
      </c>
      <c r="CO94" s="311">
        <f>IF($BI94&lt;&gt;"",IF('Capacity summary'!$D$14="Yes",IF(COUNTBLANK('Capacity summary'!$H213:$BG213)&lt;52,IF('Capacity summary'!AL213&lt;&gt;"",IF(LOWER('Capacity summary'!AL213)="x",$BI94*AL94,VALUE('Capacity summary'!AL213)),0),AL94*$BI94),AL94*$BI94),0)</f>
        <v>0</v>
      </c>
      <c r="CP94" s="311">
        <f>IF($BI94&lt;&gt;"",IF('Capacity summary'!$D$14="Yes",IF(COUNTBLANK('Capacity summary'!$H213:$BG213)&lt;52,IF('Capacity summary'!AM213&lt;&gt;"",IF(LOWER('Capacity summary'!AM213)="x",$BI94*AM94,VALUE('Capacity summary'!AM213)),0),AM94*$BI94),AM94*$BI94),0)</f>
        <v>0</v>
      </c>
      <c r="CQ94" s="311">
        <f>IF($BI94&lt;&gt;"",IF('Capacity summary'!$D$14="Yes",IF(COUNTBLANK('Capacity summary'!$H213:$BG213)&lt;52,IF('Capacity summary'!AN213&lt;&gt;"",IF(LOWER('Capacity summary'!AN213)="x",$BI94*AN94,VALUE('Capacity summary'!AN213)),0),AN94*$BI94),AN94*$BI94),0)</f>
        <v>0</v>
      </c>
      <c r="CR94" s="311">
        <f>IF($BI94&lt;&gt;"",IF('Capacity summary'!$D$14="Yes",IF(COUNTBLANK('Capacity summary'!$H213:$BG213)&lt;52,IF('Capacity summary'!AO213&lt;&gt;"",IF(LOWER('Capacity summary'!AO213)="x",$BI94*AO94,VALUE('Capacity summary'!AO213)),0),AO94*$BI94),AO94*$BI94),0)</f>
        <v>0</v>
      </c>
      <c r="CS94" s="311">
        <f>IF($BI94&lt;&gt;"",IF('Capacity summary'!$D$14="Yes",IF(COUNTBLANK('Capacity summary'!$H213:$BG213)&lt;52,IF('Capacity summary'!AP213&lt;&gt;"",IF(LOWER('Capacity summary'!AP213)="x",$BI94*AP94,VALUE('Capacity summary'!AP213)),0),AP94*$BI94),AP94*$BI94),0)</f>
        <v>0</v>
      </c>
      <c r="CT94" s="311">
        <f>IF($BI94&lt;&gt;"",IF('Capacity summary'!$D$14="Yes",IF(COUNTBLANK('Capacity summary'!$H213:$BG213)&lt;52,IF('Capacity summary'!AQ213&lt;&gt;"",IF(LOWER('Capacity summary'!AQ213)="x",$BI94*AQ94,VALUE('Capacity summary'!AQ213)),0),AQ94*$BI94),AQ94*$BI94),0)</f>
        <v>0</v>
      </c>
      <c r="CU94" s="311">
        <f>IF($BI94&lt;&gt;"",IF('Capacity summary'!$D$14="Yes",IF(COUNTBLANK('Capacity summary'!$H213:$BG213)&lt;52,IF('Capacity summary'!AR213&lt;&gt;"",IF(LOWER('Capacity summary'!AR213)="x",$BI94*AR94,VALUE('Capacity summary'!AR213)),0),AR94*$BI94),AR94*$BI94),0)</f>
        <v>0</v>
      </c>
      <c r="CV94" s="311">
        <f>IF($BI94&lt;&gt;"",IF('Capacity summary'!$D$14="Yes",IF(COUNTBLANK('Capacity summary'!$H213:$BG213)&lt;52,IF('Capacity summary'!AS213&lt;&gt;"",IF(LOWER('Capacity summary'!AS213)="x",$BI94*AS94,VALUE('Capacity summary'!AS213)),0),AS94*$BI94),AS94*$BI94),0)</f>
        <v>0</v>
      </c>
      <c r="CW94" s="311">
        <f>IF($BI94&lt;&gt;"",IF('Capacity summary'!$D$14="Yes",IF(COUNTBLANK('Capacity summary'!$H213:$BG213)&lt;52,IF('Capacity summary'!AT213&lt;&gt;"",IF(LOWER('Capacity summary'!AT213)="x",$BI94*AT94,VALUE('Capacity summary'!AT213)),0),AT94*$BI94),AT94*$BI94),0)</f>
        <v>0</v>
      </c>
      <c r="CX94" s="311">
        <f>IF($BI94&lt;&gt;"",IF('Capacity summary'!$D$14="Yes",IF(COUNTBLANK('Capacity summary'!$H213:$BG213)&lt;52,IF('Capacity summary'!AU213&lt;&gt;"",IF(LOWER('Capacity summary'!AU213)="x",$BI94*AU94,VALUE('Capacity summary'!AU213)),0),AU94*$BI94),AU94*$BI94),0)</f>
        <v>0</v>
      </c>
      <c r="CY94" s="311">
        <f>IF($BI94&lt;&gt;"",IF('Capacity summary'!$D$14="Yes",IF(COUNTBLANK('Capacity summary'!$H213:$BG213)&lt;52,IF('Capacity summary'!AV213&lt;&gt;"",IF(LOWER('Capacity summary'!AV213)="x",$BI94*AV94,VALUE('Capacity summary'!AV213)),0),AV94*$BI94),AV94*$BI94),0)</f>
        <v>0</v>
      </c>
      <c r="CZ94" s="311">
        <f>IF($BI94&lt;&gt;"",IF('Capacity summary'!$D$14="Yes",IF(COUNTBLANK('Capacity summary'!$H213:$BG213)&lt;52,IF('Capacity summary'!AW213&lt;&gt;"",IF(LOWER('Capacity summary'!AW213)="x",$BI94*AW94,VALUE('Capacity summary'!AW213)),0),AW94*$BI94),AW94*$BI94),0)</f>
        <v>0</v>
      </c>
      <c r="DA94" s="311">
        <f>IF($BI94&lt;&gt;"",IF('Capacity summary'!$D$14="Yes",IF(COUNTBLANK('Capacity summary'!$H213:$BG213)&lt;52,IF('Capacity summary'!AX213&lt;&gt;"",IF(LOWER('Capacity summary'!AX213)="x",$BI94*AX94,VALUE('Capacity summary'!AX213)),0),AX94*$BI94),AX94*$BI94),0)</f>
        <v>0</v>
      </c>
      <c r="DB94" s="311">
        <f>IF($BI94&lt;&gt;"",IF('Capacity summary'!$D$14="Yes",IF(COUNTBLANK('Capacity summary'!$H213:$BG213)&lt;52,IF('Capacity summary'!AY213&lt;&gt;"",IF(LOWER('Capacity summary'!AY213)="x",$BI94*AY94,VALUE('Capacity summary'!AY213)),0),AY94*$BI94),AY94*$BI94),0)</f>
        <v>0</v>
      </c>
      <c r="DC94" s="311">
        <f>IF($BI94&lt;&gt;"",IF('Capacity summary'!$D$14="Yes",IF(COUNTBLANK('Capacity summary'!$H213:$BG213)&lt;52,IF('Capacity summary'!AZ213&lt;&gt;"",IF(LOWER('Capacity summary'!AZ213)="x",$BI94*AZ94,VALUE('Capacity summary'!AZ213)),0),AZ94*$BI94),AZ94*$BI94),0)</f>
        <v>0</v>
      </c>
      <c r="DD94" s="311">
        <f>IF($BI94&lt;&gt;"",IF('Capacity summary'!$D$14="Yes",IF(COUNTBLANK('Capacity summary'!$H213:$BG213)&lt;52,IF('Capacity summary'!BA213&lt;&gt;"",IF(LOWER('Capacity summary'!BA213)="x",$BI94*BA94,VALUE('Capacity summary'!BA213)),0),BA94*$BI94),BA94*$BI94),0)</f>
        <v>0</v>
      </c>
      <c r="DE94" s="311">
        <f>IF($BI94&lt;&gt;"",IF('Capacity summary'!$D$14="Yes",IF(COUNTBLANK('Capacity summary'!$H213:$BG213)&lt;52,IF('Capacity summary'!BB213&lt;&gt;"",IF(LOWER('Capacity summary'!BB213)="x",$BI94*BB94,VALUE('Capacity summary'!BB213)),0),BB94*$BI94),BB94*$BI94),0)</f>
        <v>0</v>
      </c>
      <c r="DF94" s="311">
        <f>IF($BI94&lt;&gt;"",IF('Capacity summary'!$D$14="Yes",IF(COUNTBLANK('Capacity summary'!$H213:$BG213)&lt;52,IF('Capacity summary'!BC213&lt;&gt;"",IF(LOWER('Capacity summary'!BC213)="x",$BI94*BC94,VALUE('Capacity summary'!BC213)),0),BC94*$BI94),BC94*$BI94),0)</f>
        <v>0</v>
      </c>
      <c r="DG94" s="311">
        <f>IF($BI94&lt;&gt;"",IF('Capacity summary'!$D$14="Yes",IF(COUNTBLANK('Capacity summary'!$H213:$BG213)&lt;52,IF('Capacity summary'!BD213&lt;&gt;"",IF(LOWER('Capacity summary'!BD213)="x",$BI94*BD94,VALUE('Capacity summary'!BD213)),0),BD94*$BI94),BD94*$BI94),0)</f>
        <v>0</v>
      </c>
      <c r="DH94" s="311">
        <f>IF($BI94&lt;&gt;"",IF('Capacity summary'!$D$14="Yes",IF(COUNTBLANK('Capacity summary'!$H213:$BG213)&lt;52,IF('Capacity summary'!BE213&lt;&gt;"",IF(LOWER('Capacity summary'!BE213)="x",$BI94*BE94,VALUE('Capacity summary'!BE213)),0),BE94*$BI94),BE94*$BI94),0)</f>
        <v>0</v>
      </c>
      <c r="DI94" s="311">
        <f>IF($BI94&lt;&gt;"",IF('Capacity summary'!$D$14="Yes",IF(COUNTBLANK('Capacity summary'!$H213:$BG213)&lt;52,IF('Capacity summary'!BF213&lt;&gt;"",IF(LOWER('Capacity summary'!BF213)="x",$BI94*BF94,VALUE('Capacity summary'!BF213)),0),BF94*$BI94),BF94*$BI94),0)</f>
        <v>0</v>
      </c>
      <c r="DJ94" s="311">
        <f>IF($BI94&lt;&gt;"",IF('Capacity summary'!$D$14="Yes",IF(COUNTBLANK('Capacity summary'!$H213:$BG213)&lt;52,IF('Capacity summary'!BG213&lt;&gt;"",IF(LOWER('Capacity summary'!BG213)="x",$BI94*BG94,VALUE('Capacity summary'!BG213)),0),BG94*$BI94),BG94*$BI94),0)</f>
        <v>0</v>
      </c>
      <c r="DK94" s="387">
        <f t="shared" si="4"/>
        <v>0</v>
      </c>
      <c r="DL94" s="136">
        <f t="shared" si="5"/>
        <v>0</v>
      </c>
      <c r="DM94" s="311" t="str">
        <f>Capacity!H106</f>
        <v/>
      </c>
    </row>
    <row r="95" spans="1:117" x14ac:dyDescent="0.2">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1">
        <f>IF($BI95&lt;&gt;"",IF('Capacity summary'!$D$14="Yes",IF(COUNTBLANK('Capacity summary'!$H214:$BG214)&lt;52,IF('Capacity summary'!H214&lt;&gt;"",IF(LOWER('Capacity summary'!H214)="x",$BI95*H95,VALUE('Capacity summary'!H214)),0),H95*$BI95),H95*$BI95),0)</f>
        <v>0</v>
      </c>
      <c r="BL95" s="311">
        <f>IF($BI95&lt;&gt;"",IF('Capacity summary'!$D$14="Yes",IF(COUNTBLANK('Capacity summary'!$H214:$BG214)&lt;52,IF('Capacity summary'!I214&lt;&gt;"",IF(LOWER('Capacity summary'!I214)="x",$BI95*I95,VALUE('Capacity summary'!I214)),0),I95*$BI95),I95*$BI95),0)</f>
        <v>0</v>
      </c>
      <c r="BM95" s="311">
        <f>IF($BI95&lt;&gt;"",IF('Capacity summary'!$D$14="Yes",IF(COUNTBLANK('Capacity summary'!$H214:$BG214)&lt;52,IF('Capacity summary'!J214&lt;&gt;"",IF(LOWER('Capacity summary'!J214)="x",$BI95*J95,VALUE('Capacity summary'!J214)),0),J95*$BI95),J95*$BI95),0)</f>
        <v>0</v>
      </c>
      <c r="BN95" s="311">
        <f>IF($BI95&lt;&gt;"",IF('Capacity summary'!$D$14="Yes",IF(COUNTBLANK('Capacity summary'!$H214:$BG214)&lt;52,IF('Capacity summary'!K214&lt;&gt;"",IF(LOWER('Capacity summary'!K214)="x",$BI95*K95,VALUE('Capacity summary'!K214)),0),K95*$BI95),K95*$BI95),0)</f>
        <v>0</v>
      </c>
      <c r="BO95" s="311">
        <f>IF($BI95&lt;&gt;"",IF('Capacity summary'!$D$14="Yes",IF(COUNTBLANK('Capacity summary'!$H214:$BG214)&lt;52,IF('Capacity summary'!L214&lt;&gt;"",IF(LOWER('Capacity summary'!L214)="x",$BI95*L95,VALUE('Capacity summary'!L214)),0),L95*$BI95),L95*$BI95),0)</f>
        <v>0</v>
      </c>
      <c r="BP95" s="311">
        <f>IF($BI95&lt;&gt;"",IF('Capacity summary'!$D$14="Yes",IF(COUNTBLANK('Capacity summary'!$H214:$BG214)&lt;52,IF('Capacity summary'!M214&lt;&gt;"",IF(LOWER('Capacity summary'!M214)="x",$BI95*M95,VALUE('Capacity summary'!M214)),0),M95*$BI95),M95*$BI95),0)</f>
        <v>0</v>
      </c>
      <c r="BQ95" s="311">
        <f>IF($BI95&lt;&gt;"",IF('Capacity summary'!$D$14="Yes",IF(COUNTBLANK('Capacity summary'!$H214:$BG214)&lt;52,IF('Capacity summary'!N214&lt;&gt;"",IF(LOWER('Capacity summary'!N214)="x",$BI95*N95,VALUE('Capacity summary'!N214)),0),N95*$BI95),N95*$BI95),0)</f>
        <v>0</v>
      </c>
      <c r="BR95" s="311">
        <f>IF($BI95&lt;&gt;"",IF('Capacity summary'!$D$14="Yes",IF(COUNTBLANK('Capacity summary'!$H214:$BG214)&lt;52,IF('Capacity summary'!O214&lt;&gt;"",IF(LOWER('Capacity summary'!O214)="x",$BI95*O95,VALUE('Capacity summary'!O214)),0),O95*$BI95),O95*$BI95),0)</f>
        <v>0</v>
      </c>
      <c r="BS95" s="311">
        <f>IF($BI95&lt;&gt;"",IF('Capacity summary'!$D$14="Yes",IF(COUNTBLANK('Capacity summary'!$H214:$BG214)&lt;52,IF('Capacity summary'!P214&lt;&gt;"",IF(LOWER('Capacity summary'!P214)="x",$BI95*P95,VALUE('Capacity summary'!P214)),0),P95*$BI95),P95*$BI95),0)</f>
        <v>0</v>
      </c>
      <c r="BT95" s="311">
        <f>IF($BI95&lt;&gt;"",IF('Capacity summary'!$D$14="Yes",IF(COUNTBLANK('Capacity summary'!$H214:$BG214)&lt;52,IF('Capacity summary'!Q214&lt;&gt;"",IF(LOWER('Capacity summary'!Q214)="x",$BI95*Q95,VALUE('Capacity summary'!Q214)),0),Q95*$BI95),Q95*$BI95),0)</f>
        <v>0</v>
      </c>
      <c r="BU95" s="311">
        <f>IF($BI95&lt;&gt;"",IF('Capacity summary'!$D$14="Yes",IF(COUNTBLANK('Capacity summary'!$H214:$BG214)&lt;52,IF('Capacity summary'!R214&lt;&gt;"",IF(LOWER('Capacity summary'!R214)="x",$BI95*R95,VALUE('Capacity summary'!R214)),0),R95*$BI95),R95*$BI95),0)</f>
        <v>0</v>
      </c>
      <c r="BV95" s="311">
        <f>IF($BI95&lt;&gt;"",IF('Capacity summary'!$D$14="Yes",IF(COUNTBLANK('Capacity summary'!$H214:$BG214)&lt;52,IF('Capacity summary'!S214&lt;&gt;"",IF(LOWER('Capacity summary'!S214)="x",$BI95*S95,VALUE('Capacity summary'!S214)),0),S95*$BI95),S95*$BI95),0)</f>
        <v>0</v>
      </c>
      <c r="BW95" s="311">
        <f>IF($BI95&lt;&gt;"",IF('Capacity summary'!$D$14="Yes",IF(COUNTBLANK('Capacity summary'!$H214:$BG214)&lt;52,IF('Capacity summary'!T214&lt;&gt;"",IF(LOWER('Capacity summary'!T214)="x",$BI95*T95,VALUE('Capacity summary'!T214)),0),T95*$BI95),T95*$BI95),0)</f>
        <v>0</v>
      </c>
      <c r="BX95" s="311">
        <f>IF($BI95&lt;&gt;"",IF('Capacity summary'!$D$14="Yes",IF(COUNTBLANK('Capacity summary'!$H214:$BG214)&lt;52,IF('Capacity summary'!U214&lt;&gt;"",IF(LOWER('Capacity summary'!U214)="x",$BI95*U95,VALUE('Capacity summary'!U214)),0),U95*$BI95),U95*$BI95),0)</f>
        <v>0</v>
      </c>
      <c r="BY95" s="311">
        <f>IF($BI95&lt;&gt;"",IF('Capacity summary'!$D$14="Yes",IF(COUNTBLANK('Capacity summary'!$H214:$BG214)&lt;52,IF('Capacity summary'!V214&lt;&gt;"",IF(LOWER('Capacity summary'!V214)="x",$BI95*V95,VALUE('Capacity summary'!V214)),0),V95*$BI95),V95*$BI95),0)</f>
        <v>0</v>
      </c>
      <c r="BZ95" s="311">
        <f>IF($BI95&lt;&gt;"",IF('Capacity summary'!$D$14="Yes",IF(COUNTBLANK('Capacity summary'!$H214:$BG214)&lt;52,IF('Capacity summary'!W214&lt;&gt;"",IF(LOWER('Capacity summary'!W214)="x",$BI95*W95,VALUE('Capacity summary'!W214)),0),W95*$BI95),W95*$BI95),0)</f>
        <v>0</v>
      </c>
      <c r="CA95" s="311">
        <f>IF($BI95&lt;&gt;"",IF('Capacity summary'!$D$14="Yes",IF(COUNTBLANK('Capacity summary'!$H214:$BG214)&lt;52,IF('Capacity summary'!X214&lt;&gt;"",IF(LOWER('Capacity summary'!X214)="x",$BI95*X95,VALUE('Capacity summary'!X214)),0),X95*$BI95),X95*$BI95),0)</f>
        <v>0</v>
      </c>
      <c r="CB95" s="311">
        <f>IF($BI95&lt;&gt;"",IF('Capacity summary'!$D$14="Yes",IF(COUNTBLANK('Capacity summary'!$H214:$BG214)&lt;52,IF('Capacity summary'!Y214&lt;&gt;"",IF(LOWER('Capacity summary'!Y214)="x",$BI95*Y95,VALUE('Capacity summary'!Y214)),0),Y95*$BI95),Y95*$BI95),0)</f>
        <v>0</v>
      </c>
      <c r="CC95" s="311">
        <f>IF($BI95&lt;&gt;"",IF('Capacity summary'!$D$14="Yes",IF(COUNTBLANK('Capacity summary'!$H214:$BG214)&lt;52,IF('Capacity summary'!Z214&lt;&gt;"",IF(LOWER('Capacity summary'!Z214)="x",$BI95*Z95,VALUE('Capacity summary'!Z214)),0),Z95*$BI95),Z95*$BI95),0)</f>
        <v>0</v>
      </c>
      <c r="CD95" s="311">
        <f>IF($BI95&lt;&gt;"",IF('Capacity summary'!$D$14="Yes",IF(COUNTBLANK('Capacity summary'!$H214:$BG214)&lt;52,IF('Capacity summary'!AA214&lt;&gt;"",IF(LOWER('Capacity summary'!AA214)="x",$BI95*AA95,VALUE('Capacity summary'!AA214)),0),AA95*$BI95),AA95*$BI95),0)</f>
        <v>0</v>
      </c>
      <c r="CE95" s="311">
        <f>IF($BI95&lt;&gt;"",IF('Capacity summary'!$D$14="Yes",IF(COUNTBLANK('Capacity summary'!$H214:$BG214)&lt;52,IF('Capacity summary'!AB214&lt;&gt;"",IF(LOWER('Capacity summary'!AB214)="x",$BI95*AB95,VALUE('Capacity summary'!AB214)),0),AB95*$BI95),AB95*$BI95),0)</f>
        <v>0</v>
      </c>
      <c r="CF95" s="311">
        <f>IF($BI95&lt;&gt;"",IF('Capacity summary'!$D$14="Yes",IF(COUNTBLANK('Capacity summary'!$H214:$BG214)&lt;52,IF('Capacity summary'!AC214&lt;&gt;"",IF(LOWER('Capacity summary'!AC214)="x",$BI95*AC95,VALUE('Capacity summary'!AC214)),0),AC95*$BI95),AC95*$BI95),0)</f>
        <v>0</v>
      </c>
      <c r="CG95" s="311">
        <f>IF($BI95&lt;&gt;"",IF('Capacity summary'!$D$14="Yes",IF(COUNTBLANK('Capacity summary'!$H214:$BG214)&lt;52,IF('Capacity summary'!AD214&lt;&gt;"",IF(LOWER('Capacity summary'!AD214)="x",$BI95*AD95,VALUE('Capacity summary'!AD214)),0),AD95*$BI95),AD95*$BI95),0)</f>
        <v>0</v>
      </c>
      <c r="CH95" s="311">
        <f>IF($BI95&lt;&gt;"",IF('Capacity summary'!$D$14="Yes",IF(COUNTBLANK('Capacity summary'!$H214:$BG214)&lt;52,IF('Capacity summary'!AE214&lt;&gt;"",IF(LOWER('Capacity summary'!AE214)="x",$BI95*AE95,VALUE('Capacity summary'!AE214)),0),AE95*$BI95),AE95*$BI95),0)</f>
        <v>0</v>
      </c>
      <c r="CI95" s="311">
        <f>IF($BI95&lt;&gt;"",IF('Capacity summary'!$D$14="Yes",IF(COUNTBLANK('Capacity summary'!$H214:$BG214)&lt;52,IF('Capacity summary'!AF214&lt;&gt;"",IF(LOWER('Capacity summary'!AF214)="x",$BI95*AF95,VALUE('Capacity summary'!AF214)),0),AF95*$BI95),AF95*$BI95),0)</f>
        <v>0</v>
      </c>
      <c r="CJ95" s="311">
        <f>IF($BI95&lt;&gt;"",IF('Capacity summary'!$D$14="Yes",IF(COUNTBLANK('Capacity summary'!$H214:$BG214)&lt;52,IF('Capacity summary'!AG214&lt;&gt;"",IF(LOWER('Capacity summary'!AG214)="x",$BI95*AG95,VALUE('Capacity summary'!AG214)),0),AG95*$BI95),AG95*$BI95),0)</f>
        <v>0</v>
      </c>
      <c r="CK95" s="311">
        <f>IF($BI95&lt;&gt;"",IF('Capacity summary'!$D$14="Yes",IF(COUNTBLANK('Capacity summary'!$H214:$BG214)&lt;52,IF('Capacity summary'!AH214&lt;&gt;"",IF(LOWER('Capacity summary'!AH214)="x",$BI95*AH95,VALUE('Capacity summary'!AH214)),0),AH95*$BI95),AH95*$BI95),0)</f>
        <v>0</v>
      </c>
      <c r="CL95" s="311">
        <f>IF($BI95&lt;&gt;"",IF('Capacity summary'!$D$14="Yes",IF(COUNTBLANK('Capacity summary'!$H214:$BG214)&lt;52,IF('Capacity summary'!AI214&lt;&gt;"",IF(LOWER('Capacity summary'!AI214)="x",$BI95*AI95,VALUE('Capacity summary'!AI214)),0),AI95*$BI95),AI95*$BI95),0)</f>
        <v>0</v>
      </c>
      <c r="CM95" s="311">
        <f>IF($BI95&lt;&gt;"",IF('Capacity summary'!$D$14="Yes",IF(COUNTBLANK('Capacity summary'!$H214:$BG214)&lt;52,IF('Capacity summary'!AJ214&lt;&gt;"",IF(LOWER('Capacity summary'!AJ214)="x",$BI95*AJ95,VALUE('Capacity summary'!AJ214)),0),AJ95*$BI95),AJ95*$BI95),0)</f>
        <v>0</v>
      </c>
      <c r="CN95" s="311">
        <f>IF($BI95&lt;&gt;"",IF('Capacity summary'!$D$14="Yes",IF(COUNTBLANK('Capacity summary'!$H214:$BG214)&lt;52,IF('Capacity summary'!AK214&lt;&gt;"",IF(LOWER('Capacity summary'!AK214)="x",$BI95*AK95,VALUE('Capacity summary'!AK214)),0),AK95*$BI95),AK95*$BI95),0)</f>
        <v>0</v>
      </c>
      <c r="CO95" s="311">
        <f>IF($BI95&lt;&gt;"",IF('Capacity summary'!$D$14="Yes",IF(COUNTBLANK('Capacity summary'!$H214:$BG214)&lt;52,IF('Capacity summary'!AL214&lt;&gt;"",IF(LOWER('Capacity summary'!AL214)="x",$BI95*AL95,VALUE('Capacity summary'!AL214)),0),AL95*$BI95),AL95*$BI95),0)</f>
        <v>0</v>
      </c>
      <c r="CP95" s="311">
        <f>IF($BI95&lt;&gt;"",IF('Capacity summary'!$D$14="Yes",IF(COUNTBLANK('Capacity summary'!$H214:$BG214)&lt;52,IF('Capacity summary'!AM214&lt;&gt;"",IF(LOWER('Capacity summary'!AM214)="x",$BI95*AM95,VALUE('Capacity summary'!AM214)),0),AM95*$BI95),AM95*$BI95),0)</f>
        <v>0</v>
      </c>
      <c r="CQ95" s="311">
        <f>IF($BI95&lt;&gt;"",IF('Capacity summary'!$D$14="Yes",IF(COUNTBLANK('Capacity summary'!$H214:$BG214)&lt;52,IF('Capacity summary'!AN214&lt;&gt;"",IF(LOWER('Capacity summary'!AN214)="x",$BI95*AN95,VALUE('Capacity summary'!AN214)),0),AN95*$BI95),AN95*$BI95),0)</f>
        <v>0</v>
      </c>
      <c r="CR95" s="311">
        <f>IF($BI95&lt;&gt;"",IF('Capacity summary'!$D$14="Yes",IF(COUNTBLANK('Capacity summary'!$H214:$BG214)&lt;52,IF('Capacity summary'!AO214&lt;&gt;"",IF(LOWER('Capacity summary'!AO214)="x",$BI95*AO95,VALUE('Capacity summary'!AO214)),0),AO95*$BI95),AO95*$BI95),0)</f>
        <v>0</v>
      </c>
      <c r="CS95" s="311">
        <f>IF($BI95&lt;&gt;"",IF('Capacity summary'!$D$14="Yes",IF(COUNTBLANK('Capacity summary'!$H214:$BG214)&lt;52,IF('Capacity summary'!AP214&lt;&gt;"",IF(LOWER('Capacity summary'!AP214)="x",$BI95*AP95,VALUE('Capacity summary'!AP214)),0),AP95*$BI95),AP95*$BI95),0)</f>
        <v>0</v>
      </c>
      <c r="CT95" s="311">
        <f>IF($BI95&lt;&gt;"",IF('Capacity summary'!$D$14="Yes",IF(COUNTBLANK('Capacity summary'!$H214:$BG214)&lt;52,IF('Capacity summary'!AQ214&lt;&gt;"",IF(LOWER('Capacity summary'!AQ214)="x",$BI95*AQ95,VALUE('Capacity summary'!AQ214)),0),AQ95*$BI95),AQ95*$BI95),0)</f>
        <v>0</v>
      </c>
      <c r="CU95" s="311">
        <f>IF($BI95&lt;&gt;"",IF('Capacity summary'!$D$14="Yes",IF(COUNTBLANK('Capacity summary'!$H214:$BG214)&lt;52,IF('Capacity summary'!AR214&lt;&gt;"",IF(LOWER('Capacity summary'!AR214)="x",$BI95*AR95,VALUE('Capacity summary'!AR214)),0),AR95*$BI95),AR95*$BI95),0)</f>
        <v>0</v>
      </c>
      <c r="CV95" s="311">
        <f>IF($BI95&lt;&gt;"",IF('Capacity summary'!$D$14="Yes",IF(COUNTBLANK('Capacity summary'!$H214:$BG214)&lt;52,IF('Capacity summary'!AS214&lt;&gt;"",IF(LOWER('Capacity summary'!AS214)="x",$BI95*AS95,VALUE('Capacity summary'!AS214)),0),AS95*$BI95),AS95*$BI95),0)</f>
        <v>0</v>
      </c>
      <c r="CW95" s="311">
        <f>IF($BI95&lt;&gt;"",IF('Capacity summary'!$D$14="Yes",IF(COUNTBLANK('Capacity summary'!$H214:$BG214)&lt;52,IF('Capacity summary'!AT214&lt;&gt;"",IF(LOWER('Capacity summary'!AT214)="x",$BI95*AT95,VALUE('Capacity summary'!AT214)),0),AT95*$BI95),AT95*$BI95),0)</f>
        <v>0</v>
      </c>
      <c r="CX95" s="311">
        <f>IF($BI95&lt;&gt;"",IF('Capacity summary'!$D$14="Yes",IF(COUNTBLANK('Capacity summary'!$H214:$BG214)&lt;52,IF('Capacity summary'!AU214&lt;&gt;"",IF(LOWER('Capacity summary'!AU214)="x",$BI95*AU95,VALUE('Capacity summary'!AU214)),0),AU95*$BI95),AU95*$BI95),0)</f>
        <v>0</v>
      </c>
      <c r="CY95" s="311">
        <f>IF($BI95&lt;&gt;"",IF('Capacity summary'!$D$14="Yes",IF(COUNTBLANK('Capacity summary'!$H214:$BG214)&lt;52,IF('Capacity summary'!AV214&lt;&gt;"",IF(LOWER('Capacity summary'!AV214)="x",$BI95*AV95,VALUE('Capacity summary'!AV214)),0),AV95*$BI95),AV95*$BI95),0)</f>
        <v>0</v>
      </c>
      <c r="CZ95" s="311">
        <f>IF($BI95&lt;&gt;"",IF('Capacity summary'!$D$14="Yes",IF(COUNTBLANK('Capacity summary'!$H214:$BG214)&lt;52,IF('Capacity summary'!AW214&lt;&gt;"",IF(LOWER('Capacity summary'!AW214)="x",$BI95*AW95,VALUE('Capacity summary'!AW214)),0),AW95*$BI95),AW95*$BI95),0)</f>
        <v>0</v>
      </c>
      <c r="DA95" s="311">
        <f>IF($BI95&lt;&gt;"",IF('Capacity summary'!$D$14="Yes",IF(COUNTBLANK('Capacity summary'!$H214:$BG214)&lt;52,IF('Capacity summary'!AX214&lt;&gt;"",IF(LOWER('Capacity summary'!AX214)="x",$BI95*AX95,VALUE('Capacity summary'!AX214)),0),AX95*$BI95),AX95*$BI95),0)</f>
        <v>0</v>
      </c>
      <c r="DB95" s="311">
        <f>IF($BI95&lt;&gt;"",IF('Capacity summary'!$D$14="Yes",IF(COUNTBLANK('Capacity summary'!$H214:$BG214)&lt;52,IF('Capacity summary'!AY214&lt;&gt;"",IF(LOWER('Capacity summary'!AY214)="x",$BI95*AY95,VALUE('Capacity summary'!AY214)),0),AY95*$BI95),AY95*$BI95),0)</f>
        <v>0</v>
      </c>
      <c r="DC95" s="311">
        <f>IF($BI95&lt;&gt;"",IF('Capacity summary'!$D$14="Yes",IF(COUNTBLANK('Capacity summary'!$H214:$BG214)&lt;52,IF('Capacity summary'!AZ214&lt;&gt;"",IF(LOWER('Capacity summary'!AZ214)="x",$BI95*AZ95,VALUE('Capacity summary'!AZ214)),0),AZ95*$BI95),AZ95*$BI95),0)</f>
        <v>0</v>
      </c>
      <c r="DD95" s="311">
        <f>IF($BI95&lt;&gt;"",IF('Capacity summary'!$D$14="Yes",IF(COUNTBLANK('Capacity summary'!$H214:$BG214)&lt;52,IF('Capacity summary'!BA214&lt;&gt;"",IF(LOWER('Capacity summary'!BA214)="x",$BI95*BA95,VALUE('Capacity summary'!BA214)),0),BA95*$BI95),BA95*$BI95),0)</f>
        <v>0</v>
      </c>
      <c r="DE95" s="311">
        <f>IF($BI95&lt;&gt;"",IF('Capacity summary'!$D$14="Yes",IF(COUNTBLANK('Capacity summary'!$H214:$BG214)&lt;52,IF('Capacity summary'!BB214&lt;&gt;"",IF(LOWER('Capacity summary'!BB214)="x",$BI95*BB95,VALUE('Capacity summary'!BB214)),0),BB95*$BI95),BB95*$BI95),0)</f>
        <v>0</v>
      </c>
      <c r="DF95" s="311">
        <f>IF($BI95&lt;&gt;"",IF('Capacity summary'!$D$14="Yes",IF(COUNTBLANK('Capacity summary'!$H214:$BG214)&lt;52,IF('Capacity summary'!BC214&lt;&gt;"",IF(LOWER('Capacity summary'!BC214)="x",$BI95*BC95,VALUE('Capacity summary'!BC214)),0),BC95*$BI95),BC95*$BI95),0)</f>
        <v>0</v>
      </c>
      <c r="DG95" s="311">
        <f>IF($BI95&lt;&gt;"",IF('Capacity summary'!$D$14="Yes",IF(COUNTBLANK('Capacity summary'!$H214:$BG214)&lt;52,IF('Capacity summary'!BD214&lt;&gt;"",IF(LOWER('Capacity summary'!BD214)="x",$BI95*BD95,VALUE('Capacity summary'!BD214)),0),BD95*$BI95),BD95*$BI95),0)</f>
        <v>0</v>
      </c>
      <c r="DH95" s="311">
        <f>IF($BI95&lt;&gt;"",IF('Capacity summary'!$D$14="Yes",IF(COUNTBLANK('Capacity summary'!$H214:$BG214)&lt;52,IF('Capacity summary'!BE214&lt;&gt;"",IF(LOWER('Capacity summary'!BE214)="x",$BI95*BE95,VALUE('Capacity summary'!BE214)),0),BE95*$BI95),BE95*$BI95),0)</f>
        <v>0</v>
      </c>
      <c r="DI95" s="311">
        <f>IF($BI95&lt;&gt;"",IF('Capacity summary'!$D$14="Yes",IF(COUNTBLANK('Capacity summary'!$H214:$BG214)&lt;52,IF('Capacity summary'!BF214&lt;&gt;"",IF(LOWER('Capacity summary'!BF214)="x",$BI95*BF95,VALUE('Capacity summary'!BF214)),0),BF95*$BI95),BF95*$BI95),0)</f>
        <v>0</v>
      </c>
      <c r="DJ95" s="311">
        <f>IF($BI95&lt;&gt;"",IF('Capacity summary'!$D$14="Yes",IF(COUNTBLANK('Capacity summary'!$H214:$BG214)&lt;52,IF('Capacity summary'!BG214&lt;&gt;"",IF(LOWER('Capacity summary'!BG214)="x",$BI95*BG95,VALUE('Capacity summary'!BG214)),0),BG95*$BI95),BG95*$BI95),0)</f>
        <v>0</v>
      </c>
      <c r="DK95" s="387">
        <f t="shared" si="4"/>
        <v>0</v>
      </c>
      <c r="DL95" s="136">
        <f t="shared" si="5"/>
        <v>0</v>
      </c>
      <c r="DM95" s="311" t="str">
        <f>Capacity!H107</f>
        <v/>
      </c>
    </row>
    <row r="96" spans="1:117" x14ac:dyDescent="0.2">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1">
        <f>IF($BI96&lt;&gt;"",IF('Capacity summary'!$D$14="Yes",IF(COUNTBLANK('Capacity summary'!$H215:$BG215)&lt;52,IF('Capacity summary'!H215&lt;&gt;"",IF(LOWER('Capacity summary'!H215)="x",$BI96*H96,VALUE('Capacity summary'!H215)),0),H96*$BI96),H96*$BI96),0)</f>
        <v>0</v>
      </c>
      <c r="BL96" s="311">
        <f>IF($BI96&lt;&gt;"",IF('Capacity summary'!$D$14="Yes",IF(COUNTBLANK('Capacity summary'!$H215:$BG215)&lt;52,IF('Capacity summary'!I215&lt;&gt;"",IF(LOWER('Capacity summary'!I215)="x",$BI96*I96,VALUE('Capacity summary'!I215)),0),I96*$BI96),I96*$BI96),0)</f>
        <v>0</v>
      </c>
      <c r="BM96" s="311">
        <f>IF($BI96&lt;&gt;"",IF('Capacity summary'!$D$14="Yes",IF(COUNTBLANK('Capacity summary'!$H215:$BG215)&lt;52,IF('Capacity summary'!J215&lt;&gt;"",IF(LOWER('Capacity summary'!J215)="x",$BI96*J96,VALUE('Capacity summary'!J215)),0),J96*$BI96),J96*$BI96),0)</f>
        <v>0</v>
      </c>
      <c r="BN96" s="311">
        <f>IF($BI96&lt;&gt;"",IF('Capacity summary'!$D$14="Yes",IF(COUNTBLANK('Capacity summary'!$H215:$BG215)&lt;52,IF('Capacity summary'!K215&lt;&gt;"",IF(LOWER('Capacity summary'!K215)="x",$BI96*K96,VALUE('Capacity summary'!K215)),0),K96*$BI96),K96*$BI96),0)</f>
        <v>0</v>
      </c>
      <c r="BO96" s="311">
        <f>IF($BI96&lt;&gt;"",IF('Capacity summary'!$D$14="Yes",IF(COUNTBLANK('Capacity summary'!$H215:$BG215)&lt;52,IF('Capacity summary'!L215&lt;&gt;"",IF(LOWER('Capacity summary'!L215)="x",$BI96*L96,VALUE('Capacity summary'!L215)),0),L96*$BI96),L96*$BI96),0)</f>
        <v>0</v>
      </c>
      <c r="BP96" s="311">
        <f>IF($BI96&lt;&gt;"",IF('Capacity summary'!$D$14="Yes",IF(COUNTBLANK('Capacity summary'!$H215:$BG215)&lt;52,IF('Capacity summary'!M215&lt;&gt;"",IF(LOWER('Capacity summary'!M215)="x",$BI96*M96,VALUE('Capacity summary'!M215)),0),M96*$BI96),M96*$BI96),0)</f>
        <v>0</v>
      </c>
      <c r="BQ96" s="311">
        <f>IF($BI96&lt;&gt;"",IF('Capacity summary'!$D$14="Yes",IF(COUNTBLANK('Capacity summary'!$H215:$BG215)&lt;52,IF('Capacity summary'!N215&lt;&gt;"",IF(LOWER('Capacity summary'!N215)="x",$BI96*N96,VALUE('Capacity summary'!N215)),0),N96*$BI96),N96*$BI96),0)</f>
        <v>0</v>
      </c>
      <c r="BR96" s="311">
        <f>IF($BI96&lt;&gt;"",IF('Capacity summary'!$D$14="Yes",IF(COUNTBLANK('Capacity summary'!$H215:$BG215)&lt;52,IF('Capacity summary'!O215&lt;&gt;"",IF(LOWER('Capacity summary'!O215)="x",$BI96*O96,VALUE('Capacity summary'!O215)),0),O96*$BI96),O96*$BI96),0)</f>
        <v>0</v>
      </c>
      <c r="BS96" s="311">
        <f>IF($BI96&lt;&gt;"",IF('Capacity summary'!$D$14="Yes",IF(COUNTBLANK('Capacity summary'!$H215:$BG215)&lt;52,IF('Capacity summary'!P215&lt;&gt;"",IF(LOWER('Capacity summary'!P215)="x",$BI96*P96,VALUE('Capacity summary'!P215)),0),P96*$BI96),P96*$BI96),0)</f>
        <v>0</v>
      </c>
      <c r="BT96" s="311">
        <f>IF($BI96&lt;&gt;"",IF('Capacity summary'!$D$14="Yes",IF(COUNTBLANK('Capacity summary'!$H215:$BG215)&lt;52,IF('Capacity summary'!Q215&lt;&gt;"",IF(LOWER('Capacity summary'!Q215)="x",$BI96*Q96,VALUE('Capacity summary'!Q215)),0),Q96*$BI96),Q96*$BI96),0)</f>
        <v>0</v>
      </c>
      <c r="BU96" s="311">
        <f>IF($BI96&lt;&gt;"",IF('Capacity summary'!$D$14="Yes",IF(COUNTBLANK('Capacity summary'!$H215:$BG215)&lt;52,IF('Capacity summary'!R215&lt;&gt;"",IF(LOWER('Capacity summary'!R215)="x",$BI96*R96,VALUE('Capacity summary'!R215)),0),R96*$BI96),R96*$BI96),0)</f>
        <v>0</v>
      </c>
      <c r="BV96" s="311">
        <f>IF($BI96&lt;&gt;"",IF('Capacity summary'!$D$14="Yes",IF(COUNTBLANK('Capacity summary'!$H215:$BG215)&lt;52,IF('Capacity summary'!S215&lt;&gt;"",IF(LOWER('Capacity summary'!S215)="x",$BI96*S96,VALUE('Capacity summary'!S215)),0),S96*$BI96),S96*$BI96),0)</f>
        <v>0</v>
      </c>
      <c r="BW96" s="311">
        <f>IF($BI96&lt;&gt;"",IF('Capacity summary'!$D$14="Yes",IF(COUNTBLANK('Capacity summary'!$H215:$BG215)&lt;52,IF('Capacity summary'!T215&lt;&gt;"",IF(LOWER('Capacity summary'!T215)="x",$BI96*T96,VALUE('Capacity summary'!T215)),0),T96*$BI96),T96*$BI96),0)</f>
        <v>0</v>
      </c>
      <c r="BX96" s="311">
        <f>IF($BI96&lt;&gt;"",IF('Capacity summary'!$D$14="Yes",IF(COUNTBLANK('Capacity summary'!$H215:$BG215)&lt;52,IF('Capacity summary'!U215&lt;&gt;"",IF(LOWER('Capacity summary'!U215)="x",$BI96*U96,VALUE('Capacity summary'!U215)),0),U96*$BI96),U96*$BI96),0)</f>
        <v>0</v>
      </c>
      <c r="BY96" s="311">
        <f>IF($BI96&lt;&gt;"",IF('Capacity summary'!$D$14="Yes",IF(COUNTBLANK('Capacity summary'!$H215:$BG215)&lt;52,IF('Capacity summary'!V215&lt;&gt;"",IF(LOWER('Capacity summary'!V215)="x",$BI96*V96,VALUE('Capacity summary'!V215)),0),V96*$BI96),V96*$BI96),0)</f>
        <v>0</v>
      </c>
      <c r="BZ96" s="311">
        <f>IF($BI96&lt;&gt;"",IF('Capacity summary'!$D$14="Yes",IF(COUNTBLANK('Capacity summary'!$H215:$BG215)&lt;52,IF('Capacity summary'!W215&lt;&gt;"",IF(LOWER('Capacity summary'!W215)="x",$BI96*W96,VALUE('Capacity summary'!W215)),0),W96*$BI96),W96*$BI96),0)</f>
        <v>0</v>
      </c>
      <c r="CA96" s="311">
        <f>IF($BI96&lt;&gt;"",IF('Capacity summary'!$D$14="Yes",IF(COUNTBLANK('Capacity summary'!$H215:$BG215)&lt;52,IF('Capacity summary'!X215&lt;&gt;"",IF(LOWER('Capacity summary'!X215)="x",$BI96*X96,VALUE('Capacity summary'!X215)),0),X96*$BI96),X96*$BI96),0)</f>
        <v>0</v>
      </c>
      <c r="CB96" s="311">
        <f>IF($BI96&lt;&gt;"",IF('Capacity summary'!$D$14="Yes",IF(COUNTBLANK('Capacity summary'!$H215:$BG215)&lt;52,IF('Capacity summary'!Y215&lt;&gt;"",IF(LOWER('Capacity summary'!Y215)="x",$BI96*Y96,VALUE('Capacity summary'!Y215)),0),Y96*$BI96),Y96*$BI96),0)</f>
        <v>0</v>
      </c>
      <c r="CC96" s="311">
        <f>IF($BI96&lt;&gt;"",IF('Capacity summary'!$D$14="Yes",IF(COUNTBLANK('Capacity summary'!$H215:$BG215)&lt;52,IF('Capacity summary'!Z215&lt;&gt;"",IF(LOWER('Capacity summary'!Z215)="x",$BI96*Z96,VALUE('Capacity summary'!Z215)),0),Z96*$BI96),Z96*$BI96),0)</f>
        <v>0</v>
      </c>
      <c r="CD96" s="311">
        <f>IF($BI96&lt;&gt;"",IF('Capacity summary'!$D$14="Yes",IF(COUNTBLANK('Capacity summary'!$H215:$BG215)&lt;52,IF('Capacity summary'!AA215&lt;&gt;"",IF(LOWER('Capacity summary'!AA215)="x",$BI96*AA96,VALUE('Capacity summary'!AA215)),0),AA96*$BI96),AA96*$BI96),0)</f>
        <v>0</v>
      </c>
      <c r="CE96" s="311">
        <f>IF($BI96&lt;&gt;"",IF('Capacity summary'!$D$14="Yes",IF(COUNTBLANK('Capacity summary'!$H215:$BG215)&lt;52,IF('Capacity summary'!AB215&lt;&gt;"",IF(LOWER('Capacity summary'!AB215)="x",$BI96*AB96,VALUE('Capacity summary'!AB215)),0),AB96*$BI96),AB96*$BI96),0)</f>
        <v>0</v>
      </c>
      <c r="CF96" s="311">
        <f>IF($BI96&lt;&gt;"",IF('Capacity summary'!$D$14="Yes",IF(COUNTBLANK('Capacity summary'!$H215:$BG215)&lt;52,IF('Capacity summary'!AC215&lt;&gt;"",IF(LOWER('Capacity summary'!AC215)="x",$BI96*AC96,VALUE('Capacity summary'!AC215)),0),AC96*$BI96),AC96*$BI96),0)</f>
        <v>0</v>
      </c>
      <c r="CG96" s="311">
        <f>IF($BI96&lt;&gt;"",IF('Capacity summary'!$D$14="Yes",IF(COUNTBLANK('Capacity summary'!$H215:$BG215)&lt;52,IF('Capacity summary'!AD215&lt;&gt;"",IF(LOWER('Capacity summary'!AD215)="x",$BI96*AD96,VALUE('Capacity summary'!AD215)),0),AD96*$BI96),AD96*$BI96),0)</f>
        <v>0</v>
      </c>
      <c r="CH96" s="311">
        <f>IF($BI96&lt;&gt;"",IF('Capacity summary'!$D$14="Yes",IF(COUNTBLANK('Capacity summary'!$H215:$BG215)&lt;52,IF('Capacity summary'!AE215&lt;&gt;"",IF(LOWER('Capacity summary'!AE215)="x",$BI96*AE96,VALUE('Capacity summary'!AE215)),0),AE96*$BI96),AE96*$BI96),0)</f>
        <v>0</v>
      </c>
      <c r="CI96" s="311">
        <f>IF($BI96&lt;&gt;"",IF('Capacity summary'!$D$14="Yes",IF(COUNTBLANK('Capacity summary'!$H215:$BG215)&lt;52,IF('Capacity summary'!AF215&lt;&gt;"",IF(LOWER('Capacity summary'!AF215)="x",$BI96*AF96,VALUE('Capacity summary'!AF215)),0),AF96*$BI96),AF96*$BI96),0)</f>
        <v>0</v>
      </c>
      <c r="CJ96" s="311">
        <f>IF($BI96&lt;&gt;"",IF('Capacity summary'!$D$14="Yes",IF(COUNTBLANK('Capacity summary'!$H215:$BG215)&lt;52,IF('Capacity summary'!AG215&lt;&gt;"",IF(LOWER('Capacity summary'!AG215)="x",$BI96*AG96,VALUE('Capacity summary'!AG215)),0),AG96*$BI96),AG96*$BI96),0)</f>
        <v>0</v>
      </c>
      <c r="CK96" s="311">
        <f>IF($BI96&lt;&gt;"",IF('Capacity summary'!$D$14="Yes",IF(COUNTBLANK('Capacity summary'!$H215:$BG215)&lt;52,IF('Capacity summary'!AH215&lt;&gt;"",IF(LOWER('Capacity summary'!AH215)="x",$BI96*AH96,VALUE('Capacity summary'!AH215)),0),AH96*$BI96),AH96*$BI96),0)</f>
        <v>0</v>
      </c>
      <c r="CL96" s="311">
        <f>IF($BI96&lt;&gt;"",IF('Capacity summary'!$D$14="Yes",IF(COUNTBLANK('Capacity summary'!$H215:$BG215)&lt;52,IF('Capacity summary'!AI215&lt;&gt;"",IF(LOWER('Capacity summary'!AI215)="x",$BI96*AI96,VALUE('Capacity summary'!AI215)),0),AI96*$BI96),AI96*$BI96),0)</f>
        <v>0</v>
      </c>
      <c r="CM96" s="311">
        <f>IF($BI96&lt;&gt;"",IF('Capacity summary'!$D$14="Yes",IF(COUNTBLANK('Capacity summary'!$H215:$BG215)&lt;52,IF('Capacity summary'!AJ215&lt;&gt;"",IF(LOWER('Capacity summary'!AJ215)="x",$BI96*AJ96,VALUE('Capacity summary'!AJ215)),0),AJ96*$BI96),AJ96*$BI96),0)</f>
        <v>0</v>
      </c>
      <c r="CN96" s="311">
        <f>IF($BI96&lt;&gt;"",IF('Capacity summary'!$D$14="Yes",IF(COUNTBLANK('Capacity summary'!$H215:$BG215)&lt;52,IF('Capacity summary'!AK215&lt;&gt;"",IF(LOWER('Capacity summary'!AK215)="x",$BI96*AK96,VALUE('Capacity summary'!AK215)),0),AK96*$BI96),AK96*$BI96),0)</f>
        <v>0</v>
      </c>
      <c r="CO96" s="311">
        <f>IF($BI96&lt;&gt;"",IF('Capacity summary'!$D$14="Yes",IF(COUNTBLANK('Capacity summary'!$H215:$BG215)&lt;52,IF('Capacity summary'!AL215&lt;&gt;"",IF(LOWER('Capacity summary'!AL215)="x",$BI96*AL96,VALUE('Capacity summary'!AL215)),0),AL96*$BI96),AL96*$BI96),0)</f>
        <v>0</v>
      </c>
      <c r="CP96" s="311">
        <f>IF($BI96&lt;&gt;"",IF('Capacity summary'!$D$14="Yes",IF(COUNTBLANK('Capacity summary'!$H215:$BG215)&lt;52,IF('Capacity summary'!AM215&lt;&gt;"",IF(LOWER('Capacity summary'!AM215)="x",$BI96*AM96,VALUE('Capacity summary'!AM215)),0),AM96*$BI96),AM96*$BI96),0)</f>
        <v>0</v>
      </c>
      <c r="CQ96" s="311">
        <f>IF($BI96&lt;&gt;"",IF('Capacity summary'!$D$14="Yes",IF(COUNTBLANK('Capacity summary'!$H215:$BG215)&lt;52,IF('Capacity summary'!AN215&lt;&gt;"",IF(LOWER('Capacity summary'!AN215)="x",$BI96*AN96,VALUE('Capacity summary'!AN215)),0),AN96*$BI96),AN96*$BI96),0)</f>
        <v>0</v>
      </c>
      <c r="CR96" s="311">
        <f>IF($BI96&lt;&gt;"",IF('Capacity summary'!$D$14="Yes",IF(COUNTBLANK('Capacity summary'!$H215:$BG215)&lt;52,IF('Capacity summary'!AO215&lt;&gt;"",IF(LOWER('Capacity summary'!AO215)="x",$BI96*AO96,VALUE('Capacity summary'!AO215)),0),AO96*$BI96),AO96*$BI96),0)</f>
        <v>0</v>
      </c>
      <c r="CS96" s="311">
        <f>IF($BI96&lt;&gt;"",IF('Capacity summary'!$D$14="Yes",IF(COUNTBLANK('Capacity summary'!$H215:$BG215)&lt;52,IF('Capacity summary'!AP215&lt;&gt;"",IF(LOWER('Capacity summary'!AP215)="x",$BI96*AP96,VALUE('Capacity summary'!AP215)),0),AP96*$BI96),AP96*$BI96),0)</f>
        <v>0</v>
      </c>
      <c r="CT96" s="311">
        <f>IF($BI96&lt;&gt;"",IF('Capacity summary'!$D$14="Yes",IF(COUNTBLANK('Capacity summary'!$H215:$BG215)&lt;52,IF('Capacity summary'!AQ215&lt;&gt;"",IF(LOWER('Capacity summary'!AQ215)="x",$BI96*AQ96,VALUE('Capacity summary'!AQ215)),0),AQ96*$BI96),AQ96*$BI96),0)</f>
        <v>0</v>
      </c>
      <c r="CU96" s="311">
        <f>IF($BI96&lt;&gt;"",IF('Capacity summary'!$D$14="Yes",IF(COUNTBLANK('Capacity summary'!$H215:$BG215)&lt;52,IF('Capacity summary'!AR215&lt;&gt;"",IF(LOWER('Capacity summary'!AR215)="x",$BI96*AR96,VALUE('Capacity summary'!AR215)),0),AR96*$BI96),AR96*$BI96),0)</f>
        <v>0</v>
      </c>
      <c r="CV96" s="311">
        <f>IF($BI96&lt;&gt;"",IF('Capacity summary'!$D$14="Yes",IF(COUNTBLANK('Capacity summary'!$H215:$BG215)&lt;52,IF('Capacity summary'!AS215&lt;&gt;"",IF(LOWER('Capacity summary'!AS215)="x",$BI96*AS96,VALUE('Capacity summary'!AS215)),0),AS96*$BI96),AS96*$BI96),0)</f>
        <v>0</v>
      </c>
      <c r="CW96" s="311">
        <f>IF($BI96&lt;&gt;"",IF('Capacity summary'!$D$14="Yes",IF(COUNTBLANK('Capacity summary'!$H215:$BG215)&lt;52,IF('Capacity summary'!AT215&lt;&gt;"",IF(LOWER('Capacity summary'!AT215)="x",$BI96*AT96,VALUE('Capacity summary'!AT215)),0),AT96*$BI96),AT96*$BI96),0)</f>
        <v>0</v>
      </c>
      <c r="CX96" s="311">
        <f>IF($BI96&lt;&gt;"",IF('Capacity summary'!$D$14="Yes",IF(COUNTBLANK('Capacity summary'!$H215:$BG215)&lt;52,IF('Capacity summary'!AU215&lt;&gt;"",IF(LOWER('Capacity summary'!AU215)="x",$BI96*AU96,VALUE('Capacity summary'!AU215)),0),AU96*$BI96),AU96*$BI96),0)</f>
        <v>0</v>
      </c>
      <c r="CY96" s="311">
        <f>IF($BI96&lt;&gt;"",IF('Capacity summary'!$D$14="Yes",IF(COUNTBLANK('Capacity summary'!$H215:$BG215)&lt;52,IF('Capacity summary'!AV215&lt;&gt;"",IF(LOWER('Capacity summary'!AV215)="x",$BI96*AV96,VALUE('Capacity summary'!AV215)),0),AV96*$BI96),AV96*$BI96),0)</f>
        <v>0</v>
      </c>
      <c r="CZ96" s="311">
        <f>IF($BI96&lt;&gt;"",IF('Capacity summary'!$D$14="Yes",IF(COUNTBLANK('Capacity summary'!$H215:$BG215)&lt;52,IF('Capacity summary'!AW215&lt;&gt;"",IF(LOWER('Capacity summary'!AW215)="x",$BI96*AW96,VALUE('Capacity summary'!AW215)),0),AW96*$BI96),AW96*$BI96),0)</f>
        <v>0</v>
      </c>
      <c r="DA96" s="311">
        <f>IF($BI96&lt;&gt;"",IF('Capacity summary'!$D$14="Yes",IF(COUNTBLANK('Capacity summary'!$H215:$BG215)&lt;52,IF('Capacity summary'!AX215&lt;&gt;"",IF(LOWER('Capacity summary'!AX215)="x",$BI96*AX96,VALUE('Capacity summary'!AX215)),0),AX96*$BI96),AX96*$BI96),0)</f>
        <v>0</v>
      </c>
      <c r="DB96" s="311">
        <f>IF($BI96&lt;&gt;"",IF('Capacity summary'!$D$14="Yes",IF(COUNTBLANK('Capacity summary'!$H215:$BG215)&lt;52,IF('Capacity summary'!AY215&lt;&gt;"",IF(LOWER('Capacity summary'!AY215)="x",$BI96*AY96,VALUE('Capacity summary'!AY215)),0),AY96*$BI96),AY96*$BI96),0)</f>
        <v>0</v>
      </c>
      <c r="DC96" s="311">
        <f>IF($BI96&lt;&gt;"",IF('Capacity summary'!$D$14="Yes",IF(COUNTBLANK('Capacity summary'!$H215:$BG215)&lt;52,IF('Capacity summary'!AZ215&lt;&gt;"",IF(LOWER('Capacity summary'!AZ215)="x",$BI96*AZ96,VALUE('Capacity summary'!AZ215)),0),AZ96*$BI96),AZ96*$BI96),0)</f>
        <v>0</v>
      </c>
      <c r="DD96" s="311">
        <f>IF($BI96&lt;&gt;"",IF('Capacity summary'!$D$14="Yes",IF(COUNTBLANK('Capacity summary'!$H215:$BG215)&lt;52,IF('Capacity summary'!BA215&lt;&gt;"",IF(LOWER('Capacity summary'!BA215)="x",$BI96*BA96,VALUE('Capacity summary'!BA215)),0),BA96*$BI96),BA96*$BI96),0)</f>
        <v>0</v>
      </c>
      <c r="DE96" s="311">
        <f>IF($BI96&lt;&gt;"",IF('Capacity summary'!$D$14="Yes",IF(COUNTBLANK('Capacity summary'!$H215:$BG215)&lt;52,IF('Capacity summary'!BB215&lt;&gt;"",IF(LOWER('Capacity summary'!BB215)="x",$BI96*BB96,VALUE('Capacity summary'!BB215)),0),BB96*$BI96),BB96*$BI96),0)</f>
        <v>0</v>
      </c>
      <c r="DF96" s="311">
        <f>IF($BI96&lt;&gt;"",IF('Capacity summary'!$D$14="Yes",IF(COUNTBLANK('Capacity summary'!$H215:$BG215)&lt;52,IF('Capacity summary'!BC215&lt;&gt;"",IF(LOWER('Capacity summary'!BC215)="x",$BI96*BC96,VALUE('Capacity summary'!BC215)),0),BC96*$BI96),BC96*$BI96),0)</f>
        <v>0</v>
      </c>
      <c r="DG96" s="311">
        <f>IF($BI96&lt;&gt;"",IF('Capacity summary'!$D$14="Yes",IF(COUNTBLANK('Capacity summary'!$H215:$BG215)&lt;52,IF('Capacity summary'!BD215&lt;&gt;"",IF(LOWER('Capacity summary'!BD215)="x",$BI96*BD96,VALUE('Capacity summary'!BD215)),0),BD96*$BI96),BD96*$BI96),0)</f>
        <v>0</v>
      </c>
      <c r="DH96" s="311">
        <f>IF($BI96&lt;&gt;"",IF('Capacity summary'!$D$14="Yes",IF(COUNTBLANK('Capacity summary'!$H215:$BG215)&lt;52,IF('Capacity summary'!BE215&lt;&gt;"",IF(LOWER('Capacity summary'!BE215)="x",$BI96*BE96,VALUE('Capacity summary'!BE215)),0),BE96*$BI96),BE96*$BI96),0)</f>
        <v>0</v>
      </c>
      <c r="DI96" s="311">
        <f>IF($BI96&lt;&gt;"",IF('Capacity summary'!$D$14="Yes",IF(COUNTBLANK('Capacity summary'!$H215:$BG215)&lt;52,IF('Capacity summary'!BF215&lt;&gt;"",IF(LOWER('Capacity summary'!BF215)="x",$BI96*BF96,VALUE('Capacity summary'!BF215)),0),BF96*$BI96),BF96*$BI96),0)</f>
        <v>0</v>
      </c>
      <c r="DJ96" s="311">
        <f>IF($BI96&lt;&gt;"",IF('Capacity summary'!$D$14="Yes",IF(COUNTBLANK('Capacity summary'!$H215:$BG215)&lt;52,IF('Capacity summary'!BG215&lt;&gt;"",IF(LOWER('Capacity summary'!BG215)="x",$BI96*BG96,VALUE('Capacity summary'!BG215)),0),BG96*$BI96),BG96*$BI96),0)</f>
        <v>0</v>
      </c>
      <c r="DK96" s="387">
        <f t="shared" si="4"/>
        <v>0</v>
      </c>
      <c r="DL96" s="136">
        <f t="shared" si="5"/>
        <v>0</v>
      </c>
      <c r="DM96" s="311" t="str">
        <f>Capacity!H108</f>
        <v/>
      </c>
    </row>
    <row r="97" spans="1:117" x14ac:dyDescent="0.2">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1">
        <f>IF($BI97&lt;&gt;"",IF('Capacity summary'!$D$14="Yes",IF(COUNTBLANK('Capacity summary'!$H216:$BG216)&lt;52,IF('Capacity summary'!H216&lt;&gt;"",IF(LOWER('Capacity summary'!H216)="x",$BI97*H97,VALUE('Capacity summary'!H216)),0),H97*$BI97),H97*$BI97),0)</f>
        <v>0</v>
      </c>
      <c r="BL97" s="311">
        <f>IF($BI97&lt;&gt;"",IF('Capacity summary'!$D$14="Yes",IF(COUNTBLANK('Capacity summary'!$H216:$BG216)&lt;52,IF('Capacity summary'!I216&lt;&gt;"",IF(LOWER('Capacity summary'!I216)="x",$BI97*I97,VALUE('Capacity summary'!I216)),0),I97*$BI97),I97*$BI97),0)</f>
        <v>0</v>
      </c>
      <c r="BM97" s="311">
        <f>IF($BI97&lt;&gt;"",IF('Capacity summary'!$D$14="Yes",IF(COUNTBLANK('Capacity summary'!$H216:$BG216)&lt;52,IF('Capacity summary'!J216&lt;&gt;"",IF(LOWER('Capacity summary'!J216)="x",$BI97*J97,VALUE('Capacity summary'!J216)),0),J97*$BI97),J97*$BI97),0)</f>
        <v>0</v>
      </c>
      <c r="BN97" s="311">
        <f>IF($BI97&lt;&gt;"",IF('Capacity summary'!$D$14="Yes",IF(COUNTBLANK('Capacity summary'!$H216:$BG216)&lt;52,IF('Capacity summary'!K216&lt;&gt;"",IF(LOWER('Capacity summary'!K216)="x",$BI97*K97,VALUE('Capacity summary'!K216)),0),K97*$BI97),K97*$BI97),0)</f>
        <v>0</v>
      </c>
      <c r="BO97" s="311">
        <f>IF($BI97&lt;&gt;"",IF('Capacity summary'!$D$14="Yes",IF(COUNTBLANK('Capacity summary'!$H216:$BG216)&lt;52,IF('Capacity summary'!L216&lt;&gt;"",IF(LOWER('Capacity summary'!L216)="x",$BI97*L97,VALUE('Capacity summary'!L216)),0),L97*$BI97),L97*$BI97),0)</f>
        <v>0</v>
      </c>
      <c r="BP97" s="311">
        <f>IF($BI97&lt;&gt;"",IF('Capacity summary'!$D$14="Yes",IF(COUNTBLANK('Capacity summary'!$H216:$BG216)&lt;52,IF('Capacity summary'!M216&lt;&gt;"",IF(LOWER('Capacity summary'!M216)="x",$BI97*M97,VALUE('Capacity summary'!M216)),0),M97*$BI97),M97*$BI97),0)</f>
        <v>0</v>
      </c>
      <c r="BQ97" s="311">
        <f>IF($BI97&lt;&gt;"",IF('Capacity summary'!$D$14="Yes",IF(COUNTBLANK('Capacity summary'!$H216:$BG216)&lt;52,IF('Capacity summary'!N216&lt;&gt;"",IF(LOWER('Capacity summary'!N216)="x",$BI97*N97,VALUE('Capacity summary'!N216)),0),N97*$BI97),N97*$BI97),0)</f>
        <v>0</v>
      </c>
      <c r="BR97" s="311">
        <f>IF($BI97&lt;&gt;"",IF('Capacity summary'!$D$14="Yes",IF(COUNTBLANK('Capacity summary'!$H216:$BG216)&lt;52,IF('Capacity summary'!O216&lt;&gt;"",IF(LOWER('Capacity summary'!O216)="x",$BI97*O97,VALUE('Capacity summary'!O216)),0),O97*$BI97),O97*$BI97),0)</f>
        <v>0</v>
      </c>
      <c r="BS97" s="311">
        <f>IF($BI97&lt;&gt;"",IF('Capacity summary'!$D$14="Yes",IF(COUNTBLANK('Capacity summary'!$H216:$BG216)&lt;52,IF('Capacity summary'!P216&lt;&gt;"",IF(LOWER('Capacity summary'!P216)="x",$BI97*P97,VALUE('Capacity summary'!P216)),0),P97*$BI97),P97*$BI97),0)</f>
        <v>0</v>
      </c>
      <c r="BT97" s="311">
        <f>IF($BI97&lt;&gt;"",IF('Capacity summary'!$D$14="Yes",IF(COUNTBLANK('Capacity summary'!$H216:$BG216)&lt;52,IF('Capacity summary'!Q216&lt;&gt;"",IF(LOWER('Capacity summary'!Q216)="x",$BI97*Q97,VALUE('Capacity summary'!Q216)),0),Q97*$BI97),Q97*$BI97),0)</f>
        <v>0</v>
      </c>
      <c r="BU97" s="311">
        <f>IF($BI97&lt;&gt;"",IF('Capacity summary'!$D$14="Yes",IF(COUNTBLANK('Capacity summary'!$H216:$BG216)&lt;52,IF('Capacity summary'!R216&lt;&gt;"",IF(LOWER('Capacity summary'!R216)="x",$BI97*R97,VALUE('Capacity summary'!R216)),0),R97*$BI97),R97*$BI97),0)</f>
        <v>0</v>
      </c>
      <c r="BV97" s="311">
        <f>IF($BI97&lt;&gt;"",IF('Capacity summary'!$D$14="Yes",IF(COUNTBLANK('Capacity summary'!$H216:$BG216)&lt;52,IF('Capacity summary'!S216&lt;&gt;"",IF(LOWER('Capacity summary'!S216)="x",$BI97*S97,VALUE('Capacity summary'!S216)),0),S97*$BI97),S97*$BI97),0)</f>
        <v>0</v>
      </c>
      <c r="BW97" s="311">
        <f>IF($BI97&lt;&gt;"",IF('Capacity summary'!$D$14="Yes",IF(COUNTBLANK('Capacity summary'!$H216:$BG216)&lt;52,IF('Capacity summary'!T216&lt;&gt;"",IF(LOWER('Capacity summary'!T216)="x",$BI97*T97,VALUE('Capacity summary'!T216)),0),T97*$BI97),T97*$BI97),0)</f>
        <v>0</v>
      </c>
      <c r="BX97" s="311">
        <f>IF($BI97&lt;&gt;"",IF('Capacity summary'!$D$14="Yes",IF(COUNTBLANK('Capacity summary'!$H216:$BG216)&lt;52,IF('Capacity summary'!U216&lt;&gt;"",IF(LOWER('Capacity summary'!U216)="x",$BI97*U97,VALUE('Capacity summary'!U216)),0),U97*$BI97),U97*$BI97),0)</f>
        <v>0</v>
      </c>
      <c r="BY97" s="311">
        <f>IF($BI97&lt;&gt;"",IF('Capacity summary'!$D$14="Yes",IF(COUNTBLANK('Capacity summary'!$H216:$BG216)&lt;52,IF('Capacity summary'!V216&lt;&gt;"",IF(LOWER('Capacity summary'!V216)="x",$BI97*V97,VALUE('Capacity summary'!V216)),0),V97*$BI97),V97*$BI97),0)</f>
        <v>0</v>
      </c>
      <c r="BZ97" s="311">
        <f>IF($BI97&lt;&gt;"",IF('Capacity summary'!$D$14="Yes",IF(COUNTBLANK('Capacity summary'!$H216:$BG216)&lt;52,IF('Capacity summary'!W216&lt;&gt;"",IF(LOWER('Capacity summary'!W216)="x",$BI97*W97,VALUE('Capacity summary'!W216)),0),W97*$BI97),W97*$BI97),0)</f>
        <v>0</v>
      </c>
      <c r="CA97" s="311">
        <f>IF($BI97&lt;&gt;"",IF('Capacity summary'!$D$14="Yes",IF(COUNTBLANK('Capacity summary'!$H216:$BG216)&lt;52,IF('Capacity summary'!X216&lt;&gt;"",IF(LOWER('Capacity summary'!X216)="x",$BI97*X97,VALUE('Capacity summary'!X216)),0),X97*$BI97),X97*$BI97),0)</f>
        <v>0</v>
      </c>
      <c r="CB97" s="311">
        <f>IF($BI97&lt;&gt;"",IF('Capacity summary'!$D$14="Yes",IF(COUNTBLANK('Capacity summary'!$H216:$BG216)&lt;52,IF('Capacity summary'!Y216&lt;&gt;"",IF(LOWER('Capacity summary'!Y216)="x",$BI97*Y97,VALUE('Capacity summary'!Y216)),0),Y97*$BI97),Y97*$BI97),0)</f>
        <v>0</v>
      </c>
      <c r="CC97" s="311">
        <f>IF($BI97&lt;&gt;"",IF('Capacity summary'!$D$14="Yes",IF(COUNTBLANK('Capacity summary'!$H216:$BG216)&lt;52,IF('Capacity summary'!Z216&lt;&gt;"",IF(LOWER('Capacity summary'!Z216)="x",$BI97*Z97,VALUE('Capacity summary'!Z216)),0),Z97*$BI97),Z97*$BI97),0)</f>
        <v>0</v>
      </c>
      <c r="CD97" s="311">
        <f>IF($BI97&lt;&gt;"",IF('Capacity summary'!$D$14="Yes",IF(COUNTBLANK('Capacity summary'!$H216:$BG216)&lt;52,IF('Capacity summary'!AA216&lt;&gt;"",IF(LOWER('Capacity summary'!AA216)="x",$BI97*AA97,VALUE('Capacity summary'!AA216)),0),AA97*$BI97),AA97*$BI97),0)</f>
        <v>0</v>
      </c>
      <c r="CE97" s="311">
        <f>IF($BI97&lt;&gt;"",IF('Capacity summary'!$D$14="Yes",IF(COUNTBLANK('Capacity summary'!$H216:$BG216)&lt;52,IF('Capacity summary'!AB216&lt;&gt;"",IF(LOWER('Capacity summary'!AB216)="x",$BI97*AB97,VALUE('Capacity summary'!AB216)),0),AB97*$BI97),AB97*$BI97),0)</f>
        <v>0</v>
      </c>
      <c r="CF97" s="311">
        <f>IF($BI97&lt;&gt;"",IF('Capacity summary'!$D$14="Yes",IF(COUNTBLANK('Capacity summary'!$H216:$BG216)&lt;52,IF('Capacity summary'!AC216&lt;&gt;"",IF(LOWER('Capacity summary'!AC216)="x",$BI97*AC97,VALUE('Capacity summary'!AC216)),0),AC97*$BI97),AC97*$BI97),0)</f>
        <v>0</v>
      </c>
      <c r="CG97" s="311">
        <f>IF($BI97&lt;&gt;"",IF('Capacity summary'!$D$14="Yes",IF(COUNTBLANK('Capacity summary'!$H216:$BG216)&lt;52,IF('Capacity summary'!AD216&lt;&gt;"",IF(LOWER('Capacity summary'!AD216)="x",$BI97*AD97,VALUE('Capacity summary'!AD216)),0),AD97*$BI97),AD97*$BI97),0)</f>
        <v>0</v>
      </c>
      <c r="CH97" s="311">
        <f>IF($BI97&lt;&gt;"",IF('Capacity summary'!$D$14="Yes",IF(COUNTBLANK('Capacity summary'!$H216:$BG216)&lt;52,IF('Capacity summary'!AE216&lt;&gt;"",IF(LOWER('Capacity summary'!AE216)="x",$BI97*AE97,VALUE('Capacity summary'!AE216)),0),AE97*$BI97),AE97*$BI97),0)</f>
        <v>0</v>
      </c>
      <c r="CI97" s="311">
        <f>IF($BI97&lt;&gt;"",IF('Capacity summary'!$D$14="Yes",IF(COUNTBLANK('Capacity summary'!$H216:$BG216)&lt;52,IF('Capacity summary'!AF216&lt;&gt;"",IF(LOWER('Capacity summary'!AF216)="x",$BI97*AF97,VALUE('Capacity summary'!AF216)),0),AF97*$BI97),AF97*$BI97),0)</f>
        <v>0</v>
      </c>
      <c r="CJ97" s="311">
        <f>IF($BI97&lt;&gt;"",IF('Capacity summary'!$D$14="Yes",IF(COUNTBLANK('Capacity summary'!$H216:$BG216)&lt;52,IF('Capacity summary'!AG216&lt;&gt;"",IF(LOWER('Capacity summary'!AG216)="x",$BI97*AG97,VALUE('Capacity summary'!AG216)),0),AG97*$BI97),AG97*$BI97),0)</f>
        <v>0</v>
      </c>
      <c r="CK97" s="311">
        <f>IF($BI97&lt;&gt;"",IF('Capacity summary'!$D$14="Yes",IF(COUNTBLANK('Capacity summary'!$H216:$BG216)&lt;52,IF('Capacity summary'!AH216&lt;&gt;"",IF(LOWER('Capacity summary'!AH216)="x",$BI97*AH97,VALUE('Capacity summary'!AH216)),0),AH97*$BI97),AH97*$BI97),0)</f>
        <v>0</v>
      </c>
      <c r="CL97" s="311">
        <f>IF($BI97&lt;&gt;"",IF('Capacity summary'!$D$14="Yes",IF(COUNTBLANK('Capacity summary'!$H216:$BG216)&lt;52,IF('Capacity summary'!AI216&lt;&gt;"",IF(LOWER('Capacity summary'!AI216)="x",$BI97*AI97,VALUE('Capacity summary'!AI216)),0),AI97*$BI97),AI97*$BI97),0)</f>
        <v>0</v>
      </c>
      <c r="CM97" s="311">
        <f>IF($BI97&lt;&gt;"",IF('Capacity summary'!$D$14="Yes",IF(COUNTBLANK('Capacity summary'!$H216:$BG216)&lt;52,IF('Capacity summary'!AJ216&lt;&gt;"",IF(LOWER('Capacity summary'!AJ216)="x",$BI97*AJ97,VALUE('Capacity summary'!AJ216)),0),AJ97*$BI97),AJ97*$BI97),0)</f>
        <v>0</v>
      </c>
      <c r="CN97" s="311">
        <f>IF($BI97&lt;&gt;"",IF('Capacity summary'!$D$14="Yes",IF(COUNTBLANK('Capacity summary'!$H216:$BG216)&lt;52,IF('Capacity summary'!AK216&lt;&gt;"",IF(LOWER('Capacity summary'!AK216)="x",$BI97*AK97,VALUE('Capacity summary'!AK216)),0),AK97*$BI97),AK97*$BI97),0)</f>
        <v>0</v>
      </c>
      <c r="CO97" s="311">
        <f>IF($BI97&lt;&gt;"",IF('Capacity summary'!$D$14="Yes",IF(COUNTBLANK('Capacity summary'!$H216:$BG216)&lt;52,IF('Capacity summary'!AL216&lt;&gt;"",IF(LOWER('Capacity summary'!AL216)="x",$BI97*AL97,VALUE('Capacity summary'!AL216)),0),AL97*$BI97),AL97*$BI97),0)</f>
        <v>0</v>
      </c>
      <c r="CP97" s="311">
        <f>IF($BI97&lt;&gt;"",IF('Capacity summary'!$D$14="Yes",IF(COUNTBLANK('Capacity summary'!$H216:$BG216)&lt;52,IF('Capacity summary'!AM216&lt;&gt;"",IF(LOWER('Capacity summary'!AM216)="x",$BI97*AM97,VALUE('Capacity summary'!AM216)),0),AM97*$BI97),AM97*$BI97),0)</f>
        <v>0</v>
      </c>
      <c r="CQ97" s="311">
        <f>IF($BI97&lt;&gt;"",IF('Capacity summary'!$D$14="Yes",IF(COUNTBLANK('Capacity summary'!$H216:$BG216)&lt;52,IF('Capacity summary'!AN216&lt;&gt;"",IF(LOWER('Capacity summary'!AN216)="x",$BI97*AN97,VALUE('Capacity summary'!AN216)),0),AN97*$BI97),AN97*$BI97),0)</f>
        <v>0</v>
      </c>
      <c r="CR97" s="311">
        <f>IF($BI97&lt;&gt;"",IF('Capacity summary'!$D$14="Yes",IF(COUNTBLANK('Capacity summary'!$H216:$BG216)&lt;52,IF('Capacity summary'!AO216&lt;&gt;"",IF(LOWER('Capacity summary'!AO216)="x",$BI97*AO97,VALUE('Capacity summary'!AO216)),0),AO97*$BI97),AO97*$BI97),0)</f>
        <v>0</v>
      </c>
      <c r="CS97" s="311">
        <f>IF($BI97&lt;&gt;"",IF('Capacity summary'!$D$14="Yes",IF(COUNTBLANK('Capacity summary'!$H216:$BG216)&lt;52,IF('Capacity summary'!AP216&lt;&gt;"",IF(LOWER('Capacity summary'!AP216)="x",$BI97*AP97,VALUE('Capacity summary'!AP216)),0),AP97*$BI97),AP97*$BI97),0)</f>
        <v>0</v>
      </c>
      <c r="CT97" s="311">
        <f>IF($BI97&lt;&gt;"",IF('Capacity summary'!$D$14="Yes",IF(COUNTBLANK('Capacity summary'!$H216:$BG216)&lt;52,IF('Capacity summary'!AQ216&lt;&gt;"",IF(LOWER('Capacity summary'!AQ216)="x",$BI97*AQ97,VALUE('Capacity summary'!AQ216)),0),AQ97*$BI97),AQ97*$BI97),0)</f>
        <v>0</v>
      </c>
      <c r="CU97" s="311">
        <f>IF($BI97&lt;&gt;"",IF('Capacity summary'!$D$14="Yes",IF(COUNTBLANK('Capacity summary'!$H216:$BG216)&lt;52,IF('Capacity summary'!AR216&lt;&gt;"",IF(LOWER('Capacity summary'!AR216)="x",$BI97*AR97,VALUE('Capacity summary'!AR216)),0),AR97*$BI97),AR97*$BI97),0)</f>
        <v>0</v>
      </c>
      <c r="CV97" s="311">
        <f>IF($BI97&lt;&gt;"",IF('Capacity summary'!$D$14="Yes",IF(COUNTBLANK('Capacity summary'!$H216:$BG216)&lt;52,IF('Capacity summary'!AS216&lt;&gt;"",IF(LOWER('Capacity summary'!AS216)="x",$BI97*AS97,VALUE('Capacity summary'!AS216)),0),AS97*$BI97),AS97*$BI97),0)</f>
        <v>0</v>
      </c>
      <c r="CW97" s="311">
        <f>IF($BI97&lt;&gt;"",IF('Capacity summary'!$D$14="Yes",IF(COUNTBLANK('Capacity summary'!$H216:$BG216)&lt;52,IF('Capacity summary'!AT216&lt;&gt;"",IF(LOWER('Capacity summary'!AT216)="x",$BI97*AT97,VALUE('Capacity summary'!AT216)),0),AT97*$BI97),AT97*$BI97),0)</f>
        <v>0</v>
      </c>
      <c r="CX97" s="311">
        <f>IF($BI97&lt;&gt;"",IF('Capacity summary'!$D$14="Yes",IF(COUNTBLANK('Capacity summary'!$H216:$BG216)&lt;52,IF('Capacity summary'!AU216&lt;&gt;"",IF(LOWER('Capacity summary'!AU216)="x",$BI97*AU97,VALUE('Capacity summary'!AU216)),0),AU97*$BI97),AU97*$BI97),0)</f>
        <v>0</v>
      </c>
      <c r="CY97" s="311">
        <f>IF($BI97&lt;&gt;"",IF('Capacity summary'!$D$14="Yes",IF(COUNTBLANK('Capacity summary'!$H216:$BG216)&lt;52,IF('Capacity summary'!AV216&lt;&gt;"",IF(LOWER('Capacity summary'!AV216)="x",$BI97*AV97,VALUE('Capacity summary'!AV216)),0),AV97*$BI97),AV97*$BI97),0)</f>
        <v>0</v>
      </c>
      <c r="CZ97" s="311">
        <f>IF($BI97&lt;&gt;"",IF('Capacity summary'!$D$14="Yes",IF(COUNTBLANK('Capacity summary'!$H216:$BG216)&lt;52,IF('Capacity summary'!AW216&lt;&gt;"",IF(LOWER('Capacity summary'!AW216)="x",$BI97*AW97,VALUE('Capacity summary'!AW216)),0),AW97*$BI97),AW97*$BI97),0)</f>
        <v>0</v>
      </c>
      <c r="DA97" s="311">
        <f>IF($BI97&lt;&gt;"",IF('Capacity summary'!$D$14="Yes",IF(COUNTBLANK('Capacity summary'!$H216:$BG216)&lt;52,IF('Capacity summary'!AX216&lt;&gt;"",IF(LOWER('Capacity summary'!AX216)="x",$BI97*AX97,VALUE('Capacity summary'!AX216)),0),AX97*$BI97),AX97*$BI97),0)</f>
        <v>0</v>
      </c>
      <c r="DB97" s="311">
        <f>IF($BI97&lt;&gt;"",IF('Capacity summary'!$D$14="Yes",IF(COUNTBLANK('Capacity summary'!$H216:$BG216)&lt;52,IF('Capacity summary'!AY216&lt;&gt;"",IF(LOWER('Capacity summary'!AY216)="x",$BI97*AY97,VALUE('Capacity summary'!AY216)),0),AY97*$BI97),AY97*$BI97),0)</f>
        <v>0</v>
      </c>
      <c r="DC97" s="311">
        <f>IF($BI97&lt;&gt;"",IF('Capacity summary'!$D$14="Yes",IF(COUNTBLANK('Capacity summary'!$H216:$BG216)&lt;52,IF('Capacity summary'!AZ216&lt;&gt;"",IF(LOWER('Capacity summary'!AZ216)="x",$BI97*AZ97,VALUE('Capacity summary'!AZ216)),0),AZ97*$BI97),AZ97*$BI97),0)</f>
        <v>0</v>
      </c>
      <c r="DD97" s="311">
        <f>IF($BI97&lt;&gt;"",IF('Capacity summary'!$D$14="Yes",IF(COUNTBLANK('Capacity summary'!$H216:$BG216)&lt;52,IF('Capacity summary'!BA216&lt;&gt;"",IF(LOWER('Capacity summary'!BA216)="x",$BI97*BA97,VALUE('Capacity summary'!BA216)),0),BA97*$BI97),BA97*$BI97),0)</f>
        <v>0</v>
      </c>
      <c r="DE97" s="311">
        <f>IF($BI97&lt;&gt;"",IF('Capacity summary'!$D$14="Yes",IF(COUNTBLANK('Capacity summary'!$H216:$BG216)&lt;52,IF('Capacity summary'!BB216&lt;&gt;"",IF(LOWER('Capacity summary'!BB216)="x",$BI97*BB97,VALUE('Capacity summary'!BB216)),0),BB97*$BI97),BB97*$BI97),0)</f>
        <v>0</v>
      </c>
      <c r="DF97" s="311">
        <f>IF($BI97&lt;&gt;"",IF('Capacity summary'!$D$14="Yes",IF(COUNTBLANK('Capacity summary'!$H216:$BG216)&lt;52,IF('Capacity summary'!BC216&lt;&gt;"",IF(LOWER('Capacity summary'!BC216)="x",$BI97*BC97,VALUE('Capacity summary'!BC216)),0),BC97*$BI97),BC97*$BI97),0)</f>
        <v>0</v>
      </c>
      <c r="DG97" s="311">
        <f>IF($BI97&lt;&gt;"",IF('Capacity summary'!$D$14="Yes",IF(COUNTBLANK('Capacity summary'!$H216:$BG216)&lt;52,IF('Capacity summary'!BD216&lt;&gt;"",IF(LOWER('Capacity summary'!BD216)="x",$BI97*BD97,VALUE('Capacity summary'!BD216)),0),BD97*$BI97),BD97*$BI97),0)</f>
        <v>0</v>
      </c>
      <c r="DH97" s="311">
        <f>IF($BI97&lt;&gt;"",IF('Capacity summary'!$D$14="Yes",IF(COUNTBLANK('Capacity summary'!$H216:$BG216)&lt;52,IF('Capacity summary'!BE216&lt;&gt;"",IF(LOWER('Capacity summary'!BE216)="x",$BI97*BE97,VALUE('Capacity summary'!BE216)),0),BE97*$BI97),BE97*$BI97),0)</f>
        <v>0</v>
      </c>
      <c r="DI97" s="311">
        <f>IF($BI97&lt;&gt;"",IF('Capacity summary'!$D$14="Yes",IF(COUNTBLANK('Capacity summary'!$H216:$BG216)&lt;52,IF('Capacity summary'!BF216&lt;&gt;"",IF(LOWER('Capacity summary'!BF216)="x",$BI97*BF97,VALUE('Capacity summary'!BF216)),0),BF97*$BI97),BF97*$BI97),0)</f>
        <v>0</v>
      </c>
      <c r="DJ97" s="311">
        <f>IF($BI97&lt;&gt;"",IF('Capacity summary'!$D$14="Yes",IF(COUNTBLANK('Capacity summary'!$H216:$BG216)&lt;52,IF('Capacity summary'!BG216&lt;&gt;"",IF(LOWER('Capacity summary'!BG216)="x",$BI97*BG97,VALUE('Capacity summary'!BG216)),0),BG97*$BI97),BG97*$BI97),0)</f>
        <v>0</v>
      </c>
      <c r="DK97" s="387">
        <f t="shared" si="4"/>
        <v>0</v>
      </c>
      <c r="DL97" s="136">
        <f t="shared" si="5"/>
        <v>0</v>
      </c>
      <c r="DM97" s="311" t="str">
        <f>Capacity!H109</f>
        <v/>
      </c>
    </row>
    <row r="98" spans="1:117" x14ac:dyDescent="0.2">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1">
        <f>IF($BI98&lt;&gt;"",IF('Capacity summary'!$D$14="Yes",IF(COUNTBLANK('Capacity summary'!$H217:$BG217)&lt;52,IF('Capacity summary'!H217&lt;&gt;"",IF(LOWER('Capacity summary'!H217)="x",$BI98*H98,VALUE('Capacity summary'!H217)),0),H98*$BI98),H98*$BI98),0)</f>
        <v>0</v>
      </c>
      <c r="BL98" s="311">
        <f>IF($BI98&lt;&gt;"",IF('Capacity summary'!$D$14="Yes",IF(COUNTBLANK('Capacity summary'!$H217:$BG217)&lt;52,IF('Capacity summary'!I217&lt;&gt;"",IF(LOWER('Capacity summary'!I217)="x",$BI98*I98,VALUE('Capacity summary'!I217)),0),I98*$BI98),I98*$BI98),0)</f>
        <v>0</v>
      </c>
      <c r="BM98" s="311">
        <f>IF($BI98&lt;&gt;"",IF('Capacity summary'!$D$14="Yes",IF(COUNTBLANK('Capacity summary'!$H217:$BG217)&lt;52,IF('Capacity summary'!J217&lt;&gt;"",IF(LOWER('Capacity summary'!J217)="x",$BI98*J98,VALUE('Capacity summary'!J217)),0),J98*$BI98),J98*$BI98),0)</f>
        <v>0</v>
      </c>
      <c r="BN98" s="311">
        <f>IF($BI98&lt;&gt;"",IF('Capacity summary'!$D$14="Yes",IF(COUNTBLANK('Capacity summary'!$H217:$BG217)&lt;52,IF('Capacity summary'!K217&lt;&gt;"",IF(LOWER('Capacity summary'!K217)="x",$BI98*K98,VALUE('Capacity summary'!K217)),0),K98*$BI98),K98*$BI98),0)</f>
        <v>0</v>
      </c>
      <c r="BO98" s="311">
        <f>IF($BI98&lt;&gt;"",IF('Capacity summary'!$D$14="Yes",IF(COUNTBLANK('Capacity summary'!$H217:$BG217)&lt;52,IF('Capacity summary'!L217&lt;&gt;"",IF(LOWER('Capacity summary'!L217)="x",$BI98*L98,VALUE('Capacity summary'!L217)),0),L98*$BI98),L98*$BI98),0)</f>
        <v>0</v>
      </c>
      <c r="BP98" s="311">
        <f>IF($BI98&lt;&gt;"",IF('Capacity summary'!$D$14="Yes",IF(COUNTBLANK('Capacity summary'!$H217:$BG217)&lt;52,IF('Capacity summary'!M217&lt;&gt;"",IF(LOWER('Capacity summary'!M217)="x",$BI98*M98,VALUE('Capacity summary'!M217)),0),M98*$BI98),M98*$BI98),0)</f>
        <v>0</v>
      </c>
      <c r="BQ98" s="311">
        <f>IF($BI98&lt;&gt;"",IF('Capacity summary'!$D$14="Yes",IF(COUNTBLANK('Capacity summary'!$H217:$BG217)&lt;52,IF('Capacity summary'!N217&lt;&gt;"",IF(LOWER('Capacity summary'!N217)="x",$BI98*N98,VALUE('Capacity summary'!N217)),0),N98*$BI98),N98*$BI98),0)</f>
        <v>0</v>
      </c>
      <c r="BR98" s="311">
        <f>IF($BI98&lt;&gt;"",IF('Capacity summary'!$D$14="Yes",IF(COUNTBLANK('Capacity summary'!$H217:$BG217)&lt;52,IF('Capacity summary'!O217&lt;&gt;"",IF(LOWER('Capacity summary'!O217)="x",$BI98*O98,VALUE('Capacity summary'!O217)),0),O98*$BI98),O98*$BI98),0)</f>
        <v>0</v>
      </c>
      <c r="BS98" s="311">
        <f>IF($BI98&lt;&gt;"",IF('Capacity summary'!$D$14="Yes",IF(COUNTBLANK('Capacity summary'!$H217:$BG217)&lt;52,IF('Capacity summary'!P217&lt;&gt;"",IF(LOWER('Capacity summary'!P217)="x",$BI98*P98,VALUE('Capacity summary'!P217)),0),P98*$BI98),P98*$BI98),0)</f>
        <v>0</v>
      </c>
      <c r="BT98" s="311">
        <f>IF($BI98&lt;&gt;"",IF('Capacity summary'!$D$14="Yes",IF(COUNTBLANK('Capacity summary'!$H217:$BG217)&lt;52,IF('Capacity summary'!Q217&lt;&gt;"",IF(LOWER('Capacity summary'!Q217)="x",$BI98*Q98,VALUE('Capacity summary'!Q217)),0),Q98*$BI98),Q98*$BI98),0)</f>
        <v>0</v>
      </c>
      <c r="BU98" s="311">
        <f>IF($BI98&lt;&gt;"",IF('Capacity summary'!$D$14="Yes",IF(COUNTBLANK('Capacity summary'!$H217:$BG217)&lt;52,IF('Capacity summary'!R217&lt;&gt;"",IF(LOWER('Capacity summary'!R217)="x",$BI98*R98,VALUE('Capacity summary'!R217)),0),R98*$BI98),R98*$BI98),0)</f>
        <v>0</v>
      </c>
      <c r="BV98" s="311">
        <f>IF($BI98&lt;&gt;"",IF('Capacity summary'!$D$14="Yes",IF(COUNTBLANK('Capacity summary'!$H217:$BG217)&lt;52,IF('Capacity summary'!S217&lt;&gt;"",IF(LOWER('Capacity summary'!S217)="x",$BI98*S98,VALUE('Capacity summary'!S217)),0),S98*$BI98),S98*$BI98),0)</f>
        <v>0</v>
      </c>
      <c r="BW98" s="311">
        <f>IF($BI98&lt;&gt;"",IF('Capacity summary'!$D$14="Yes",IF(COUNTBLANK('Capacity summary'!$H217:$BG217)&lt;52,IF('Capacity summary'!T217&lt;&gt;"",IF(LOWER('Capacity summary'!T217)="x",$BI98*T98,VALUE('Capacity summary'!T217)),0),T98*$BI98),T98*$BI98),0)</f>
        <v>0</v>
      </c>
      <c r="BX98" s="311">
        <f>IF($BI98&lt;&gt;"",IF('Capacity summary'!$D$14="Yes",IF(COUNTBLANK('Capacity summary'!$H217:$BG217)&lt;52,IF('Capacity summary'!U217&lt;&gt;"",IF(LOWER('Capacity summary'!U217)="x",$BI98*U98,VALUE('Capacity summary'!U217)),0),U98*$BI98),U98*$BI98),0)</f>
        <v>0</v>
      </c>
      <c r="BY98" s="311">
        <f>IF($BI98&lt;&gt;"",IF('Capacity summary'!$D$14="Yes",IF(COUNTBLANK('Capacity summary'!$H217:$BG217)&lt;52,IF('Capacity summary'!V217&lt;&gt;"",IF(LOWER('Capacity summary'!V217)="x",$BI98*V98,VALUE('Capacity summary'!V217)),0),V98*$BI98),V98*$BI98),0)</f>
        <v>0</v>
      </c>
      <c r="BZ98" s="311">
        <f>IF($BI98&lt;&gt;"",IF('Capacity summary'!$D$14="Yes",IF(COUNTBLANK('Capacity summary'!$H217:$BG217)&lt;52,IF('Capacity summary'!W217&lt;&gt;"",IF(LOWER('Capacity summary'!W217)="x",$BI98*W98,VALUE('Capacity summary'!W217)),0),W98*$BI98),W98*$BI98),0)</f>
        <v>0</v>
      </c>
      <c r="CA98" s="311">
        <f>IF($BI98&lt;&gt;"",IF('Capacity summary'!$D$14="Yes",IF(COUNTBLANK('Capacity summary'!$H217:$BG217)&lt;52,IF('Capacity summary'!X217&lt;&gt;"",IF(LOWER('Capacity summary'!X217)="x",$BI98*X98,VALUE('Capacity summary'!X217)),0),X98*$BI98),X98*$BI98),0)</f>
        <v>0</v>
      </c>
      <c r="CB98" s="311">
        <f>IF($BI98&lt;&gt;"",IF('Capacity summary'!$D$14="Yes",IF(COUNTBLANK('Capacity summary'!$H217:$BG217)&lt;52,IF('Capacity summary'!Y217&lt;&gt;"",IF(LOWER('Capacity summary'!Y217)="x",$BI98*Y98,VALUE('Capacity summary'!Y217)),0),Y98*$BI98),Y98*$BI98),0)</f>
        <v>0</v>
      </c>
      <c r="CC98" s="311">
        <f>IF($BI98&lt;&gt;"",IF('Capacity summary'!$D$14="Yes",IF(COUNTBLANK('Capacity summary'!$H217:$BG217)&lt;52,IF('Capacity summary'!Z217&lt;&gt;"",IF(LOWER('Capacity summary'!Z217)="x",$BI98*Z98,VALUE('Capacity summary'!Z217)),0),Z98*$BI98),Z98*$BI98),0)</f>
        <v>0</v>
      </c>
      <c r="CD98" s="311">
        <f>IF($BI98&lt;&gt;"",IF('Capacity summary'!$D$14="Yes",IF(COUNTBLANK('Capacity summary'!$H217:$BG217)&lt;52,IF('Capacity summary'!AA217&lt;&gt;"",IF(LOWER('Capacity summary'!AA217)="x",$BI98*AA98,VALUE('Capacity summary'!AA217)),0),AA98*$BI98),AA98*$BI98),0)</f>
        <v>0</v>
      </c>
      <c r="CE98" s="311">
        <f>IF($BI98&lt;&gt;"",IF('Capacity summary'!$D$14="Yes",IF(COUNTBLANK('Capacity summary'!$H217:$BG217)&lt;52,IF('Capacity summary'!AB217&lt;&gt;"",IF(LOWER('Capacity summary'!AB217)="x",$BI98*AB98,VALUE('Capacity summary'!AB217)),0),AB98*$BI98),AB98*$BI98),0)</f>
        <v>0</v>
      </c>
      <c r="CF98" s="311">
        <f>IF($BI98&lt;&gt;"",IF('Capacity summary'!$D$14="Yes",IF(COUNTBLANK('Capacity summary'!$H217:$BG217)&lt;52,IF('Capacity summary'!AC217&lt;&gt;"",IF(LOWER('Capacity summary'!AC217)="x",$BI98*AC98,VALUE('Capacity summary'!AC217)),0),AC98*$BI98),AC98*$BI98),0)</f>
        <v>0</v>
      </c>
      <c r="CG98" s="311">
        <f>IF($BI98&lt;&gt;"",IF('Capacity summary'!$D$14="Yes",IF(COUNTBLANK('Capacity summary'!$H217:$BG217)&lt;52,IF('Capacity summary'!AD217&lt;&gt;"",IF(LOWER('Capacity summary'!AD217)="x",$BI98*AD98,VALUE('Capacity summary'!AD217)),0),AD98*$BI98),AD98*$BI98),0)</f>
        <v>0</v>
      </c>
      <c r="CH98" s="311">
        <f>IF($BI98&lt;&gt;"",IF('Capacity summary'!$D$14="Yes",IF(COUNTBLANK('Capacity summary'!$H217:$BG217)&lt;52,IF('Capacity summary'!AE217&lt;&gt;"",IF(LOWER('Capacity summary'!AE217)="x",$BI98*AE98,VALUE('Capacity summary'!AE217)),0),AE98*$BI98),AE98*$BI98),0)</f>
        <v>0</v>
      </c>
      <c r="CI98" s="311">
        <f>IF($BI98&lt;&gt;"",IF('Capacity summary'!$D$14="Yes",IF(COUNTBLANK('Capacity summary'!$H217:$BG217)&lt;52,IF('Capacity summary'!AF217&lt;&gt;"",IF(LOWER('Capacity summary'!AF217)="x",$BI98*AF98,VALUE('Capacity summary'!AF217)),0),AF98*$BI98),AF98*$BI98),0)</f>
        <v>0</v>
      </c>
      <c r="CJ98" s="311">
        <f>IF($BI98&lt;&gt;"",IF('Capacity summary'!$D$14="Yes",IF(COUNTBLANK('Capacity summary'!$H217:$BG217)&lt;52,IF('Capacity summary'!AG217&lt;&gt;"",IF(LOWER('Capacity summary'!AG217)="x",$BI98*AG98,VALUE('Capacity summary'!AG217)),0),AG98*$BI98),AG98*$BI98),0)</f>
        <v>0</v>
      </c>
      <c r="CK98" s="311">
        <f>IF($BI98&lt;&gt;"",IF('Capacity summary'!$D$14="Yes",IF(COUNTBLANK('Capacity summary'!$H217:$BG217)&lt;52,IF('Capacity summary'!AH217&lt;&gt;"",IF(LOWER('Capacity summary'!AH217)="x",$BI98*AH98,VALUE('Capacity summary'!AH217)),0),AH98*$BI98),AH98*$BI98),0)</f>
        <v>0</v>
      </c>
      <c r="CL98" s="311">
        <f>IF($BI98&lt;&gt;"",IF('Capacity summary'!$D$14="Yes",IF(COUNTBLANK('Capacity summary'!$H217:$BG217)&lt;52,IF('Capacity summary'!AI217&lt;&gt;"",IF(LOWER('Capacity summary'!AI217)="x",$BI98*AI98,VALUE('Capacity summary'!AI217)),0),AI98*$BI98),AI98*$BI98),0)</f>
        <v>0</v>
      </c>
      <c r="CM98" s="311">
        <f>IF($BI98&lt;&gt;"",IF('Capacity summary'!$D$14="Yes",IF(COUNTBLANK('Capacity summary'!$H217:$BG217)&lt;52,IF('Capacity summary'!AJ217&lt;&gt;"",IF(LOWER('Capacity summary'!AJ217)="x",$BI98*AJ98,VALUE('Capacity summary'!AJ217)),0),AJ98*$BI98),AJ98*$BI98),0)</f>
        <v>0</v>
      </c>
      <c r="CN98" s="311">
        <f>IF($BI98&lt;&gt;"",IF('Capacity summary'!$D$14="Yes",IF(COUNTBLANK('Capacity summary'!$H217:$BG217)&lt;52,IF('Capacity summary'!AK217&lt;&gt;"",IF(LOWER('Capacity summary'!AK217)="x",$BI98*AK98,VALUE('Capacity summary'!AK217)),0),AK98*$BI98),AK98*$BI98),0)</f>
        <v>0</v>
      </c>
      <c r="CO98" s="311">
        <f>IF($BI98&lt;&gt;"",IF('Capacity summary'!$D$14="Yes",IF(COUNTBLANK('Capacity summary'!$H217:$BG217)&lt;52,IF('Capacity summary'!AL217&lt;&gt;"",IF(LOWER('Capacity summary'!AL217)="x",$BI98*AL98,VALUE('Capacity summary'!AL217)),0),AL98*$BI98),AL98*$BI98),0)</f>
        <v>0</v>
      </c>
      <c r="CP98" s="311">
        <f>IF($BI98&lt;&gt;"",IF('Capacity summary'!$D$14="Yes",IF(COUNTBLANK('Capacity summary'!$H217:$BG217)&lt;52,IF('Capacity summary'!AM217&lt;&gt;"",IF(LOWER('Capacity summary'!AM217)="x",$BI98*AM98,VALUE('Capacity summary'!AM217)),0),AM98*$BI98),AM98*$BI98),0)</f>
        <v>0</v>
      </c>
      <c r="CQ98" s="311">
        <f>IF($BI98&lt;&gt;"",IF('Capacity summary'!$D$14="Yes",IF(COUNTBLANK('Capacity summary'!$H217:$BG217)&lt;52,IF('Capacity summary'!AN217&lt;&gt;"",IF(LOWER('Capacity summary'!AN217)="x",$BI98*AN98,VALUE('Capacity summary'!AN217)),0),AN98*$BI98),AN98*$BI98),0)</f>
        <v>0</v>
      </c>
      <c r="CR98" s="311">
        <f>IF($BI98&lt;&gt;"",IF('Capacity summary'!$D$14="Yes",IF(COUNTBLANK('Capacity summary'!$H217:$BG217)&lt;52,IF('Capacity summary'!AO217&lt;&gt;"",IF(LOWER('Capacity summary'!AO217)="x",$BI98*AO98,VALUE('Capacity summary'!AO217)),0),AO98*$BI98),AO98*$BI98),0)</f>
        <v>0</v>
      </c>
      <c r="CS98" s="311">
        <f>IF($BI98&lt;&gt;"",IF('Capacity summary'!$D$14="Yes",IF(COUNTBLANK('Capacity summary'!$H217:$BG217)&lt;52,IF('Capacity summary'!AP217&lt;&gt;"",IF(LOWER('Capacity summary'!AP217)="x",$BI98*AP98,VALUE('Capacity summary'!AP217)),0),AP98*$BI98),AP98*$BI98),0)</f>
        <v>0</v>
      </c>
      <c r="CT98" s="311">
        <f>IF($BI98&lt;&gt;"",IF('Capacity summary'!$D$14="Yes",IF(COUNTBLANK('Capacity summary'!$H217:$BG217)&lt;52,IF('Capacity summary'!AQ217&lt;&gt;"",IF(LOWER('Capacity summary'!AQ217)="x",$BI98*AQ98,VALUE('Capacity summary'!AQ217)),0),AQ98*$BI98),AQ98*$BI98),0)</f>
        <v>0</v>
      </c>
      <c r="CU98" s="311">
        <f>IF($BI98&lt;&gt;"",IF('Capacity summary'!$D$14="Yes",IF(COUNTBLANK('Capacity summary'!$H217:$BG217)&lt;52,IF('Capacity summary'!AR217&lt;&gt;"",IF(LOWER('Capacity summary'!AR217)="x",$BI98*AR98,VALUE('Capacity summary'!AR217)),0),AR98*$BI98),AR98*$BI98),0)</f>
        <v>0</v>
      </c>
      <c r="CV98" s="311">
        <f>IF($BI98&lt;&gt;"",IF('Capacity summary'!$D$14="Yes",IF(COUNTBLANK('Capacity summary'!$H217:$BG217)&lt;52,IF('Capacity summary'!AS217&lt;&gt;"",IF(LOWER('Capacity summary'!AS217)="x",$BI98*AS98,VALUE('Capacity summary'!AS217)),0),AS98*$BI98),AS98*$BI98),0)</f>
        <v>0</v>
      </c>
      <c r="CW98" s="311">
        <f>IF($BI98&lt;&gt;"",IF('Capacity summary'!$D$14="Yes",IF(COUNTBLANK('Capacity summary'!$H217:$BG217)&lt;52,IF('Capacity summary'!AT217&lt;&gt;"",IF(LOWER('Capacity summary'!AT217)="x",$BI98*AT98,VALUE('Capacity summary'!AT217)),0),AT98*$BI98),AT98*$BI98),0)</f>
        <v>0</v>
      </c>
      <c r="CX98" s="311">
        <f>IF($BI98&lt;&gt;"",IF('Capacity summary'!$D$14="Yes",IF(COUNTBLANK('Capacity summary'!$H217:$BG217)&lt;52,IF('Capacity summary'!AU217&lt;&gt;"",IF(LOWER('Capacity summary'!AU217)="x",$BI98*AU98,VALUE('Capacity summary'!AU217)),0),AU98*$BI98),AU98*$BI98),0)</f>
        <v>0</v>
      </c>
      <c r="CY98" s="311">
        <f>IF($BI98&lt;&gt;"",IF('Capacity summary'!$D$14="Yes",IF(COUNTBLANK('Capacity summary'!$H217:$BG217)&lt;52,IF('Capacity summary'!AV217&lt;&gt;"",IF(LOWER('Capacity summary'!AV217)="x",$BI98*AV98,VALUE('Capacity summary'!AV217)),0),AV98*$BI98),AV98*$BI98),0)</f>
        <v>0</v>
      </c>
      <c r="CZ98" s="311">
        <f>IF($BI98&lt;&gt;"",IF('Capacity summary'!$D$14="Yes",IF(COUNTBLANK('Capacity summary'!$H217:$BG217)&lt;52,IF('Capacity summary'!AW217&lt;&gt;"",IF(LOWER('Capacity summary'!AW217)="x",$BI98*AW98,VALUE('Capacity summary'!AW217)),0),AW98*$BI98),AW98*$BI98),0)</f>
        <v>0</v>
      </c>
      <c r="DA98" s="311">
        <f>IF($BI98&lt;&gt;"",IF('Capacity summary'!$D$14="Yes",IF(COUNTBLANK('Capacity summary'!$H217:$BG217)&lt;52,IF('Capacity summary'!AX217&lt;&gt;"",IF(LOWER('Capacity summary'!AX217)="x",$BI98*AX98,VALUE('Capacity summary'!AX217)),0),AX98*$BI98),AX98*$BI98),0)</f>
        <v>0</v>
      </c>
      <c r="DB98" s="311">
        <f>IF($BI98&lt;&gt;"",IF('Capacity summary'!$D$14="Yes",IF(COUNTBLANK('Capacity summary'!$H217:$BG217)&lt;52,IF('Capacity summary'!AY217&lt;&gt;"",IF(LOWER('Capacity summary'!AY217)="x",$BI98*AY98,VALUE('Capacity summary'!AY217)),0),AY98*$BI98),AY98*$BI98),0)</f>
        <v>0</v>
      </c>
      <c r="DC98" s="311">
        <f>IF($BI98&lt;&gt;"",IF('Capacity summary'!$D$14="Yes",IF(COUNTBLANK('Capacity summary'!$H217:$BG217)&lt;52,IF('Capacity summary'!AZ217&lt;&gt;"",IF(LOWER('Capacity summary'!AZ217)="x",$BI98*AZ98,VALUE('Capacity summary'!AZ217)),0),AZ98*$BI98),AZ98*$BI98),0)</f>
        <v>0</v>
      </c>
      <c r="DD98" s="311">
        <f>IF($BI98&lt;&gt;"",IF('Capacity summary'!$D$14="Yes",IF(COUNTBLANK('Capacity summary'!$H217:$BG217)&lt;52,IF('Capacity summary'!BA217&lt;&gt;"",IF(LOWER('Capacity summary'!BA217)="x",$BI98*BA98,VALUE('Capacity summary'!BA217)),0),BA98*$BI98),BA98*$BI98),0)</f>
        <v>0</v>
      </c>
      <c r="DE98" s="311">
        <f>IF($BI98&lt;&gt;"",IF('Capacity summary'!$D$14="Yes",IF(COUNTBLANK('Capacity summary'!$H217:$BG217)&lt;52,IF('Capacity summary'!BB217&lt;&gt;"",IF(LOWER('Capacity summary'!BB217)="x",$BI98*BB98,VALUE('Capacity summary'!BB217)),0),BB98*$BI98),BB98*$BI98),0)</f>
        <v>0</v>
      </c>
      <c r="DF98" s="311">
        <f>IF($BI98&lt;&gt;"",IF('Capacity summary'!$D$14="Yes",IF(COUNTBLANK('Capacity summary'!$H217:$BG217)&lt;52,IF('Capacity summary'!BC217&lt;&gt;"",IF(LOWER('Capacity summary'!BC217)="x",$BI98*BC98,VALUE('Capacity summary'!BC217)),0),BC98*$BI98),BC98*$BI98),0)</f>
        <v>0</v>
      </c>
      <c r="DG98" s="311">
        <f>IF($BI98&lt;&gt;"",IF('Capacity summary'!$D$14="Yes",IF(COUNTBLANK('Capacity summary'!$H217:$BG217)&lt;52,IF('Capacity summary'!BD217&lt;&gt;"",IF(LOWER('Capacity summary'!BD217)="x",$BI98*BD98,VALUE('Capacity summary'!BD217)),0),BD98*$BI98),BD98*$BI98),0)</f>
        <v>0</v>
      </c>
      <c r="DH98" s="311">
        <f>IF($BI98&lt;&gt;"",IF('Capacity summary'!$D$14="Yes",IF(COUNTBLANK('Capacity summary'!$H217:$BG217)&lt;52,IF('Capacity summary'!BE217&lt;&gt;"",IF(LOWER('Capacity summary'!BE217)="x",$BI98*BE98,VALUE('Capacity summary'!BE217)),0),BE98*$BI98),BE98*$BI98),0)</f>
        <v>0</v>
      </c>
      <c r="DI98" s="311">
        <f>IF($BI98&lt;&gt;"",IF('Capacity summary'!$D$14="Yes",IF(COUNTBLANK('Capacity summary'!$H217:$BG217)&lt;52,IF('Capacity summary'!BF217&lt;&gt;"",IF(LOWER('Capacity summary'!BF217)="x",$BI98*BF98,VALUE('Capacity summary'!BF217)),0),BF98*$BI98),BF98*$BI98),0)</f>
        <v>0</v>
      </c>
      <c r="DJ98" s="311">
        <f>IF($BI98&lt;&gt;"",IF('Capacity summary'!$D$14="Yes",IF(COUNTBLANK('Capacity summary'!$H217:$BG217)&lt;52,IF('Capacity summary'!BG217&lt;&gt;"",IF(LOWER('Capacity summary'!BG217)="x",$BI98*BG98,VALUE('Capacity summary'!BG217)),0),BG98*$BI98),BG98*$BI98),0)</f>
        <v>0</v>
      </c>
      <c r="DK98" s="387">
        <f t="shared" si="4"/>
        <v>0</v>
      </c>
      <c r="DL98" s="136">
        <f t="shared" si="5"/>
        <v>0</v>
      </c>
      <c r="DM98" s="311" t="str">
        <f>Capacity!H110</f>
        <v/>
      </c>
    </row>
    <row r="99" spans="1:117" x14ac:dyDescent="0.2">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1">
        <f>IF($BI99&lt;&gt;"",IF('Capacity summary'!$D$14="Yes",IF(COUNTBLANK('Capacity summary'!$H218:$BG218)&lt;52,IF('Capacity summary'!H218&lt;&gt;"",IF(LOWER('Capacity summary'!H218)="x",$BI99*H99,VALUE('Capacity summary'!H218)),0),H99*$BI99),H99*$BI99),0)</f>
        <v>0</v>
      </c>
      <c r="BL99" s="311">
        <f>IF($BI99&lt;&gt;"",IF('Capacity summary'!$D$14="Yes",IF(COUNTBLANK('Capacity summary'!$H218:$BG218)&lt;52,IF('Capacity summary'!I218&lt;&gt;"",IF(LOWER('Capacity summary'!I218)="x",$BI99*I99,VALUE('Capacity summary'!I218)),0),I99*$BI99),I99*$BI99),0)</f>
        <v>0</v>
      </c>
      <c r="BM99" s="311">
        <f>IF($BI99&lt;&gt;"",IF('Capacity summary'!$D$14="Yes",IF(COUNTBLANK('Capacity summary'!$H218:$BG218)&lt;52,IF('Capacity summary'!J218&lt;&gt;"",IF(LOWER('Capacity summary'!J218)="x",$BI99*J99,VALUE('Capacity summary'!J218)),0),J99*$BI99),J99*$BI99),0)</f>
        <v>0</v>
      </c>
      <c r="BN99" s="311">
        <f>IF($BI99&lt;&gt;"",IF('Capacity summary'!$D$14="Yes",IF(COUNTBLANK('Capacity summary'!$H218:$BG218)&lt;52,IF('Capacity summary'!K218&lt;&gt;"",IF(LOWER('Capacity summary'!K218)="x",$BI99*K99,VALUE('Capacity summary'!K218)),0),K99*$BI99),K99*$BI99),0)</f>
        <v>0</v>
      </c>
      <c r="BO99" s="311">
        <f>IF($BI99&lt;&gt;"",IF('Capacity summary'!$D$14="Yes",IF(COUNTBLANK('Capacity summary'!$H218:$BG218)&lt;52,IF('Capacity summary'!L218&lt;&gt;"",IF(LOWER('Capacity summary'!L218)="x",$BI99*L99,VALUE('Capacity summary'!L218)),0),L99*$BI99),L99*$BI99),0)</f>
        <v>0</v>
      </c>
      <c r="BP99" s="311">
        <f>IF($BI99&lt;&gt;"",IF('Capacity summary'!$D$14="Yes",IF(COUNTBLANK('Capacity summary'!$H218:$BG218)&lt;52,IF('Capacity summary'!M218&lt;&gt;"",IF(LOWER('Capacity summary'!M218)="x",$BI99*M99,VALUE('Capacity summary'!M218)),0),M99*$BI99),M99*$BI99),0)</f>
        <v>0</v>
      </c>
      <c r="BQ99" s="311">
        <f>IF($BI99&lt;&gt;"",IF('Capacity summary'!$D$14="Yes",IF(COUNTBLANK('Capacity summary'!$H218:$BG218)&lt;52,IF('Capacity summary'!N218&lt;&gt;"",IF(LOWER('Capacity summary'!N218)="x",$BI99*N99,VALUE('Capacity summary'!N218)),0),N99*$BI99),N99*$BI99),0)</f>
        <v>0</v>
      </c>
      <c r="BR99" s="311">
        <f>IF($BI99&lt;&gt;"",IF('Capacity summary'!$D$14="Yes",IF(COUNTBLANK('Capacity summary'!$H218:$BG218)&lt;52,IF('Capacity summary'!O218&lt;&gt;"",IF(LOWER('Capacity summary'!O218)="x",$BI99*O99,VALUE('Capacity summary'!O218)),0),O99*$BI99),O99*$BI99),0)</f>
        <v>0</v>
      </c>
      <c r="BS99" s="311">
        <f>IF($BI99&lt;&gt;"",IF('Capacity summary'!$D$14="Yes",IF(COUNTBLANK('Capacity summary'!$H218:$BG218)&lt;52,IF('Capacity summary'!P218&lt;&gt;"",IF(LOWER('Capacity summary'!P218)="x",$BI99*P99,VALUE('Capacity summary'!P218)),0),P99*$BI99),P99*$BI99),0)</f>
        <v>0</v>
      </c>
      <c r="BT99" s="311">
        <f>IF($BI99&lt;&gt;"",IF('Capacity summary'!$D$14="Yes",IF(COUNTBLANK('Capacity summary'!$H218:$BG218)&lt;52,IF('Capacity summary'!Q218&lt;&gt;"",IF(LOWER('Capacity summary'!Q218)="x",$BI99*Q99,VALUE('Capacity summary'!Q218)),0),Q99*$BI99),Q99*$BI99),0)</f>
        <v>0</v>
      </c>
      <c r="BU99" s="311">
        <f>IF($BI99&lt;&gt;"",IF('Capacity summary'!$D$14="Yes",IF(COUNTBLANK('Capacity summary'!$H218:$BG218)&lt;52,IF('Capacity summary'!R218&lt;&gt;"",IF(LOWER('Capacity summary'!R218)="x",$BI99*R99,VALUE('Capacity summary'!R218)),0),R99*$BI99),R99*$BI99),0)</f>
        <v>0</v>
      </c>
      <c r="BV99" s="311">
        <f>IF($BI99&lt;&gt;"",IF('Capacity summary'!$D$14="Yes",IF(COUNTBLANK('Capacity summary'!$H218:$BG218)&lt;52,IF('Capacity summary'!S218&lt;&gt;"",IF(LOWER('Capacity summary'!S218)="x",$BI99*S99,VALUE('Capacity summary'!S218)),0),S99*$BI99),S99*$BI99),0)</f>
        <v>0</v>
      </c>
      <c r="BW99" s="311">
        <f>IF($BI99&lt;&gt;"",IF('Capacity summary'!$D$14="Yes",IF(COUNTBLANK('Capacity summary'!$H218:$BG218)&lt;52,IF('Capacity summary'!T218&lt;&gt;"",IF(LOWER('Capacity summary'!T218)="x",$BI99*T99,VALUE('Capacity summary'!T218)),0),T99*$BI99),T99*$BI99),0)</f>
        <v>0</v>
      </c>
      <c r="BX99" s="311">
        <f>IF($BI99&lt;&gt;"",IF('Capacity summary'!$D$14="Yes",IF(COUNTBLANK('Capacity summary'!$H218:$BG218)&lt;52,IF('Capacity summary'!U218&lt;&gt;"",IF(LOWER('Capacity summary'!U218)="x",$BI99*U99,VALUE('Capacity summary'!U218)),0),U99*$BI99),U99*$BI99),0)</f>
        <v>0</v>
      </c>
      <c r="BY99" s="311">
        <f>IF($BI99&lt;&gt;"",IF('Capacity summary'!$D$14="Yes",IF(COUNTBLANK('Capacity summary'!$H218:$BG218)&lt;52,IF('Capacity summary'!V218&lt;&gt;"",IF(LOWER('Capacity summary'!V218)="x",$BI99*V99,VALUE('Capacity summary'!V218)),0),V99*$BI99),V99*$BI99),0)</f>
        <v>0</v>
      </c>
      <c r="BZ99" s="311">
        <f>IF($BI99&lt;&gt;"",IF('Capacity summary'!$D$14="Yes",IF(COUNTBLANK('Capacity summary'!$H218:$BG218)&lt;52,IF('Capacity summary'!W218&lt;&gt;"",IF(LOWER('Capacity summary'!W218)="x",$BI99*W99,VALUE('Capacity summary'!W218)),0),W99*$BI99),W99*$BI99),0)</f>
        <v>0</v>
      </c>
      <c r="CA99" s="311">
        <f>IF($BI99&lt;&gt;"",IF('Capacity summary'!$D$14="Yes",IF(COUNTBLANK('Capacity summary'!$H218:$BG218)&lt;52,IF('Capacity summary'!X218&lt;&gt;"",IF(LOWER('Capacity summary'!X218)="x",$BI99*X99,VALUE('Capacity summary'!X218)),0),X99*$BI99),X99*$BI99),0)</f>
        <v>0</v>
      </c>
      <c r="CB99" s="311">
        <f>IF($BI99&lt;&gt;"",IF('Capacity summary'!$D$14="Yes",IF(COUNTBLANK('Capacity summary'!$H218:$BG218)&lt;52,IF('Capacity summary'!Y218&lt;&gt;"",IF(LOWER('Capacity summary'!Y218)="x",$BI99*Y99,VALUE('Capacity summary'!Y218)),0),Y99*$BI99),Y99*$BI99),0)</f>
        <v>0</v>
      </c>
      <c r="CC99" s="311">
        <f>IF($BI99&lt;&gt;"",IF('Capacity summary'!$D$14="Yes",IF(COUNTBLANK('Capacity summary'!$H218:$BG218)&lt;52,IF('Capacity summary'!Z218&lt;&gt;"",IF(LOWER('Capacity summary'!Z218)="x",$BI99*Z99,VALUE('Capacity summary'!Z218)),0),Z99*$BI99),Z99*$BI99),0)</f>
        <v>0</v>
      </c>
      <c r="CD99" s="311">
        <f>IF($BI99&lt;&gt;"",IF('Capacity summary'!$D$14="Yes",IF(COUNTBLANK('Capacity summary'!$H218:$BG218)&lt;52,IF('Capacity summary'!AA218&lt;&gt;"",IF(LOWER('Capacity summary'!AA218)="x",$BI99*AA99,VALUE('Capacity summary'!AA218)),0),AA99*$BI99),AA99*$BI99),0)</f>
        <v>0</v>
      </c>
      <c r="CE99" s="311">
        <f>IF($BI99&lt;&gt;"",IF('Capacity summary'!$D$14="Yes",IF(COUNTBLANK('Capacity summary'!$H218:$BG218)&lt;52,IF('Capacity summary'!AB218&lt;&gt;"",IF(LOWER('Capacity summary'!AB218)="x",$BI99*AB99,VALUE('Capacity summary'!AB218)),0),AB99*$BI99),AB99*$BI99),0)</f>
        <v>0</v>
      </c>
      <c r="CF99" s="311">
        <f>IF($BI99&lt;&gt;"",IF('Capacity summary'!$D$14="Yes",IF(COUNTBLANK('Capacity summary'!$H218:$BG218)&lt;52,IF('Capacity summary'!AC218&lt;&gt;"",IF(LOWER('Capacity summary'!AC218)="x",$BI99*AC99,VALUE('Capacity summary'!AC218)),0),AC99*$BI99),AC99*$BI99),0)</f>
        <v>0</v>
      </c>
      <c r="CG99" s="311">
        <f>IF($BI99&lt;&gt;"",IF('Capacity summary'!$D$14="Yes",IF(COUNTBLANK('Capacity summary'!$H218:$BG218)&lt;52,IF('Capacity summary'!AD218&lt;&gt;"",IF(LOWER('Capacity summary'!AD218)="x",$BI99*AD99,VALUE('Capacity summary'!AD218)),0),AD99*$BI99),AD99*$BI99),0)</f>
        <v>0</v>
      </c>
      <c r="CH99" s="311">
        <f>IF($BI99&lt;&gt;"",IF('Capacity summary'!$D$14="Yes",IF(COUNTBLANK('Capacity summary'!$H218:$BG218)&lt;52,IF('Capacity summary'!AE218&lt;&gt;"",IF(LOWER('Capacity summary'!AE218)="x",$BI99*AE99,VALUE('Capacity summary'!AE218)),0),AE99*$BI99),AE99*$BI99),0)</f>
        <v>0</v>
      </c>
      <c r="CI99" s="311">
        <f>IF($BI99&lt;&gt;"",IF('Capacity summary'!$D$14="Yes",IF(COUNTBLANK('Capacity summary'!$H218:$BG218)&lt;52,IF('Capacity summary'!AF218&lt;&gt;"",IF(LOWER('Capacity summary'!AF218)="x",$BI99*AF99,VALUE('Capacity summary'!AF218)),0),AF99*$BI99),AF99*$BI99),0)</f>
        <v>0</v>
      </c>
      <c r="CJ99" s="311">
        <f>IF($BI99&lt;&gt;"",IF('Capacity summary'!$D$14="Yes",IF(COUNTBLANK('Capacity summary'!$H218:$BG218)&lt;52,IF('Capacity summary'!AG218&lt;&gt;"",IF(LOWER('Capacity summary'!AG218)="x",$BI99*AG99,VALUE('Capacity summary'!AG218)),0),AG99*$BI99),AG99*$BI99),0)</f>
        <v>0</v>
      </c>
      <c r="CK99" s="311">
        <f>IF($BI99&lt;&gt;"",IF('Capacity summary'!$D$14="Yes",IF(COUNTBLANK('Capacity summary'!$H218:$BG218)&lt;52,IF('Capacity summary'!AH218&lt;&gt;"",IF(LOWER('Capacity summary'!AH218)="x",$BI99*AH99,VALUE('Capacity summary'!AH218)),0),AH99*$BI99),AH99*$BI99),0)</f>
        <v>0</v>
      </c>
      <c r="CL99" s="311">
        <f>IF($BI99&lt;&gt;"",IF('Capacity summary'!$D$14="Yes",IF(COUNTBLANK('Capacity summary'!$H218:$BG218)&lt;52,IF('Capacity summary'!AI218&lt;&gt;"",IF(LOWER('Capacity summary'!AI218)="x",$BI99*AI99,VALUE('Capacity summary'!AI218)),0),AI99*$BI99),AI99*$BI99),0)</f>
        <v>0</v>
      </c>
      <c r="CM99" s="311">
        <f>IF($BI99&lt;&gt;"",IF('Capacity summary'!$D$14="Yes",IF(COUNTBLANK('Capacity summary'!$H218:$BG218)&lt;52,IF('Capacity summary'!AJ218&lt;&gt;"",IF(LOWER('Capacity summary'!AJ218)="x",$BI99*AJ99,VALUE('Capacity summary'!AJ218)),0),AJ99*$BI99),AJ99*$BI99),0)</f>
        <v>0</v>
      </c>
      <c r="CN99" s="311">
        <f>IF($BI99&lt;&gt;"",IF('Capacity summary'!$D$14="Yes",IF(COUNTBLANK('Capacity summary'!$H218:$BG218)&lt;52,IF('Capacity summary'!AK218&lt;&gt;"",IF(LOWER('Capacity summary'!AK218)="x",$BI99*AK99,VALUE('Capacity summary'!AK218)),0),AK99*$BI99),AK99*$BI99),0)</f>
        <v>0</v>
      </c>
      <c r="CO99" s="311">
        <f>IF($BI99&lt;&gt;"",IF('Capacity summary'!$D$14="Yes",IF(COUNTBLANK('Capacity summary'!$H218:$BG218)&lt;52,IF('Capacity summary'!AL218&lt;&gt;"",IF(LOWER('Capacity summary'!AL218)="x",$BI99*AL99,VALUE('Capacity summary'!AL218)),0),AL99*$BI99),AL99*$BI99),0)</f>
        <v>0</v>
      </c>
      <c r="CP99" s="311">
        <f>IF($BI99&lt;&gt;"",IF('Capacity summary'!$D$14="Yes",IF(COUNTBLANK('Capacity summary'!$H218:$BG218)&lt;52,IF('Capacity summary'!AM218&lt;&gt;"",IF(LOWER('Capacity summary'!AM218)="x",$BI99*AM99,VALUE('Capacity summary'!AM218)),0),AM99*$BI99),AM99*$BI99),0)</f>
        <v>0</v>
      </c>
      <c r="CQ99" s="311">
        <f>IF($BI99&lt;&gt;"",IF('Capacity summary'!$D$14="Yes",IF(COUNTBLANK('Capacity summary'!$H218:$BG218)&lt;52,IF('Capacity summary'!AN218&lt;&gt;"",IF(LOWER('Capacity summary'!AN218)="x",$BI99*AN99,VALUE('Capacity summary'!AN218)),0),AN99*$BI99),AN99*$BI99),0)</f>
        <v>0</v>
      </c>
      <c r="CR99" s="311">
        <f>IF($BI99&lt;&gt;"",IF('Capacity summary'!$D$14="Yes",IF(COUNTBLANK('Capacity summary'!$H218:$BG218)&lt;52,IF('Capacity summary'!AO218&lt;&gt;"",IF(LOWER('Capacity summary'!AO218)="x",$BI99*AO99,VALUE('Capacity summary'!AO218)),0),AO99*$BI99),AO99*$BI99),0)</f>
        <v>0</v>
      </c>
      <c r="CS99" s="311">
        <f>IF($BI99&lt;&gt;"",IF('Capacity summary'!$D$14="Yes",IF(COUNTBLANK('Capacity summary'!$H218:$BG218)&lt;52,IF('Capacity summary'!AP218&lt;&gt;"",IF(LOWER('Capacity summary'!AP218)="x",$BI99*AP99,VALUE('Capacity summary'!AP218)),0),AP99*$BI99),AP99*$BI99),0)</f>
        <v>0</v>
      </c>
      <c r="CT99" s="311">
        <f>IF($BI99&lt;&gt;"",IF('Capacity summary'!$D$14="Yes",IF(COUNTBLANK('Capacity summary'!$H218:$BG218)&lt;52,IF('Capacity summary'!AQ218&lt;&gt;"",IF(LOWER('Capacity summary'!AQ218)="x",$BI99*AQ99,VALUE('Capacity summary'!AQ218)),0),AQ99*$BI99),AQ99*$BI99),0)</f>
        <v>0</v>
      </c>
      <c r="CU99" s="311">
        <f>IF($BI99&lt;&gt;"",IF('Capacity summary'!$D$14="Yes",IF(COUNTBLANK('Capacity summary'!$H218:$BG218)&lt;52,IF('Capacity summary'!AR218&lt;&gt;"",IF(LOWER('Capacity summary'!AR218)="x",$BI99*AR99,VALUE('Capacity summary'!AR218)),0),AR99*$BI99),AR99*$BI99),0)</f>
        <v>0</v>
      </c>
      <c r="CV99" s="311">
        <f>IF($BI99&lt;&gt;"",IF('Capacity summary'!$D$14="Yes",IF(COUNTBLANK('Capacity summary'!$H218:$BG218)&lt;52,IF('Capacity summary'!AS218&lt;&gt;"",IF(LOWER('Capacity summary'!AS218)="x",$BI99*AS99,VALUE('Capacity summary'!AS218)),0),AS99*$BI99),AS99*$BI99),0)</f>
        <v>0</v>
      </c>
      <c r="CW99" s="311">
        <f>IF($BI99&lt;&gt;"",IF('Capacity summary'!$D$14="Yes",IF(COUNTBLANK('Capacity summary'!$H218:$BG218)&lt;52,IF('Capacity summary'!AT218&lt;&gt;"",IF(LOWER('Capacity summary'!AT218)="x",$BI99*AT99,VALUE('Capacity summary'!AT218)),0),AT99*$BI99),AT99*$BI99),0)</f>
        <v>0</v>
      </c>
      <c r="CX99" s="311">
        <f>IF($BI99&lt;&gt;"",IF('Capacity summary'!$D$14="Yes",IF(COUNTBLANK('Capacity summary'!$H218:$BG218)&lt;52,IF('Capacity summary'!AU218&lt;&gt;"",IF(LOWER('Capacity summary'!AU218)="x",$BI99*AU99,VALUE('Capacity summary'!AU218)),0),AU99*$BI99),AU99*$BI99),0)</f>
        <v>0</v>
      </c>
      <c r="CY99" s="311">
        <f>IF($BI99&lt;&gt;"",IF('Capacity summary'!$D$14="Yes",IF(COUNTBLANK('Capacity summary'!$H218:$BG218)&lt;52,IF('Capacity summary'!AV218&lt;&gt;"",IF(LOWER('Capacity summary'!AV218)="x",$BI99*AV99,VALUE('Capacity summary'!AV218)),0),AV99*$BI99),AV99*$BI99),0)</f>
        <v>0</v>
      </c>
      <c r="CZ99" s="311">
        <f>IF($BI99&lt;&gt;"",IF('Capacity summary'!$D$14="Yes",IF(COUNTBLANK('Capacity summary'!$H218:$BG218)&lt;52,IF('Capacity summary'!AW218&lt;&gt;"",IF(LOWER('Capacity summary'!AW218)="x",$BI99*AW99,VALUE('Capacity summary'!AW218)),0),AW99*$BI99),AW99*$BI99),0)</f>
        <v>0</v>
      </c>
      <c r="DA99" s="311">
        <f>IF($BI99&lt;&gt;"",IF('Capacity summary'!$D$14="Yes",IF(COUNTBLANK('Capacity summary'!$H218:$BG218)&lt;52,IF('Capacity summary'!AX218&lt;&gt;"",IF(LOWER('Capacity summary'!AX218)="x",$BI99*AX99,VALUE('Capacity summary'!AX218)),0),AX99*$BI99),AX99*$BI99),0)</f>
        <v>0</v>
      </c>
      <c r="DB99" s="311">
        <f>IF($BI99&lt;&gt;"",IF('Capacity summary'!$D$14="Yes",IF(COUNTBLANK('Capacity summary'!$H218:$BG218)&lt;52,IF('Capacity summary'!AY218&lt;&gt;"",IF(LOWER('Capacity summary'!AY218)="x",$BI99*AY99,VALUE('Capacity summary'!AY218)),0),AY99*$BI99),AY99*$BI99),0)</f>
        <v>0</v>
      </c>
      <c r="DC99" s="311">
        <f>IF($BI99&lt;&gt;"",IF('Capacity summary'!$D$14="Yes",IF(COUNTBLANK('Capacity summary'!$H218:$BG218)&lt;52,IF('Capacity summary'!AZ218&lt;&gt;"",IF(LOWER('Capacity summary'!AZ218)="x",$BI99*AZ99,VALUE('Capacity summary'!AZ218)),0),AZ99*$BI99),AZ99*$BI99),0)</f>
        <v>0</v>
      </c>
      <c r="DD99" s="311">
        <f>IF($BI99&lt;&gt;"",IF('Capacity summary'!$D$14="Yes",IF(COUNTBLANK('Capacity summary'!$H218:$BG218)&lt;52,IF('Capacity summary'!BA218&lt;&gt;"",IF(LOWER('Capacity summary'!BA218)="x",$BI99*BA99,VALUE('Capacity summary'!BA218)),0),BA99*$BI99),BA99*$BI99),0)</f>
        <v>0</v>
      </c>
      <c r="DE99" s="311">
        <f>IF($BI99&lt;&gt;"",IF('Capacity summary'!$D$14="Yes",IF(COUNTBLANK('Capacity summary'!$H218:$BG218)&lt;52,IF('Capacity summary'!BB218&lt;&gt;"",IF(LOWER('Capacity summary'!BB218)="x",$BI99*BB99,VALUE('Capacity summary'!BB218)),0),BB99*$BI99),BB99*$BI99),0)</f>
        <v>0</v>
      </c>
      <c r="DF99" s="311">
        <f>IF($BI99&lt;&gt;"",IF('Capacity summary'!$D$14="Yes",IF(COUNTBLANK('Capacity summary'!$H218:$BG218)&lt;52,IF('Capacity summary'!BC218&lt;&gt;"",IF(LOWER('Capacity summary'!BC218)="x",$BI99*BC99,VALUE('Capacity summary'!BC218)),0),BC99*$BI99),BC99*$BI99),0)</f>
        <v>0</v>
      </c>
      <c r="DG99" s="311">
        <f>IF($BI99&lt;&gt;"",IF('Capacity summary'!$D$14="Yes",IF(COUNTBLANK('Capacity summary'!$H218:$BG218)&lt;52,IF('Capacity summary'!BD218&lt;&gt;"",IF(LOWER('Capacity summary'!BD218)="x",$BI99*BD99,VALUE('Capacity summary'!BD218)),0),BD99*$BI99),BD99*$BI99),0)</f>
        <v>0</v>
      </c>
      <c r="DH99" s="311">
        <f>IF($BI99&lt;&gt;"",IF('Capacity summary'!$D$14="Yes",IF(COUNTBLANK('Capacity summary'!$H218:$BG218)&lt;52,IF('Capacity summary'!BE218&lt;&gt;"",IF(LOWER('Capacity summary'!BE218)="x",$BI99*BE99,VALUE('Capacity summary'!BE218)),0),BE99*$BI99),BE99*$BI99),0)</f>
        <v>0</v>
      </c>
      <c r="DI99" s="311">
        <f>IF($BI99&lt;&gt;"",IF('Capacity summary'!$D$14="Yes",IF(COUNTBLANK('Capacity summary'!$H218:$BG218)&lt;52,IF('Capacity summary'!BF218&lt;&gt;"",IF(LOWER('Capacity summary'!BF218)="x",$BI99*BF99,VALUE('Capacity summary'!BF218)),0),BF99*$BI99),BF99*$BI99),0)</f>
        <v>0</v>
      </c>
      <c r="DJ99" s="311">
        <f>IF($BI99&lt;&gt;"",IF('Capacity summary'!$D$14="Yes",IF(COUNTBLANK('Capacity summary'!$H218:$BG218)&lt;52,IF('Capacity summary'!BG218&lt;&gt;"",IF(LOWER('Capacity summary'!BG218)="x",$BI99*BG99,VALUE('Capacity summary'!BG218)),0),BG99*$BI99),BG99*$BI99),0)</f>
        <v>0</v>
      </c>
      <c r="DK99" s="387">
        <f t="shared" si="4"/>
        <v>0</v>
      </c>
      <c r="DL99" s="136">
        <f t="shared" si="5"/>
        <v>0</v>
      </c>
      <c r="DM99" s="311" t="str">
        <f>Capacity!H111</f>
        <v/>
      </c>
    </row>
    <row r="100" spans="1:117" x14ac:dyDescent="0.2">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1">
        <f>IF($BI100&lt;&gt;"",IF('Capacity summary'!$D$14="Yes",IF(COUNTBLANK('Capacity summary'!$H219:$BG219)&lt;52,IF('Capacity summary'!H219&lt;&gt;"",IF(LOWER('Capacity summary'!H219)="x",$BI100*H100,VALUE('Capacity summary'!H219)),0),H100*$BI100),H100*$BI100),0)</f>
        <v>0</v>
      </c>
      <c r="BL100" s="311">
        <f>IF($BI100&lt;&gt;"",IF('Capacity summary'!$D$14="Yes",IF(COUNTBLANK('Capacity summary'!$H219:$BG219)&lt;52,IF('Capacity summary'!I219&lt;&gt;"",IF(LOWER('Capacity summary'!I219)="x",$BI100*I100,VALUE('Capacity summary'!I219)),0),I100*$BI100),I100*$BI100),0)</f>
        <v>0</v>
      </c>
      <c r="BM100" s="311">
        <f>IF($BI100&lt;&gt;"",IF('Capacity summary'!$D$14="Yes",IF(COUNTBLANK('Capacity summary'!$H219:$BG219)&lt;52,IF('Capacity summary'!J219&lt;&gt;"",IF(LOWER('Capacity summary'!J219)="x",$BI100*J100,VALUE('Capacity summary'!J219)),0),J100*$BI100),J100*$BI100),0)</f>
        <v>0</v>
      </c>
      <c r="BN100" s="311">
        <f>IF($BI100&lt;&gt;"",IF('Capacity summary'!$D$14="Yes",IF(COUNTBLANK('Capacity summary'!$H219:$BG219)&lt;52,IF('Capacity summary'!K219&lt;&gt;"",IF(LOWER('Capacity summary'!K219)="x",$BI100*K100,VALUE('Capacity summary'!K219)),0),K100*$BI100),K100*$BI100),0)</f>
        <v>0</v>
      </c>
      <c r="BO100" s="311">
        <f>IF($BI100&lt;&gt;"",IF('Capacity summary'!$D$14="Yes",IF(COUNTBLANK('Capacity summary'!$H219:$BG219)&lt;52,IF('Capacity summary'!L219&lt;&gt;"",IF(LOWER('Capacity summary'!L219)="x",$BI100*L100,VALUE('Capacity summary'!L219)),0),L100*$BI100),L100*$BI100),0)</f>
        <v>0</v>
      </c>
      <c r="BP100" s="311">
        <f>IF($BI100&lt;&gt;"",IF('Capacity summary'!$D$14="Yes",IF(COUNTBLANK('Capacity summary'!$H219:$BG219)&lt;52,IF('Capacity summary'!M219&lt;&gt;"",IF(LOWER('Capacity summary'!M219)="x",$BI100*M100,VALUE('Capacity summary'!M219)),0),M100*$BI100),M100*$BI100),0)</f>
        <v>0</v>
      </c>
      <c r="BQ100" s="311">
        <f>IF($BI100&lt;&gt;"",IF('Capacity summary'!$D$14="Yes",IF(COUNTBLANK('Capacity summary'!$H219:$BG219)&lt;52,IF('Capacity summary'!N219&lt;&gt;"",IF(LOWER('Capacity summary'!N219)="x",$BI100*N100,VALUE('Capacity summary'!N219)),0),N100*$BI100),N100*$BI100),0)</f>
        <v>0</v>
      </c>
      <c r="BR100" s="311">
        <f>IF($BI100&lt;&gt;"",IF('Capacity summary'!$D$14="Yes",IF(COUNTBLANK('Capacity summary'!$H219:$BG219)&lt;52,IF('Capacity summary'!O219&lt;&gt;"",IF(LOWER('Capacity summary'!O219)="x",$BI100*O100,VALUE('Capacity summary'!O219)),0),O100*$BI100),O100*$BI100),0)</f>
        <v>0</v>
      </c>
      <c r="BS100" s="311">
        <f>IF($BI100&lt;&gt;"",IF('Capacity summary'!$D$14="Yes",IF(COUNTBLANK('Capacity summary'!$H219:$BG219)&lt;52,IF('Capacity summary'!P219&lt;&gt;"",IF(LOWER('Capacity summary'!P219)="x",$BI100*P100,VALUE('Capacity summary'!P219)),0),P100*$BI100),P100*$BI100),0)</f>
        <v>0</v>
      </c>
      <c r="BT100" s="311">
        <f>IF($BI100&lt;&gt;"",IF('Capacity summary'!$D$14="Yes",IF(COUNTBLANK('Capacity summary'!$H219:$BG219)&lt;52,IF('Capacity summary'!Q219&lt;&gt;"",IF(LOWER('Capacity summary'!Q219)="x",$BI100*Q100,VALUE('Capacity summary'!Q219)),0),Q100*$BI100),Q100*$BI100),0)</f>
        <v>0</v>
      </c>
      <c r="BU100" s="311">
        <f>IF($BI100&lt;&gt;"",IF('Capacity summary'!$D$14="Yes",IF(COUNTBLANK('Capacity summary'!$H219:$BG219)&lt;52,IF('Capacity summary'!R219&lt;&gt;"",IF(LOWER('Capacity summary'!R219)="x",$BI100*R100,VALUE('Capacity summary'!R219)),0),R100*$BI100),R100*$BI100),0)</f>
        <v>0</v>
      </c>
      <c r="BV100" s="311">
        <f>IF($BI100&lt;&gt;"",IF('Capacity summary'!$D$14="Yes",IF(COUNTBLANK('Capacity summary'!$H219:$BG219)&lt;52,IF('Capacity summary'!S219&lt;&gt;"",IF(LOWER('Capacity summary'!S219)="x",$BI100*S100,VALUE('Capacity summary'!S219)),0),S100*$BI100),S100*$BI100),0)</f>
        <v>0</v>
      </c>
      <c r="BW100" s="311">
        <f>IF($BI100&lt;&gt;"",IF('Capacity summary'!$D$14="Yes",IF(COUNTBLANK('Capacity summary'!$H219:$BG219)&lt;52,IF('Capacity summary'!T219&lt;&gt;"",IF(LOWER('Capacity summary'!T219)="x",$BI100*T100,VALUE('Capacity summary'!T219)),0),T100*$BI100),T100*$BI100),0)</f>
        <v>0</v>
      </c>
      <c r="BX100" s="311">
        <f>IF($BI100&lt;&gt;"",IF('Capacity summary'!$D$14="Yes",IF(COUNTBLANK('Capacity summary'!$H219:$BG219)&lt;52,IF('Capacity summary'!U219&lt;&gt;"",IF(LOWER('Capacity summary'!U219)="x",$BI100*U100,VALUE('Capacity summary'!U219)),0),U100*$BI100),U100*$BI100),0)</f>
        <v>0</v>
      </c>
      <c r="BY100" s="311">
        <f>IF($BI100&lt;&gt;"",IF('Capacity summary'!$D$14="Yes",IF(COUNTBLANK('Capacity summary'!$H219:$BG219)&lt;52,IF('Capacity summary'!V219&lt;&gt;"",IF(LOWER('Capacity summary'!V219)="x",$BI100*V100,VALUE('Capacity summary'!V219)),0),V100*$BI100),V100*$BI100),0)</f>
        <v>0</v>
      </c>
      <c r="BZ100" s="311">
        <f>IF($BI100&lt;&gt;"",IF('Capacity summary'!$D$14="Yes",IF(COUNTBLANK('Capacity summary'!$H219:$BG219)&lt;52,IF('Capacity summary'!W219&lt;&gt;"",IF(LOWER('Capacity summary'!W219)="x",$BI100*W100,VALUE('Capacity summary'!W219)),0),W100*$BI100),W100*$BI100),0)</f>
        <v>0</v>
      </c>
      <c r="CA100" s="311">
        <f>IF($BI100&lt;&gt;"",IF('Capacity summary'!$D$14="Yes",IF(COUNTBLANK('Capacity summary'!$H219:$BG219)&lt;52,IF('Capacity summary'!X219&lt;&gt;"",IF(LOWER('Capacity summary'!X219)="x",$BI100*X100,VALUE('Capacity summary'!X219)),0),X100*$BI100),X100*$BI100),0)</f>
        <v>0</v>
      </c>
      <c r="CB100" s="311">
        <f>IF($BI100&lt;&gt;"",IF('Capacity summary'!$D$14="Yes",IF(COUNTBLANK('Capacity summary'!$H219:$BG219)&lt;52,IF('Capacity summary'!Y219&lt;&gt;"",IF(LOWER('Capacity summary'!Y219)="x",$BI100*Y100,VALUE('Capacity summary'!Y219)),0),Y100*$BI100),Y100*$BI100),0)</f>
        <v>0</v>
      </c>
      <c r="CC100" s="311">
        <f>IF($BI100&lt;&gt;"",IF('Capacity summary'!$D$14="Yes",IF(COUNTBLANK('Capacity summary'!$H219:$BG219)&lt;52,IF('Capacity summary'!Z219&lt;&gt;"",IF(LOWER('Capacity summary'!Z219)="x",$BI100*Z100,VALUE('Capacity summary'!Z219)),0),Z100*$BI100),Z100*$BI100),0)</f>
        <v>0</v>
      </c>
      <c r="CD100" s="311">
        <f>IF($BI100&lt;&gt;"",IF('Capacity summary'!$D$14="Yes",IF(COUNTBLANK('Capacity summary'!$H219:$BG219)&lt;52,IF('Capacity summary'!AA219&lt;&gt;"",IF(LOWER('Capacity summary'!AA219)="x",$BI100*AA100,VALUE('Capacity summary'!AA219)),0),AA100*$BI100),AA100*$BI100),0)</f>
        <v>0</v>
      </c>
      <c r="CE100" s="311">
        <f>IF($BI100&lt;&gt;"",IF('Capacity summary'!$D$14="Yes",IF(COUNTBLANK('Capacity summary'!$H219:$BG219)&lt;52,IF('Capacity summary'!AB219&lt;&gt;"",IF(LOWER('Capacity summary'!AB219)="x",$BI100*AB100,VALUE('Capacity summary'!AB219)),0),AB100*$BI100),AB100*$BI100),0)</f>
        <v>0</v>
      </c>
      <c r="CF100" s="311">
        <f>IF($BI100&lt;&gt;"",IF('Capacity summary'!$D$14="Yes",IF(COUNTBLANK('Capacity summary'!$H219:$BG219)&lt;52,IF('Capacity summary'!AC219&lt;&gt;"",IF(LOWER('Capacity summary'!AC219)="x",$BI100*AC100,VALUE('Capacity summary'!AC219)),0),AC100*$BI100),AC100*$BI100),0)</f>
        <v>0</v>
      </c>
      <c r="CG100" s="311">
        <f>IF($BI100&lt;&gt;"",IF('Capacity summary'!$D$14="Yes",IF(COUNTBLANK('Capacity summary'!$H219:$BG219)&lt;52,IF('Capacity summary'!AD219&lt;&gt;"",IF(LOWER('Capacity summary'!AD219)="x",$BI100*AD100,VALUE('Capacity summary'!AD219)),0),AD100*$BI100),AD100*$BI100),0)</f>
        <v>0</v>
      </c>
      <c r="CH100" s="311">
        <f>IF($BI100&lt;&gt;"",IF('Capacity summary'!$D$14="Yes",IF(COUNTBLANK('Capacity summary'!$H219:$BG219)&lt;52,IF('Capacity summary'!AE219&lt;&gt;"",IF(LOWER('Capacity summary'!AE219)="x",$BI100*AE100,VALUE('Capacity summary'!AE219)),0),AE100*$BI100),AE100*$BI100),0)</f>
        <v>0</v>
      </c>
      <c r="CI100" s="311">
        <f>IF($BI100&lt;&gt;"",IF('Capacity summary'!$D$14="Yes",IF(COUNTBLANK('Capacity summary'!$H219:$BG219)&lt;52,IF('Capacity summary'!AF219&lt;&gt;"",IF(LOWER('Capacity summary'!AF219)="x",$BI100*AF100,VALUE('Capacity summary'!AF219)),0),AF100*$BI100),AF100*$BI100),0)</f>
        <v>0</v>
      </c>
      <c r="CJ100" s="311">
        <f>IF($BI100&lt;&gt;"",IF('Capacity summary'!$D$14="Yes",IF(COUNTBLANK('Capacity summary'!$H219:$BG219)&lt;52,IF('Capacity summary'!AG219&lt;&gt;"",IF(LOWER('Capacity summary'!AG219)="x",$BI100*AG100,VALUE('Capacity summary'!AG219)),0),AG100*$BI100),AG100*$BI100),0)</f>
        <v>0</v>
      </c>
      <c r="CK100" s="311">
        <f>IF($BI100&lt;&gt;"",IF('Capacity summary'!$D$14="Yes",IF(COUNTBLANK('Capacity summary'!$H219:$BG219)&lt;52,IF('Capacity summary'!AH219&lt;&gt;"",IF(LOWER('Capacity summary'!AH219)="x",$BI100*AH100,VALUE('Capacity summary'!AH219)),0),AH100*$BI100),AH100*$BI100),0)</f>
        <v>0</v>
      </c>
      <c r="CL100" s="311">
        <f>IF($BI100&lt;&gt;"",IF('Capacity summary'!$D$14="Yes",IF(COUNTBLANK('Capacity summary'!$H219:$BG219)&lt;52,IF('Capacity summary'!AI219&lt;&gt;"",IF(LOWER('Capacity summary'!AI219)="x",$BI100*AI100,VALUE('Capacity summary'!AI219)),0),AI100*$BI100),AI100*$BI100),0)</f>
        <v>0</v>
      </c>
      <c r="CM100" s="311">
        <f>IF($BI100&lt;&gt;"",IF('Capacity summary'!$D$14="Yes",IF(COUNTBLANK('Capacity summary'!$H219:$BG219)&lt;52,IF('Capacity summary'!AJ219&lt;&gt;"",IF(LOWER('Capacity summary'!AJ219)="x",$BI100*AJ100,VALUE('Capacity summary'!AJ219)),0),AJ100*$BI100),AJ100*$BI100),0)</f>
        <v>0</v>
      </c>
      <c r="CN100" s="311">
        <f>IF($BI100&lt;&gt;"",IF('Capacity summary'!$D$14="Yes",IF(COUNTBLANK('Capacity summary'!$H219:$BG219)&lt;52,IF('Capacity summary'!AK219&lt;&gt;"",IF(LOWER('Capacity summary'!AK219)="x",$BI100*AK100,VALUE('Capacity summary'!AK219)),0),AK100*$BI100),AK100*$BI100),0)</f>
        <v>0</v>
      </c>
      <c r="CO100" s="311">
        <f>IF($BI100&lt;&gt;"",IF('Capacity summary'!$D$14="Yes",IF(COUNTBLANK('Capacity summary'!$H219:$BG219)&lt;52,IF('Capacity summary'!AL219&lt;&gt;"",IF(LOWER('Capacity summary'!AL219)="x",$BI100*AL100,VALUE('Capacity summary'!AL219)),0),AL100*$BI100),AL100*$BI100),0)</f>
        <v>0</v>
      </c>
      <c r="CP100" s="311">
        <f>IF($BI100&lt;&gt;"",IF('Capacity summary'!$D$14="Yes",IF(COUNTBLANK('Capacity summary'!$H219:$BG219)&lt;52,IF('Capacity summary'!AM219&lt;&gt;"",IF(LOWER('Capacity summary'!AM219)="x",$BI100*AM100,VALUE('Capacity summary'!AM219)),0),AM100*$BI100),AM100*$BI100),0)</f>
        <v>0</v>
      </c>
      <c r="CQ100" s="311">
        <f>IF($BI100&lt;&gt;"",IF('Capacity summary'!$D$14="Yes",IF(COUNTBLANK('Capacity summary'!$H219:$BG219)&lt;52,IF('Capacity summary'!AN219&lt;&gt;"",IF(LOWER('Capacity summary'!AN219)="x",$BI100*AN100,VALUE('Capacity summary'!AN219)),0),AN100*$BI100),AN100*$BI100),0)</f>
        <v>0</v>
      </c>
      <c r="CR100" s="311">
        <f>IF($BI100&lt;&gt;"",IF('Capacity summary'!$D$14="Yes",IF(COUNTBLANK('Capacity summary'!$H219:$BG219)&lt;52,IF('Capacity summary'!AO219&lt;&gt;"",IF(LOWER('Capacity summary'!AO219)="x",$BI100*AO100,VALUE('Capacity summary'!AO219)),0),AO100*$BI100),AO100*$BI100),0)</f>
        <v>0</v>
      </c>
      <c r="CS100" s="311">
        <f>IF($BI100&lt;&gt;"",IF('Capacity summary'!$D$14="Yes",IF(COUNTBLANK('Capacity summary'!$H219:$BG219)&lt;52,IF('Capacity summary'!AP219&lt;&gt;"",IF(LOWER('Capacity summary'!AP219)="x",$BI100*AP100,VALUE('Capacity summary'!AP219)),0),AP100*$BI100),AP100*$BI100),0)</f>
        <v>0</v>
      </c>
      <c r="CT100" s="311">
        <f>IF($BI100&lt;&gt;"",IF('Capacity summary'!$D$14="Yes",IF(COUNTBLANK('Capacity summary'!$H219:$BG219)&lt;52,IF('Capacity summary'!AQ219&lt;&gt;"",IF(LOWER('Capacity summary'!AQ219)="x",$BI100*AQ100,VALUE('Capacity summary'!AQ219)),0),AQ100*$BI100),AQ100*$BI100),0)</f>
        <v>0</v>
      </c>
      <c r="CU100" s="311">
        <f>IF($BI100&lt;&gt;"",IF('Capacity summary'!$D$14="Yes",IF(COUNTBLANK('Capacity summary'!$H219:$BG219)&lt;52,IF('Capacity summary'!AR219&lt;&gt;"",IF(LOWER('Capacity summary'!AR219)="x",$BI100*AR100,VALUE('Capacity summary'!AR219)),0),AR100*$BI100),AR100*$BI100),0)</f>
        <v>0</v>
      </c>
      <c r="CV100" s="311">
        <f>IF($BI100&lt;&gt;"",IF('Capacity summary'!$D$14="Yes",IF(COUNTBLANK('Capacity summary'!$H219:$BG219)&lt;52,IF('Capacity summary'!AS219&lt;&gt;"",IF(LOWER('Capacity summary'!AS219)="x",$BI100*AS100,VALUE('Capacity summary'!AS219)),0),AS100*$BI100),AS100*$BI100),0)</f>
        <v>0</v>
      </c>
      <c r="CW100" s="311">
        <f>IF($BI100&lt;&gt;"",IF('Capacity summary'!$D$14="Yes",IF(COUNTBLANK('Capacity summary'!$H219:$BG219)&lt;52,IF('Capacity summary'!AT219&lt;&gt;"",IF(LOWER('Capacity summary'!AT219)="x",$BI100*AT100,VALUE('Capacity summary'!AT219)),0),AT100*$BI100),AT100*$BI100),0)</f>
        <v>0</v>
      </c>
      <c r="CX100" s="311">
        <f>IF($BI100&lt;&gt;"",IF('Capacity summary'!$D$14="Yes",IF(COUNTBLANK('Capacity summary'!$H219:$BG219)&lt;52,IF('Capacity summary'!AU219&lt;&gt;"",IF(LOWER('Capacity summary'!AU219)="x",$BI100*AU100,VALUE('Capacity summary'!AU219)),0),AU100*$BI100),AU100*$BI100),0)</f>
        <v>0</v>
      </c>
      <c r="CY100" s="311">
        <f>IF($BI100&lt;&gt;"",IF('Capacity summary'!$D$14="Yes",IF(COUNTBLANK('Capacity summary'!$H219:$BG219)&lt;52,IF('Capacity summary'!AV219&lt;&gt;"",IF(LOWER('Capacity summary'!AV219)="x",$BI100*AV100,VALUE('Capacity summary'!AV219)),0),AV100*$BI100),AV100*$BI100),0)</f>
        <v>0</v>
      </c>
      <c r="CZ100" s="311">
        <f>IF($BI100&lt;&gt;"",IF('Capacity summary'!$D$14="Yes",IF(COUNTBLANK('Capacity summary'!$H219:$BG219)&lt;52,IF('Capacity summary'!AW219&lt;&gt;"",IF(LOWER('Capacity summary'!AW219)="x",$BI100*AW100,VALUE('Capacity summary'!AW219)),0),AW100*$BI100),AW100*$BI100),0)</f>
        <v>0</v>
      </c>
      <c r="DA100" s="311">
        <f>IF($BI100&lt;&gt;"",IF('Capacity summary'!$D$14="Yes",IF(COUNTBLANK('Capacity summary'!$H219:$BG219)&lt;52,IF('Capacity summary'!AX219&lt;&gt;"",IF(LOWER('Capacity summary'!AX219)="x",$BI100*AX100,VALUE('Capacity summary'!AX219)),0),AX100*$BI100),AX100*$BI100),0)</f>
        <v>0</v>
      </c>
      <c r="DB100" s="311">
        <f>IF($BI100&lt;&gt;"",IF('Capacity summary'!$D$14="Yes",IF(COUNTBLANK('Capacity summary'!$H219:$BG219)&lt;52,IF('Capacity summary'!AY219&lt;&gt;"",IF(LOWER('Capacity summary'!AY219)="x",$BI100*AY100,VALUE('Capacity summary'!AY219)),0),AY100*$BI100),AY100*$BI100),0)</f>
        <v>0</v>
      </c>
      <c r="DC100" s="311">
        <f>IF($BI100&lt;&gt;"",IF('Capacity summary'!$D$14="Yes",IF(COUNTBLANK('Capacity summary'!$H219:$BG219)&lt;52,IF('Capacity summary'!AZ219&lt;&gt;"",IF(LOWER('Capacity summary'!AZ219)="x",$BI100*AZ100,VALUE('Capacity summary'!AZ219)),0),AZ100*$BI100),AZ100*$BI100),0)</f>
        <v>0</v>
      </c>
      <c r="DD100" s="311">
        <f>IF($BI100&lt;&gt;"",IF('Capacity summary'!$D$14="Yes",IF(COUNTBLANK('Capacity summary'!$H219:$BG219)&lt;52,IF('Capacity summary'!BA219&lt;&gt;"",IF(LOWER('Capacity summary'!BA219)="x",$BI100*BA100,VALUE('Capacity summary'!BA219)),0),BA100*$BI100),BA100*$BI100),0)</f>
        <v>0</v>
      </c>
      <c r="DE100" s="311">
        <f>IF($BI100&lt;&gt;"",IF('Capacity summary'!$D$14="Yes",IF(COUNTBLANK('Capacity summary'!$H219:$BG219)&lt;52,IF('Capacity summary'!BB219&lt;&gt;"",IF(LOWER('Capacity summary'!BB219)="x",$BI100*BB100,VALUE('Capacity summary'!BB219)),0),BB100*$BI100),BB100*$BI100),0)</f>
        <v>0</v>
      </c>
      <c r="DF100" s="311">
        <f>IF($BI100&lt;&gt;"",IF('Capacity summary'!$D$14="Yes",IF(COUNTBLANK('Capacity summary'!$H219:$BG219)&lt;52,IF('Capacity summary'!BC219&lt;&gt;"",IF(LOWER('Capacity summary'!BC219)="x",$BI100*BC100,VALUE('Capacity summary'!BC219)),0),BC100*$BI100),BC100*$BI100),0)</f>
        <v>0</v>
      </c>
      <c r="DG100" s="311">
        <f>IF($BI100&lt;&gt;"",IF('Capacity summary'!$D$14="Yes",IF(COUNTBLANK('Capacity summary'!$H219:$BG219)&lt;52,IF('Capacity summary'!BD219&lt;&gt;"",IF(LOWER('Capacity summary'!BD219)="x",$BI100*BD100,VALUE('Capacity summary'!BD219)),0),BD100*$BI100),BD100*$BI100),0)</f>
        <v>0</v>
      </c>
      <c r="DH100" s="311">
        <f>IF($BI100&lt;&gt;"",IF('Capacity summary'!$D$14="Yes",IF(COUNTBLANK('Capacity summary'!$H219:$BG219)&lt;52,IF('Capacity summary'!BE219&lt;&gt;"",IF(LOWER('Capacity summary'!BE219)="x",$BI100*BE100,VALUE('Capacity summary'!BE219)),0),BE100*$BI100),BE100*$BI100),0)</f>
        <v>0</v>
      </c>
      <c r="DI100" s="311">
        <f>IF($BI100&lt;&gt;"",IF('Capacity summary'!$D$14="Yes",IF(COUNTBLANK('Capacity summary'!$H219:$BG219)&lt;52,IF('Capacity summary'!BF219&lt;&gt;"",IF(LOWER('Capacity summary'!BF219)="x",$BI100*BF100,VALUE('Capacity summary'!BF219)),0),BF100*$BI100),BF100*$BI100),0)</f>
        <v>0</v>
      </c>
      <c r="DJ100" s="311">
        <f>IF($BI100&lt;&gt;"",IF('Capacity summary'!$D$14="Yes",IF(COUNTBLANK('Capacity summary'!$H219:$BG219)&lt;52,IF('Capacity summary'!BG219&lt;&gt;"",IF(LOWER('Capacity summary'!BG219)="x",$BI100*BG100,VALUE('Capacity summary'!BG219)),0),BG100*$BI100),BG100*$BI100),0)</f>
        <v>0</v>
      </c>
      <c r="DK100" s="387">
        <f t="shared" si="4"/>
        <v>0</v>
      </c>
      <c r="DL100" s="136">
        <f t="shared" si="5"/>
        <v>0</v>
      </c>
      <c r="DM100" s="311" t="str">
        <f>Capacity!H112</f>
        <v/>
      </c>
    </row>
    <row r="101" spans="1:117" x14ac:dyDescent="0.2">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1">
        <f>IF($BI101&lt;&gt;"",IF('Capacity summary'!$D$14="Yes",IF(COUNTBLANK('Capacity summary'!$H220:$BG220)&lt;52,IF('Capacity summary'!H220&lt;&gt;"",IF(LOWER('Capacity summary'!H220)="x",$BI101*H101,VALUE('Capacity summary'!H220)),0),H101*$BI101),H101*$BI101),0)</f>
        <v>0</v>
      </c>
      <c r="BL101" s="311">
        <f>IF($BI101&lt;&gt;"",IF('Capacity summary'!$D$14="Yes",IF(COUNTBLANK('Capacity summary'!$H220:$BG220)&lt;52,IF('Capacity summary'!I220&lt;&gt;"",IF(LOWER('Capacity summary'!I220)="x",$BI101*I101,VALUE('Capacity summary'!I220)),0),I101*$BI101),I101*$BI101),0)</f>
        <v>0</v>
      </c>
      <c r="BM101" s="311">
        <f>IF($BI101&lt;&gt;"",IF('Capacity summary'!$D$14="Yes",IF(COUNTBLANK('Capacity summary'!$H220:$BG220)&lt;52,IF('Capacity summary'!J220&lt;&gt;"",IF(LOWER('Capacity summary'!J220)="x",$BI101*J101,VALUE('Capacity summary'!J220)),0),J101*$BI101),J101*$BI101),0)</f>
        <v>0</v>
      </c>
      <c r="BN101" s="311">
        <f>IF($BI101&lt;&gt;"",IF('Capacity summary'!$D$14="Yes",IF(COUNTBLANK('Capacity summary'!$H220:$BG220)&lt;52,IF('Capacity summary'!K220&lt;&gt;"",IF(LOWER('Capacity summary'!K220)="x",$BI101*K101,VALUE('Capacity summary'!K220)),0),K101*$BI101),K101*$BI101),0)</f>
        <v>0</v>
      </c>
      <c r="BO101" s="311">
        <f>IF($BI101&lt;&gt;"",IF('Capacity summary'!$D$14="Yes",IF(COUNTBLANK('Capacity summary'!$H220:$BG220)&lt;52,IF('Capacity summary'!L220&lt;&gt;"",IF(LOWER('Capacity summary'!L220)="x",$BI101*L101,VALUE('Capacity summary'!L220)),0),L101*$BI101),L101*$BI101),0)</f>
        <v>0</v>
      </c>
      <c r="BP101" s="311">
        <f>IF($BI101&lt;&gt;"",IF('Capacity summary'!$D$14="Yes",IF(COUNTBLANK('Capacity summary'!$H220:$BG220)&lt;52,IF('Capacity summary'!M220&lt;&gt;"",IF(LOWER('Capacity summary'!M220)="x",$BI101*M101,VALUE('Capacity summary'!M220)),0),M101*$BI101),M101*$BI101),0)</f>
        <v>0</v>
      </c>
      <c r="BQ101" s="311">
        <f>IF($BI101&lt;&gt;"",IF('Capacity summary'!$D$14="Yes",IF(COUNTBLANK('Capacity summary'!$H220:$BG220)&lt;52,IF('Capacity summary'!N220&lt;&gt;"",IF(LOWER('Capacity summary'!N220)="x",$BI101*N101,VALUE('Capacity summary'!N220)),0),N101*$BI101),N101*$BI101),0)</f>
        <v>0</v>
      </c>
      <c r="BR101" s="311">
        <f>IF($BI101&lt;&gt;"",IF('Capacity summary'!$D$14="Yes",IF(COUNTBLANK('Capacity summary'!$H220:$BG220)&lt;52,IF('Capacity summary'!O220&lt;&gt;"",IF(LOWER('Capacity summary'!O220)="x",$BI101*O101,VALUE('Capacity summary'!O220)),0),O101*$BI101),O101*$BI101),0)</f>
        <v>0</v>
      </c>
      <c r="BS101" s="311">
        <f>IF($BI101&lt;&gt;"",IF('Capacity summary'!$D$14="Yes",IF(COUNTBLANK('Capacity summary'!$H220:$BG220)&lt;52,IF('Capacity summary'!P220&lt;&gt;"",IF(LOWER('Capacity summary'!P220)="x",$BI101*P101,VALUE('Capacity summary'!P220)),0),P101*$BI101),P101*$BI101),0)</f>
        <v>0</v>
      </c>
      <c r="BT101" s="311">
        <f>IF($BI101&lt;&gt;"",IF('Capacity summary'!$D$14="Yes",IF(COUNTBLANK('Capacity summary'!$H220:$BG220)&lt;52,IF('Capacity summary'!Q220&lt;&gt;"",IF(LOWER('Capacity summary'!Q220)="x",$BI101*Q101,VALUE('Capacity summary'!Q220)),0),Q101*$BI101),Q101*$BI101),0)</f>
        <v>0</v>
      </c>
      <c r="BU101" s="311">
        <f>IF($BI101&lt;&gt;"",IF('Capacity summary'!$D$14="Yes",IF(COUNTBLANK('Capacity summary'!$H220:$BG220)&lt;52,IF('Capacity summary'!R220&lt;&gt;"",IF(LOWER('Capacity summary'!R220)="x",$BI101*R101,VALUE('Capacity summary'!R220)),0),R101*$BI101),R101*$BI101),0)</f>
        <v>0</v>
      </c>
      <c r="BV101" s="311">
        <f>IF($BI101&lt;&gt;"",IF('Capacity summary'!$D$14="Yes",IF(COUNTBLANK('Capacity summary'!$H220:$BG220)&lt;52,IF('Capacity summary'!S220&lt;&gt;"",IF(LOWER('Capacity summary'!S220)="x",$BI101*S101,VALUE('Capacity summary'!S220)),0),S101*$BI101),S101*$BI101),0)</f>
        <v>0</v>
      </c>
      <c r="BW101" s="311">
        <f>IF($BI101&lt;&gt;"",IF('Capacity summary'!$D$14="Yes",IF(COUNTBLANK('Capacity summary'!$H220:$BG220)&lt;52,IF('Capacity summary'!T220&lt;&gt;"",IF(LOWER('Capacity summary'!T220)="x",$BI101*T101,VALUE('Capacity summary'!T220)),0),T101*$BI101),T101*$BI101),0)</f>
        <v>0</v>
      </c>
      <c r="BX101" s="311">
        <f>IF($BI101&lt;&gt;"",IF('Capacity summary'!$D$14="Yes",IF(COUNTBLANK('Capacity summary'!$H220:$BG220)&lt;52,IF('Capacity summary'!U220&lt;&gt;"",IF(LOWER('Capacity summary'!U220)="x",$BI101*U101,VALUE('Capacity summary'!U220)),0),U101*$BI101),U101*$BI101),0)</f>
        <v>0</v>
      </c>
      <c r="BY101" s="311">
        <f>IF($BI101&lt;&gt;"",IF('Capacity summary'!$D$14="Yes",IF(COUNTBLANK('Capacity summary'!$H220:$BG220)&lt;52,IF('Capacity summary'!V220&lt;&gt;"",IF(LOWER('Capacity summary'!V220)="x",$BI101*V101,VALUE('Capacity summary'!V220)),0),V101*$BI101),V101*$BI101),0)</f>
        <v>0</v>
      </c>
      <c r="BZ101" s="311">
        <f>IF($BI101&lt;&gt;"",IF('Capacity summary'!$D$14="Yes",IF(COUNTBLANK('Capacity summary'!$H220:$BG220)&lt;52,IF('Capacity summary'!W220&lt;&gt;"",IF(LOWER('Capacity summary'!W220)="x",$BI101*W101,VALUE('Capacity summary'!W220)),0),W101*$BI101),W101*$BI101),0)</f>
        <v>0</v>
      </c>
      <c r="CA101" s="311">
        <f>IF($BI101&lt;&gt;"",IF('Capacity summary'!$D$14="Yes",IF(COUNTBLANK('Capacity summary'!$H220:$BG220)&lt;52,IF('Capacity summary'!X220&lt;&gt;"",IF(LOWER('Capacity summary'!X220)="x",$BI101*X101,VALUE('Capacity summary'!X220)),0),X101*$BI101),X101*$BI101),0)</f>
        <v>0</v>
      </c>
      <c r="CB101" s="311">
        <f>IF($BI101&lt;&gt;"",IF('Capacity summary'!$D$14="Yes",IF(COUNTBLANK('Capacity summary'!$H220:$BG220)&lt;52,IF('Capacity summary'!Y220&lt;&gt;"",IF(LOWER('Capacity summary'!Y220)="x",$BI101*Y101,VALUE('Capacity summary'!Y220)),0),Y101*$BI101),Y101*$BI101),0)</f>
        <v>0</v>
      </c>
      <c r="CC101" s="311">
        <f>IF($BI101&lt;&gt;"",IF('Capacity summary'!$D$14="Yes",IF(COUNTBLANK('Capacity summary'!$H220:$BG220)&lt;52,IF('Capacity summary'!Z220&lt;&gt;"",IF(LOWER('Capacity summary'!Z220)="x",$BI101*Z101,VALUE('Capacity summary'!Z220)),0),Z101*$BI101),Z101*$BI101),0)</f>
        <v>0</v>
      </c>
      <c r="CD101" s="311">
        <f>IF($BI101&lt;&gt;"",IF('Capacity summary'!$D$14="Yes",IF(COUNTBLANK('Capacity summary'!$H220:$BG220)&lt;52,IF('Capacity summary'!AA220&lt;&gt;"",IF(LOWER('Capacity summary'!AA220)="x",$BI101*AA101,VALUE('Capacity summary'!AA220)),0),AA101*$BI101),AA101*$BI101),0)</f>
        <v>0</v>
      </c>
      <c r="CE101" s="311">
        <f>IF($BI101&lt;&gt;"",IF('Capacity summary'!$D$14="Yes",IF(COUNTBLANK('Capacity summary'!$H220:$BG220)&lt;52,IF('Capacity summary'!AB220&lt;&gt;"",IF(LOWER('Capacity summary'!AB220)="x",$BI101*AB101,VALUE('Capacity summary'!AB220)),0),AB101*$BI101),AB101*$BI101),0)</f>
        <v>0</v>
      </c>
      <c r="CF101" s="311">
        <f>IF($BI101&lt;&gt;"",IF('Capacity summary'!$D$14="Yes",IF(COUNTBLANK('Capacity summary'!$H220:$BG220)&lt;52,IF('Capacity summary'!AC220&lt;&gt;"",IF(LOWER('Capacity summary'!AC220)="x",$BI101*AC101,VALUE('Capacity summary'!AC220)),0),AC101*$BI101),AC101*$BI101),0)</f>
        <v>0</v>
      </c>
      <c r="CG101" s="311">
        <f>IF($BI101&lt;&gt;"",IF('Capacity summary'!$D$14="Yes",IF(COUNTBLANK('Capacity summary'!$H220:$BG220)&lt;52,IF('Capacity summary'!AD220&lt;&gt;"",IF(LOWER('Capacity summary'!AD220)="x",$BI101*AD101,VALUE('Capacity summary'!AD220)),0),AD101*$BI101),AD101*$BI101),0)</f>
        <v>0</v>
      </c>
      <c r="CH101" s="311">
        <f>IF($BI101&lt;&gt;"",IF('Capacity summary'!$D$14="Yes",IF(COUNTBLANK('Capacity summary'!$H220:$BG220)&lt;52,IF('Capacity summary'!AE220&lt;&gt;"",IF(LOWER('Capacity summary'!AE220)="x",$BI101*AE101,VALUE('Capacity summary'!AE220)),0),AE101*$BI101),AE101*$BI101),0)</f>
        <v>0</v>
      </c>
      <c r="CI101" s="311">
        <f>IF($BI101&lt;&gt;"",IF('Capacity summary'!$D$14="Yes",IF(COUNTBLANK('Capacity summary'!$H220:$BG220)&lt;52,IF('Capacity summary'!AF220&lt;&gt;"",IF(LOWER('Capacity summary'!AF220)="x",$BI101*AF101,VALUE('Capacity summary'!AF220)),0),AF101*$BI101),AF101*$BI101),0)</f>
        <v>0</v>
      </c>
      <c r="CJ101" s="311">
        <f>IF($BI101&lt;&gt;"",IF('Capacity summary'!$D$14="Yes",IF(COUNTBLANK('Capacity summary'!$H220:$BG220)&lt;52,IF('Capacity summary'!AG220&lt;&gt;"",IF(LOWER('Capacity summary'!AG220)="x",$BI101*AG101,VALUE('Capacity summary'!AG220)),0),AG101*$BI101),AG101*$BI101),0)</f>
        <v>0</v>
      </c>
      <c r="CK101" s="311">
        <f>IF($BI101&lt;&gt;"",IF('Capacity summary'!$D$14="Yes",IF(COUNTBLANK('Capacity summary'!$H220:$BG220)&lt;52,IF('Capacity summary'!AH220&lt;&gt;"",IF(LOWER('Capacity summary'!AH220)="x",$BI101*AH101,VALUE('Capacity summary'!AH220)),0),AH101*$BI101),AH101*$BI101),0)</f>
        <v>0</v>
      </c>
      <c r="CL101" s="311">
        <f>IF($BI101&lt;&gt;"",IF('Capacity summary'!$D$14="Yes",IF(COUNTBLANK('Capacity summary'!$H220:$BG220)&lt;52,IF('Capacity summary'!AI220&lt;&gt;"",IF(LOWER('Capacity summary'!AI220)="x",$BI101*AI101,VALUE('Capacity summary'!AI220)),0),AI101*$BI101),AI101*$BI101),0)</f>
        <v>0</v>
      </c>
      <c r="CM101" s="311">
        <f>IF($BI101&lt;&gt;"",IF('Capacity summary'!$D$14="Yes",IF(COUNTBLANK('Capacity summary'!$H220:$BG220)&lt;52,IF('Capacity summary'!AJ220&lt;&gt;"",IF(LOWER('Capacity summary'!AJ220)="x",$BI101*AJ101,VALUE('Capacity summary'!AJ220)),0),AJ101*$BI101),AJ101*$BI101),0)</f>
        <v>0</v>
      </c>
      <c r="CN101" s="311">
        <f>IF($BI101&lt;&gt;"",IF('Capacity summary'!$D$14="Yes",IF(COUNTBLANK('Capacity summary'!$H220:$BG220)&lt;52,IF('Capacity summary'!AK220&lt;&gt;"",IF(LOWER('Capacity summary'!AK220)="x",$BI101*AK101,VALUE('Capacity summary'!AK220)),0),AK101*$BI101),AK101*$BI101),0)</f>
        <v>0</v>
      </c>
      <c r="CO101" s="311">
        <f>IF($BI101&lt;&gt;"",IF('Capacity summary'!$D$14="Yes",IF(COUNTBLANK('Capacity summary'!$H220:$BG220)&lt;52,IF('Capacity summary'!AL220&lt;&gt;"",IF(LOWER('Capacity summary'!AL220)="x",$BI101*AL101,VALUE('Capacity summary'!AL220)),0),AL101*$BI101),AL101*$BI101),0)</f>
        <v>0</v>
      </c>
      <c r="CP101" s="311">
        <f>IF($BI101&lt;&gt;"",IF('Capacity summary'!$D$14="Yes",IF(COUNTBLANK('Capacity summary'!$H220:$BG220)&lt;52,IF('Capacity summary'!AM220&lt;&gt;"",IF(LOWER('Capacity summary'!AM220)="x",$BI101*AM101,VALUE('Capacity summary'!AM220)),0),AM101*$BI101),AM101*$BI101),0)</f>
        <v>0</v>
      </c>
      <c r="CQ101" s="311">
        <f>IF($BI101&lt;&gt;"",IF('Capacity summary'!$D$14="Yes",IF(COUNTBLANK('Capacity summary'!$H220:$BG220)&lt;52,IF('Capacity summary'!AN220&lt;&gt;"",IF(LOWER('Capacity summary'!AN220)="x",$BI101*AN101,VALUE('Capacity summary'!AN220)),0),AN101*$BI101),AN101*$BI101),0)</f>
        <v>0</v>
      </c>
      <c r="CR101" s="311">
        <f>IF($BI101&lt;&gt;"",IF('Capacity summary'!$D$14="Yes",IF(COUNTBLANK('Capacity summary'!$H220:$BG220)&lt;52,IF('Capacity summary'!AO220&lt;&gt;"",IF(LOWER('Capacity summary'!AO220)="x",$BI101*AO101,VALUE('Capacity summary'!AO220)),0),AO101*$BI101),AO101*$BI101),0)</f>
        <v>0</v>
      </c>
      <c r="CS101" s="311">
        <f>IF($BI101&lt;&gt;"",IF('Capacity summary'!$D$14="Yes",IF(COUNTBLANK('Capacity summary'!$H220:$BG220)&lt;52,IF('Capacity summary'!AP220&lt;&gt;"",IF(LOWER('Capacity summary'!AP220)="x",$BI101*AP101,VALUE('Capacity summary'!AP220)),0),AP101*$BI101),AP101*$BI101),0)</f>
        <v>0</v>
      </c>
      <c r="CT101" s="311">
        <f>IF($BI101&lt;&gt;"",IF('Capacity summary'!$D$14="Yes",IF(COUNTBLANK('Capacity summary'!$H220:$BG220)&lt;52,IF('Capacity summary'!AQ220&lt;&gt;"",IF(LOWER('Capacity summary'!AQ220)="x",$BI101*AQ101,VALUE('Capacity summary'!AQ220)),0),AQ101*$BI101),AQ101*$BI101),0)</f>
        <v>0</v>
      </c>
      <c r="CU101" s="311">
        <f>IF($BI101&lt;&gt;"",IF('Capacity summary'!$D$14="Yes",IF(COUNTBLANK('Capacity summary'!$H220:$BG220)&lt;52,IF('Capacity summary'!AR220&lt;&gt;"",IF(LOWER('Capacity summary'!AR220)="x",$BI101*AR101,VALUE('Capacity summary'!AR220)),0),AR101*$BI101),AR101*$BI101),0)</f>
        <v>0</v>
      </c>
      <c r="CV101" s="311">
        <f>IF($BI101&lt;&gt;"",IF('Capacity summary'!$D$14="Yes",IF(COUNTBLANK('Capacity summary'!$H220:$BG220)&lt;52,IF('Capacity summary'!AS220&lt;&gt;"",IF(LOWER('Capacity summary'!AS220)="x",$BI101*AS101,VALUE('Capacity summary'!AS220)),0),AS101*$BI101),AS101*$BI101),0)</f>
        <v>0</v>
      </c>
      <c r="CW101" s="311">
        <f>IF($BI101&lt;&gt;"",IF('Capacity summary'!$D$14="Yes",IF(COUNTBLANK('Capacity summary'!$H220:$BG220)&lt;52,IF('Capacity summary'!AT220&lt;&gt;"",IF(LOWER('Capacity summary'!AT220)="x",$BI101*AT101,VALUE('Capacity summary'!AT220)),0),AT101*$BI101),AT101*$BI101),0)</f>
        <v>0</v>
      </c>
      <c r="CX101" s="311">
        <f>IF($BI101&lt;&gt;"",IF('Capacity summary'!$D$14="Yes",IF(COUNTBLANK('Capacity summary'!$H220:$BG220)&lt;52,IF('Capacity summary'!AU220&lt;&gt;"",IF(LOWER('Capacity summary'!AU220)="x",$BI101*AU101,VALUE('Capacity summary'!AU220)),0),AU101*$BI101),AU101*$BI101),0)</f>
        <v>0</v>
      </c>
      <c r="CY101" s="311">
        <f>IF($BI101&lt;&gt;"",IF('Capacity summary'!$D$14="Yes",IF(COUNTBLANK('Capacity summary'!$H220:$BG220)&lt;52,IF('Capacity summary'!AV220&lt;&gt;"",IF(LOWER('Capacity summary'!AV220)="x",$BI101*AV101,VALUE('Capacity summary'!AV220)),0),AV101*$BI101),AV101*$BI101),0)</f>
        <v>0</v>
      </c>
      <c r="CZ101" s="311">
        <f>IF($BI101&lt;&gt;"",IF('Capacity summary'!$D$14="Yes",IF(COUNTBLANK('Capacity summary'!$H220:$BG220)&lt;52,IF('Capacity summary'!AW220&lt;&gt;"",IF(LOWER('Capacity summary'!AW220)="x",$BI101*AW101,VALUE('Capacity summary'!AW220)),0),AW101*$BI101),AW101*$BI101),0)</f>
        <v>0</v>
      </c>
      <c r="DA101" s="311">
        <f>IF($BI101&lt;&gt;"",IF('Capacity summary'!$D$14="Yes",IF(COUNTBLANK('Capacity summary'!$H220:$BG220)&lt;52,IF('Capacity summary'!AX220&lt;&gt;"",IF(LOWER('Capacity summary'!AX220)="x",$BI101*AX101,VALUE('Capacity summary'!AX220)),0),AX101*$BI101),AX101*$BI101),0)</f>
        <v>0</v>
      </c>
      <c r="DB101" s="311">
        <f>IF($BI101&lt;&gt;"",IF('Capacity summary'!$D$14="Yes",IF(COUNTBLANK('Capacity summary'!$H220:$BG220)&lt;52,IF('Capacity summary'!AY220&lt;&gt;"",IF(LOWER('Capacity summary'!AY220)="x",$BI101*AY101,VALUE('Capacity summary'!AY220)),0),AY101*$BI101),AY101*$BI101),0)</f>
        <v>0</v>
      </c>
      <c r="DC101" s="311">
        <f>IF($BI101&lt;&gt;"",IF('Capacity summary'!$D$14="Yes",IF(COUNTBLANK('Capacity summary'!$H220:$BG220)&lt;52,IF('Capacity summary'!AZ220&lt;&gt;"",IF(LOWER('Capacity summary'!AZ220)="x",$BI101*AZ101,VALUE('Capacity summary'!AZ220)),0),AZ101*$BI101),AZ101*$BI101),0)</f>
        <v>0</v>
      </c>
      <c r="DD101" s="311">
        <f>IF($BI101&lt;&gt;"",IF('Capacity summary'!$D$14="Yes",IF(COUNTBLANK('Capacity summary'!$H220:$BG220)&lt;52,IF('Capacity summary'!BA220&lt;&gt;"",IF(LOWER('Capacity summary'!BA220)="x",$BI101*BA101,VALUE('Capacity summary'!BA220)),0),BA101*$BI101),BA101*$BI101),0)</f>
        <v>0</v>
      </c>
      <c r="DE101" s="311">
        <f>IF($BI101&lt;&gt;"",IF('Capacity summary'!$D$14="Yes",IF(COUNTBLANK('Capacity summary'!$H220:$BG220)&lt;52,IF('Capacity summary'!BB220&lt;&gt;"",IF(LOWER('Capacity summary'!BB220)="x",$BI101*BB101,VALUE('Capacity summary'!BB220)),0),BB101*$BI101),BB101*$BI101),0)</f>
        <v>0</v>
      </c>
      <c r="DF101" s="311">
        <f>IF($BI101&lt;&gt;"",IF('Capacity summary'!$D$14="Yes",IF(COUNTBLANK('Capacity summary'!$H220:$BG220)&lt;52,IF('Capacity summary'!BC220&lt;&gt;"",IF(LOWER('Capacity summary'!BC220)="x",$BI101*BC101,VALUE('Capacity summary'!BC220)),0),BC101*$BI101),BC101*$BI101),0)</f>
        <v>0</v>
      </c>
      <c r="DG101" s="311">
        <f>IF($BI101&lt;&gt;"",IF('Capacity summary'!$D$14="Yes",IF(COUNTBLANK('Capacity summary'!$H220:$BG220)&lt;52,IF('Capacity summary'!BD220&lt;&gt;"",IF(LOWER('Capacity summary'!BD220)="x",$BI101*BD101,VALUE('Capacity summary'!BD220)),0),BD101*$BI101),BD101*$BI101),0)</f>
        <v>0</v>
      </c>
      <c r="DH101" s="311">
        <f>IF($BI101&lt;&gt;"",IF('Capacity summary'!$D$14="Yes",IF(COUNTBLANK('Capacity summary'!$H220:$BG220)&lt;52,IF('Capacity summary'!BE220&lt;&gt;"",IF(LOWER('Capacity summary'!BE220)="x",$BI101*BE101,VALUE('Capacity summary'!BE220)),0),BE101*$BI101),BE101*$BI101),0)</f>
        <v>0</v>
      </c>
      <c r="DI101" s="311">
        <f>IF($BI101&lt;&gt;"",IF('Capacity summary'!$D$14="Yes",IF(COUNTBLANK('Capacity summary'!$H220:$BG220)&lt;52,IF('Capacity summary'!BF220&lt;&gt;"",IF(LOWER('Capacity summary'!BF220)="x",$BI101*BF101,VALUE('Capacity summary'!BF220)),0),BF101*$BI101),BF101*$BI101),0)</f>
        <v>0</v>
      </c>
      <c r="DJ101" s="311">
        <f>IF($BI101&lt;&gt;"",IF('Capacity summary'!$D$14="Yes",IF(COUNTBLANK('Capacity summary'!$H220:$BG220)&lt;52,IF('Capacity summary'!BG220&lt;&gt;"",IF(LOWER('Capacity summary'!BG220)="x",$BI101*BG101,VALUE('Capacity summary'!BG220)),0),BG101*$BI101),BG101*$BI101),0)</f>
        <v>0</v>
      </c>
      <c r="DK101" s="387">
        <f t="shared" si="4"/>
        <v>0</v>
      </c>
      <c r="DL101" s="136">
        <f t="shared" si="5"/>
        <v>0</v>
      </c>
      <c r="DM101" s="311" t="str">
        <f>Capacity!H113</f>
        <v/>
      </c>
    </row>
    <row r="102" spans="1:117" x14ac:dyDescent="0.2">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1">
        <f>IF($BI102&lt;&gt;"",IF('Capacity summary'!$D$14="Yes",IF(COUNTBLANK('Capacity summary'!$H221:$BG221)&lt;52,IF('Capacity summary'!H221&lt;&gt;"",IF(LOWER('Capacity summary'!H221)="x",$BI102*H102,VALUE('Capacity summary'!H221)),0),H102*$BI102),H102*$BI102),0)</f>
        <v>0</v>
      </c>
      <c r="BL102" s="311">
        <f>IF($BI102&lt;&gt;"",IF('Capacity summary'!$D$14="Yes",IF(COUNTBLANK('Capacity summary'!$H221:$BG221)&lt;52,IF('Capacity summary'!I221&lt;&gt;"",IF(LOWER('Capacity summary'!I221)="x",$BI102*I102,VALUE('Capacity summary'!I221)),0),I102*$BI102),I102*$BI102),0)</f>
        <v>0</v>
      </c>
      <c r="BM102" s="311">
        <f>IF($BI102&lt;&gt;"",IF('Capacity summary'!$D$14="Yes",IF(COUNTBLANK('Capacity summary'!$H221:$BG221)&lt;52,IF('Capacity summary'!J221&lt;&gt;"",IF(LOWER('Capacity summary'!J221)="x",$BI102*J102,VALUE('Capacity summary'!J221)),0),J102*$BI102),J102*$BI102),0)</f>
        <v>0</v>
      </c>
      <c r="BN102" s="311">
        <f>IF($BI102&lt;&gt;"",IF('Capacity summary'!$D$14="Yes",IF(COUNTBLANK('Capacity summary'!$H221:$BG221)&lt;52,IF('Capacity summary'!K221&lt;&gt;"",IF(LOWER('Capacity summary'!K221)="x",$BI102*K102,VALUE('Capacity summary'!K221)),0),K102*$BI102),K102*$BI102),0)</f>
        <v>0</v>
      </c>
      <c r="BO102" s="311">
        <f>IF($BI102&lt;&gt;"",IF('Capacity summary'!$D$14="Yes",IF(COUNTBLANK('Capacity summary'!$H221:$BG221)&lt;52,IF('Capacity summary'!L221&lt;&gt;"",IF(LOWER('Capacity summary'!L221)="x",$BI102*L102,VALUE('Capacity summary'!L221)),0),L102*$BI102),L102*$BI102),0)</f>
        <v>0</v>
      </c>
      <c r="BP102" s="311">
        <f>IF($BI102&lt;&gt;"",IF('Capacity summary'!$D$14="Yes",IF(COUNTBLANK('Capacity summary'!$H221:$BG221)&lt;52,IF('Capacity summary'!M221&lt;&gt;"",IF(LOWER('Capacity summary'!M221)="x",$BI102*M102,VALUE('Capacity summary'!M221)),0),M102*$BI102),M102*$BI102),0)</f>
        <v>0</v>
      </c>
      <c r="BQ102" s="311">
        <f>IF($BI102&lt;&gt;"",IF('Capacity summary'!$D$14="Yes",IF(COUNTBLANK('Capacity summary'!$H221:$BG221)&lt;52,IF('Capacity summary'!N221&lt;&gt;"",IF(LOWER('Capacity summary'!N221)="x",$BI102*N102,VALUE('Capacity summary'!N221)),0),N102*$BI102),N102*$BI102),0)</f>
        <v>0</v>
      </c>
      <c r="BR102" s="311">
        <f>IF($BI102&lt;&gt;"",IF('Capacity summary'!$D$14="Yes",IF(COUNTBLANK('Capacity summary'!$H221:$BG221)&lt;52,IF('Capacity summary'!O221&lt;&gt;"",IF(LOWER('Capacity summary'!O221)="x",$BI102*O102,VALUE('Capacity summary'!O221)),0),O102*$BI102),O102*$BI102),0)</f>
        <v>0</v>
      </c>
      <c r="BS102" s="311">
        <f>IF($BI102&lt;&gt;"",IF('Capacity summary'!$D$14="Yes",IF(COUNTBLANK('Capacity summary'!$H221:$BG221)&lt;52,IF('Capacity summary'!P221&lt;&gt;"",IF(LOWER('Capacity summary'!P221)="x",$BI102*P102,VALUE('Capacity summary'!P221)),0),P102*$BI102),P102*$BI102),0)</f>
        <v>0</v>
      </c>
      <c r="BT102" s="311">
        <f>IF($BI102&lt;&gt;"",IF('Capacity summary'!$D$14="Yes",IF(COUNTBLANK('Capacity summary'!$H221:$BG221)&lt;52,IF('Capacity summary'!Q221&lt;&gt;"",IF(LOWER('Capacity summary'!Q221)="x",$BI102*Q102,VALUE('Capacity summary'!Q221)),0),Q102*$BI102),Q102*$BI102),0)</f>
        <v>0</v>
      </c>
      <c r="BU102" s="311">
        <f>IF($BI102&lt;&gt;"",IF('Capacity summary'!$D$14="Yes",IF(COUNTBLANK('Capacity summary'!$H221:$BG221)&lt;52,IF('Capacity summary'!R221&lt;&gt;"",IF(LOWER('Capacity summary'!R221)="x",$BI102*R102,VALUE('Capacity summary'!R221)),0),R102*$BI102),R102*$BI102),0)</f>
        <v>0</v>
      </c>
      <c r="BV102" s="311">
        <f>IF($BI102&lt;&gt;"",IF('Capacity summary'!$D$14="Yes",IF(COUNTBLANK('Capacity summary'!$H221:$BG221)&lt;52,IF('Capacity summary'!S221&lt;&gt;"",IF(LOWER('Capacity summary'!S221)="x",$BI102*S102,VALUE('Capacity summary'!S221)),0),S102*$BI102),S102*$BI102),0)</f>
        <v>0</v>
      </c>
      <c r="BW102" s="311">
        <f>IF($BI102&lt;&gt;"",IF('Capacity summary'!$D$14="Yes",IF(COUNTBLANK('Capacity summary'!$H221:$BG221)&lt;52,IF('Capacity summary'!T221&lt;&gt;"",IF(LOWER('Capacity summary'!T221)="x",$BI102*T102,VALUE('Capacity summary'!T221)),0),T102*$BI102),T102*$BI102),0)</f>
        <v>0</v>
      </c>
      <c r="BX102" s="311">
        <f>IF($BI102&lt;&gt;"",IF('Capacity summary'!$D$14="Yes",IF(COUNTBLANK('Capacity summary'!$H221:$BG221)&lt;52,IF('Capacity summary'!U221&lt;&gt;"",IF(LOWER('Capacity summary'!U221)="x",$BI102*U102,VALUE('Capacity summary'!U221)),0),U102*$BI102),U102*$BI102),0)</f>
        <v>0</v>
      </c>
      <c r="BY102" s="311">
        <f>IF($BI102&lt;&gt;"",IF('Capacity summary'!$D$14="Yes",IF(COUNTBLANK('Capacity summary'!$H221:$BG221)&lt;52,IF('Capacity summary'!V221&lt;&gt;"",IF(LOWER('Capacity summary'!V221)="x",$BI102*V102,VALUE('Capacity summary'!V221)),0),V102*$BI102),V102*$BI102),0)</f>
        <v>0</v>
      </c>
      <c r="BZ102" s="311">
        <f>IF($BI102&lt;&gt;"",IF('Capacity summary'!$D$14="Yes",IF(COUNTBLANK('Capacity summary'!$H221:$BG221)&lt;52,IF('Capacity summary'!W221&lt;&gt;"",IF(LOWER('Capacity summary'!W221)="x",$BI102*W102,VALUE('Capacity summary'!W221)),0),W102*$BI102),W102*$BI102),0)</f>
        <v>0</v>
      </c>
      <c r="CA102" s="311">
        <f>IF($BI102&lt;&gt;"",IF('Capacity summary'!$D$14="Yes",IF(COUNTBLANK('Capacity summary'!$H221:$BG221)&lt;52,IF('Capacity summary'!X221&lt;&gt;"",IF(LOWER('Capacity summary'!X221)="x",$BI102*X102,VALUE('Capacity summary'!X221)),0),X102*$BI102),X102*$BI102),0)</f>
        <v>0</v>
      </c>
      <c r="CB102" s="311">
        <f>IF($BI102&lt;&gt;"",IF('Capacity summary'!$D$14="Yes",IF(COUNTBLANK('Capacity summary'!$H221:$BG221)&lt;52,IF('Capacity summary'!Y221&lt;&gt;"",IF(LOWER('Capacity summary'!Y221)="x",$BI102*Y102,VALUE('Capacity summary'!Y221)),0),Y102*$BI102),Y102*$BI102),0)</f>
        <v>0</v>
      </c>
      <c r="CC102" s="311">
        <f>IF($BI102&lt;&gt;"",IF('Capacity summary'!$D$14="Yes",IF(COUNTBLANK('Capacity summary'!$H221:$BG221)&lt;52,IF('Capacity summary'!Z221&lt;&gt;"",IF(LOWER('Capacity summary'!Z221)="x",$BI102*Z102,VALUE('Capacity summary'!Z221)),0),Z102*$BI102),Z102*$BI102),0)</f>
        <v>0</v>
      </c>
      <c r="CD102" s="311">
        <f>IF($BI102&lt;&gt;"",IF('Capacity summary'!$D$14="Yes",IF(COUNTBLANK('Capacity summary'!$H221:$BG221)&lt;52,IF('Capacity summary'!AA221&lt;&gt;"",IF(LOWER('Capacity summary'!AA221)="x",$BI102*AA102,VALUE('Capacity summary'!AA221)),0),AA102*$BI102),AA102*$BI102),0)</f>
        <v>0</v>
      </c>
      <c r="CE102" s="311">
        <f>IF($BI102&lt;&gt;"",IF('Capacity summary'!$D$14="Yes",IF(COUNTBLANK('Capacity summary'!$H221:$BG221)&lt;52,IF('Capacity summary'!AB221&lt;&gt;"",IF(LOWER('Capacity summary'!AB221)="x",$BI102*AB102,VALUE('Capacity summary'!AB221)),0),AB102*$BI102),AB102*$BI102),0)</f>
        <v>0</v>
      </c>
      <c r="CF102" s="311">
        <f>IF($BI102&lt;&gt;"",IF('Capacity summary'!$D$14="Yes",IF(COUNTBLANK('Capacity summary'!$H221:$BG221)&lt;52,IF('Capacity summary'!AC221&lt;&gt;"",IF(LOWER('Capacity summary'!AC221)="x",$BI102*AC102,VALUE('Capacity summary'!AC221)),0),AC102*$BI102),AC102*$BI102),0)</f>
        <v>0</v>
      </c>
      <c r="CG102" s="311">
        <f>IF($BI102&lt;&gt;"",IF('Capacity summary'!$D$14="Yes",IF(COUNTBLANK('Capacity summary'!$H221:$BG221)&lt;52,IF('Capacity summary'!AD221&lt;&gt;"",IF(LOWER('Capacity summary'!AD221)="x",$BI102*AD102,VALUE('Capacity summary'!AD221)),0),AD102*$BI102),AD102*$BI102),0)</f>
        <v>0</v>
      </c>
      <c r="CH102" s="311">
        <f>IF($BI102&lt;&gt;"",IF('Capacity summary'!$D$14="Yes",IF(COUNTBLANK('Capacity summary'!$H221:$BG221)&lt;52,IF('Capacity summary'!AE221&lt;&gt;"",IF(LOWER('Capacity summary'!AE221)="x",$BI102*AE102,VALUE('Capacity summary'!AE221)),0),AE102*$BI102),AE102*$BI102),0)</f>
        <v>0</v>
      </c>
      <c r="CI102" s="311">
        <f>IF($BI102&lt;&gt;"",IF('Capacity summary'!$D$14="Yes",IF(COUNTBLANK('Capacity summary'!$H221:$BG221)&lt;52,IF('Capacity summary'!AF221&lt;&gt;"",IF(LOWER('Capacity summary'!AF221)="x",$BI102*AF102,VALUE('Capacity summary'!AF221)),0),AF102*$BI102),AF102*$BI102),0)</f>
        <v>0</v>
      </c>
      <c r="CJ102" s="311">
        <f>IF($BI102&lt;&gt;"",IF('Capacity summary'!$D$14="Yes",IF(COUNTBLANK('Capacity summary'!$H221:$BG221)&lt;52,IF('Capacity summary'!AG221&lt;&gt;"",IF(LOWER('Capacity summary'!AG221)="x",$BI102*AG102,VALUE('Capacity summary'!AG221)),0),AG102*$BI102),AG102*$BI102),0)</f>
        <v>0</v>
      </c>
      <c r="CK102" s="311">
        <f>IF($BI102&lt;&gt;"",IF('Capacity summary'!$D$14="Yes",IF(COUNTBLANK('Capacity summary'!$H221:$BG221)&lt;52,IF('Capacity summary'!AH221&lt;&gt;"",IF(LOWER('Capacity summary'!AH221)="x",$BI102*AH102,VALUE('Capacity summary'!AH221)),0),AH102*$BI102),AH102*$BI102),0)</f>
        <v>0</v>
      </c>
      <c r="CL102" s="311">
        <f>IF($BI102&lt;&gt;"",IF('Capacity summary'!$D$14="Yes",IF(COUNTBLANK('Capacity summary'!$H221:$BG221)&lt;52,IF('Capacity summary'!AI221&lt;&gt;"",IF(LOWER('Capacity summary'!AI221)="x",$BI102*AI102,VALUE('Capacity summary'!AI221)),0),AI102*$BI102),AI102*$BI102),0)</f>
        <v>0</v>
      </c>
      <c r="CM102" s="311">
        <f>IF($BI102&lt;&gt;"",IF('Capacity summary'!$D$14="Yes",IF(COUNTBLANK('Capacity summary'!$H221:$BG221)&lt;52,IF('Capacity summary'!AJ221&lt;&gt;"",IF(LOWER('Capacity summary'!AJ221)="x",$BI102*AJ102,VALUE('Capacity summary'!AJ221)),0),AJ102*$BI102),AJ102*$BI102),0)</f>
        <v>0</v>
      </c>
      <c r="CN102" s="311">
        <f>IF($BI102&lt;&gt;"",IF('Capacity summary'!$D$14="Yes",IF(COUNTBLANK('Capacity summary'!$H221:$BG221)&lt;52,IF('Capacity summary'!AK221&lt;&gt;"",IF(LOWER('Capacity summary'!AK221)="x",$BI102*AK102,VALUE('Capacity summary'!AK221)),0),AK102*$BI102),AK102*$BI102),0)</f>
        <v>0</v>
      </c>
      <c r="CO102" s="311">
        <f>IF($BI102&lt;&gt;"",IF('Capacity summary'!$D$14="Yes",IF(COUNTBLANK('Capacity summary'!$H221:$BG221)&lt;52,IF('Capacity summary'!AL221&lt;&gt;"",IF(LOWER('Capacity summary'!AL221)="x",$BI102*AL102,VALUE('Capacity summary'!AL221)),0),AL102*$BI102),AL102*$BI102),0)</f>
        <v>0</v>
      </c>
      <c r="CP102" s="311">
        <f>IF($BI102&lt;&gt;"",IF('Capacity summary'!$D$14="Yes",IF(COUNTBLANK('Capacity summary'!$H221:$BG221)&lt;52,IF('Capacity summary'!AM221&lt;&gt;"",IF(LOWER('Capacity summary'!AM221)="x",$BI102*AM102,VALUE('Capacity summary'!AM221)),0),AM102*$BI102),AM102*$BI102),0)</f>
        <v>0</v>
      </c>
      <c r="CQ102" s="311">
        <f>IF($BI102&lt;&gt;"",IF('Capacity summary'!$D$14="Yes",IF(COUNTBLANK('Capacity summary'!$H221:$BG221)&lt;52,IF('Capacity summary'!AN221&lt;&gt;"",IF(LOWER('Capacity summary'!AN221)="x",$BI102*AN102,VALUE('Capacity summary'!AN221)),0),AN102*$BI102),AN102*$BI102),0)</f>
        <v>0</v>
      </c>
      <c r="CR102" s="311">
        <f>IF($BI102&lt;&gt;"",IF('Capacity summary'!$D$14="Yes",IF(COUNTBLANK('Capacity summary'!$H221:$BG221)&lt;52,IF('Capacity summary'!AO221&lt;&gt;"",IF(LOWER('Capacity summary'!AO221)="x",$BI102*AO102,VALUE('Capacity summary'!AO221)),0),AO102*$BI102),AO102*$BI102),0)</f>
        <v>0</v>
      </c>
      <c r="CS102" s="311">
        <f>IF($BI102&lt;&gt;"",IF('Capacity summary'!$D$14="Yes",IF(COUNTBLANK('Capacity summary'!$H221:$BG221)&lt;52,IF('Capacity summary'!AP221&lt;&gt;"",IF(LOWER('Capacity summary'!AP221)="x",$BI102*AP102,VALUE('Capacity summary'!AP221)),0),AP102*$BI102),AP102*$BI102),0)</f>
        <v>0</v>
      </c>
      <c r="CT102" s="311">
        <f>IF($BI102&lt;&gt;"",IF('Capacity summary'!$D$14="Yes",IF(COUNTBLANK('Capacity summary'!$H221:$BG221)&lt;52,IF('Capacity summary'!AQ221&lt;&gt;"",IF(LOWER('Capacity summary'!AQ221)="x",$BI102*AQ102,VALUE('Capacity summary'!AQ221)),0),AQ102*$BI102),AQ102*$BI102),0)</f>
        <v>0</v>
      </c>
      <c r="CU102" s="311">
        <f>IF($BI102&lt;&gt;"",IF('Capacity summary'!$D$14="Yes",IF(COUNTBLANK('Capacity summary'!$H221:$BG221)&lt;52,IF('Capacity summary'!AR221&lt;&gt;"",IF(LOWER('Capacity summary'!AR221)="x",$BI102*AR102,VALUE('Capacity summary'!AR221)),0),AR102*$BI102),AR102*$BI102),0)</f>
        <v>0</v>
      </c>
      <c r="CV102" s="311">
        <f>IF($BI102&lt;&gt;"",IF('Capacity summary'!$D$14="Yes",IF(COUNTBLANK('Capacity summary'!$H221:$BG221)&lt;52,IF('Capacity summary'!AS221&lt;&gt;"",IF(LOWER('Capacity summary'!AS221)="x",$BI102*AS102,VALUE('Capacity summary'!AS221)),0),AS102*$BI102),AS102*$BI102),0)</f>
        <v>0</v>
      </c>
      <c r="CW102" s="311">
        <f>IF($BI102&lt;&gt;"",IF('Capacity summary'!$D$14="Yes",IF(COUNTBLANK('Capacity summary'!$H221:$BG221)&lt;52,IF('Capacity summary'!AT221&lt;&gt;"",IF(LOWER('Capacity summary'!AT221)="x",$BI102*AT102,VALUE('Capacity summary'!AT221)),0),AT102*$BI102),AT102*$BI102),0)</f>
        <v>0</v>
      </c>
      <c r="CX102" s="311">
        <f>IF($BI102&lt;&gt;"",IF('Capacity summary'!$D$14="Yes",IF(COUNTBLANK('Capacity summary'!$H221:$BG221)&lt;52,IF('Capacity summary'!AU221&lt;&gt;"",IF(LOWER('Capacity summary'!AU221)="x",$BI102*AU102,VALUE('Capacity summary'!AU221)),0),AU102*$BI102),AU102*$BI102),0)</f>
        <v>0</v>
      </c>
      <c r="CY102" s="311">
        <f>IF($BI102&lt;&gt;"",IF('Capacity summary'!$D$14="Yes",IF(COUNTBLANK('Capacity summary'!$H221:$BG221)&lt;52,IF('Capacity summary'!AV221&lt;&gt;"",IF(LOWER('Capacity summary'!AV221)="x",$BI102*AV102,VALUE('Capacity summary'!AV221)),0),AV102*$BI102),AV102*$BI102),0)</f>
        <v>0</v>
      </c>
      <c r="CZ102" s="311">
        <f>IF($BI102&lt;&gt;"",IF('Capacity summary'!$D$14="Yes",IF(COUNTBLANK('Capacity summary'!$H221:$BG221)&lt;52,IF('Capacity summary'!AW221&lt;&gt;"",IF(LOWER('Capacity summary'!AW221)="x",$BI102*AW102,VALUE('Capacity summary'!AW221)),0),AW102*$BI102),AW102*$BI102),0)</f>
        <v>0</v>
      </c>
      <c r="DA102" s="311">
        <f>IF($BI102&lt;&gt;"",IF('Capacity summary'!$D$14="Yes",IF(COUNTBLANK('Capacity summary'!$H221:$BG221)&lt;52,IF('Capacity summary'!AX221&lt;&gt;"",IF(LOWER('Capacity summary'!AX221)="x",$BI102*AX102,VALUE('Capacity summary'!AX221)),0),AX102*$BI102),AX102*$BI102),0)</f>
        <v>0</v>
      </c>
      <c r="DB102" s="311">
        <f>IF($BI102&lt;&gt;"",IF('Capacity summary'!$D$14="Yes",IF(COUNTBLANK('Capacity summary'!$H221:$BG221)&lt;52,IF('Capacity summary'!AY221&lt;&gt;"",IF(LOWER('Capacity summary'!AY221)="x",$BI102*AY102,VALUE('Capacity summary'!AY221)),0),AY102*$BI102),AY102*$BI102),0)</f>
        <v>0</v>
      </c>
      <c r="DC102" s="311">
        <f>IF($BI102&lt;&gt;"",IF('Capacity summary'!$D$14="Yes",IF(COUNTBLANK('Capacity summary'!$H221:$BG221)&lt;52,IF('Capacity summary'!AZ221&lt;&gt;"",IF(LOWER('Capacity summary'!AZ221)="x",$BI102*AZ102,VALUE('Capacity summary'!AZ221)),0),AZ102*$BI102),AZ102*$BI102),0)</f>
        <v>0</v>
      </c>
      <c r="DD102" s="311">
        <f>IF($BI102&lt;&gt;"",IF('Capacity summary'!$D$14="Yes",IF(COUNTBLANK('Capacity summary'!$H221:$BG221)&lt;52,IF('Capacity summary'!BA221&lt;&gt;"",IF(LOWER('Capacity summary'!BA221)="x",$BI102*BA102,VALUE('Capacity summary'!BA221)),0),BA102*$BI102),BA102*$BI102),0)</f>
        <v>0</v>
      </c>
      <c r="DE102" s="311">
        <f>IF($BI102&lt;&gt;"",IF('Capacity summary'!$D$14="Yes",IF(COUNTBLANK('Capacity summary'!$H221:$BG221)&lt;52,IF('Capacity summary'!BB221&lt;&gt;"",IF(LOWER('Capacity summary'!BB221)="x",$BI102*BB102,VALUE('Capacity summary'!BB221)),0),BB102*$BI102),BB102*$BI102),0)</f>
        <v>0</v>
      </c>
      <c r="DF102" s="311">
        <f>IF($BI102&lt;&gt;"",IF('Capacity summary'!$D$14="Yes",IF(COUNTBLANK('Capacity summary'!$H221:$BG221)&lt;52,IF('Capacity summary'!BC221&lt;&gt;"",IF(LOWER('Capacity summary'!BC221)="x",$BI102*BC102,VALUE('Capacity summary'!BC221)),0),BC102*$BI102),BC102*$BI102),0)</f>
        <v>0</v>
      </c>
      <c r="DG102" s="311">
        <f>IF($BI102&lt;&gt;"",IF('Capacity summary'!$D$14="Yes",IF(COUNTBLANK('Capacity summary'!$H221:$BG221)&lt;52,IF('Capacity summary'!BD221&lt;&gt;"",IF(LOWER('Capacity summary'!BD221)="x",$BI102*BD102,VALUE('Capacity summary'!BD221)),0),BD102*$BI102),BD102*$BI102),0)</f>
        <v>0</v>
      </c>
      <c r="DH102" s="311">
        <f>IF($BI102&lt;&gt;"",IF('Capacity summary'!$D$14="Yes",IF(COUNTBLANK('Capacity summary'!$H221:$BG221)&lt;52,IF('Capacity summary'!BE221&lt;&gt;"",IF(LOWER('Capacity summary'!BE221)="x",$BI102*BE102,VALUE('Capacity summary'!BE221)),0),BE102*$BI102),BE102*$BI102),0)</f>
        <v>0</v>
      </c>
      <c r="DI102" s="311">
        <f>IF($BI102&lt;&gt;"",IF('Capacity summary'!$D$14="Yes",IF(COUNTBLANK('Capacity summary'!$H221:$BG221)&lt;52,IF('Capacity summary'!BF221&lt;&gt;"",IF(LOWER('Capacity summary'!BF221)="x",$BI102*BF102,VALUE('Capacity summary'!BF221)),0),BF102*$BI102),BF102*$BI102),0)</f>
        <v>0</v>
      </c>
      <c r="DJ102" s="311">
        <f>IF($BI102&lt;&gt;"",IF('Capacity summary'!$D$14="Yes",IF(COUNTBLANK('Capacity summary'!$H221:$BG221)&lt;52,IF('Capacity summary'!BG221&lt;&gt;"",IF(LOWER('Capacity summary'!BG221)="x",$BI102*BG102,VALUE('Capacity summary'!BG221)),0),BG102*$BI102),BG102*$BI102),0)</f>
        <v>0</v>
      </c>
      <c r="DK102" s="387">
        <f t="shared" si="4"/>
        <v>0</v>
      </c>
      <c r="DL102" s="136">
        <f t="shared" si="5"/>
        <v>0</v>
      </c>
      <c r="DM102" s="311" t="str">
        <f>Capacity!H114</f>
        <v/>
      </c>
    </row>
    <row r="103" spans="1:117" x14ac:dyDescent="0.2">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1">
        <f>IF($BI103&lt;&gt;"",IF('Capacity summary'!$D$14="Yes",IF(COUNTBLANK('Capacity summary'!$H222:$BG222)&lt;52,IF('Capacity summary'!H222&lt;&gt;"",IF(LOWER('Capacity summary'!H222)="x",$BI103*H103,VALUE('Capacity summary'!H222)),0),H103*$BI103),H103*$BI103),0)</f>
        <v>0</v>
      </c>
      <c r="BL103" s="311">
        <f>IF($BI103&lt;&gt;"",IF('Capacity summary'!$D$14="Yes",IF(COUNTBLANK('Capacity summary'!$H222:$BG222)&lt;52,IF('Capacity summary'!I222&lt;&gt;"",IF(LOWER('Capacity summary'!I222)="x",$BI103*I103,VALUE('Capacity summary'!I222)),0),I103*$BI103),I103*$BI103),0)</f>
        <v>0</v>
      </c>
      <c r="BM103" s="311">
        <f>IF($BI103&lt;&gt;"",IF('Capacity summary'!$D$14="Yes",IF(COUNTBLANK('Capacity summary'!$H222:$BG222)&lt;52,IF('Capacity summary'!J222&lt;&gt;"",IF(LOWER('Capacity summary'!J222)="x",$BI103*J103,VALUE('Capacity summary'!J222)),0),J103*$BI103),J103*$BI103),0)</f>
        <v>0</v>
      </c>
      <c r="BN103" s="311">
        <f>IF($BI103&lt;&gt;"",IF('Capacity summary'!$D$14="Yes",IF(COUNTBLANK('Capacity summary'!$H222:$BG222)&lt;52,IF('Capacity summary'!K222&lt;&gt;"",IF(LOWER('Capacity summary'!K222)="x",$BI103*K103,VALUE('Capacity summary'!K222)),0),K103*$BI103),K103*$BI103),0)</f>
        <v>0</v>
      </c>
      <c r="BO103" s="311">
        <f>IF($BI103&lt;&gt;"",IF('Capacity summary'!$D$14="Yes",IF(COUNTBLANK('Capacity summary'!$H222:$BG222)&lt;52,IF('Capacity summary'!L222&lt;&gt;"",IF(LOWER('Capacity summary'!L222)="x",$BI103*L103,VALUE('Capacity summary'!L222)),0),L103*$BI103),L103*$BI103),0)</f>
        <v>0</v>
      </c>
      <c r="BP103" s="311">
        <f>IF($BI103&lt;&gt;"",IF('Capacity summary'!$D$14="Yes",IF(COUNTBLANK('Capacity summary'!$H222:$BG222)&lt;52,IF('Capacity summary'!M222&lt;&gt;"",IF(LOWER('Capacity summary'!M222)="x",$BI103*M103,VALUE('Capacity summary'!M222)),0),M103*$BI103),M103*$BI103),0)</f>
        <v>0</v>
      </c>
      <c r="BQ103" s="311">
        <f>IF($BI103&lt;&gt;"",IF('Capacity summary'!$D$14="Yes",IF(COUNTBLANK('Capacity summary'!$H222:$BG222)&lt;52,IF('Capacity summary'!N222&lt;&gt;"",IF(LOWER('Capacity summary'!N222)="x",$BI103*N103,VALUE('Capacity summary'!N222)),0),N103*$BI103),N103*$BI103),0)</f>
        <v>0</v>
      </c>
      <c r="BR103" s="311">
        <f>IF($BI103&lt;&gt;"",IF('Capacity summary'!$D$14="Yes",IF(COUNTBLANK('Capacity summary'!$H222:$BG222)&lt;52,IF('Capacity summary'!O222&lt;&gt;"",IF(LOWER('Capacity summary'!O222)="x",$BI103*O103,VALUE('Capacity summary'!O222)),0),O103*$BI103),O103*$BI103),0)</f>
        <v>0</v>
      </c>
      <c r="BS103" s="311">
        <f>IF($BI103&lt;&gt;"",IF('Capacity summary'!$D$14="Yes",IF(COUNTBLANK('Capacity summary'!$H222:$BG222)&lt;52,IF('Capacity summary'!P222&lt;&gt;"",IF(LOWER('Capacity summary'!P222)="x",$BI103*P103,VALUE('Capacity summary'!P222)),0),P103*$BI103),P103*$BI103),0)</f>
        <v>0</v>
      </c>
      <c r="BT103" s="311">
        <f>IF($BI103&lt;&gt;"",IF('Capacity summary'!$D$14="Yes",IF(COUNTBLANK('Capacity summary'!$H222:$BG222)&lt;52,IF('Capacity summary'!Q222&lt;&gt;"",IF(LOWER('Capacity summary'!Q222)="x",$BI103*Q103,VALUE('Capacity summary'!Q222)),0),Q103*$BI103),Q103*$BI103),0)</f>
        <v>0</v>
      </c>
      <c r="BU103" s="311">
        <f>IF($BI103&lt;&gt;"",IF('Capacity summary'!$D$14="Yes",IF(COUNTBLANK('Capacity summary'!$H222:$BG222)&lt;52,IF('Capacity summary'!R222&lt;&gt;"",IF(LOWER('Capacity summary'!R222)="x",$BI103*R103,VALUE('Capacity summary'!R222)),0),R103*$BI103),R103*$BI103),0)</f>
        <v>0</v>
      </c>
      <c r="BV103" s="311">
        <f>IF($BI103&lt;&gt;"",IF('Capacity summary'!$D$14="Yes",IF(COUNTBLANK('Capacity summary'!$H222:$BG222)&lt;52,IF('Capacity summary'!S222&lt;&gt;"",IF(LOWER('Capacity summary'!S222)="x",$BI103*S103,VALUE('Capacity summary'!S222)),0),S103*$BI103),S103*$BI103),0)</f>
        <v>0</v>
      </c>
      <c r="BW103" s="311">
        <f>IF($BI103&lt;&gt;"",IF('Capacity summary'!$D$14="Yes",IF(COUNTBLANK('Capacity summary'!$H222:$BG222)&lt;52,IF('Capacity summary'!T222&lt;&gt;"",IF(LOWER('Capacity summary'!T222)="x",$BI103*T103,VALUE('Capacity summary'!T222)),0),T103*$BI103),T103*$BI103),0)</f>
        <v>0</v>
      </c>
      <c r="BX103" s="311">
        <f>IF($BI103&lt;&gt;"",IF('Capacity summary'!$D$14="Yes",IF(COUNTBLANK('Capacity summary'!$H222:$BG222)&lt;52,IF('Capacity summary'!U222&lt;&gt;"",IF(LOWER('Capacity summary'!U222)="x",$BI103*U103,VALUE('Capacity summary'!U222)),0),U103*$BI103),U103*$BI103),0)</f>
        <v>0</v>
      </c>
      <c r="BY103" s="311">
        <f>IF($BI103&lt;&gt;"",IF('Capacity summary'!$D$14="Yes",IF(COUNTBLANK('Capacity summary'!$H222:$BG222)&lt;52,IF('Capacity summary'!V222&lt;&gt;"",IF(LOWER('Capacity summary'!V222)="x",$BI103*V103,VALUE('Capacity summary'!V222)),0),V103*$BI103),V103*$BI103),0)</f>
        <v>0</v>
      </c>
      <c r="BZ103" s="311">
        <f>IF($BI103&lt;&gt;"",IF('Capacity summary'!$D$14="Yes",IF(COUNTBLANK('Capacity summary'!$H222:$BG222)&lt;52,IF('Capacity summary'!W222&lt;&gt;"",IF(LOWER('Capacity summary'!W222)="x",$BI103*W103,VALUE('Capacity summary'!W222)),0),W103*$BI103),W103*$BI103),0)</f>
        <v>0</v>
      </c>
      <c r="CA103" s="311">
        <f>IF($BI103&lt;&gt;"",IF('Capacity summary'!$D$14="Yes",IF(COUNTBLANK('Capacity summary'!$H222:$BG222)&lt;52,IF('Capacity summary'!X222&lt;&gt;"",IF(LOWER('Capacity summary'!X222)="x",$BI103*X103,VALUE('Capacity summary'!X222)),0),X103*$BI103),X103*$BI103),0)</f>
        <v>0</v>
      </c>
      <c r="CB103" s="311">
        <f>IF($BI103&lt;&gt;"",IF('Capacity summary'!$D$14="Yes",IF(COUNTBLANK('Capacity summary'!$H222:$BG222)&lt;52,IF('Capacity summary'!Y222&lt;&gt;"",IF(LOWER('Capacity summary'!Y222)="x",$BI103*Y103,VALUE('Capacity summary'!Y222)),0),Y103*$BI103),Y103*$BI103),0)</f>
        <v>0</v>
      </c>
      <c r="CC103" s="311">
        <f>IF($BI103&lt;&gt;"",IF('Capacity summary'!$D$14="Yes",IF(COUNTBLANK('Capacity summary'!$H222:$BG222)&lt;52,IF('Capacity summary'!Z222&lt;&gt;"",IF(LOWER('Capacity summary'!Z222)="x",$BI103*Z103,VALUE('Capacity summary'!Z222)),0),Z103*$BI103),Z103*$BI103),0)</f>
        <v>0</v>
      </c>
      <c r="CD103" s="311">
        <f>IF($BI103&lt;&gt;"",IF('Capacity summary'!$D$14="Yes",IF(COUNTBLANK('Capacity summary'!$H222:$BG222)&lt;52,IF('Capacity summary'!AA222&lt;&gt;"",IF(LOWER('Capacity summary'!AA222)="x",$BI103*AA103,VALUE('Capacity summary'!AA222)),0),AA103*$BI103),AA103*$BI103),0)</f>
        <v>0</v>
      </c>
      <c r="CE103" s="311">
        <f>IF($BI103&lt;&gt;"",IF('Capacity summary'!$D$14="Yes",IF(COUNTBLANK('Capacity summary'!$H222:$BG222)&lt;52,IF('Capacity summary'!AB222&lt;&gt;"",IF(LOWER('Capacity summary'!AB222)="x",$BI103*AB103,VALUE('Capacity summary'!AB222)),0),AB103*$BI103),AB103*$BI103),0)</f>
        <v>0</v>
      </c>
      <c r="CF103" s="311">
        <f>IF($BI103&lt;&gt;"",IF('Capacity summary'!$D$14="Yes",IF(COUNTBLANK('Capacity summary'!$H222:$BG222)&lt;52,IF('Capacity summary'!AC222&lt;&gt;"",IF(LOWER('Capacity summary'!AC222)="x",$BI103*AC103,VALUE('Capacity summary'!AC222)),0),AC103*$BI103),AC103*$BI103),0)</f>
        <v>0</v>
      </c>
      <c r="CG103" s="311">
        <f>IF($BI103&lt;&gt;"",IF('Capacity summary'!$D$14="Yes",IF(COUNTBLANK('Capacity summary'!$H222:$BG222)&lt;52,IF('Capacity summary'!AD222&lt;&gt;"",IF(LOWER('Capacity summary'!AD222)="x",$BI103*AD103,VALUE('Capacity summary'!AD222)),0),AD103*$BI103),AD103*$BI103),0)</f>
        <v>0</v>
      </c>
      <c r="CH103" s="311">
        <f>IF($BI103&lt;&gt;"",IF('Capacity summary'!$D$14="Yes",IF(COUNTBLANK('Capacity summary'!$H222:$BG222)&lt;52,IF('Capacity summary'!AE222&lt;&gt;"",IF(LOWER('Capacity summary'!AE222)="x",$BI103*AE103,VALUE('Capacity summary'!AE222)),0),AE103*$BI103),AE103*$BI103),0)</f>
        <v>0</v>
      </c>
      <c r="CI103" s="311">
        <f>IF($BI103&lt;&gt;"",IF('Capacity summary'!$D$14="Yes",IF(COUNTBLANK('Capacity summary'!$H222:$BG222)&lt;52,IF('Capacity summary'!AF222&lt;&gt;"",IF(LOWER('Capacity summary'!AF222)="x",$BI103*AF103,VALUE('Capacity summary'!AF222)),0),AF103*$BI103),AF103*$BI103),0)</f>
        <v>0</v>
      </c>
      <c r="CJ103" s="311">
        <f>IF($BI103&lt;&gt;"",IF('Capacity summary'!$D$14="Yes",IF(COUNTBLANK('Capacity summary'!$H222:$BG222)&lt;52,IF('Capacity summary'!AG222&lt;&gt;"",IF(LOWER('Capacity summary'!AG222)="x",$BI103*AG103,VALUE('Capacity summary'!AG222)),0),AG103*$BI103),AG103*$BI103),0)</f>
        <v>0</v>
      </c>
      <c r="CK103" s="311">
        <f>IF($BI103&lt;&gt;"",IF('Capacity summary'!$D$14="Yes",IF(COUNTBLANK('Capacity summary'!$H222:$BG222)&lt;52,IF('Capacity summary'!AH222&lt;&gt;"",IF(LOWER('Capacity summary'!AH222)="x",$BI103*AH103,VALUE('Capacity summary'!AH222)),0),AH103*$BI103),AH103*$BI103),0)</f>
        <v>0</v>
      </c>
      <c r="CL103" s="311">
        <f>IF($BI103&lt;&gt;"",IF('Capacity summary'!$D$14="Yes",IF(COUNTBLANK('Capacity summary'!$H222:$BG222)&lt;52,IF('Capacity summary'!AI222&lt;&gt;"",IF(LOWER('Capacity summary'!AI222)="x",$BI103*AI103,VALUE('Capacity summary'!AI222)),0),AI103*$BI103),AI103*$BI103),0)</f>
        <v>0</v>
      </c>
      <c r="CM103" s="311">
        <f>IF($BI103&lt;&gt;"",IF('Capacity summary'!$D$14="Yes",IF(COUNTBLANK('Capacity summary'!$H222:$BG222)&lt;52,IF('Capacity summary'!AJ222&lt;&gt;"",IF(LOWER('Capacity summary'!AJ222)="x",$BI103*AJ103,VALUE('Capacity summary'!AJ222)),0),AJ103*$BI103),AJ103*$BI103),0)</f>
        <v>0</v>
      </c>
      <c r="CN103" s="311">
        <f>IF($BI103&lt;&gt;"",IF('Capacity summary'!$D$14="Yes",IF(COUNTBLANK('Capacity summary'!$H222:$BG222)&lt;52,IF('Capacity summary'!AK222&lt;&gt;"",IF(LOWER('Capacity summary'!AK222)="x",$BI103*AK103,VALUE('Capacity summary'!AK222)),0),AK103*$BI103),AK103*$BI103),0)</f>
        <v>0</v>
      </c>
      <c r="CO103" s="311">
        <f>IF($BI103&lt;&gt;"",IF('Capacity summary'!$D$14="Yes",IF(COUNTBLANK('Capacity summary'!$H222:$BG222)&lt;52,IF('Capacity summary'!AL222&lt;&gt;"",IF(LOWER('Capacity summary'!AL222)="x",$BI103*AL103,VALUE('Capacity summary'!AL222)),0),AL103*$BI103),AL103*$BI103),0)</f>
        <v>0</v>
      </c>
      <c r="CP103" s="311">
        <f>IF($BI103&lt;&gt;"",IF('Capacity summary'!$D$14="Yes",IF(COUNTBLANK('Capacity summary'!$H222:$BG222)&lt;52,IF('Capacity summary'!AM222&lt;&gt;"",IF(LOWER('Capacity summary'!AM222)="x",$BI103*AM103,VALUE('Capacity summary'!AM222)),0),AM103*$BI103),AM103*$BI103),0)</f>
        <v>0</v>
      </c>
      <c r="CQ103" s="311">
        <f>IF($BI103&lt;&gt;"",IF('Capacity summary'!$D$14="Yes",IF(COUNTBLANK('Capacity summary'!$H222:$BG222)&lt;52,IF('Capacity summary'!AN222&lt;&gt;"",IF(LOWER('Capacity summary'!AN222)="x",$BI103*AN103,VALUE('Capacity summary'!AN222)),0),AN103*$BI103),AN103*$BI103),0)</f>
        <v>0</v>
      </c>
      <c r="CR103" s="311">
        <f>IF($BI103&lt;&gt;"",IF('Capacity summary'!$D$14="Yes",IF(COUNTBLANK('Capacity summary'!$H222:$BG222)&lt;52,IF('Capacity summary'!AO222&lt;&gt;"",IF(LOWER('Capacity summary'!AO222)="x",$BI103*AO103,VALUE('Capacity summary'!AO222)),0),AO103*$BI103),AO103*$BI103),0)</f>
        <v>0</v>
      </c>
      <c r="CS103" s="311">
        <f>IF($BI103&lt;&gt;"",IF('Capacity summary'!$D$14="Yes",IF(COUNTBLANK('Capacity summary'!$H222:$BG222)&lt;52,IF('Capacity summary'!AP222&lt;&gt;"",IF(LOWER('Capacity summary'!AP222)="x",$BI103*AP103,VALUE('Capacity summary'!AP222)),0),AP103*$BI103),AP103*$BI103),0)</f>
        <v>0</v>
      </c>
      <c r="CT103" s="311">
        <f>IF($BI103&lt;&gt;"",IF('Capacity summary'!$D$14="Yes",IF(COUNTBLANK('Capacity summary'!$H222:$BG222)&lt;52,IF('Capacity summary'!AQ222&lt;&gt;"",IF(LOWER('Capacity summary'!AQ222)="x",$BI103*AQ103,VALUE('Capacity summary'!AQ222)),0),AQ103*$BI103),AQ103*$BI103),0)</f>
        <v>0</v>
      </c>
      <c r="CU103" s="311">
        <f>IF($BI103&lt;&gt;"",IF('Capacity summary'!$D$14="Yes",IF(COUNTBLANK('Capacity summary'!$H222:$BG222)&lt;52,IF('Capacity summary'!AR222&lt;&gt;"",IF(LOWER('Capacity summary'!AR222)="x",$BI103*AR103,VALUE('Capacity summary'!AR222)),0),AR103*$BI103),AR103*$BI103),0)</f>
        <v>0</v>
      </c>
      <c r="CV103" s="311">
        <f>IF($BI103&lt;&gt;"",IF('Capacity summary'!$D$14="Yes",IF(COUNTBLANK('Capacity summary'!$H222:$BG222)&lt;52,IF('Capacity summary'!AS222&lt;&gt;"",IF(LOWER('Capacity summary'!AS222)="x",$BI103*AS103,VALUE('Capacity summary'!AS222)),0),AS103*$BI103),AS103*$BI103),0)</f>
        <v>0</v>
      </c>
      <c r="CW103" s="311">
        <f>IF($BI103&lt;&gt;"",IF('Capacity summary'!$D$14="Yes",IF(COUNTBLANK('Capacity summary'!$H222:$BG222)&lt;52,IF('Capacity summary'!AT222&lt;&gt;"",IF(LOWER('Capacity summary'!AT222)="x",$BI103*AT103,VALUE('Capacity summary'!AT222)),0),AT103*$BI103),AT103*$BI103),0)</f>
        <v>0</v>
      </c>
      <c r="CX103" s="311">
        <f>IF($BI103&lt;&gt;"",IF('Capacity summary'!$D$14="Yes",IF(COUNTBLANK('Capacity summary'!$H222:$BG222)&lt;52,IF('Capacity summary'!AU222&lt;&gt;"",IF(LOWER('Capacity summary'!AU222)="x",$BI103*AU103,VALUE('Capacity summary'!AU222)),0),AU103*$BI103),AU103*$BI103),0)</f>
        <v>0</v>
      </c>
      <c r="CY103" s="311">
        <f>IF($BI103&lt;&gt;"",IF('Capacity summary'!$D$14="Yes",IF(COUNTBLANK('Capacity summary'!$H222:$BG222)&lt;52,IF('Capacity summary'!AV222&lt;&gt;"",IF(LOWER('Capacity summary'!AV222)="x",$BI103*AV103,VALUE('Capacity summary'!AV222)),0),AV103*$BI103),AV103*$BI103),0)</f>
        <v>0</v>
      </c>
      <c r="CZ103" s="311">
        <f>IF($BI103&lt;&gt;"",IF('Capacity summary'!$D$14="Yes",IF(COUNTBLANK('Capacity summary'!$H222:$BG222)&lt;52,IF('Capacity summary'!AW222&lt;&gt;"",IF(LOWER('Capacity summary'!AW222)="x",$BI103*AW103,VALUE('Capacity summary'!AW222)),0),AW103*$BI103),AW103*$BI103),0)</f>
        <v>0</v>
      </c>
      <c r="DA103" s="311">
        <f>IF($BI103&lt;&gt;"",IF('Capacity summary'!$D$14="Yes",IF(COUNTBLANK('Capacity summary'!$H222:$BG222)&lt;52,IF('Capacity summary'!AX222&lt;&gt;"",IF(LOWER('Capacity summary'!AX222)="x",$BI103*AX103,VALUE('Capacity summary'!AX222)),0),AX103*$BI103),AX103*$BI103),0)</f>
        <v>0</v>
      </c>
      <c r="DB103" s="311">
        <f>IF($BI103&lt;&gt;"",IF('Capacity summary'!$D$14="Yes",IF(COUNTBLANK('Capacity summary'!$H222:$BG222)&lt;52,IF('Capacity summary'!AY222&lt;&gt;"",IF(LOWER('Capacity summary'!AY222)="x",$BI103*AY103,VALUE('Capacity summary'!AY222)),0),AY103*$BI103),AY103*$BI103),0)</f>
        <v>0</v>
      </c>
      <c r="DC103" s="311">
        <f>IF($BI103&lt;&gt;"",IF('Capacity summary'!$D$14="Yes",IF(COUNTBLANK('Capacity summary'!$H222:$BG222)&lt;52,IF('Capacity summary'!AZ222&lt;&gt;"",IF(LOWER('Capacity summary'!AZ222)="x",$BI103*AZ103,VALUE('Capacity summary'!AZ222)),0),AZ103*$BI103),AZ103*$BI103),0)</f>
        <v>0</v>
      </c>
      <c r="DD103" s="311">
        <f>IF($BI103&lt;&gt;"",IF('Capacity summary'!$D$14="Yes",IF(COUNTBLANK('Capacity summary'!$H222:$BG222)&lt;52,IF('Capacity summary'!BA222&lt;&gt;"",IF(LOWER('Capacity summary'!BA222)="x",$BI103*BA103,VALUE('Capacity summary'!BA222)),0),BA103*$BI103),BA103*$BI103),0)</f>
        <v>0</v>
      </c>
      <c r="DE103" s="311">
        <f>IF($BI103&lt;&gt;"",IF('Capacity summary'!$D$14="Yes",IF(COUNTBLANK('Capacity summary'!$H222:$BG222)&lt;52,IF('Capacity summary'!BB222&lt;&gt;"",IF(LOWER('Capacity summary'!BB222)="x",$BI103*BB103,VALUE('Capacity summary'!BB222)),0),BB103*$BI103),BB103*$BI103),0)</f>
        <v>0</v>
      </c>
      <c r="DF103" s="311">
        <f>IF($BI103&lt;&gt;"",IF('Capacity summary'!$D$14="Yes",IF(COUNTBLANK('Capacity summary'!$H222:$BG222)&lt;52,IF('Capacity summary'!BC222&lt;&gt;"",IF(LOWER('Capacity summary'!BC222)="x",$BI103*BC103,VALUE('Capacity summary'!BC222)),0),BC103*$BI103),BC103*$BI103),0)</f>
        <v>0</v>
      </c>
      <c r="DG103" s="311">
        <f>IF($BI103&lt;&gt;"",IF('Capacity summary'!$D$14="Yes",IF(COUNTBLANK('Capacity summary'!$H222:$BG222)&lt;52,IF('Capacity summary'!BD222&lt;&gt;"",IF(LOWER('Capacity summary'!BD222)="x",$BI103*BD103,VALUE('Capacity summary'!BD222)),0),BD103*$BI103),BD103*$BI103),0)</f>
        <v>0</v>
      </c>
      <c r="DH103" s="311">
        <f>IF($BI103&lt;&gt;"",IF('Capacity summary'!$D$14="Yes",IF(COUNTBLANK('Capacity summary'!$H222:$BG222)&lt;52,IF('Capacity summary'!BE222&lt;&gt;"",IF(LOWER('Capacity summary'!BE222)="x",$BI103*BE103,VALUE('Capacity summary'!BE222)),0),BE103*$BI103),BE103*$BI103),0)</f>
        <v>0</v>
      </c>
      <c r="DI103" s="311">
        <f>IF($BI103&lt;&gt;"",IF('Capacity summary'!$D$14="Yes",IF(COUNTBLANK('Capacity summary'!$H222:$BG222)&lt;52,IF('Capacity summary'!BF222&lt;&gt;"",IF(LOWER('Capacity summary'!BF222)="x",$BI103*BF103,VALUE('Capacity summary'!BF222)),0),BF103*$BI103),BF103*$BI103),0)</f>
        <v>0</v>
      </c>
      <c r="DJ103" s="311">
        <f>IF($BI103&lt;&gt;"",IF('Capacity summary'!$D$14="Yes",IF(COUNTBLANK('Capacity summary'!$H222:$BG222)&lt;52,IF('Capacity summary'!BG222&lt;&gt;"",IF(LOWER('Capacity summary'!BG222)="x",$BI103*BG103,VALUE('Capacity summary'!BG222)),0),BG103*$BI103),BG103*$BI103),0)</f>
        <v>0</v>
      </c>
      <c r="DK103" s="387">
        <f t="shared" si="4"/>
        <v>0</v>
      </c>
      <c r="DL103" s="136">
        <f t="shared" si="5"/>
        <v>0</v>
      </c>
      <c r="DM103" s="311" t="str">
        <f>Capacity!H115</f>
        <v/>
      </c>
    </row>
    <row r="104" spans="1:117" x14ac:dyDescent="0.2">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1">
        <f>IF($BI104&lt;&gt;"",IF('Capacity summary'!$D$14="Yes",IF(COUNTBLANK('Capacity summary'!$H223:$BG223)&lt;52,IF('Capacity summary'!H223&lt;&gt;"",IF(LOWER('Capacity summary'!H223)="x",$BI104*H104,VALUE('Capacity summary'!H223)),0),H104*$BI104),H104*$BI104),0)</f>
        <v>0</v>
      </c>
      <c r="BL104" s="311">
        <f>IF($BI104&lt;&gt;"",IF('Capacity summary'!$D$14="Yes",IF(COUNTBLANK('Capacity summary'!$H223:$BG223)&lt;52,IF('Capacity summary'!I223&lt;&gt;"",IF(LOWER('Capacity summary'!I223)="x",$BI104*I104,VALUE('Capacity summary'!I223)),0),I104*$BI104),I104*$BI104),0)</f>
        <v>0</v>
      </c>
      <c r="BM104" s="311">
        <f>IF($BI104&lt;&gt;"",IF('Capacity summary'!$D$14="Yes",IF(COUNTBLANK('Capacity summary'!$H223:$BG223)&lt;52,IF('Capacity summary'!J223&lt;&gt;"",IF(LOWER('Capacity summary'!J223)="x",$BI104*J104,VALUE('Capacity summary'!J223)),0),J104*$BI104),J104*$BI104),0)</f>
        <v>0</v>
      </c>
      <c r="BN104" s="311">
        <f>IF($BI104&lt;&gt;"",IF('Capacity summary'!$D$14="Yes",IF(COUNTBLANK('Capacity summary'!$H223:$BG223)&lt;52,IF('Capacity summary'!K223&lt;&gt;"",IF(LOWER('Capacity summary'!K223)="x",$BI104*K104,VALUE('Capacity summary'!K223)),0),K104*$BI104),K104*$BI104),0)</f>
        <v>0</v>
      </c>
      <c r="BO104" s="311">
        <f>IF($BI104&lt;&gt;"",IF('Capacity summary'!$D$14="Yes",IF(COUNTBLANK('Capacity summary'!$H223:$BG223)&lt;52,IF('Capacity summary'!L223&lt;&gt;"",IF(LOWER('Capacity summary'!L223)="x",$BI104*L104,VALUE('Capacity summary'!L223)),0),L104*$BI104),L104*$BI104),0)</f>
        <v>0</v>
      </c>
      <c r="BP104" s="311">
        <f>IF($BI104&lt;&gt;"",IF('Capacity summary'!$D$14="Yes",IF(COUNTBLANK('Capacity summary'!$H223:$BG223)&lt;52,IF('Capacity summary'!M223&lt;&gt;"",IF(LOWER('Capacity summary'!M223)="x",$BI104*M104,VALUE('Capacity summary'!M223)),0),M104*$BI104),M104*$BI104),0)</f>
        <v>0</v>
      </c>
      <c r="BQ104" s="311">
        <f>IF($BI104&lt;&gt;"",IF('Capacity summary'!$D$14="Yes",IF(COUNTBLANK('Capacity summary'!$H223:$BG223)&lt;52,IF('Capacity summary'!N223&lt;&gt;"",IF(LOWER('Capacity summary'!N223)="x",$BI104*N104,VALUE('Capacity summary'!N223)),0),N104*$BI104),N104*$BI104),0)</f>
        <v>0</v>
      </c>
      <c r="BR104" s="311">
        <f>IF($BI104&lt;&gt;"",IF('Capacity summary'!$D$14="Yes",IF(COUNTBLANK('Capacity summary'!$H223:$BG223)&lt;52,IF('Capacity summary'!O223&lt;&gt;"",IF(LOWER('Capacity summary'!O223)="x",$BI104*O104,VALUE('Capacity summary'!O223)),0),O104*$BI104),O104*$BI104),0)</f>
        <v>0</v>
      </c>
      <c r="BS104" s="311">
        <f>IF($BI104&lt;&gt;"",IF('Capacity summary'!$D$14="Yes",IF(COUNTBLANK('Capacity summary'!$H223:$BG223)&lt;52,IF('Capacity summary'!P223&lt;&gt;"",IF(LOWER('Capacity summary'!P223)="x",$BI104*P104,VALUE('Capacity summary'!P223)),0),P104*$BI104),P104*$BI104),0)</f>
        <v>0</v>
      </c>
      <c r="BT104" s="311">
        <f>IF($BI104&lt;&gt;"",IF('Capacity summary'!$D$14="Yes",IF(COUNTBLANK('Capacity summary'!$H223:$BG223)&lt;52,IF('Capacity summary'!Q223&lt;&gt;"",IF(LOWER('Capacity summary'!Q223)="x",$BI104*Q104,VALUE('Capacity summary'!Q223)),0),Q104*$BI104),Q104*$BI104),0)</f>
        <v>0</v>
      </c>
      <c r="BU104" s="311">
        <f>IF($BI104&lt;&gt;"",IF('Capacity summary'!$D$14="Yes",IF(COUNTBLANK('Capacity summary'!$H223:$BG223)&lt;52,IF('Capacity summary'!R223&lt;&gt;"",IF(LOWER('Capacity summary'!R223)="x",$BI104*R104,VALUE('Capacity summary'!R223)),0),R104*$BI104),R104*$BI104),0)</f>
        <v>0</v>
      </c>
      <c r="BV104" s="311">
        <f>IF($BI104&lt;&gt;"",IF('Capacity summary'!$D$14="Yes",IF(COUNTBLANK('Capacity summary'!$H223:$BG223)&lt;52,IF('Capacity summary'!S223&lt;&gt;"",IF(LOWER('Capacity summary'!S223)="x",$BI104*S104,VALUE('Capacity summary'!S223)),0),S104*$BI104),S104*$BI104),0)</f>
        <v>0</v>
      </c>
      <c r="BW104" s="311">
        <f>IF($BI104&lt;&gt;"",IF('Capacity summary'!$D$14="Yes",IF(COUNTBLANK('Capacity summary'!$H223:$BG223)&lt;52,IF('Capacity summary'!T223&lt;&gt;"",IF(LOWER('Capacity summary'!T223)="x",$BI104*T104,VALUE('Capacity summary'!T223)),0),T104*$BI104),T104*$BI104),0)</f>
        <v>0</v>
      </c>
      <c r="BX104" s="311">
        <f>IF($BI104&lt;&gt;"",IF('Capacity summary'!$D$14="Yes",IF(COUNTBLANK('Capacity summary'!$H223:$BG223)&lt;52,IF('Capacity summary'!U223&lt;&gt;"",IF(LOWER('Capacity summary'!U223)="x",$BI104*U104,VALUE('Capacity summary'!U223)),0),U104*$BI104),U104*$BI104),0)</f>
        <v>0</v>
      </c>
      <c r="BY104" s="311">
        <f>IF($BI104&lt;&gt;"",IF('Capacity summary'!$D$14="Yes",IF(COUNTBLANK('Capacity summary'!$H223:$BG223)&lt;52,IF('Capacity summary'!V223&lt;&gt;"",IF(LOWER('Capacity summary'!V223)="x",$BI104*V104,VALUE('Capacity summary'!V223)),0),V104*$BI104),V104*$BI104),0)</f>
        <v>0</v>
      </c>
      <c r="BZ104" s="311">
        <f>IF($BI104&lt;&gt;"",IF('Capacity summary'!$D$14="Yes",IF(COUNTBLANK('Capacity summary'!$H223:$BG223)&lt;52,IF('Capacity summary'!W223&lt;&gt;"",IF(LOWER('Capacity summary'!W223)="x",$BI104*W104,VALUE('Capacity summary'!W223)),0),W104*$BI104),W104*$BI104),0)</f>
        <v>0</v>
      </c>
      <c r="CA104" s="311">
        <f>IF($BI104&lt;&gt;"",IF('Capacity summary'!$D$14="Yes",IF(COUNTBLANK('Capacity summary'!$H223:$BG223)&lt;52,IF('Capacity summary'!X223&lt;&gt;"",IF(LOWER('Capacity summary'!X223)="x",$BI104*X104,VALUE('Capacity summary'!X223)),0),X104*$BI104),X104*$BI104),0)</f>
        <v>0</v>
      </c>
      <c r="CB104" s="311">
        <f>IF($BI104&lt;&gt;"",IF('Capacity summary'!$D$14="Yes",IF(COUNTBLANK('Capacity summary'!$H223:$BG223)&lt;52,IF('Capacity summary'!Y223&lt;&gt;"",IF(LOWER('Capacity summary'!Y223)="x",$BI104*Y104,VALUE('Capacity summary'!Y223)),0),Y104*$BI104),Y104*$BI104),0)</f>
        <v>0</v>
      </c>
      <c r="CC104" s="311">
        <f>IF($BI104&lt;&gt;"",IF('Capacity summary'!$D$14="Yes",IF(COUNTBLANK('Capacity summary'!$H223:$BG223)&lt;52,IF('Capacity summary'!Z223&lt;&gt;"",IF(LOWER('Capacity summary'!Z223)="x",$BI104*Z104,VALUE('Capacity summary'!Z223)),0),Z104*$BI104),Z104*$BI104),0)</f>
        <v>0</v>
      </c>
      <c r="CD104" s="311">
        <f>IF($BI104&lt;&gt;"",IF('Capacity summary'!$D$14="Yes",IF(COUNTBLANK('Capacity summary'!$H223:$BG223)&lt;52,IF('Capacity summary'!AA223&lt;&gt;"",IF(LOWER('Capacity summary'!AA223)="x",$BI104*AA104,VALUE('Capacity summary'!AA223)),0),AA104*$BI104),AA104*$BI104),0)</f>
        <v>0</v>
      </c>
      <c r="CE104" s="311">
        <f>IF($BI104&lt;&gt;"",IF('Capacity summary'!$D$14="Yes",IF(COUNTBLANK('Capacity summary'!$H223:$BG223)&lt;52,IF('Capacity summary'!AB223&lt;&gt;"",IF(LOWER('Capacity summary'!AB223)="x",$BI104*AB104,VALUE('Capacity summary'!AB223)),0),AB104*$BI104),AB104*$BI104),0)</f>
        <v>0</v>
      </c>
      <c r="CF104" s="311">
        <f>IF($BI104&lt;&gt;"",IF('Capacity summary'!$D$14="Yes",IF(COUNTBLANK('Capacity summary'!$H223:$BG223)&lt;52,IF('Capacity summary'!AC223&lt;&gt;"",IF(LOWER('Capacity summary'!AC223)="x",$BI104*AC104,VALUE('Capacity summary'!AC223)),0),AC104*$BI104),AC104*$BI104),0)</f>
        <v>0</v>
      </c>
      <c r="CG104" s="311">
        <f>IF($BI104&lt;&gt;"",IF('Capacity summary'!$D$14="Yes",IF(COUNTBLANK('Capacity summary'!$H223:$BG223)&lt;52,IF('Capacity summary'!AD223&lt;&gt;"",IF(LOWER('Capacity summary'!AD223)="x",$BI104*AD104,VALUE('Capacity summary'!AD223)),0),AD104*$BI104),AD104*$BI104),0)</f>
        <v>0</v>
      </c>
      <c r="CH104" s="311">
        <f>IF($BI104&lt;&gt;"",IF('Capacity summary'!$D$14="Yes",IF(COUNTBLANK('Capacity summary'!$H223:$BG223)&lt;52,IF('Capacity summary'!AE223&lt;&gt;"",IF(LOWER('Capacity summary'!AE223)="x",$BI104*AE104,VALUE('Capacity summary'!AE223)),0),AE104*$BI104),AE104*$BI104),0)</f>
        <v>0</v>
      </c>
      <c r="CI104" s="311">
        <f>IF($BI104&lt;&gt;"",IF('Capacity summary'!$D$14="Yes",IF(COUNTBLANK('Capacity summary'!$H223:$BG223)&lt;52,IF('Capacity summary'!AF223&lt;&gt;"",IF(LOWER('Capacity summary'!AF223)="x",$BI104*AF104,VALUE('Capacity summary'!AF223)),0),AF104*$BI104),AF104*$BI104),0)</f>
        <v>0</v>
      </c>
      <c r="CJ104" s="311">
        <f>IF($BI104&lt;&gt;"",IF('Capacity summary'!$D$14="Yes",IF(COUNTBLANK('Capacity summary'!$H223:$BG223)&lt;52,IF('Capacity summary'!AG223&lt;&gt;"",IF(LOWER('Capacity summary'!AG223)="x",$BI104*AG104,VALUE('Capacity summary'!AG223)),0),AG104*$BI104),AG104*$BI104),0)</f>
        <v>0</v>
      </c>
      <c r="CK104" s="311">
        <f>IF($BI104&lt;&gt;"",IF('Capacity summary'!$D$14="Yes",IF(COUNTBLANK('Capacity summary'!$H223:$BG223)&lt;52,IF('Capacity summary'!AH223&lt;&gt;"",IF(LOWER('Capacity summary'!AH223)="x",$BI104*AH104,VALUE('Capacity summary'!AH223)),0),AH104*$BI104),AH104*$BI104),0)</f>
        <v>0</v>
      </c>
      <c r="CL104" s="311">
        <f>IF($BI104&lt;&gt;"",IF('Capacity summary'!$D$14="Yes",IF(COUNTBLANK('Capacity summary'!$H223:$BG223)&lt;52,IF('Capacity summary'!AI223&lt;&gt;"",IF(LOWER('Capacity summary'!AI223)="x",$BI104*AI104,VALUE('Capacity summary'!AI223)),0),AI104*$BI104),AI104*$BI104),0)</f>
        <v>0</v>
      </c>
      <c r="CM104" s="311">
        <f>IF($BI104&lt;&gt;"",IF('Capacity summary'!$D$14="Yes",IF(COUNTBLANK('Capacity summary'!$H223:$BG223)&lt;52,IF('Capacity summary'!AJ223&lt;&gt;"",IF(LOWER('Capacity summary'!AJ223)="x",$BI104*AJ104,VALUE('Capacity summary'!AJ223)),0),AJ104*$BI104),AJ104*$BI104),0)</f>
        <v>0</v>
      </c>
      <c r="CN104" s="311">
        <f>IF($BI104&lt;&gt;"",IF('Capacity summary'!$D$14="Yes",IF(COUNTBLANK('Capacity summary'!$H223:$BG223)&lt;52,IF('Capacity summary'!AK223&lt;&gt;"",IF(LOWER('Capacity summary'!AK223)="x",$BI104*AK104,VALUE('Capacity summary'!AK223)),0),AK104*$BI104),AK104*$BI104),0)</f>
        <v>0</v>
      </c>
      <c r="CO104" s="311">
        <f>IF($BI104&lt;&gt;"",IF('Capacity summary'!$D$14="Yes",IF(COUNTBLANK('Capacity summary'!$H223:$BG223)&lt;52,IF('Capacity summary'!AL223&lt;&gt;"",IF(LOWER('Capacity summary'!AL223)="x",$BI104*AL104,VALUE('Capacity summary'!AL223)),0),AL104*$BI104),AL104*$BI104),0)</f>
        <v>0</v>
      </c>
      <c r="CP104" s="311">
        <f>IF($BI104&lt;&gt;"",IF('Capacity summary'!$D$14="Yes",IF(COUNTBLANK('Capacity summary'!$H223:$BG223)&lt;52,IF('Capacity summary'!AM223&lt;&gt;"",IF(LOWER('Capacity summary'!AM223)="x",$BI104*AM104,VALUE('Capacity summary'!AM223)),0),AM104*$BI104),AM104*$BI104),0)</f>
        <v>0</v>
      </c>
      <c r="CQ104" s="311">
        <f>IF($BI104&lt;&gt;"",IF('Capacity summary'!$D$14="Yes",IF(COUNTBLANK('Capacity summary'!$H223:$BG223)&lt;52,IF('Capacity summary'!AN223&lt;&gt;"",IF(LOWER('Capacity summary'!AN223)="x",$BI104*AN104,VALUE('Capacity summary'!AN223)),0),AN104*$BI104),AN104*$BI104),0)</f>
        <v>0</v>
      </c>
      <c r="CR104" s="311">
        <f>IF($BI104&lt;&gt;"",IF('Capacity summary'!$D$14="Yes",IF(COUNTBLANK('Capacity summary'!$H223:$BG223)&lt;52,IF('Capacity summary'!AO223&lt;&gt;"",IF(LOWER('Capacity summary'!AO223)="x",$BI104*AO104,VALUE('Capacity summary'!AO223)),0),AO104*$BI104),AO104*$BI104),0)</f>
        <v>0</v>
      </c>
      <c r="CS104" s="311">
        <f>IF($BI104&lt;&gt;"",IF('Capacity summary'!$D$14="Yes",IF(COUNTBLANK('Capacity summary'!$H223:$BG223)&lt;52,IF('Capacity summary'!AP223&lt;&gt;"",IF(LOWER('Capacity summary'!AP223)="x",$BI104*AP104,VALUE('Capacity summary'!AP223)),0),AP104*$BI104),AP104*$BI104),0)</f>
        <v>0</v>
      </c>
      <c r="CT104" s="311">
        <f>IF($BI104&lt;&gt;"",IF('Capacity summary'!$D$14="Yes",IF(COUNTBLANK('Capacity summary'!$H223:$BG223)&lt;52,IF('Capacity summary'!AQ223&lt;&gt;"",IF(LOWER('Capacity summary'!AQ223)="x",$BI104*AQ104,VALUE('Capacity summary'!AQ223)),0),AQ104*$BI104),AQ104*$BI104),0)</f>
        <v>0</v>
      </c>
      <c r="CU104" s="311">
        <f>IF($BI104&lt;&gt;"",IF('Capacity summary'!$D$14="Yes",IF(COUNTBLANK('Capacity summary'!$H223:$BG223)&lt;52,IF('Capacity summary'!AR223&lt;&gt;"",IF(LOWER('Capacity summary'!AR223)="x",$BI104*AR104,VALUE('Capacity summary'!AR223)),0),AR104*$BI104),AR104*$BI104),0)</f>
        <v>0</v>
      </c>
      <c r="CV104" s="311">
        <f>IF($BI104&lt;&gt;"",IF('Capacity summary'!$D$14="Yes",IF(COUNTBLANK('Capacity summary'!$H223:$BG223)&lt;52,IF('Capacity summary'!AS223&lt;&gt;"",IF(LOWER('Capacity summary'!AS223)="x",$BI104*AS104,VALUE('Capacity summary'!AS223)),0),AS104*$BI104),AS104*$BI104),0)</f>
        <v>0</v>
      </c>
      <c r="CW104" s="311">
        <f>IF($BI104&lt;&gt;"",IF('Capacity summary'!$D$14="Yes",IF(COUNTBLANK('Capacity summary'!$H223:$BG223)&lt;52,IF('Capacity summary'!AT223&lt;&gt;"",IF(LOWER('Capacity summary'!AT223)="x",$BI104*AT104,VALUE('Capacity summary'!AT223)),0),AT104*$BI104),AT104*$BI104),0)</f>
        <v>0</v>
      </c>
      <c r="CX104" s="311">
        <f>IF($BI104&lt;&gt;"",IF('Capacity summary'!$D$14="Yes",IF(COUNTBLANK('Capacity summary'!$H223:$BG223)&lt;52,IF('Capacity summary'!AU223&lt;&gt;"",IF(LOWER('Capacity summary'!AU223)="x",$BI104*AU104,VALUE('Capacity summary'!AU223)),0),AU104*$BI104),AU104*$BI104),0)</f>
        <v>0</v>
      </c>
      <c r="CY104" s="311">
        <f>IF($BI104&lt;&gt;"",IF('Capacity summary'!$D$14="Yes",IF(COUNTBLANK('Capacity summary'!$H223:$BG223)&lt;52,IF('Capacity summary'!AV223&lt;&gt;"",IF(LOWER('Capacity summary'!AV223)="x",$BI104*AV104,VALUE('Capacity summary'!AV223)),0),AV104*$BI104),AV104*$BI104),0)</f>
        <v>0</v>
      </c>
      <c r="CZ104" s="311">
        <f>IF($BI104&lt;&gt;"",IF('Capacity summary'!$D$14="Yes",IF(COUNTBLANK('Capacity summary'!$H223:$BG223)&lt;52,IF('Capacity summary'!AW223&lt;&gt;"",IF(LOWER('Capacity summary'!AW223)="x",$BI104*AW104,VALUE('Capacity summary'!AW223)),0),AW104*$BI104),AW104*$BI104),0)</f>
        <v>0</v>
      </c>
      <c r="DA104" s="311">
        <f>IF($BI104&lt;&gt;"",IF('Capacity summary'!$D$14="Yes",IF(COUNTBLANK('Capacity summary'!$H223:$BG223)&lt;52,IF('Capacity summary'!AX223&lt;&gt;"",IF(LOWER('Capacity summary'!AX223)="x",$BI104*AX104,VALUE('Capacity summary'!AX223)),0),AX104*$BI104),AX104*$BI104),0)</f>
        <v>0</v>
      </c>
      <c r="DB104" s="311">
        <f>IF($BI104&lt;&gt;"",IF('Capacity summary'!$D$14="Yes",IF(COUNTBLANK('Capacity summary'!$H223:$BG223)&lt;52,IF('Capacity summary'!AY223&lt;&gt;"",IF(LOWER('Capacity summary'!AY223)="x",$BI104*AY104,VALUE('Capacity summary'!AY223)),0),AY104*$BI104),AY104*$BI104),0)</f>
        <v>0</v>
      </c>
      <c r="DC104" s="311">
        <f>IF($BI104&lt;&gt;"",IF('Capacity summary'!$D$14="Yes",IF(COUNTBLANK('Capacity summary'!$H223:$BG223)&lt;52,IF('Capacity summary'!AZ223&lt;&gt;"",IF(LOWER('Capacity summary'!AZ223)="x",$BI104*AZ104,VALUE('Capacity summary'!AZ223)),0),AZ104*$BI104),AZ104*$BI104),0)</f>
        <v>0</v>
      </c>
      <c r="DD104" s="311">
        <f>IF($BI104&lt;&gt;"",IF('Capacity summary'!$D$14="Yes",IF(COUNTBLANK('Capacity summary'!$H223:$BG223)&lt;52,IF('Capacity summary'!BA223&lt;&gt;"",IF(LOWER('Capacity summary'!BA223)="x",$BI104*BA104,VALUE('Capacity summary'!BA223)),0),BA104*$BI104),BA104*$BI104),0)</f>
        <v>0</v>
      </c>
      <c r="DE104" s="311">
        <f>IF($BI104&lt;&gt;"",IF('Capacity summary'!$D$14="Yes",IF(COUNTBLANK('Capacity summary'!$H223:$BG223)&lt;52,IF('Capacity summary'!BB223&lt;&gt;"",IF(LOWER('Capacity summary'!BB223)="x",$BI104*BB104,VALUE('Capacity summary'!BB223)),0),BB104*$BI104),BB104*$BI104),0)</f>
        <v>0</v>
      </c>
      <c r="DF104" s="311">
        <f>IF($BI104&lt;&gt;"",IF('Capacity summary'!$D$14="Yes",IF(COUNTBLANK('Capacity summary'!$H223:$BG223)&lt;52,IF('Capacity summary'!BC223&lt;&gt;"",IF(LOWER('Capacity summary'!BC223)="x",$BI104*BC104,VALUE('Capacity summary'!BC223)),0),BC104*$BI104),BC104*$BI104),0)</f>
        <v>0</v>
      </c>
      <c r="DG104" s="311">
        <f>IF($BI104&lt;&gt;"",IF('Capacity summary'!$D$14="Yes",IF(COUNTBLANK('Capacity summary'!$H223:$BG223)&lt;52,IF('Capacity summary'!BD223&lt;&gt;"",IF(LOWER('Capacity summary'!BD223)="x",$BI104*BD104,VALUE('Capacity summary'!BD223)),0),BD104*$BI104),BD104*$BI104),0)</f>
        <v>0</v>
      </c>
      <c r="DH104" s="311">
        <f>IF($BI104&lt;&gt;"",IF('Capacity summary'!$D$14="Yes",IF(COUNTBLANK('Capacity summary'!$H223:$BG223)&lt;52,IF('Capacity summary'!BE223&lt;&gt;"",IF(LOWER('Capacity summary'!BE223)="x",$BI104*BE104,VALUE('Capacity summary'!BE223)),0),BE104*$BI104),BE104*$BI104),0)</f>
        <v>0</v>
      </c>
      <c r="DI104" s="311">
        <f>IF($BI104&lt;&gt;"",IF('Capacity summary'!$D$14="Yes",IF(COUNTBLANK('Capacity summary'!$H223:$BG223)&lt;52,IF('Capacity summary'!BF223&lt;&gt;"",IF(LOWER('Capacity summary'!BF223)="x",$BI104*BF104,VALUE('Capacity summary'!BF223)),0),BF104*$BI104),BF104*$BI104),0)</f>
        <v>0</v>
      </c>
      <c r="DJ104" s="311">
        <f>IF($BI104&lt;&gt;"",IF('Capacity summary'!$D$14="Yes",IF(COUNTBLANK('Capacity summary'!$H223:$BG223)&lt;52,IF('Capacity summary'!BG223&lt;&gt;"",IF(LOWER('Capacity summary'!BG223)="x",$BI104*BG104,VALUE('Capacity summary'!BG223)),0),BG104*$BI104),BG104*$BI104),0)</f>
        <v>0</v>
      </c>
      <c r="DK104" s="387">
        <f t="shared" si="4"/>
        <v>0</v>
      </c>
      <c r="DL104" s="136">
        <f t="shared" si="5"/>
        <v>0</v>
      </c>
      <c r="DM104" s="311" t="str">
        <f>Capacity!H116</f>
        <v/>
      </c>
    </row>
    <row r="105" spans="1:117" x14ac:dyDescent="0.2">
      <c r="B105" s="67"/>
    </row>
    <row r="106" spans="1:117" x14ac:dyDescent="0.2">
      <c r="B106" s="67"/>
    </row>
    <row r="107" spans="1:117" x14ac:dyDescent="0.2">
      <c r="B107" s="67"/>
    </row>
    <row r="108" spans="1:117" x14ac:dyDescent="0.2">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7" ht="15"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386">
        <v>53</v>
      </c>
      <c r="DL109" s="2" t="s">
        <v>462</v>
      </c>
    </row>
    <row r="110" spans="1:117" x14ac:dyDescent="0.2">
      <c r="C110" t="s">
        <v>466</v>
      </c>
      <c r="H110" s="67"/>
      <c r="BJ110"/>
      <c r="BK110">
        <f ca="1">BK3</f>
        <v>18</v>
      </c>
      <c r="BL110" s="67">
        <f t="shared" ref="BL110:DJ110" ca="1" si="6">BL3</f>
        <v>19</v>
      </c>
      <c r="BM110" s="67">
        <f t="shared" ca="1" si="6"/>
        <v>20</v>
      </c>
      <c r="BN110" s="67">
        <f t="shared" ca="1" si="6"/>
        <v>21</v>
      </c>
      <c r="BO110" s="67">
        <f t="shared" ca="1" si="6"/>
        <v>22</v>
      </c>
      <c r="BP110" s="67">
        <f t="shared" ca="1" si="6"/>
        <v>23</v>
      </c>
      <c r="BQ110" s="67">
        <f t="shared" ca="1" si="6"/>
        <v>24</v>
      </c>
      <c r="BR110" s="67">
        <f t="shared" ca="1" si="6"/>
        <v>25</v>
      </c>
      <c r="BS110" s="67">
        <f t="shared" ca="1" si="6"/>
        <v>26</v>
      </c>
      <c r="BT110" s="67">
        <f t="shared" ca="1" si="6"/>
        <v>27</v>
      </c>
      <c r="BU110" s="67">
        <f t="shared" ca="1" si="6"/>
        <v>28</v>
      </c>
      <c r="BV110" s="67">
        <f t="shared" ca="1" si="6"/>
        <v>29</v>
      </c>
      <c r="BW110" s="67">
        <f t="shared" ca="1" si="6"/>
        <v>30</v>
      </c>
      <c r="BX110" s="67">
        <f t="shared" ca="1" si="6"/>
        <v>31</v>
      </c>
      <c r="BY110" s="67">
        <f t="shared" ca="1" si="6"/>
        <v>32</v>
      </c>
      <c r="BZ110" s="67">
        <f t="shared" ca="1" si="6"/>
        <v>33</v>
      </c>
      <c r="CA110" s="67">
        <f t="shared" ca="1" si="6"/>
        <v>34</v>
      </c>
      <c r="CB110" s="67">
        <f t="shared" ca="1" si="6"/>
        <v>35</v>
      </c>
      <c r="CC110" s="67">
        <f t="shared" ca="1" si="6"/>
        <v>36</v>
      </c>
      <c r="CD110" s="67">
        <f t="shared" ca="1" si="6"/>
        <v>37</v>
      </c>
      <c r="CE110" s="67">
        <f t="shared" ca="1" si="6"/>
        <v>38</v>
      </c>
      <c r="CF110" s="67">
        <f t="shared" ca="1" si="6"/>
        <v>39</v>
      </c>
      <c r="CG110" s="67">
        <f t="shared" ca="1" si="6"/>
        <v>40</v>
      </c>
      <c r="CH110" s="67">
        <f t="shared" ca="1" si="6"/>
        <v>41</v>
      </c>
      <c r="CI110" s="67">
        <f t="shared" ca="1" si="6"/>
        <v>42</v>
      </c>
      <c r="CJ110" s="67">
        <f t="shared" ca="1" si="6"/>
        <v>43</v>
      </c>
      <c r="CK110" s="67">
        <f t="shared" ca="1" si="6"/>
        <v>44</v>
      </c>
      <c r="CL110" s="67">
        <f t="shared" ca="1" si="6"/>
        <v>45</v>
      </c>
      <c r="CM110" s="67">
        <f t="shared" ca="1" si="6"/>
        <v>46</v>
      </c>
      <c r="CN110" s="67">
        <f t="shared" ca="1" si="6"/>
        <v>47</v>
      </c>
      <c r="CO110" s="67">
        <f t="shared" ca="1" si="6"/>
        <v>48</v>
      </c>
      <c r="CP110" s="67">
        <f t="shared" ca="1" si="6"/>
        <v>49</v>
      </c>
      <c r="CQ110" s="67">
        <f t="shared" ca="1" si="6"/>
        <v>50</v>
      </c>
      <c r="CR110" s="67">
        <f t="shared" ca="1" si="6"/>
        <v>51</v>
      </c>
      <c r="CS110" s="67">
        <f t="shared" ca="1" si="6"/>
        <v>52</v>
      </c>
      <c r="CT110" s="67">
        <f t="shared" ca="1" si="6"/>
        <v>1</v>
      </c>
      <c r="CU110" s="67">
        <f t="shared" ca="1" si="6"/>
        <v>2</v>
      </c>
      <c r="CV110" s="67">
        <f t="shared" ca="1" si="6"/>
        <v>3</v>
      </c>
      <c r="CW110" s="67">
        <f t="shared" ca="1" si="6"/>
        <v>4</v>
      </c>
      <c r="CX110" s="67">
        <f t="shared" ca="1" si="6"/>
        <v>5</v>
      </c>
      <c r="CY110" s="67">
        <f t="shared" ca="1" si="6"/>
        <v>6</v>
      </c>
      <c r="CZ110" s="67">
        <f t="shared" ca="1" si="6"/>
        <v>7</v>
      </c>
      <c r="DA110" s="67">
        <f t="shared" ca="1" si="6"/>
        <v>8</v>
      </c>
      <c r="DB110" s="67">
        <f t="shared" ca="1" si="6"/>
        <v>9</v>
      </c>
      <c r="DC110" s="67">
        <f t="shared" ca="1" si="6"/>
        <v>10</v>
      </c>
      <c r="DD110" s="67">
        <f t="shared" ca="1" si="6"/>
        <v>11</v>
      </c>
      <c r="DE110" s="67">
        <f t="shared" ca="1" si="6"/>
        <v>12</v>
      </c>
      <c r="DF110" s="67">
        <f t="shared" ca="1" si="6"/>
        <v>13</v>
      </c>
      <c r="DG110" s="67">
        <f t="shared" ca="1" si="6"/>
        <v>14</v>
      </c>
      <c r="DH110" s="67">
        <f t="shared" ca="1" si="6"/>
        <v>15</v>
      </c>
      <c r="DI110" s="67">
        <f t="shared" ca="1" si="6"/>
        <v>16</v>
      </c>
      <c r="DJ110" s="67">
        <f t="shared" ca="1" si="6"/>
        <v>17</v>
      </c>
      <c r="DK110" s="373">
        <f ca="1">DJ110+1</f>
        <v>18</v>
      </c>
    </row>
    <row r="111" spans="1:117" x14ac:dyDescent="0.2">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J111" ca="1" si="7">SUM(BL112:BL211)</f>
        <v>4</v>
      </c>
      <c r="BM111" s="5">
        <f t="shared" si="7"/>
        <v>0</v>
      </c>
      <c r="BN111" s="5">
        <f t="shared" ca="1" si="7"/>
        <v>4</v>
      </c>
      <c r="BO111" s="5">
        <f t="shared" si="7"/>
        <v>0</v>
      </c>
      <c r="BP111" s="5">
        <f t="shared" ca="1" si="7"/>
        <v>4</v>
      </c>
      <c r="BQ111" s="5">
        <f t="shared" ca="1" si="7"/>
        <v>4</v>
      </c>
      <c r="BR111" s="5">
        <f t="shared" si="7"/>
        <v>0</v>
      </c>
      <c r="BS111" s="5">
        <f t="shared" ca="1" si="7"/>
        <v>3.6923076923076925</v>
      </c>
      <c r="BT111" s="5">
        <f t="shared" ca="1" si="7"/>
        <v>7.6923076923076925</v>
      </c>
      <c r="BU111" s="5">
        <f t="shared" ca="1" si="7"/>
        <v>4</v>
      </c>
      <c r="BV111" s="5">
        <f t="shared" si="7"/>
        <v>0</v>
      </c>
      <c r="BW111" s="5">
        <f t="shared" si="7"/>
        <v>0</v>
      </c>
      <c r="BX111" s="5">
        <f t="shared" ca="1" si="7"/>
        <v>7.6923076923076925</v>
      </c>
      <c r="BY111" s="5">
        <f t="shared" si="7"/>
        <v>0</v>
      </c>
      <c r="BZ111" s="5">
        <f t="shared" si="7"/>
        <v>0</v>
      </c>
      <c r="CA111" s="5">
        <f t="shared" si="7"/>
        <v>0</v>
      </c>
      <c r="CB111" s="5">
        <f t="shared" si="7"/>
        <v>0</v>
      </c>
      <c r="CC111" s="5">
        <f t="shared" si="7"/>
        <v>0</v>
      </c>
      <c r="CD111" s="5">
        <f t="shared" si="7"/>
        <v>0</v>
      </c>
      <c r="CE111" s="5">
        <f t="shared" si="7"/>
        <v>0</v>
      </c>
      <c r="CF111" s="5">
        <f t="shared" si="7"/>
        <v>0</v>
      </c>
      <c r="CG111" s="5">
        <f t="shared" si="7"/>
        <v>0</v>
      </c>
      <c r="CH111" s="5">
        <f t="shared" si="7"/>
        <v>0</v>
      </c>
      <c r="CI111" s="5">
        <f t="shared" si="7"/>
        <v>0</v>
      </c>
      <c r="CJ111" s="5">
        <f t="shared" ca="1" si="7"/>
        <v>3.6923076923076925</v>
      </c>
      <c r="CK111" s="5">
        <f t="shared" ca="1" si="7"/>
        <v>3.6923076923076925</v>
      </c>
      <c r="CL111" s="5">
        <f t="shared" ca="1" si="7"/>
        <v>7.6923076923076925</v>
      </c>
      <c r="CM111" s="5">
        <f t="shared" ca="1" si="7"/>
        <v>7.6923076923076925</v>
      </c>
      <c r="CN111" s="5">
        <f t="shared" ca="1" si="7"/>
        <v>3.6923076923076925</v>
      </c>
      <c r="CO111" s="5">
        <f t="shared" ca="1" si="7"/>
        <v>3.6923076923076925</v>
      </c>
      <c r="CP111" s="5">
        <f t="shared" ca="1" si="7"/>
        <v>3.6923076923076925</v>
      </c>
      <c r="CQ111" s="5">
        <f t="shared" ca="1" si="7"/>
        <v>3.6923076923076925</v>
      </c>
      <c r="CR111" s="5">
        <f t="shared" ca="1" si="7"/>
        <v>0</v>
      </c>
      <c r="CS111" s="5">
        <f t="shared" ca="1" si="7"/>
        <v>0</v>
      </c>
      <c r="CT111" s="5">
        <f t="shared" si="7"/>
        <v>0</v>
      </c>
      <c r="CU111" s="5">
        <f t="shared" ca="1" si="7"/>
        <v>4</v>
      </c>
      <c r="CV111" s="5">
        <f t="shared" si="7"/>
        <v>0</v>
      </c>
      <c r="CW111" s="5">
        <f t="shared" si="7"/>
        <v>0</v>
      </c>
      <c r="CX111" s="5">
        <f t="shared" si="7"/>
        <v>0</v>
      </c>
      <c r="CY111" s="5">
        <f t="shared" si="7"/>
        <v>0</v>
      </c>
      <c r="CZ111" s="5">
        <f t="shared" si="7"/>
        <v>0</v>
      </c>
      <c r="DA111" s="5">
        <f t="shared" si="7"/>
        <v>0</v>
      </c>
      <c r="DB111" s="5">
        <f t="shared" si="7"/>
        <v>0</v>
      </c>
      <c r="DC111" s="5">
        <f t="shared" si="7"/>
        <v>0</v>
      </c>
      <c r="DD111" s="5">
        <f t="shared" si="7"/>
        <v>0</v>
      </c>
      <c r="DE111" s="5">
        <f t="shared" si="7"/>
        <v>0</v>
      </c>
      <c r="DF111" s="5">
        <f t="shared" si="7"/>
        <v>0</v>
      </c>
      <c r="DG111" s="5">
        <f t="shared" si="7"/>
        <v>0</v>
      </c>
      <c r="DH111" s="5">
        <f t="shared" si="7"/>
        <v>0</v>
      </c>
      <c r="DI111" s="5">
        <f t="shared" si="7"/>
        <v>0</v>
      </c>
      <c r="DJ111" s="5">
        <f t="shared" si="7"/>
        <v>0</v>
      </c>
      <c r="DK111" s="387">
        <f>DJ111</f>
        <v>0</v>
      </c>
      <c r="DL111" s="5">
        <f ca="1">SUM(BK111:DK111)</f>
        <v>80.615384615384627</v>
      </c>
    </row>
    <row r="112" spans="1:117" x14ac:dyDescent="0.2">
      <c r="C112" t="str">
        <f>ROW(A1)&amp;". "&amp;Capacity!N17</f>
        <v>1. Ad Hoc 1</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0</v>
      </c>
      <c r="W112" s="67">
        <f ca="1">IF(LOWER(Capacity!$V17)="x",IF(AND(SUMIF(Capacity_Resource,$D112,'Critical resources (hide)'!AJ$6:AJ$105)+SUMIF(Capacity_Resource,$E112,'Critical resources (hide)'!AJ$6:AJ$105)+SUMIF(Capacity_Resource,$F112,'Critical resources (hide)'!AJ$6:AJ$105)&gt;0,$E$1=2),0,1),0)</f>
        <v>0</v>
      </c>
      <c r="X112" s="67">
        <f ca="1">IF(LOWER(Capacity!$V17)="x",IF(AND(SUMIF(Capacity_Resource,$D112,'Critical resources (hide)'!AK$6:AK$105)+SUMIF(Capacity_Resource,$E112,'Critical resources (hide)'!AK$6:AK$105)+SUMIF(Capacity_Resource,$F112,'Critical resources (hide)'!AK$6:AK$105)&gt;0,$E$1=2),0,1),0)</f>
        <v>0</v>
      </c>
      <c r="Y112" s="67">
        <f ca="1">IF(LOWER(Capacity!$V17)="x",IF(AND(SUMIF(Capacity_Resource,$D112,'Critical resources (hide)'!AL$6:AL$105)+SUMIF(Capacity_Resource,$E112,'Critical resources (hide)'!AL$6:AL$105)+SUMIF(Capacity_Resource,$F112,'Critical resources (hide)'!AL$6:AL$105)&gt;0,$E$1=2),0,1),0)</f>
        <v>0</v>
      </c>
      <c r="Z112" s="67">
        <f ca="1">IF(LOWER(Capacity!$V17)="x",IF(AND(SUMIF(Capacity_Resource,$D112,'Critical resources (hide)'!AM$6:AM$105)+SUMIF(Capacity_Resource,$E112,'Critical resources (hide)'!AM$6:AM$105)+SUMIF(Capacity_Resource,$F112,'Critical resources (hide)'!AM$6:AM$105)&gt;0,$E$1=2),0,1),0)</f>
        <v>0</v>
      </c>
      <c r="AA112" s="67">
        <f ca="1">IF(LOWER(Capacity!$V17)="x",IF(AND(SUMIF(Capacity_Resource,$D112,'Critical resources (hide)'!AN$6:AN$105)+SUMIF(Capacity_Resource,$E112,'Critical resources (hide)'!AN$6:AN$105)+SUMIF(Capacity_Resource,$F112,'Critical resources (hide)'!AN$6:AN$105)&gt;0,$E$1=2),0,1),0)</f>
        <v>0</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IF(ROW(A1)&lt;=Capacity!$M$16,IF('Capacity summary'!$C$14="No",SUM(H112:BG112),'Capacity summary'!$E24),0)</f>
        <v>10</v>
      </c>
      <c r="BI112">
        <f>IF(BH112&gt;0,IF(BH112&lt;Capacity!Q17,Capacity!R17,Capacity!T17/'Capacity calculation (hide)'!BH112),"")</f>
        <v>4</v>
      </c>
      <c r="BJ112" s="5"/>
      <c r="BK112" s="5">
        <f>IF($BI112&lt;&gt;"",IF('Capacity summary'!$C$14="Yes",IF(COUNTBLANK('Capacity summary'!$H24:$BG24)&lt;52,IF('Capacity summary'!H24&lt;&gt;"",IF(LOWER('Capacity summary'!H24)="x",$BI112*H112,VALUE('Capacity summary'!H24)),0),H112*$BI112),H112*$BI112),0)</f>
        <v>0</v>
      </c>
      <c r="BL112" s="5">
        <f ca="1">IF($BI112&lt;&gt;"",IF('Capacity summary'!$C$14="Yes",IF(COUNTBLANK('Capacity summary'!$H24:$BG24)&lt;52,IF('Capacity summary'!I24&lt;&gt;"",IF(LOWER('Capacity summary'!I24)="x",$BI112*I112,VALUE('Capacity summary'!I24)),0),I112*$BI112),I112*$BI112),0)</f>
        <v>4</v>
      </c>
      <c r="BM112" s="5">
        <f>IF($BI112&lt;&gt;"",IF('Capacity summary'!$C$14="Yes",IF(COUNTBLANK('Capacity summary'!$H24:$BG24)&lt;52,IF('Capacity summary'!J24&lt;&gt;"",IF(LOWER('Capacity summary'!J24)="x",$BI112*J112,VALUE('Capacity summary'!J24)),0),J112*$BI112),J112*$BI112),0)</f>
        <v>0</v>
      </c>
      <c r="BN112" s="5">
        <f ca="1">IF($BI112&lt;&gt;"",IF('Capacity summary'!$C$14="Yes",IF(COUNTBLANK('Capacity summary'!$H24:$BG24)&lt;52,IF('Capacity summary'!K24&lt;&gt;"",IF(LOWER('Capacity summary'!K24)="x",$BI112*K112,VALUE('Capacity summary'!K24)),0),K112*$BI112),K112*$BI112),0)</f>
        <v>4</v>
      </c>
      <c r="BO112" s="5">
        <f>IF($BI112&lt;&gt;"",IF('Capacity summary'!$C$14="Yes",IF(COUNTBLANK('Capacity summary'!$H24:$BG24)&lt;52,IF('Capacity summary'!L24&lt;&gt;"",IF(LOWER('Capacity summary'!L24)="x",$BI112*L112,VALUE('Capacity summary'!L24)),0),L112*$BI112),L112*$BI112),0)</f>
        <v>0</v>
      </c>
      <c r="BP112" s="5">
        <f ca="1">IF($BI112&lt;&gt;"",IF('Capacity summary'!$C$14="Yes",IF(COUNTBLANK('Capacity summary'!$H24:$BG24)&lt;52,IF('Capacity summary'!M24&lt;&gt;"",IF(LOWER('Capacity summary'!M24)="x",$BI112*M112,VALUE('Capacity summary'!M24)),0),M112*$BI112),M112*$BI112),0)</f>
        <v>4</v>
      </c>
      <c r="BQ112" s="5">
        <f ca="1">IF($BI112&lt;&gt;"",IF('Capacity summary'!$C$14="Yes",IF(COUNTBLANK('Capacity summary'!$H24:$BG24)&lt;52,IF('Capacity summary'!N24&lt;&gt;"",IF(LOWER('Capacity summary'!N24)="x",$BI112*N112,VALUE('Capacity summary'!N24)),0),N112*$BI112),N112*$BI112),0)</f>
        <v>4</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 ca="1">IF($BI112&lt;&gt;"",IF('Capacity summary'!$C$14="Yes",IF(COUNTBLANK('Capacity summary'!$H24:$BG24)&lt;52,IF('Capacity summary'!Q24&lt;&gt;"",IF(LOWER('Capacity summary'!Q24)="x",$BI112*Q112,VALUE('Capacity summary'!Q24)),0),Q112*$BI112),Q112*$BI112),0)</f>
        <v>4</v>
      </c>
      <c r="BU112" s="5">
        <f ca="1">IF($BI112&lt;&gt;"",IF('Capacity summary'!$C$14="Yes",IF(COUNTBLANK('Capacity summary'!$H24:$BG24)&lt;52,IF('Capacity summary'!R24&lt;&gt;"",IF(LOWER('Capacity summary'!R24)="x",$BI112*R112,VALUE('Capacity summary'!R24)),0),R112*$BI112),R112*$BI112),0)</f>
        <v>4</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 ca="1">IF($BI112&lt;&gt;"",IF('Capacity summary'!$C$14="Yes",IF(COUNTBLANK('Capacity summary'!$H24:$BG24)&lt;52,IF('Capacity summary'!U24&lt;&gt;"",IF(LOWER('Capacity summary'!U24)="x",$BI112*U112,VALUE('Capacity summary'!U24)),0),U112*$BI112),U112*$BI112),0)</f>
        <v>4</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 ca="1">IF($BI112&lt;&gt;"",IF('Capacity summary'!$C$14="Yes",IF(COUNTBLANK('Capacity summary'!$H24:$BG24)&lt;52,IF('Capacity summary'!AI24&lt;&gt;"",IF(LOWER('Capacity summary'!AI24)="x",$BI112*AI112,VALUE('Capacity summary'!AI24)),0),AI112*$BI112),AI112*$BI112),0)</f>
        <v>4</v>
      </c>
      <c r="CM112" s="5">
        <f ca="1">IF($BI112&lt;&gt;"",IF('Capacity summary'!$C$14="Yes",IF(COUNTBLANK('Capacity summary'!$H24:$BG24)&lt;52,IF('Capacity summary'!AJ24&lt;&gt;"",IF(LOWER('Capacity summary'!AJ24)="x",$BI112*AJ112,VALUE('Capacity summary'!AJ24)),0),AJ112*$BI112),AJ112*$BI112),0)</f>
        <v>4</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 ca="1">IF($BI112&lt;&gt;"",IF('Capacity summary'!$C$14="Yes",IF(COUNTBLANK('Capacity summary'!$H24:$BG24)&lt;52,IF('Capacity summary'!AR24&lt;&gt;"",IF(LOWER('Capacity summary'!AR24)="x",$BI112*AR112,VALUE('Capacity summary'!AR24)),0),AR112*$BI112),AR112*$BI112),0)</f>
        <v>4</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387">
        <f t="shared" ref="DK112:DK175" si="8">DJ112</f>
        <v>0</v>
      </c>
      <c r="DL112" s="5">
        <f t="shared" ref="DL112:DL175" ca="1" si="9">SUM(BK112:DJ112)</f>
        <v>40</v>
      </c>
    </row>
    <row r="113" spans="3:116" x14ac:dyDescent="0.2">
      <c r="C113" s="67" t="str">
        <f>ROW(A2)&amp;". "&amp;Capacity!N18</f>
        <v>2. Ad Hoc 2</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0</v>
      </c>
      <c r="W113" s="67">
        <f ca="1">IF(LOWER(Capacity!$V18)="x",IF(AND(SUMIF(Capacity_Resource,$D113,'Critical resources (hide)'!AJ$6:AJ$105)+SUMIF(Capacity_Resource,$E113,'Critical resources (hide)'!AJ$6:AJ$105)+SUMIF(Capacity_Resource,$F113,'Critical resources (hide)'!AJ$6:AJ$105)&gt;0,$E$1=2),0,1),0)</f>
        <v>0</v>
      </c>
      <c r="X113" s="67">
        <f ca="1">IF(LOWER(Capacity!$V18)="x",IF(AND(SUMIF(Capacity_Resource,$D113,'Critical resources (hide)'!AK$6:AK$105)+SUMIF(Capacity_Resource,$E113,'Critical resources (hide)'!AK$6:AK$105)+SUMIF(Capacity_Resource,$F113,'Critical resources (hide)'!AK$6:AK$105)&gt;0,$E$1=2),0,1),0)</f>
        <v>0</v>
      </c>
      <c r="Y113" s="67">
        <f ca="1">IF(LOWER(Capacity!$V18)="x",IF(AND(SUMIF(Capacity_Resource,$D113,'Critical resources (hide)'!AL$6:AL$105)+SUMIF(Capacity_Resource,$E113,'Critical resources (hide)'!AL$6:AL$105)+SUMIF(Capacity_Resource,$F113,'Critical resources (hide)'!AL$6:AL$105)&gt;0,$E$1=2),0,1),0)</f>
        <v>0</v>
      </c>
      <c r="Z113" s="67">
        <f ca="1">IF(LOWER(Capacity!$V18)="x",IF(AND(SUMIF(Capacity_Resource,$D113,'Critical resources (hide)'!AM$6:AM$105)+SUMIF(Capacity_Resource,$E113,'Critical resources (hide)'!AM$6:AM$105)+SUMIF(Capacity_Resource,$F113,'Critical resources (hide)'!AM$6:AM$105)&gt;0,$E$1=2),0,1),0)</f>
        <v>0</v>
      </c>
      <c r="AA113" s="67">
        <f ca="1">IF(LOWER(Capacity!$V18)="x",IF(AND(SUMIF(Capacity_Resource,$D113,'Critical resources (hide)'!AN$6:AN$105)+SUMIF(Capacity_Resource,$E113,'Critical resources (hide)'!AN$6:AN$105)+SUMIF(Capacity_Resource,$F113,'Critical resources (hide)'!AN$6:AN$105)&gt;0,$E$1=2),0,1),0)</f>
        <v>0</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0</v>
      </c>
      <c r="AP113" s="67">
        <f ca="1">IF(LOWER(Capacity!$V18)="x",IF(AND(SUMIF(Capacity_Resource,$D113,'Critical resources (hide)'!BC$6:BC$105)+SUMIF(Capacity_Resource,$E113,'Critical resources (hide)'!BC$6:BC$105)+SUMIF(Capacity_Resource,$F113,'Critical resources (hide)'!BC$6:BC$105)&gt;0,$E$1=2),0,1),0)</f>
        <v>0</v>
      </c>
      <c r="AQ113" s="67">
        <f ca="1">IF(LOWER(Capacity!$V18)="x",IF(AND(SUMIF(Capacity_Resource,$D113,'Critical resources (hide)'!BD$6:BD$105)+SUMIF(Capacity_Resource,$E113,'Critical resources (hide)'!BD$6:BD$105)+SUMIF(Capacity_Resource,$F113,'Critical resources (hide)'!BD$6:BD$105)&gt;0,$E$1=2),0,1),0)</f>
        <v>0</v>
      </c>
      <c r="AR113" s="67">
        <f ca="1">IF(LOWER(Capacity!$V18)="x",IF(AND(SUMIF(Capacity_Resource,$D113,'Critical resources (hide)'!BE$6:BE$105)+SUMIF(Capacity_Resource,$E113,'Critical resources (hide)'!BE$6:BE$105)+SUMIF(Capacity_Resource,$F113,'Critical resources (hide)'!BE$6:BE$105)&gt;0,$E$1=2),0,1),0)</f>
        <v>0</v>
      </c>
      <c r="AS113" s="67">
        <f ca="1">IF(LOWER(Capacity!$V18)="x",IF(AND(SUMIF(Capacity_Resource,$D113,'Critical resources (hide)'!BF$6:BF$105)+SUMIF(Capacity_Resource,$E113,'Critical resources (hide)'!BF$6:BF$105)+SUMIF(Capacity_Resource,$F113,'Critical resources (hide)'!BF$6:BF$105)&gt;0,$E$1=2),0,1),0)</f>
        <v>0</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IF(ROW(A2)&lt;=Capacity!$M$16,IF('Capacity summary'!$C$14="No",SUM(H113:BG113),'Capacity summary'!$E25),0)</f>
        <v>13</v>
      </c>
      <c r="BI113" s="67">
        <f>IF(BH113&gt;0,IF(BH113&lt;Capacity!Q18,Capacity!R18,Capacity!T18/'Capacity calculation (hide)'!BH113),"")</f>
        <v>3.6923076923076925</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 ca="1">IF($BI113&lt;&gt;"",IF('Capacity summary'!$C$14="Yes",IF(COUNTBLANK('Capacity summary'!$H25:$BG25)&lt;52,IF('Capacity summary'!P25&lt;&gt;"",IF(LOWER('Capacity summary'!P25)="x",$BI113*P113,VALUE('Capacity summary'!P25)),0),P113*$BI113),P113*$BI113),0)</f>
        <v>3.6923076923076925</v>
      </c>
      <c r="BT113" s="5">
        <f ca="1">IF($BI113&lt;&gt;"",IF('Capacity summary'!$C$14="Yes",IF(COUNTBLANK('Capacity summary'!$H25:$BG25)&lt;52,IF('Capacity summary'!Q25&lt;&gt;"",IF(LOWER('Capacity summary'!Q25)="x",$BI113*Q113,VALUE('Capacity summary'!Q25)),0),Q113*$BI113),Q113*$BI113),0)</f>
        <v>3.6923076923076925</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 ca="1">IF($BI113&lt;&gt;"",IF('Capacity summary'!$C$14="Yes",IF(COUNTBLANK('Capacity summary'!$H25:$BG25)&lt;52,IF('Capacity summary'!U25&lt;&gt;"",IF(LOWER('Capacity summary'!U25)="x",$BI113*U113,VALUE('Capacity summary'!U25)),0),U113*$BI113),U113*$BI113),0)</f>
        <v>3.6923076923076925</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 ca="1">IF($BI113&lt;&gt;"",IF('Capacity summary'!$C$14="Yes",IF(COUNTBLANK('Capacity summary'!$H25:$BG25)&lt;52,IF('Capacity summary'!AG25&lt;&gt;"",IF(LOWER('Capacity summary'!AG25)="x",$BI113*AG113,VALUE('Capacity summary'!AG25)),0),AG113*$BI113),AG113*$BI113),0)</f>
        <v>3.6923076923076925</v>
      </c>
      <c r="CK113" s="5">
        <f ca="1">IF($BI113&lt;&gt;"",IF('Capacity summary'!$C$14="Yes",IF(COUNTBLANK('Capacity summary'!$H25:$BG25)&lt;52,IF('Capacity summary'!AH25&lt;&gt;"",IF(LOWER('Capacity summary'!AH25)="x",$BI113*AH113,VALUE('Capacity summary'!AH25)),0),AH113*$BI113),AH113*$BI113),0)</f>
        <v>3.6923076923076925</v>
      </c>
      <c r="CL113" s="5">
        <f ca="1">IF($BI113&lt;&gt;"",IF('Capacity summary'!$C$14="Yes",IF(COUNTBLANK('Capacity summary'!$H25:$BG25)&lt;52,IF('Capacity summary'!AI25&lt;&gt;"",IF(LOWER('Capacity summary'!AI25)="x",$BI113*AI113,VALUE('Capacity summary'!AI25)),0),AI113*$BI113),AI113*$BI113),0)</f>
        <v>3.6923076923076925</v>
      </c>
      <c r="CM113" s="5">
        <f ca="1">IF($BI113&lt;&gt;"",IF('Capacity summary'!$C$14="Yes",IF(COUNTBLANK('Capacity summary'!$H25:$BG25)&lt;52,IF('Capacity summary'!AJ25&lt;&gt;"",IF(LOWER('Capacity summary'!AJ25)="x",$BI113*AJ113,VALUE('Capacity summary'!AJ25)),0),AJ113*$BI113),AJ113*$BI113),0)</f>
        <v>3.6923076923076925</v>
      </c>
      <c r="CN113" s="5">
        <f ca="1">IF($BI113&lt;&gt;"",IF('Capacity summary'!$C$14="Yes",IF(COUNTBLANK('Capacity summary'!$H25:$BG25)&lt;52,IF('Capacity summary'!AK25&lt;&gt;"",IF(LOWER('Capacity summary'!AK25)="x",$BI113*AK113,VALUE('Capacity summary'!AK25)),0),AK113*$BI113),AK113*$BI113),0)</f>
        <v>3.6923076923076925</v>
      </c>
      <c r="CO113" s="5">
        <f ca="1">IF($BI113&lt;&gt;"",IF('Capacity summary'!$C$14="Yes",IF(COUNTBLANK('Capacity summary'!$H25:$BG25)&lt;52,IF('Capacity summary'!AL25&lt;&gt;"",IF(LOWER('Capacity summary'!AL25)="x",$BI113*AL113,VALUE('Capacity summary'!AL25)),0),AL113*$BI113),AL113*$BI113),0)</f>
        <v>3.6923076923076925</v>
      </c>
      <c r="CP113" s="5">
        <f ca="1">IF($BI113&lt;&gt;"",IF('Capacity summary'!$C$14="Yes",IF(COUNTBLANK('Capacity summary'!$H25:$BG25)&lt;52,IF('Capacity summary'!AM25&lt;&gt;"",IF(LOWER('Capacity summary'!AM25)="x",$BI113*AM113,VALUE('Capacity summary'!AM25)),0),AM113*$BI113),AM113*$BI113),0)</f>
        <v>3.6923076923076925</v>
      </c>
      <c r="CQ113" s="5">
        <f ca="1">IF($BI113&lt;&gt;"",IF('Capacity summary'!$C$14="Yes",IF(COUNTBLANK('Capacity summary'!$H25:$BG25)&lt;52,IF('Capacity summary'!AN25&lt;&gt;"",IF(LOWER('Capacity summary'!AN25)="x",$BI113*AN113,VALUE('Capacity summary'!AN25)),0),AN113*$BI113),AN113*$BI113),0)</f>
        <v>3.6923076923076925</v>
      </c>
      <c r="CR113" s="5">
        <f ca="1">IF($BI113&lt;&gt;"",IF('Capacity summary'!$C$14="Yes",IF(COUNTBLANK('Capacity summary'!$H25:$BG25)&lt;52,IF('Capacity summary'!AO25&lt;&gt;"",IF(LOWER('Capacity summary'!AO25)="x",$BI113*AO113,VALUE('Capacity summary'!AO25)),0),AO113*$BI113),AO113*$BI113),0)</f>
        <v>0</v>
      </c>
      <c r="CS113" s="5">
        <f ca="1">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387">
        <f t="shared" si="8"/>
        <v>0</v>
      </c>
      <c r="DL113" s="5">
        <f t="shared" ca="1" si="9"/>
        <v>40.61538461538462</v>
      </c>
    </row>
    <row r="114" spans="3:116" x14ac:dyDescent="0.2">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387">
        <f t="shared" si="8"/>
        <v>0</v>
      </c>
      <c r="DL114" s="5">
        <f t="shared" si="9"/>
        <v>0</v>
      </c>
    </row>
    <row r="115" spans="3:116" x14ac:dyDescent="0.2">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387">
        <f t="shared" si="8"/>
        <v>0</v>
      </c>
      <c r="DL115" s="5">
        <f t="shared" si="9"/>
        <v>0</v>
      </c>
    </row>
    <row r="116" spans="3:116" x14ac:dyDescent="0.2">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387">
        <f t="shared" si="8"/>
        <v>0</v>
      </c>
      <c r="DL116" s="5">
        <f t="shared" si="9"/>
        <v>0</v>
      </c>
    </row>
    <row r="117" spans="3:116" x14ac:dyDescent="0.2">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387">
        <f t="shared" si="8"/>
        <v>0</v>
      </c>
      <c r="DL117" s="5">
        <f t="shared" si="9"/>
        <v>0</v>
      </c>
    </row>
    <row r="118" spans="3:116" x14ac:dyDescent="0.2">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387">
        <f t="shared" si="8"/>
        <v>0</v>
      </c>
      <c r="DL118" s="5">
        <f t="shared" si="9"/>
        <v>0</v>
      </c>
    </row>
    <row r="119" spans="3:116" x14ac:dyDescent="0.2">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387">
        <f t="shared" si="8"/>
        <v>0</v>
      </c>
      <c r="DL119" s="5">
        <f t="shared" si="9"/>
        <v>0</v>
      </c>
    </row>
    <row r="120" spans="3:116" x14ac:dyDescent="0.2">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387">
        <f t="shared" si="8"/>
        <v>0</v>
      </c>
      <c r="DL120" s="5">
        <f t="shared" si="9"/>
        <v>0</v>
      </c>
    </row>
    <row r="121" spans="3:116" x14ac:dyDescent="0.2">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387">
        <f t="shared" si="8"/>
        <v>0</v>
      </c>
      <c r="DL121" s="5">
        <f t="shared" si="9"/>
        <v>0</v>
      </c>
    </row>
    <row r="122" spans="3:116" x14ac:dyDescent="0.2">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387">
        <f t="shared" si="8"/>
        <v>0</v>
      </c>
      <c r="DL122" s="5">
        <f t="shared" si="9"/>
        <v>0</v>
      </c>
    </row>
    <row r="123" spans="3:116" x14ac:dyDescent="0.2">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387">
        <f t="shared" si="8"/>
        <v>0</v>
      </c>
      <c r="DL123" s="5">
        <f t="shared" si="9"/>
        <v>0</v>
      </c>
    </row>
    <row r="124" spans="3:116" x14ac:dyDescent="0.2">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387">
        <f t="shared" si="8"/>
        <v>0</v>
      </c>
      <c r="DL124" s="5">
        <f t="shared" si="9"/>
        <v>0</v>
      </c>
    </row>
    <row r="125" spans="3:116" x14ac:dyDescent="0.2">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387">
        <f t="shared" si="8"/>
        <v>0</v>
      </c>
      <c r="DL125" s="5">
        <f t="shared" si="9"/>
        <v>0</v>
      </c>
    </row>
    <row r="126" spans="3:116" x14ac:dyDescent="0.2">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387">
        <f t="shared" si="8"/>
        <v>0</v>
      </c>
      <c r="DL126" s="5">
        <f t="shared" si="9"/>
        <v>0</v>
      </c>
    </row>
    <row r="127" spans="3:116" x14ac:dyDescent="0.2">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387">
        <f t="shared" si="8"/>
        <v>0</v>
      </c>
      <c r="DL127" s="5">
        <f t="shared" si="9"/>
        <v>0</v>
      </c>
    </row>
    <row r="128" spans="3:116" x14ac:dyDescent="0.2">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387">
        <f t="shared" si="8"/>
        <v>0</v>
      </c>
      <c r="DL128" s="5">
        <f t="shared" si="9"/>
        <v>0</v>
      </c>
    </row>
    <row r="129" spans="3:116" x14ac:dyDescent="0.2">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387">
        <f t="shared" si="8"/>
        <v>0</v>
      </c>
      <c r="DL129" s="5">
        <f t="shared" si="9"/>
        <v>0</v>
      </c>
    </row>
    <row r="130" spans="3:116" x14ac:dyDescent="0.2">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387">
        <f t="shared" si="8"/>
        <v>0</v>
      </c>
      <c r="DL130" s="5">
        <f t="shared" si="9"/>
        <v>0</v>
      </c>
    </row>
    <row r="131" spans="3:116" x14ac:dyDescent="0.2">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387">
        <f t="shared" si="8"/>
        <v>0</v>
      </c>
      <c r="DL131" s="5">
        <f t="shared" si="9"/>
        <v>0</v>
      </c>
    </row>
    <row r="132" spans="3:116" x14ac:dyDescent="0.2">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387">
        <f t="shared" si="8"/>
        <v>0</v>
      </c>
      <c r="DL132" s="5">
        <f t="shared" si="9"/>
        <v>0</v>
      </c>
    </row>
    <row r="133" spans="3:116" x14ac:dyDescent="0.2">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387">
        <f t="shared" si="8"/>
        <v>0</v>
      </c>
      <c r="DL133" s="5">
        <f t="shared" si="9"/>
        <v>0</v>
      </c>
    </row>
    <row r="134" spans="3:116" x14ac:dyDescent="0.2">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387">
        <f t="shared" si="8"/>
        <v>0</v>
      </c>
      <c r="DL134" s="5">
        <f t="shared" si="9"/>
        <v>0</v>
      </c>
    </row>
    <row r="135" spans="3:116" x14ac:dyDescent="0.2">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387">
        <f t="shared" si="8"/>
        <v>0</v>
      </c>
      <c r="DL135" s="5">
        <f t="shared" si="9"/>
        <v>0</v>
      </c>
    </row>
    <row r="136" spans="3:116" x14ac:dyDescent="0.2">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387">
        <f t="shared" si="8"/>
        <v>0</v>
      </c>
      <c r="DL136" s="5">
        <f t="shared" si="9"/>
        <v>0</v>
      </c>
    </row>
    <row r="137" spans="3:116" x14ac:dyDescent="0.2">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387">
        <f t="shared" si="8"/>
        <v>0</v>
      </c>
      <c r="DL137" s="5">
        <f t="shared" si="9"/>
        <v>0</v>
      </c>
    </row>
    <row r="138" spans="3:116" x14ac:dyDescent="0.2">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387">
        <f t="shared" si="8"/>
        <v>0</v>
      </c>
      <c r="DL138" s="5">
        <f t="shared" si="9"/>
        <v>0</v>
      </c>
    </row>
    <row r="139" spans="3:116" x14ac:dyDescent="0.2">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387">
        <f t="shared" si="8"/>
        <v>0</v>
      </c>
      <c r="DL139" s="5">
        <f t="shared" si="9"/>
        <v>0</v>
      </c>
    </row>
    <row r="140" spans="3:116" x14ac:dyDescent="0.2">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387">
        <f t="shared" si="8"/>
        <v>0</v>
      </c>
      <c r="DL140" s="5">
        <f t="shared" si="9"/>
        <v>0</v>
      </c>
    </row>
    <row r="141" spans="3:116" x14ac:dyDescent="0.2">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387">
        <f t="shared" si="8"/>
        <v>0</v>
      </c>
      <c r="DL141" s="5">
        <f t="shared" si="9"/>
        <v>0</v>
      </c>
    </row>
    <row r="142" spans="3:116" x14ac:dyDescent="0.2">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387">
        <f t="shared" si="8"/>
        <v>0</v>
      </c>
      <c r="DL142" s="5">
        <f t="shared" si="9"/>
        <v>0</v>
      </c>
    </row>
    <row r="143" spans="3:116" x14ac:dyDescent="0.2">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387">
        <f t="shared" si="8"/>
        <v>0</v>
      </c>
      <c r="DL143" s="5">
        <f t="shared" si="9"/>
        <v>0</v>
      </c>
    </row>
    <row r="144" spans="3:116" x14ac:dyDescent="0.2">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387">
        <f t="shared" si="8"/>
        <v>0</v>
      </c>
      <c r="DL144" s="5">
        <f t="shared" si="9"/>
        <v>0</v>
      </c>
    </row>
    <row r="145" spans="3:116" x14ac:dyDescent="0.2">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387">
        <f t="shared" si="8"/>
        <v>0</v>
      </c>
      <c r="DL145" s="5">
        <f t="shared" si="9"/>
        <v>0</v>
      </c>
    </row>
    <row r="146" spans="3:116" x14ac:dyDescent="0.2">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387">
        <f t="shared" si="8"/>
        <v>0</v>
      </c>
      <c r="DL146" s="5">
        <f t="shared" si="9"/>
        <v>0</v>
      </c>
    </row>
    <row r="147" spans="3:116" x14ac:dyDescent="0.2">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387">
        <f t="shared" si="8"/>
        <v>0</v>
      </c>
      <c r="DL147" s="5">
        <f t="shared" si="9"/>
        <v>0</v>
      </c>
    </row>
    <row r="148" spans="3:116" x14ac:dyDescent="0.2">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387">
        <f t="shared" si="8"/>
        <v>0</v>
      </c>
      <c r="DL148" s="5">
        <f t="shared" si="9"/>
        <v>0</v>
      </c>
    </row>
    <row r="149" spans="3:116" x14ac:dyDescent="0.2">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387">
        <f t="shared" si="8"/>
        <v>0</v>
      </c>
      <c r="DL149" s="5">
        <f t="shared" si="9"/>
        <v>0</v>
      </c>
    </row>
    <row r="150" spans="3:116" x14ac:dyDescent="0.2">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387">
        <f t="shared" si="8"/>
        <v>0</v>
      </c>
      <c r="DL150" s="5">
        <f t="shared" si="9"/>
        <v>0</v>
      </c>
    </row>
    <row r="151" spans="3:116" x14ac:dyDescent="0.2">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387">
        <f t="shared" si="8"/>
        <v>0</v>
      </c>
      <c r="DL151" s="5">
        <f t="shared" si="9"/>
        <v>0</v>
      </c>
    </row>
    <row r="152" spans="3:116" x14ac:dyDescent="0.2">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387">
        <f t="shared" si="8"/>
        <v>0</v>
      </c>
      <c r="DL152" s="5">
        <f t="shared" si="9"/>
        <v>0</v>
      </c>
    </row>
    <row r="153" spans="3:116" x14ac:dyDescent="0.2">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387">
        <f t="shared" si="8"/>
        <v>0</v>
      </c>
      <c r="DL153" s="5">
        <f t="shared" si="9"/>
        <v>0</v>
      </c>
    </row>
    <row r="154" spans="3:116" x14ac:dyDescent="0.2">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387">
        <f t="shared" si="8"/>
        <v>0</v>
      </c>
      <c r="DL154" s="5">
        <f t="shared" si="9"/>
        <v>0</v>
      </c>
    </row>
    <row r="155" spans="3:116" x14ac:dyDescent="0.2">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387">
        <f t="shared" si="8"/>
        <v>0</v>
      </c>
      <c r="DL155" s="5">
        <f t="shared" si="9"/>
        <v>0</v>
      </c>
    </row>
    <row r="156" spans="3:116" x14ac:dyDescent="0.2">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387">
        <f t="shared" si="8"/>
        <v>0</v>
      </c>
      <c r="DL156" s="5">
        <f t="shared" si="9"/>
        <v>0</v>
      </c>
    </row>
    <row r="157" spans="3:116" x14ac:dyDescent="0.2">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387">
        <f t="shared" si="8"/>
        <v>0</v>
      </c>
      <c r="DL157" s="5">
        <f t="shared" si="9"/>
        <v>0</v>
      </c>
    </row>
    <row r="158" spans="3:116" x14ac:dyDescent="0.2">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387">
        <f t="shared" si="8"/>
        <v>0</v>
      </c>
      <c r="DL158" s="5">
        <f t="shared" si="9"/>
        <v>0</v>
      </c>
    </row>
    <row r="159" spans="3:116" x14ac:dyDescent="0.2">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387">
        <f t="shared" si="8"/>
        <v>0</v>
      </c>
      <c r="DL159" s="5">
        <f t="shared" si="9"/>
        <v>0</v>
      </c>
    </row>
    <row r="160" spans="3:116" x14ac:dyDescent="0.2">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387">
        <f t="shared" si="8"/>
        <v>0</v>
      </c>
      <c r="DL160" s="5">
        <f t="shared" si="9"/>
        <v>0</v>
      </c>
    </row>
    <row r="161" spans="3:116" x14ac:dyDescent="0.2">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387">
        <f t="shared" si="8"/>
        <v>0</v>
      </c>
      <c r="DL161" s="5">
        <f t="shared" si="9"/>
        <v>0</v>
      </c>
    </row>
    <row r="162" spans="3:116" x14ac:dyDescent="0.2">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387">
        <f t="shared" si="8"/>
        <v>0</v>
      </c>
      <c r="DL162" s="5">
        <f t="shared" si="9"/>
        <v>0</v>
      </c>
    </row>
    <row r="163" spans="3:116" x14ac:dyDescent="0.2">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387">
        <f t="shared" si="8"/>
        <v>0</v>
      </c>
      <c r="DL163" s="5">
        <f t="shared" si="9"/>
        <v>0</v>
      </c>
    </row>
    <row r="164" spans="3:116" x14ac:dyDescent="0.2">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387">
        <f t="shared" si="8"/>
        <v>0</v>
      </c>
      <c r="DL164" s="5">
        <f t="shared" si="9"/>
        <v>0</v>
      </c>
    </row>
    <row r="165" spans="3:116" x14ac:dyDescent="0.2">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387">
        <f t="shared" si="8"/>
        <v>0</v>
      </c>
      <c r="DL165" s="5">
        <f t="shared" si="9"/>
        <v>0</v>
      </c>
    </row>
    <row r="166" spans="3:116" x14ac:dyDescent="0.2">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387">
        <f t="shared" si="8"/>
        <v>0</v>
      </c>
      <c r="DL166" s="5">
        <f t="shared" si="9"/>
        <v>0</v>
      </c>
    </row>
    <row r="167" spans="3:116" x14ac:dyDescent="0.2">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387">
        <f t="shared" si="8"/>
        <v>0</v>
      </c>
      <c r="DL167" s="5">
        <f t="shared" si="9"/>
        <v>0</v>
      </c>
    </row>
    <row r="168" spans="3:116" x14ac:dyDescent="0.2">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387">
        <f t="shared" si="8"/>
        <v>0</v>
      </c>
      <c r="DL168" s="5">
        <f t="shared" si="9"/>
        <v>0</v>
      </c>
    </row>
    <row r="169" spans="3:116" x14ac:dyDescent="0.2">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387">
        <f t="shared" si="8"/>
        <v>0</v>
      </c>
      <c r="DL169" s="5">
        <f t="shared" si="9"/>
        <v>0</v>
      </c>
    </row>
    <row r="170" spans="3:116" x14ac:dyDescent="0.2">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387">
        <f t="shared" si="8"/>
        <v>0</v>
      </c>
      <c r="DL170" s="5">
        <f t="shared" si="9"/>
        <v>0</v>
      </c>
    </row>
    <row r="171" spans="3:116" x14ac:dyDescent="0.2">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387">
        <f t="shared" si="8"/>
        <v>0</v>
      </c>
      <c r="DL171" s="5">
        <f t="shared" si="9"/>
        <v>0</v>
      </c>
    </row>
    <row r="172" spans="3:116" x14ac:dyDescent="0.2">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387">
        <f t="shared" si="8"/>
        <v>0</v>
      </c>
      <c r="DL172" s="5">
        <f t="shared" si="9"/>
        <v>0</v>
      </c>
    </row>
    <row r="173" spans="3:116" x14ac:dyDescent="0.2">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387">
        <f t="shared" si="8"/>
        <v>0</v>
      </c>
      <c r="DL173" s="5">
        <f t="shared" si="9"/>
        <v>0</v>
      </c>
    </row>
    <row r="174" spans="3:116" x14ac:dyDescent="0.2">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387">
        <f t="shared" si="8"/>
        <v>0</v>
      </c>
      <c r="DL174" s="5">
        <f t="shared" si="9"/>
        <v>0</v>
      </c>
    </row>
    <row r="175" spans="3:116" x14ac:dyDescent="0.2">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387">
        <f t="shared" si="8"/>
        <v>0</v>
      </c>
      <c r="DL175" s="5">
        <f t="shared" si="9"/>
        <v>0</v>
      </c>
    </row>
    <row r="176" spans="3:116" x14ac:dyDescent="0.2">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387">
        <f t="shared" ref="DK176:DK211" si="10">DJ176</f>
        <v>0</v>
      </c>
      <c r="DL176" s="5">
        <f t="shared" ref="DL176:DL211" si="11">SUM(BK176:DJ176)</f>
        <v>0</v>
      </c>
    </row>
    <row r="177" spans="3:116" x14ac:dyDescent="0.2">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387">
        <f t="shared" si="10"/>
        <v>0</v>
      </c>
      <c r="DL177" s="5">
        <f t="shared" si="11"/>
        <v>0</v>
      </c>
    </row>
    <row r="178" spans="3:116" x14ac:dyDescent="0.2">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387">
        <f t="shared" si="10"/>
        <v>0</v>
      </c>
      <c r="DL178" s="5">
        <f t="shared" si="11"/>
        <v>0</v>
      </c>
    </row>
    <row r="179" spans="3:116" x14ac:dyDescent="0.2">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387">
        <f t="shared" si="10"/>
        <v>0</v>
      </c>
      <c r="DL179" s="5">
        <f t="shared" si="11"/>
        <v>0</v>
      </c>
    </row>
    <row r="180" spans="3:116" x14ac:dyDescent="0.2">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387">
        <f t="shared" si="10"/>
        <v>0</v>
      </c>
      <c r="DL180" s="5">
        <f t="shared" si="11"/>
        <v>0</v>
      </c>
    </row>
    <row r="181" spans="3:116" x14ac:dyDescent="0.2">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387">
        <f t="shared" si="10"/>
        <v>0</v>
      </c>
      <c r="DL181" s="5">
        <f t="shared" si="11"/>
        <v>0</v>
      </c>
    </row>
    <row r="182" spans="3:116" x14ac:dyDescent="0.2">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387">
        <f t="shared" si="10"/>
        <v>0</v>
      </c>
      <c r="DL182" s="5">
        <f t="shared" si="11"/>
        <v>0</v>
      </c>
    </row>
    <row r="183" spans="3:116" x14ac:dyDescent="0.2">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387">
        <f t="shared" si="10"/>
        <v>0</v>
      </c>
      <c r="DL183" s="5">
        <f t="shared" si="11"/>
        <v>0</v>
      </c>
    </row>
    <row r="184" spans="3:116" x14ac:dyDescent="0.2">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387">
        <f t="shared" si="10"/>
        <v>0</v>
      </c>
      <c r="DL184" s="5">
        <f t="shared" si="11"/>
        <v>0</v>
      </c>
    </row>
    <row r="185" spans="3:116" x14ac:dyDescent="0.2">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387">
        <f t="shared" si="10"/>
        <v>0</v>
      </c>
      <c r="DL185" s="5">
        <f t="shared" si="11"/>
        <v>0</v>
      </c>
    </row>
    <row r="186" spans="3:116" x14ac:dyDescent="0.2">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387">
        <f t="shared" si="10"/>
        <v>0</v>
      </c>
      <c r="DL186" s="5">
        <f t="shared" si="11"/>
        <v>0</v>
      </c>
    </row>
    <row r="187" spans="3:116" x14ac:dyDescent="0.2">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387">
        <f t="shared" si="10"/>
        <v>0</v>
      </c>
      <c r="DL187" s="5">
        <f t="shared" si="11"/>
        <v>0</v>
      </c>
    </row>
    <row r="188" spans="3:116" x14ac:dyDescent="0.2">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387">
        <f t="shared" si="10"/>
        <v>0</v>
      </c>
      <c r="DL188" s="5">
        <f t="shared" si="11"/>
        <v>0</v>
      </c>
    </row>
    <row r="189" spans="3:116" x14ac:dyDescent="0.2">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387">
        <f t="shared" si="10"/>
        <v>0</v>
      </c>
      <c r="DL189" s="5">
        <f t="shared" si="11"/>
        <v>0</v>
      </c>
    </row>
    <row r="190" spans="3:116" x14ac:dyDescent="0.2">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387">
        <f t="shared" si="10"/>
        <v>0</v>
      </c>
      <c r="DL190" s="5">
        <f t="shared" si="11"/>
        <v>0</v>
      </c>
    </row>
    <row r="191" spans="3:116" x14ac:dyDescent="0.2">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387">
        <f t="shared" si="10"/>
        <v>0</v>
      </c>
      <c r="DL191" s="5">
        <f t="shared" si="11"/>
        <v>0</v>
      </c>
    </row>
    <row r="192" spans="3:116" x14ac:dyDescent="0.2">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387">
        <f t="shared" si="10"/>
        <v>0</v>
      </c>
      <c r="DL192" s="5">
        <f t="shared" si="11"/>
        <v>0</v>
      </c>
    </row>
    <row r="193" spans="3:116" x14ac:dyDescent="0.2">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387">
        <f t="shared" si="10"/>
        <v>0</v>
      </c>
      <c r="DL193" s="5">
        <f t="shared" si="11"/>
        <v>0</v>
      </c>
    </row>
    <row r="194" spans="3:116" x14ac:dyDescent="0.2">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387">
        <f t="shared" si="10"/>
        <v>0</v>
      </c>
      <c r="DL194" s="5">
        <f t="shared" si="11"/>
        <v>0</v>
      </c>
    </row>
    <row r="195" spans="3:116" x14ac:dyDescent="0.2">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387">
        <f t="shared" si="10"/>
        <v>0</v>
      </c>
      <c r="DL195" s="5">
        <f t="shared" si="11"/>
        <v>0</v>
      </c>
    </row>
    <row r="196" spans="3:116" x14ac:dyDescent="0.2">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387">
        <f t="shared" si="10"/>
        <v>0</v>
      </c>
      <c r="DL196" s="5">
        <f t="shared" si="11"/>
        <v>0</v>
      </c>
    </row>
    <row r="197" spans="3:116" x14ac:dyDescent="0.2">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387">
        <f t="shared" si="10"/>
        <v>0</v>
      </c>
      <c r="DL197" s="5">
        <f t="shared" si="11"/>
        <v>0</v>
      </c>
    </row>
    <row r="198" spans="3:116" x14ac:dyDescent="0.2">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387">
        <f t="shared" si="10"/>
        <v>0</v>
      </c>
      <c r="DL198" s="5">
        <f t="shared" si="11"/>
        <v>0</v>
      </c>
    </row>
    <row r="199" spans="3:116" x14ac:dyDescent="0.2">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387">
        <f t="shared" si="10"/>
        <v>0</v>
      </c>
      <c r="DL199" s="5">
        <f t="shared" si="11"/>
        <v>0</v>
      </c>
    </row>
    <row r="200" spans="3:116" x14ac:dyDescent="0.2">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387">
        <f t="shared" si="10"/>
        <v>0</v>
      </c>
      <c r="DL200" s="5">
        <f t="shared" si="11"/>
        <v>0</v>
      </c>
    </row>
    <row r="201" spans="3:116" x14ac:dyDescent="0.2">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387">
        <f t="shared" si="10"/>
        <v>0</v>
      </c>
      <c r="DL201" s="5">
        <f t="shared" si="11"/>
        <v>0</v>
      </c>
    </row>
    <row r="202" spans="3:116" x14ac:dyDescent="0.2">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387">
        <f t="shared" si="10"/>
        <v>0</v>
      </c>
      <c r="DL202" s="5">
        <f t="shared" si="11"/>
        <v>0</v>
      </c>
    </row>
    <row r="203" spans="3:116" x14ac:dyDescent="0.2">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387">
        <f t="shared" si="10"/>
        <v>0</v>
      </c>
      <c r="DL203" s="5">
        <f t="shared" si="11"/>
        <v>0</v>
      </c>
    </row>
    <row r="204" spans="3:116" x14ac:dyDescent="0.2">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387">
        <f t="shared" si="10"/>
        <v>0</v>
      </c>
      <c r="DL204" s="5">
        <f t="shared" si="11"/>
        <v>0</v>
      </c>
    </row>
    <row r="205" spans="3:116" x14ac:dyDescent="0.2">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387">
        <f t="shared" si="10"/>
        <v>0</v>
      </c>
      <c r="DL205" s="5">
        <f t="shared" si="11"/>
        <v>0</v>
      </c>
    </row>
    <row r="206" spans="3:116" x14ac:dyDescent="0.2">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387">
        <f t="shared" si="10"/>
        <v>0</v>
      </c>
      <c r="DL206" s="5">
        <f t="shared" si="11"/>
        <v>0</v>
      </c>
    </row>
    <row r="207" spans="3:116" x14ac:dyDescent="0.2">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387">
        <f t="shared" si="10"/>
        <v>0</v>
      </c>
      <c r="DL207" s="5">
        <f t="shared" si="11"/>
        <v>0</v>
      </c>
    </row>
    <row r="208" spans="3:116" x14ac:dyDescent="0.2">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387">
        <f t="shared" si="10"/>
        <v>0</v>
      </c>
      <c r="DL208" s="5">
        <f t="shared" si="11"/>
        <v>0</v>
      </c>
    </row>
    <row r="209" spans="2:116" x14ac:dyDescent="0.2">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387">
        <f t="shared" si="10"/>
        <v>0</v>
      </c>
      <c r="DL209" s="5">
        <f t="shared" si="11"/>
        <v>0</v>
      </c>
    </row>
    <row r="210" spans="2:116" x14ac:dyDescent="0.2">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387">
        <f t="shared" si="10"/>
        <v>0</v>
      </c>
      <c r="DL210" s="5">
        <f t="shared" si="11"/>
        <v>0</v>
      </c>
    </row>
    <row r="211" spans="2:116" x14ac:dyDescent="0.2">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387">
        <f t="shared" si="10"/>
        <v>0</v>
      </c>
      <c r="DL211" s="5">
        <f t="shared" si="11"/>
        <v>0</v>
      </c>
    </row>
    <row r="212" spans="2:116" x14ac:dyDescent="0.2">
      <c r="B212" s="67"/>
    </row>
    <row r="213" spans="2:116" x14ac:dyDescent="0.2">
      <c r="B213" s="67"/>
    </row>
    <row r="214" spans="2:116" ht="15" x14ac:dyDescent="0.25">
      <c r="B214" s="67"/>
      <c r="BI214" s="305" t="s">
        <v>1113</v>
      </c>
      <c r="BK214">
        <f>SUMIFS(BK$112:BK$211,Capacity!$V$17:$V$116,"X")</f>
        <v>0</v>
      </c>
      <c r="BL214" s="67">
        <f ca="1">SUMIFS(BL$112:BL$211,Capacity!$V$17:$V$116,"X")</f>
        <v>4</v>
      </c>
      <c r="BM214" s="67">
        <f>SUMIFS(BM$112:BM$211,Capacity!$V$17:$V$116,"X")</f>
        <v>0</v>
      </c>
      <c r="BN214" s="67">
        <f ca="1">SUMIFS(BN$112:BN$211,Capacity!$V$17:$V$116,"X")</f>
        <v>4</v>
      </c>
      <c r="BO214" s="67">
        <f>SUMIFS(BO$112:BO$211,Capacity!$V$17:$V$116,"X")</f>
        <v>0</v>
      </c>
      <c r="BP214" s="67">
        <f ca="1">SUMIFS(BP$112:BP$211,Capacity!$V$17:$V$116,"X")</f>
        <v>4</v>
      </c>
      <c r="BQ214" s="67">
        <f ca="1">SUMIFS(BQ$112:BQ$211,Capacity!$V$17:$V$116,"X")</f>
        <v>4</v>
      </c>
      <c r="BR214" s="67">
        <f>SUMIFS(BR$112:BR$211,Capacity!$V$17:$V$116,"X")</f>
        <v>0</v>
      </c>
      <c r="BS214" s="67">
        <f ca="1">SUMIFS(BS$112:BS$211,Capacity!$V$17:$V$116,"X")</f>
        <v>3.6923076923076925</v>
      </c>
      <c r="BT214" s="67">
        <f ca="1">SUMIFS(BT$112:BT$211,Capacity!$V$17:$V$116,"X")</f>
        <v>7.6923076923076925</v>
      </c>
      <c r="BU214" s="67">
        <f ca="1">SUMIFS(BU$112:BU$211,Capacity!$V$17:$V$116,"X")</f>
        <v>4</v>
      </c>
      <c r="BV214" s="67">
        <f>SUMIFS(BV$112:BV$211,Capacity!$V$17:$V$116,"X")</f>
        <v>0</v>
      </c>
      <c r="BW214" s="67">
        <f>SUMIFS(BW$112:BW$211,Capacity!$V$17:$V$116,"X")</f>
        <v>0</v>
      </c>
      <c r="BX214" s="67">
        <f ca="1">SUMIFS(BX$112:BX$211,Capacity!$V$17:$V$116,"X")</f>
        <v>7.6923076923076925</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 ca="1">SUMIFS(CJ$112:CJ$211,Capacity!$V$17:$V$116,"X")</f>
        <v>3.6923076923076925</v>
      </c>
      <c r="CK214" s="67">
        <f ca="1">SUMIFS(CK$112:CK$211,Capacity!$V$17:$V$116,"X")</f>
        <v>3.6923076923076925</v>
      </c>
      <c r="CL214" s="67">
        <f ca="1">SUMIFS(CL$112:CL$211,Capacity!$V$17:$V$116,"X")</f>
        <v>7.6923076923076925</v>
      </c>
      <c r="CM214" s="67">
        <f ca="1">SUMIFS(CM$112:CM$211,Capacity!$V$17:$V$116,"X")</f>
        <v>7.6923076923076925</v>
      </c>
      <c r="CN214" s="67">
        <f ca="1">SUMIFS(CN$112:CN$211,Capacity!$V$17:$V$116,"X")</f>
        <v>3.6923076923076925</v>
      </c>
      <c r="CO214" s="67">
        <f ca="1">SUMIFS(CO$112:CO$211,Capacity!$V$17:$V$116,"X")</f>
        <v>3.6923076923076925</v>
      </c>
      <c r="CP214" s="67">
        <f ca="1">SUMIFS(CP$112:CP$211,Capacity!$V$17:$V$116,"X")</f>
        <v>3.6923076923076925</v>
      </c>
      <c r="CQ214" s="67">
        <f ca="1">SUMIFS(CQ$112:CQ$211,Capacity!$V$17:$V$116,"X")</f>
        <v>3.6923076923076925</v>
      </c>
      <c r="CR214" s="67">
        <f ca="1">SUMIFS(CR$112:CR$211,Capacity!$V$17:$V$116,"X")</f>
        <v>0</v>
      </c>
      <c r="CS214" s="67">
        <f ca="1">SUMIFS(CS$112:CS$211,Capacity!$V$17:$V$116,"X")</f>
        <v>0</v>
      </c>
      <c r="CT214" s="67">
        <f>SUMIFS(CT$112:CT$211,Capacity!$V$17:$V$116,"X")</f>
        <v>0</v>
      </c>
      <c r="CU214" s="67">
        <f ca="1">SUMIFS(CU$112:CU$211,Capacity!$V$17:$V$116,"X")</f>
        <v>4</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c r="DL214" s="67">
        <f ca="1">SUMIFS(DL$112:DL$211,Capacity!$V$17:$V$116,"X")</f>
        <v>80.615384615384613</v>
      </c>
    </row>
    <row r="215" spans="2:116" x14ac:dyDescent="0.2">
      <c r="B215" s="67"/>
    </row>
    <row r="216" spans="2:116" x14ac:dyDescent="0.2">
      <c r="B216" s="67"/>
    </row>
    <row r="217" spans="2:116" x14ac:dyDescent="0.2">
      <c r="B217" s="67"/>
    </row>
    <row r="218" spans="2:116" x14ac:dyDescent="0.2">
      <c r="B218" s="67"/>
    </row>
    <row r="219" spans="2:116" x14ac:dyDescent="0.2">
      <c r="B219" s="67"/>
    </row>
    <row r="220" spans="2:116" x14ac:dyDescent="0.2">
      <c r="B220" s="67"/>
    </row>
  </sheetData>
  <pageMargins left="0.7" right="0.7" top="0.75" bottom="0.75" header="0.3" footer="0.3"/>
  <pageSetup paperSize="9" orientation="portrait" verticalDpi="0"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workbookViewId="0">
      <selection activeCell="J15" sqref="J15:J67"/>
    </sheetView>
  </sheetViews>
  <sheetFormatPr defaultRowHeight="14.25" x14ac:dyDescent="0.2"/>
  <cols>
    <col min="1" max="1" width="12.25" style="67" customWidth="1"/>
    <col min="3" max="3" width="9" style="67"/>
    <col min="5" max="5" width="9.75" bestFit="1" customWidth="1"/>
    <col min="7" max="7" width="18.5" bestFit="1" customWidth="1"/>
    <col min="8" max="8" width="15.625" bestFit="1" customWidth="1"/>
    <col min="11" max="12" width="9.75" style="67" customWidth="1"/>
    <col min="22" max="22" width="9" hidden="1" customWidth="1"/>
  </cols>
  <sheetData>
    <row r="1" spans="1:24" x14ac:dyDescent="0.2">
      <c r="A1" s="67" t="s">
        <v>487</v>
      </c>
      <c r="D1" t="s">
        <v>419</v>
      </c>
    </row>
    <row r="2" spans="1:24" x14ac:dyDescent="0.2">
      <c r="A2" s="82" t="str">
        <f>"Required vs available capacity by week ("&amp;Summary!$C$8&amp;")"&amp;IF(Summary!B15=1," - "&amp;Summary!C15&amp;" Scenario","")</f>
        <v>Required vs available capacity by week (Patients)</v>
      </c>
    </row>
    <row r="3" spans="1:24" x14ac:dyDescent="0.2">
      <c r="E3" t="s">
        <v>244</v>
      </c>
      <c r="F3" t="s">
        <v>245</v>
      </c>
      <c r="H3" t="s">
        <v>250</v>
      </c>
      <c r="J3" t="s">
        <v>876</v>
      </c>
      <c r="L3" s="67" t="s">
        <v>1155</v>
      </c>
    </row>
    <row r="4" spans="1:24" x14ac:dyDescent="0.2">
      <c r="D4" t="s">
        <v>239</v>
      </c>
      <c r="E4">
        <f>IFERROR('SPC background (hide)'!C4,"")</f>
        <v>99</v>
      </c>
      <c r="F4">
        <f ca="1">'SPC background (hide)'!G5+'Summary Calculations (hide)'!E4-1</f>
        <v>150</v>
      </c>
      <c r="H4" t="s">
        <v>75</v>
      </c>
      <c r="I4" s="100">
        <f ca="1">'Parameters calculator (hide)'!B43</f>
        <v>1.0999999999999999E-2</v>
      </c>
      <c r="J4">
        <f ca="1">IF(Planning!C15="",'Summary Calculations (hide)'!I4,Planning!C15)</f>
        <v>1.0999999999999999E-2</v>
      </c>
      <c r="L4" s="67">
        <f ca="1">(1-J4)*(1-J5+(J6*J7))</f>
        <v>0.95636299999999996</v>
      </c>
    </row>
    <row r="5" spans="1:24" x14ac:dyDescent="0.2">
      <c r="D5" t="s">
        <v>240</v>
      </c>
      <c r="E5" t="str">
        <f ca="1">IFERROR('SPC background (hide)'!D6,"")</f>
        <v/>
      </c>
      <c r="F5" t="e">
        <f ca="1">'SPC background (hide)'!H7+'Summary Calculations (hide)'!E5-1</f>
        <v>#VALUE!</v>
      </c>
      <c r="H5" t="s">
        <v>251</v>
      </c>
      <c r="I5" s="100">
        <f ca="1">'Parameters calculator (hide)'!B44</f>
        <v>0.11299999999999999</v>
      </c>
      <c r="J5" s="67">
        <f ca="1">IF(Planning!C16="",'Summary Calculations (hide)'!I5,Planning!C16)</f>
        <v>0.11299999999999999</v>
      </c>
    </row>
    <row r="6" spans="1:24" x14ac:dyDescent="0.2">
      <c r="D6" t="s">
        <v>241</v>
      </c>
      <c r="E6" t="str">
        <f ca="1">IFERROR('SPC background (hide)'!D8,"")</f>
        <v/>
      </c>
      <c r="F6" t="str">
        <f ca="1">IFERROR('SPC background (hide)'!H9-'Summary Calculations (hide)'!E6-1,"")</f>
        <v/>
      </c>
      <c r="H6" t="s">
        <v>99</v>
      </c>
      <c r="I6" s="100">
        <f ca="1">'Parameters calculator (hide)'!B45</f>
        <v>9.9999999999999992E-2</v>
      </c>
      <c r="J6" s="67">
        <f ca="1">IF(Planning!C17="",'Summary Calculations (hide)'!I6,Planning!C17)</f>
        <v>9.9999999999999992E-2</v>
      </c>
    </row>
    <row r="7" spans="1:24" x14ac:dyDescent="0.2">
      <c r="D7" t="s">
        <v>242</v>
      </c>
      <c r="E7" t="str">
        <f ca="1">IFERROR('SPC background (hide)'!D10,"")</f>
        <v/>
      </c>
      <c r="F7" t="str">
        <f ca="1">IFERROR('SPC background (hide)'!H11-'Summary Calculations (hide)'!E7-1,"")</f>
        <v/>
      </c>
      <c r="H7" t="s">
        <v>418</v>
      </c>
      <c r="I7" s="100">
        <f ca="1">'Parameters calculator (hide)'!B47</f>
        <v>0.8</v>
      </c>
      <c r="J7" s="67">
        <f ca="1">IF(Planning!C18="",'Summary Calculations (hide)'!I7,1-Planning!C18)</f>
        <v>0.8</v>
      </c>
    </row>
    <row r="9" spans="1:24" x14ac:dyDescent="0.2">
      <c r="H9" t="s">
        <v>422</v>
      </c>
      <c r="I9" s="5">
        <f ca="1">'Demand background (hide)'!BN16</f>
        <v>36.982758620689658</v>
      </c>
    </row>
    <row r="11" spans="1:24" x14ac:dyDescent="0.2">
      <c r="D11" t="s">
        <v>243</v>
      </c>
      <c r="E11" s="87">
        <f ca="1">IF(Summary!$B$13="",'Critical resources (hide)'!B6,Summary!$B$13)</f>
        <v>43584</v>
      </c>
    </row>
    <row r="12" spans="1:24" x14ac:dyDescent="0.2">
      <c r="E12" s="317"/>
      <c r="P12" t="s">
        <v>411</v>
      </c>
      <c r="R12" t="str">
        <f>"Required vs available capacity ("&amp;LOWER(Summary!$C$8)&amp;")"</f>
        <v>Required vs available capacity (patients)</v>
      </c>
      <c r="X12" t="s">
        <v>498</v>
      </c>
    </row>
    <row r="13" spans="1:24" x14ac:dyDescent="0.2">
      <c r="E13" t="s">
        <v>97</v>
      </c>
      <c r="G13" s="62"/>
      <c r="H13" s="62"/>
      <c r="I13" t="s">
        <v>303</v>
      </c>
      <c r="K13" s="67" t="s">
        <v>409</v>
      </c>
      <c r="M13" t="s">
        <v>302</v>
      </c>
      <c r="P13" s="67" t="s">
        <v>303</v>
      </c>
      <c r="Q13" s="67"/>
      <c r="R13" s="67" t="s">
        <v>409</v>
      </c>
      <c r="S13" s="67"/>
      <c r="T13" s="67" t="s">
        <v>302</v>
      </c>
      <c r="U13" s="67"/>
      <c r="X13" t="s">
        <v>156</v>
      </c>
    </row>
    <row r="14" spans="1:24" x14ac:dyDescent="0.2">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
      <c r="A15" s="87">
        <f ca="1">E11-WEEKDAY(E11,3)</f>
        <v>43584</v>
      </c>
      <c r="B15">
        <f ca="1">YEAR(A15)</f>
        <v>2019</v>
      </c>
      <c r="C15" s="67" t="str">
        <f ca="1">TEXT(A15,"MMM")</f>
        <v>Apr</v>
      </c>
      <c r="D15">
        <f t="shared" ref="D15:D46" ca="1" si="0">WEEKNUM(A15,21)</f>
        <v>18</v>
      </c>
      <c r="E15" s="5">
        <f ca="1">IF(LEFT(Demand!$C$8,1)="H",VLOOKUP($D15,'SPC background (hide)'!$AG$2:$AS$54,12,0),'Demand background (hide)'!X4)</f>
        <v>551.5</v>
      </c>
      <c r="F15" s="5">
        <f ca="1">IF(LEFT(Demand!$C$8,1)="H",VLOOKUP($D15,'SPC background (hide)'!$AG$2:$AS$54,13,0),E15*1.1)</f>
        <v>664</v>
      </c>
      <c r="G15" s="5" t="str">
        <f>IF(Setup!$I$15="Yes",VLOOKUP(D15,'SPC background (hide)'!$AG$2:$AT$54,14,0)/IF(Summary!$C$8="Patients",'Summary Calculations (hide)'!$I$9,1),"")</f>
        <v/>
      </c>
      <c r="H15">
        <f ca="1">IF(Setup!$I$13="Yes",'Planned background (hide)'!$V$23/IF(Summary!$C$8="Patients",'Summary Calculations (hide)'!$I$9,1),"")</f>
        <v>3.8</v>
      </c>
      <c r="I15" s="5">
        <f ca="1">IFERROR(HLOOKUP(A15,'Capacity calculation (hide)'!$BK$1:$DK$4,4,0),Capacity!$I$15)</f>
        <v>4.6383881230116648</v>
      </c>
      <c r="J15" s="5">
        <f ca="1">IFERROR(HLOOKUP(D15,'Capacity calculation (hide)'!$BK$110:$DJ$111,2,0),0)</f>
        <v>0</v>
      </c>
      <c r="K15" s="5">
        <f ca="1">IF(I15-IF(AND(Setup!$I$15="Yes",OR('Demand adjustments for Covid'!$F$9="No",'Demand adjustments for Covid'!$F$20="No")),$G15,0)-IF(Setup!$I$13="Yes",$H15,0)&lt;0,0,I15-IF(AND(Setup!$I$15="Yes",OR('Demand adjustments for Covid'!$F$9="No",'Demand adjustments for Covid'!$F$20="No")),$G15,0)-IF(Setup!$I$13="Yes",$H15,0))</f>
        <v>0.83838812301166499</v>
      </c>
      <c r="L15" s="5">
        <f ca="1">J15</f>
        <v>0</v>
      </c>
      <c r="M15" s="5">
        <f ca="1">(IF('Demand adjustments for Covid'!$F$9="No",E15,SUM('Demand background (hide)'!DS4,'Demand background (hide)'!DV4:DW4))*(1-'Parameters calculator (hide)'!$B$43))*(1-'Parameters calculator (hide)'!$B$44+('Parameters calculator (hide)'!$B$45*'Parameters calculator (hide)'!$B$47))</f>
        <v>527.43419449999999</v>
      </c>
      <c r="N15" s="5">
        <f ca="1">(IF('Demand adjustments for Covid'!$F$9="No",F15,SUM('Demand background (hide)'!DT4,'Demand background (hide)'!DV4:DW4))*(1-'Parameters calculator (hide)'!$B$43))*(1-'Parameters calculator (hide)'!$B$44+('Parameters calculator (hide)'!$B$45*'Parameters calculator (hide)'!$B$47))</f>
        <v>635.02503200000001</v>
      </c>
      <c r="P15" s="5">
        <f ca="1">I15</f>
        <v>4.6383881230116648</v>
      </c>
      <c r="Q15" s="5">
        <f ca="1">J15</f>
        <v>0</v>
      </c>
      <c r="R15" s="5">
        <f ca="1">IF(P15-V15&lt;0,0,P15-V15)</f>
        <v>0.83838812301166499</v>
      </c>
      <c r="S15" s="5">
        <f ca="1">IF(R15=0,IF(P15+Q15-V15&lt;0,0,P15+Q15-V15),Q15)</f>
        <v>0</v>
      </c>
      <c r="T15" s="5">
        <f ca="1">M15/IF(Summary!$C$8&lt;&gt;"Patients",1,$I$9)</f>
        <v>14.261623907226106</v>
      </c>
      <c r="U15" s="5">
        <f ca="1">((N15-M15)/IF(Summary!$C$8&lt;&gt;"Patients",1,$I$9))</f>
        <v>2.909216118881119</v>
      </c>
      <c r="V15" s="5">
        <f ca="1">SUM(G15:H15)</f>
        <v>3.8</v>
      </c>
      <c r="X15" s="5">
        <f ca="1">(VLOOKUP(D15,'SPC background (hide)'!$AG$2:$AN$54,8,0)/IF(Summary!$C$8&lt;&gt;"Patients",1,$I$9))*(1-$I$4)*(1-$I$5+($I$6*$I$7))</f>
        <v>12.800550923076921</v>
      </c>
    </row>
    <row r="16" spans="1:24" x14ac:dyDescent="0.2">
      <c r="A16" s="87">
        <f ca="1">A15+7</f>
        <v>43591</v>
      </c>
      <c r="B16" s="67" t="str">
        <f t="shared" ref="B16:B47" ca="1" si="1">IF(YEAR(A16)&lt;&gt;YEAR(A15),YEAR(A16),"")</f>
        <v/>
      </c>
      <c r="C16" s="67" t="str">
        <f t="shared" ref="C16:C47" ca="1" si="2">IF(TEXT(A16,"MMM")&lt;&gt;TEXT(A15,"MMM"),TEXT(A16,"MMM"),"")</f>
        <v>May</v>
      </c>
      <c r="D16" s="67">
        <f t="shared" ca="1" si="0"/>
        <v>19</v>
      </c>
      <c r="E16" s="5">
        <f ca="1">IF(LEFT(Demand!$C$8,1)="H",VLOOKUP($D16,'SPC background (hide)'!$AG$2:$AS$54,12,0),'Demand background (hide)'!X5)</f>
        <v>551.5</v>
      </c>
      <c r="F16" s="5">
        <f ca="1">IF(LEFT(Demand!$C$8,1)="H",VLOOKUP($D16,'SPC background (hide)'!$AG$2:$AS$54,13,0),E16*1.1)</f>
        <v>664</v>
      </c>
      <c r="G16" s="5" t="str">
        <f>IF(Setup!$I$15="Yes",VLOOKUP(D16,'SPC background (hide)'!$AG$2:$AT$54,14,0)/IF(Summary!$C$8="Patients",'Summary Calculations (hide)'!$I$9,1),"")</f>
        <v/>
      </c>
      <c r="H16" s="67">
        <f ca="1">IF(Setup!$I$13="Yes",'Planned background (hide)'!$V$23/IF(Summary!$C$8="Patients",'Summary Calculations (hide)'!$I$9,1),"")</f>
        <v>3.8</v>
      </c>
      <c r="I16" s="5">
        <f ca="1">IFERROR(HLOOKUP(A16,'Capacity calculation (hide)'!$BK$1:$DK$4,4,0),Capacity!$I$15)</f>
        <v>4.6383881230116648</v>
      </c>
      <c r="J16" s="5">
        <f ca="1">IFERROR(HLOOKUP(D16,'Capacity calculation (hide)'!$BK$110:$DJ$111,2,0),0)</f>
        <v>4</v>
      </c>
      <c r="K16" s="5">
        <f ca="1">IF(I16-IF(Setup!$I$15="Yes",$G16,0)-IF(Setup!$I$13="Yes",$H16,0)&lt;0,0,I16-IF(Setup!$I$15="Yes",$G16,0)-IF(Setup!$I$13="Yes",$H16,0))</f>
        <v>0.83838812301166499</v>
      </c>
      <c r="L16" s="5">
        <f t="shared" ref="L16:L66" ca="1" si="3">J16</f>
        <v>4</v>
      </c>
      <c r="M16" s="5">
        <f ca="1">(IF('Demand adjustments for Covid'!$F$9="No",E16,SUM('Demand background (hide)'!DS5,'Demand background (hide)'!DV5:DW5))*(1-'Parameters calculator (hide)'!$B$43))*(1-'Parameters calculator (hide)'!$B$44+('Parameters calculator (hide)'!$B$45*'Parameters calculator (hide)'!$B$47))</f>
        <v>527.43419449999999</v>
      </c>
      <c r="N16" s="5">
        <f ca="1">(IF('Demand adjustments for Covid'!$F$9="No",F16,SUM('Demand background (hide)'!DT5,'Demand background (hide)'!DV5:DW5))*(1-'Parameters calculator (hide)'!$B$43))*(1-'Parameters calculator (hide)'!$B$44+('Parameters calculator (hide)'!$B$45*'Parameters calculator (hide)'!$B$47))</f>
        <v>635.02503200000001</v>
      </c>
      <c r="P16" s="5">
        <f t="shared" ref="P16:P66" ca="1" si="4">I16</f>
        <v>4.6383881230116648</v>
      </c>
      <c r="Q16" s="5">
        <f t="shared" ref="Q16:Q66" ca="1" si="5">J16</f>
        <v>4</v>
      </c>
      <c r="R16" s="5">
        <f t="shared" ref="R16:R66" ca="1" si="6">IF(P16-V16&lt;0,0,P16-V16)</f>
        <v>0.83838812301166499</v>
      </c>
      <c r="S16" s="5">
        <f t="shared" ref="S16:S66" ca="1" si="7">IF(R16=0,IF(P16+Q16-V16&lt;0,0,P16+Q16-V16),Q16)</f>
        <v>4</v>
      </c>
      <c r="T16" s="5">
        <f ca="1">M16/IF(Summary!$C$8&lt;&gt;"Patients",1,$I$9)</f>
        <v>14.261623907226106</v>
      </c>
      <c r="U16" s="5">
        <f ca="1">((N16-M16)/IF(Summary!$C$8&lt;&gt;"Patients",1,$I$9))</f>
        <v>2.909216118881119</v>
      </c>
      <c r="V16" s="5">
        <f t="shared" ref="V16:V66" ca="1" si="8">SUM(G16:H16)</f>
        <v>3.8</v>
      </c>
      <c r="X16" s="5">
        <f ca="1">(VLOOKUP(D16,'SPC background (hide)'!$AG$2:$AN$54,8,0)/IF(Summary!$C$8&lt;&gt;"Patients",1,$I$9))*(1-$I$4)*(1-$I$5+($I$6*$I$7))</f>
        <v>12.800550923076921</v>
      </c>
    </row>
    <row r="17" spans="1:24" x14ac:dyDescent="0.2">
      <c r="A17" s="87">
        <f t="shared" ref="A17:A67" ca="1" si="9">A16+7</f>
        <v>43598</v>
      </c>
      <c r="B17" s="67" t="str">
        <f t="shared" ca="1" si="1"/>
        <v/>
      </c>
      <c r="C17" s="67" t="str">
        <f t="shared" ca="1" si="2"/>
        <v/>
      </c>
      <c r="D17" s="67">
        <f t="shared" ca="1" si="0"/>
        <v>20</v>
      </c>
      <c r="E17" s="5">
        <f ca="1">IF(LEFT(Demand!$C$8,1)="H",VLOOKUP($D17,'SPC background (hide)'!$AG$2:$AS$54,12,0),'Demand background (hide)'!X6)</f>
        <v>551.5</v>
      </c>
      <c r="F17" s="5">
        <f ca="1">IF(LEFT(Demand!$C$8,1)="H",VLOOKUP($D17,'SPC background (hide)'!$AG$2:$AS$54,13,0),E17*1.1)</f>
        <v>664</v>
      </c>
      <c r="G17" s="5" t="str">
        <f>IF(Setup!$I$15="Yes",VLOOKUP(D17,'SPC background (hide)'!$AG$2:$AT$54,14,0)/IF(Summary!$C$8="Patients",'Summary Calculations (hide)'!$I$9,1),"")</f>
        <v/>
      </c>
      <c r="H17" s="67">
        <f ca="1">IF(Setup!$I$13="Yes",'Planned background (hide)'!$V$23/IF(Summary!$C$8="Patients",'Summary Calculations (hide)'!$I$9,1),"")</f>
        <v>3.8</v>
      </c>
      <c r="I17" s="5">
        <f ca="1">IFERROR(HLOOKUP(A17,'Capacity calculation (hide)'!$BK$1:$DK$4,4,0),Capacity!$I$15)</f>
        <v>4.6383881230116648</v>
      </c>
      <c r="J17" s="5">
        <f ca="1">IFERROR(HLOOKUP(D17,'Capacity calculation (hide)'!$BK$110:$DJ$111,2,0),0)</f>
        <v>0</v>
      </c>
      <c r="K17" s="5">
        <f ca="1">IF(I17-IF(Setup!$I$15="Yes",$G17,0)-IF(Setup!$I$13="Yes",$H17,0)&lt;0,0,I17-IF(Setup!$I$15="Yes",$G17,0)-IF(Setup!$I$13="Yes",$H17,0))</f>
        <v>0.83838812301166499</v>
      </c>
      <c r="L17" s="5">
        <f t="shared" ca="1" si="3"/>
        <v>0</v>
      </c>
      <c r="M17" s="5">
        <f ca="1">(IF('Demand adjustments for Covid'!$F$9="No",E17,SUM('Demand background (hide)'!DS6,'Demand background (hide)'!DV6:DW6))*(1-'Parameters calculator (hide)'!$B$43))*(1-'Parameters calculator (hide)'!$B$44+('Parameters calculator (hide)'!$B$45*'Parameters calculator (hide)'!$B$47))</f>
        <v>527.43419449999999</v>
      </c>
      <c r="N17" s="5">
        <f ca="1">(IF('Demand adjustments for Covid'!$F$9="No",F17,SUM('Demand background (hide)'!DT6,'Demand background (hide)'!DV6:DW6))*(1-'Parameters calculator (hide)'!$B$43))*(1-'Parameters calculator (hide)'!$B$44+('Parameters calculator (hide)'!$B$45*'Parameters calculator (hide)'!$B$47))</f>
        <v>635.02503200000001</v>
      </c>
      <c r="P17" s="5">
        <f t="shared" ca="1" si="4"/>
        <v>4.6383881230116648</v>
      </c>
      <c r="Q17" s="5">
        <f t="shared" ca="1" si="5"/>
        <v>0</v>
      </c>
      <c r="R17" s="5">
        <f t="shared" ca="1" si="6"/>
        <v>0.83838812301166499</v>
      </c>
      <c r="S17" s="5">
        <f t="shared" ca="1" si="7"/>
        <v>0</v>
      </c>
      <c r="T17" s="5">
        <f ca="1">M17/IF(Summary!$C$8&lt;&gt;"Patients",1,$I$9)</f>
        <v>14.261623907226106</v>
      </c>
      <c r="U17" s="5">
        <f ca="1">((N17-M17)/IF(Summary!$C$8&lt;&gt;"Patients",1,$I$9))</f>
        <v>2.909216118881119</v>
      </c>
      <c r="V17" s="5">
        <f t="shared" ca="1" si="8"/>
        <v>3.8</v>
      </c>
      <c r="X17" s="5">
        <f ca="1">(VLOOKUP(D17,'SPC background (hide)'!$AG$2:$AN$54,8,0)/IF(Summary!$C$8&lt;&gt;"Patients",1,$I$9))*(1-$I$4)*(1-$I$5+($I$6*$I$7))</f>
        <v>12.800550923076921</v>
      </c>
    </row>
    <row r="18" spans="1:24" x14ac:dyDescent="0.2">
      <c r="A18" s="87">
        <f t="shared" ca="1" si="9"/>
        <v>43605</v>
      </c>
      <c r="B18" s="67" t="str">
        <f t="shared" ca="1" si="1"/>
        <v/>
      </c>
      <c r="C18" s="67" t="str">
        <f t="shared" ca="1" si="2"/>
        <v/>
      </c>
      <c r="D18" s="67">
        <f t="shared" ca="1" si="0"/>
        <v>21</v>
      </c>
      <c r="E18" s="5">
        <f ca="1">IF(LEFT(Demand!$C$8,1)="H",VLOOKUP($D18,'SPC background (hide)'!$AG$2:$AS$54,12,0),'Demand background (hide)'!X7)</f>
        <v>551.5</v>
      </c>
      <c r="F18" s="5">
        <f ca="1">IF(LEFT(Demand!$C$8,1)="H",VLOOKUP($D18,'SPC background (hide)'!$AG$2:$AS$54,13,0),E18*1.1)</f>
        <v>664</v>
      </c>
      <c r="G18" s="5" t="str">
        <f>IF(Setup!$I$15="Yes",VLOOKUP(D18,'SPC background (hide)'!$AG$2:$AT$54,14,0)/IF(Summary!$C$8="Patients",'Summary Calculations (hide)'!$I$9,1),"")</f>
        <v/>
      </c>
      <c r="H18" s="67">
        <f ca="1">IF(Setup!$I$13="Yes",'Planned background (hide)'!$V$23/IF(Summary!$C$8="Patients",'Summary Calculations (hide)'!$I$9,1),"")</f>
        <v>3.8</v>
      </c>
      <c r="I18" s="5">
        <f ca="1">IFERROR(HLOOKUP(A18,'Capacity calculation (hide)'!$BK$1:$DK$4,4,0),Capacity!$I$15)</f>
        <v>4.6383881230116648</v>
      </c>
      <c r="J18" s="5">
        <f ca="1">IFERROR(HLOOKUP(D18,'Capacity calculation (hide)'!$BK$110:$DJ$111,2,0),0)</f>
        <v>4</v>
      </c>
      <c r="K18" s="5">
        <f ca="1">IF(I18-IF(Setup!$I$15="Yes",$G18,0)-IF(Setup!$I$13="Yes",$H18,0)&lt;0,0,I18-IF(Setup!$I$15="Yes",$G18,0)-IF(Setup!$I$13="Yes",$H18,0))</f>
        <v>0.83838812301166499</v>
      </c>
      <c r="L18" s="5">
        <f t="shared" ca="1" si="3"/>
        <v>4</v>
      </c>
      <c r="M18" s="5">
        <f ca="1">(IF('Demand adjustments for Covid'!$F$9="No",E18,SUM('Demand background (hide)'!DS7,'Demand background (hide)'!DV7:DW7))*(1-'Parameters calculator (hide)'!$B$43))*(1-'Parameters calculator (hide)'!$B$44+('Parameters calculator (hide)'!$B$45*'Parameters calculator (hide)'!$B$47))</f>
        <v>527.43419449999999</v>
      </c>
      <c r="N18" s="5">
        <f ca="1">(IF('Demand adjustments for Covid'!$F$9="No",F18,SUM('Demand background (hide)'!DT7,'Demand background (hide)'!DV7:DW7))*(1-'Parameters calculator (hide)'!$B$43))*(1-'Parameters calculator (hide)'!$B$44+('Parameters calculator (hide)'!$B$45*'Parameters calculator (hide)'!$B$47))</f>
        <v>635.02503200000001</v>
      </c>
      <c r="P18" s="5">
        <f t="shared" ca="1" si="4"/>
        <v>4.6383881230116648</v>
      </c>
      <c r="Q18" s="5">
        <f t="shared" ca="1" si="5"/>
        <v>4</v>
      </c>
      <c r="R18" s="5">
        <f t="shared" ca="1" si="6"/>
        <v>0.83838812301166499</v>
      </c>
      <c r="S18" s="5">
        <f t="shared" ca="1" si="7"/>
        <v>4</v>
      </c>
      <c r="T18" s="5">
        <f ca="1">M18/IF(Summary!$C$8&lt;&gt;"Patients",1,$I$9)</f>
        <v>14.261623907226106</v>
      </c>
      <c r="U18" s="5">
        <f ca="1">((N18-M18)/IF(Summary!$C$8&lt;&gt;"Patients",1,$I$9))</f>
        <v>2.909216118881119</v>
      </c>
      <c r="V18" s="5">
        <f t="shared" ca="1" si="8"/>
        <v>3.8</v>
      </c>
      <c r="X18" s="5">
        <f ca="1">(VLOOKUP(D18,'SPC background (hide)'!$AG$2:$AN$54,8,0)/IF(Summary!$C$8&lt;&gt;"Patients",1,$I$9))*(1-$I$4)*(1-$I$5+($I$6*$I$7))</f>
        <v>12.800550923076921</v>
      </c>
    </row>
    <row r="19" spans="1:24" x14ac:dyDescent="0.2">
      <c r="A19" s="87">
        <f t="shared" ca="1" si="9"/>
        <v>43612</v>
      </c>
      <c r="B19" s="67" t="str">
        <f t="shared" ca="1" si="1"/>
        <v/>
      </c>
      <c r="C19" s="67" t="str">
        <f t="shared" ca="1" si="2"/>
        <v/>
      </c>
      <c r="D19" s="67">
        <f t="shared" ca="1" si="0"/>
        <v>22</v>
      </c>
      <c r="E19" s="5">
        <f ca="1">IF(LEFT(Demand!$C$8,1)="H",VLOOKUP($D19,'SPC background (hide)'!$AG$2:$AS$54,12,0),'Demand background (hide)'!X8)</f>
        <v>551.5</v>
      </c>
      <c r="F19" s="5">
        <f ca="1">IF(LEFT(Demand!$C$8,1)="H",VLOOKUP($D19,'SPC background (hide)'!$AG$2:$AS$54,13,0),E19*1.1)</f>
        <v>664</v>
      </c>
      <c r="G19" s="5" t="str">
        <f>IF(Setup!$I$15="Yes",VLOOKUP(D19,'SPC background (hide)'!$AG$2:$AT$54,14,0)/IF(Summary!$C$8="Patients",'Summary Calculations (hide)'!$I$9,1),"")</f>
        <v/>
      </c>
      <c r="H19" s="67">
        <f ca="1">IF(Setup!$I$13="Yes",'Planned background (hide)'!$V$23/IF(Summary!$C$8="Patients",'Summary Calculations (hide)'!$I$9,1),"")</f>
        <v>3.8</v>
      </c>
      <c r="I19" s="5">
        <f ca="1">IFERROR(HLOOKUP(A19,'Capacity calculation (hide)'!$BK$1:$DK$4,4,0),Capacity!$I$15)</f>
        <v>4.6383881230116648</v>
      </c>
      <c r="J19" s="5">
        <f ca="1">IFERROR(HLOOKUP(D19,'Capacity calculation (hide)'!$BK$110:$DJ$111,2,0),0)</f>
        <v>0</v>
      </c>
      <c r="K19" s="5">
        <f ca="1">IF(I19-IF(Setup!$I$15="Yes",$G19,0)-IF(Setup!$I$13="Yes",$H19,0)&lt;0,0,I19-IF(Setup!$I$15="Yes",$G19,0)-IF(Setup!$I$13="Yes",$H19,0))</f>
        <v>0.83838812301166499</v>
      </c>
      <c r="L19" s="5">
        <f t="shared" ca="1" si="3"/>
        <v>0</v>
      </c>
      <c r="M19" s="5">
        <f ca="1">(IF('Demand adjustments for Covid'!$F$9="No",E19,SUM('Demand background (hide)'!DS8,'Demand background (hide)'!DV8:DW8))*(1-'Parameters calculator (hide)'!$B$43))*(1-'Parameters calculator (hide)'!$B$44+('Parameters calculator (hide)'!$B$45*'Parameters calculator (hide)'!$B$47))</f>
        <v>527.43419449999999</v>
      </c>
      <c r="N19" s="5">
        <f ca="1">(IF('Demand adjustments for Covid'!$F$9="No",F19,SUM('Demand background (hide)'!DT8,'Demand background (hide)'!DV8:DW8))*(1-'Parameters calculator (hide)'!$B$43))*(1-'Parameters calculator (hide)'!$B$44+('Parameters calculator (hide)'!$B$45*'Parameters calculator (hide)'!$B$47))</f>
        <v>635.02503200000001</v>
      </c>
      <c r="P19" s="5">
        <f t="shared" ca="1" si="4"/>
        <v>4.6383881230116648</v>
      </c>
      <c r="Q19" s="5">
        <f t="shared" ca="1" si="5"/>
        <v>0</v>
      </c>
      <c r="R19" s="5">
        <f t="shared" ca="1" si="6"/>
        <v>0.83838812301166499</v>
      </c>
      <c r="S19" s="5">
        <f t="shared" ca="1" si="7"/>
        <v>0</v>
      </c>
      <c r="T19" s="5">
        <f ca="1">M19/IF(Summary!$C$8&lt;&gt;"Patients",1,$I$9)</f>
        <v>14.261623907226106</v>
      </c>
      <c r="U19" s="5">
        <f ca="1">((N19-M19)/IF(Summary!$C$8&lt;&gt;"Patients",1,$I$9))</f>
        <v>2.909216118881119</v>
      </c>
      <c r="V19" s="5">
        <f t="shared" ca="1" si="8"/>
        <v>3.8</v>
      </c>
      <c r="X19" s="5">
        <f ca="1">(VLOOKUP(D19,'SPC background (hide)'!$AG$2:$AN$54,8,0)/IF(Summary!$C$8&lt;&gt;"Patients",1,$I$9))*(1-$I$4)*(1-$I$5+($I$6*$I$7))</f>
        <v>12.800550923076921</v>
      </c>
    </row>
    <row r="20" spans="1:24" x14ac:dyDescent="0.2">
      <c r="A20" s="87">
        <f t="shared" ca="1" si="9"/>
        <v>43619</v>
      </c>
      <c r="B20" s="67" t="str">
        <f t="shared" ca="1" si="1"/>
        <v/>
      </c>
      <c r="C20" s="67" t="str">
        <f t="shared" ca="1" si="2"/>
        <v>Jun</v>
      </c>
      <c r="D20" s="67">
        <f t="shared" ca="1" si="0"/>
        <v>23</v>
      </c>
      <c r="E20" s="5">
        <f ca="1">IF(LEFT(Demand!$C$8,1)="H",VLOOKUP($D20,'SPC background (hide)'!$AG$2:$AS$54,12,0),'Demand background (hide)'!X9)</f>
        <v>551.5</v>
      </c>
      <c r="F20" s="5">
        <f ca="1">IF(LEFT(Demand!$C$8,1)="H",VLOOKUP($D20,'SPC background (hide)'!$AG$2:$AS$54,13,0),E20*1.1)</f>
        <v>664</v>
      </c>
      <c r="G20" s="5" t="str">
        <f>IF(Setup!$I$15="Yes",VLOOKUP(D20,'SPC background (hide)'!$AG$2:$AT$54,14,0)/IF(Summary!$C$8="Patients",'Summary Calculations (hide)'!$I$9,1),"")</f>
        <v/>
      </c>
      <c r="H20" s="67">
        <f ca="1">IF(Setup!$I$13="Yes",'Planned background (hide)'!$V$23/IF(Summary!$C$8="Patients",'Summary Calculations (hide)'!$I$9,1),"")</f>
        <v>3.8</v>
      </c>
      <c r="I20" s="5">
        <f ca="1">IFERROR(HLOOKUP(A20,'Capacity calculation (hide)'!$BK$1:$DK$4,4,0),Capacity!$I$15)</f>
        <v>18.364256848880391</v>
      </c>
      <c r="J20" s="5">
        <f ca="1">IFERROR(HLOOKUP(D20,'Capacity calculation (hide)'!$BK$110:$DJ$111,2,0),0)</f>
        <v>4</v>
      </c>
      <c r="K20" s="5">
        <f ca="1">IF(I20-IF(Setup!$I$15="Yes",$G20,0)-IF(Setup!$I$13="Yes",$H20,0)&lt;0,0,I20-IF(Setup!$I$15="Yes",$G20,0)-IF(Setup!$I$13="Yes",$H20,0))</f>
        <v>14.56425684888039</v>
      </c>
      <c r="L20" s="5">
        <f t="shared" ca="1" si="3"/>
        <v>4</v>
      </c>
      <c r="M20" s="5">
        <f ca="1">(IF('Demand adjustments for Covid'!$F$9="No",E20,SUM('Demand background (hide)'!DS9,'Demand background (hide)'!DV9:DW9))*(1-'Parameters calculator (hide)'!$B$43))*(1-'Parameters calculator (hide)'!$B$44+('Parameters calculator (hide)'!$B$45*'Parameters calculator (hide)'!$B$47))</f>
        <v>527.43419449999999</v>
      </c>
      <c r="N20" s="5">
        <f ca="1">(IF('Demand adjustments for Covid'!$F$9="No",F20,SUM('Demand background (hide)'!DT9,'Demand background (hide)'!DV9:DW9))*(1-'Parameters calculator (hide)'!$B$43))*(1-'Parameters calculator (hide)'!$B$44+('Parameters calculator (hide)'!$B$45*'Parameters calculator (hide)'!$B$47))</f>
        <v>635.02503200000001</v>
      </c>
      <c r="P20" s="5">
        <f t="shared" ca="1" si="4"/>
        <v>18.364256848880391</v>
      </c>
      <c r="Q20" s="5">
        <f t="shared" ca="1" si="5"/>
        <v>4</v>
      </c>
      <c r="R20" s="5">
        <f t="shared" ca="1" si="6"/>
        <v>14.56425684888039</v>
      </c>
      <c r="S20" s="5">
        <f t="shared" ca="1" si="7"/>
        <v>4</v>
      </c>
      <c r="T20" s="5">
        <f ca="1">M20/IF(Summary!$C$8&lt;&gt;"Patients",1,$I$9)</f>
        <v>14.261623907226106</v>
      </c>
      <c r="U20" s="5">
        <f ca="1">((N20-M20)/IF(Summary!$C$8&lt;&gt;"Patients",1,$I$9))</f>
        <v>2.909216118881119</v>
      </c>
      <c r="V20" s="5">
        <f t="shared" ca="1" si="8"/>
        <v>3.8</v>
      </c>
      <c r="X20" s="5">
        <f ca="1">(VLOOKUP(D20,'SPC background (hide)'!$AG$2:$AN$54,8,0)/IF(Summary!$C$8&lt;&gt;"Patients",1,$I$9))*(1-$I$4)*(1-$I$5+($I$6*$I$7))</f>
        <v>12.800550923076921</v>
      </c>
    </row>
    <row r="21" spans="1:24" x14ac:dyDescent="0.2">
      <c r="A21" s="87">
        <f t="shared" ca="1" si="9"/>
        <v>43626</v>
      </c>
      <c r="B21" s="67" t="str">
        <f t="shared" ca="1" si="1"/>
        <v/>
      </c>
      <c r="C21" s="67" t="str">
        <f t="shared" ca="1" si="2"/>
        <v/>
      </c>
      <c r="D21" s="67">
        <f t="shared" ca="1" si="0"/>
        <v>24</v>
      </c>
      <c r="E21" s="5">
        <f ca="1">IF(LEFT(Demand!$C$8,1)="H",VLOOKUP($D21,'SPC background (hide)'!$AG$2:$AS$54,12,0),'Demand background (hide)'!X10)</f>
        <v>551.5</v>
      </c>
      <c r="F21" s="5">
        <f ca="1">IF(LEFT(Demand!$C$8,1)="H",VLOOKUP($D21,'SPC background (hide)'!$AG$2:$AS$54,13,0),E21*1.1)</f>
        <v>664</v>
      </c>
      <c r="G21" s="5" t="str">
        <f>IF(Setup!$I$15="Yes",VLOOKUP(D21,'SPC background (hide)'!$AG$2:$AT$54,14,0)/IF(Summary!$C$8="Patients",'Summary Calculations (hide)'!$I$9,1),"")</f>
        <v/>
      </c>
      <c r="H21" s="67">
        <f ca="1">IF(Setup!$I$13="Yes",'Planned background (hide)'!$V$23/IF(Summary!$C$8="Patients",'Summary Calculations (hide)'!$I$9,1),"")</f>
        <v>3.8</v>
      </c>
      <c r="I21" s="5">
        <f ca="1">IFERROR(HLOOKUP(A21,'Capacity calculation (hide)'!$BK$1:$DK$4,4,0),Capacity!$I$15)</f>
        <v>18.364256848880391</v>
      </c>
      <c r="J21" s="5">
        <f ca="1">IFERROR(HLOOKUP(D21,'Capacity calculation (hide)'!$BK$110:$DJ$111,2,0),0)</f>
        <v>4</v>
      </c>
      <c r="K21" s="5">
        <f ca="1">IF(I21-IF(Setup!$I$15="Yes",$G21,0)-IF(Setup!$I$13="Yes",$H21,0)&lt;0,0,I21-IF(Setup!$I$15="Yes",$G21,0)-IF(Setup!$I$13="Yes",$H21,0))</f>
        <v>14.56425684888039</v>
      </c>
      <c r="L21" s="5">
        <f t="shared" ca="1" si="3"/>
        <v>4</v>
      </c>
      <c r="M21" s="5">
        <f ca="1">(IF('Demand adjustments for Covid'!$F$9="No",E21,SUM('Demand background (hide)'!DS10,'Demand background (hide)'!DV10:DW10))*(1-'Parameters calculator (hide)'!$B$43))*(1-'Parameters calculator (hide)'!$B$44+('Parameters calculator (hide)'!$B$45*'Parameters calculator (hide)'!$B$47))</f>
        <v>527.43419449999999</v>
      </c>
      <c r="N21" s="5">
        <f ca="1">(IF('Demand adjustments for Covid'!$F$9="No",F21,SUM('Demand background (hide)'!DT10,'Demand background (hide)'!DV10:DW10))*(1-'Parameters calculator (hide)'!$B$43))*(1-'Parameters calculator (hide)'!$B$44+('Parameters calculator (hide)'!$B$45*'Parameters calculator (hide)'!$B$47))</f>
        <v>635.02503200000001</v>
      </c>
      <c r="P21" s="5">
        <f t="shared" ca="1" si="4"/>
        <v>18.364256848880391</v>
      </c>
      <c r="Q21" s="5">
        <f t="shared" ca="1" si="5"/>
        <v>4</v>
      </c>
      <c r="R21" s="5">
        <f t="shared" ca="1" si="6"/>
        <v>14.56425684888039</v>
      </c>
      <c r="S21" s="5">
        <f t="shared" ca="1" si="7"/>
        <v>4</v>
      </c>
      <c r="T21" s="5">
        <f ca="1">M21/IF(Summary!$C$8&lt;&gt;"Patients",1,$I$9)</f>
        <v>14.261623907226106</v>
      </c>
      <c r="U21" s="5">
        <f ca="1">((N21-M21)/IF(Summary!$C$8&lt;&gt;"Patients",1,$I$9))</f>
        <v>2.909216118881119</v>
      </c>
      <c r="V21" s="5">
        <f t="shared" ca="1" si="8"/>
        <v>3.8</v>
      </c>
      <c r="X21" s="5">
        <f ca="1">(VLOOKUP(D21,'SPC background (hide)'!$AG$2:$AN$54,8,0)/IF(Summary!$C$8&lt;&gt;"Patients",1,$I$9))*(1-$I$4)*(1-$I$5+($I$6*$I$7))</f>
        <v>12.800550923076921</v>
      </c>
    </row>
    <row r="22" spans="1:24" x14ac:dyDescent="0.2">
      <c r="A22" s="87">
        <f t="shared" ca="1" si="9"/>
        <v>43633</v>
      </c>
      <c r="B22" s="67" t="str">
        <f t="shared" ca="1" si="1"/>
        <v/>
      </c>
      <c r="C22" s="67" t="str">
        <f t="shared" ca="1" si="2"/>
        <v/>
      </c>
      <c r="D22" s="67">
        <f t="shared" ca="1" si="0"/>
        <v>25</v>
      </c>
      <c r="E22" s="5">
        <f ca="1">IF(LEFT(Demand!$C$8,1)="H",VLOOKUP($D22,'SPC background (hide)'!$AG$2:$AS$54,12,0),'Demand background (hide)'!X11)</f>
        <v>551.5</v>
      </c>
      <c r="F22" s="5">
        <f ca="1">IF(LEFT(Demand!$C$8,1)="H",VLOOKUP($D22,'SPC background (hide)'!$AG$2:$AS$54,13,0),E22*1.1)</f>
        <v>664</v>
      </c>
      <c r="G22" s="5" t="str">
        <f>IF(Setup!$I$15="Yes",VLOOKUP(D22,'SPC background (hide)'!$AG$2:$AT$54,14,0)/IF(Summary!$C$8="Patients",'Summary Calculations (hide)'!$I$9,1),"")</f>
        <v/>
      </c>
      <c r="H22" s="67">
        <f ca="1">IF(Setup!$I$13="Yes",'Planned background (hide)'!$V$23/IF(Summary!$C$8="Patients",'Summary Calculations (hide)'!$I$9,1),"")</f>
        <v>3.8</v>
      </c>
      <c r="I22" s="5">
        <f ca="1">IFERROR(HLOOKUP(A22,'Capacity calculation (hide)'!$BK$1:$DK$4,4,0),Capacity!$I$15)</f>
        <v>18.364256848880391</v>
      </c>
      <c r="J22" s="5">
        <f ca="1">IFERROR(HLOOKUP(D22,'Capacity calculation (hide)'!$BK$110:$DJ$111,2,0),0)</f>
        <v>0</v>
      </c>
      <c r="K22" s="5">
        <f ca="1">IF(I22-IF(Setup!$I$15="Yes",$G22,0)-IF(Setup!$I$13="Yes",$H22,0)&lt;0,0,I22-IF(Setup!$I$15="Yes",$G22,0)-IF(Setup!$I$13="Yes",$H22,0))</f>
        <v>14.56425684888039</v>
      </c>
      <c r="L22" s="5">
        <f t="shared" ca="1" si="3"/>
        <v>0</v>
      </c>
      <c r="M22" s="5">
        <f ca="1">(IF('Demand adjustments for Covid'!$F$9="No",E22,SUM('Demand background (hide)'!DS11,'Demand background (hide)'!DV11:DW11))*(1-'Parameters calculator (hide)'!$B$43))*(1-'Parameters calculator (hide)'!$B$44+('Parameters calculator (hide)'!$B$45*'Parameters calculator (hide)'!$B$47))</f>
        <v>527.43419449999999</v>
      </c>
      <c r="N22" s="5">
        <f ca="1">(IF('Demand adjustments for Covid'!$F$9="No",F22,SUM('Demand background (hide)'!DT11,'Demand background (hide)'!DV11:DW11))*(1-'Parameters calculator (hide)'!$B$43))*(1-'Parameters calculator (hide)'!$B$44+('Parameters calculator (hide)'!$B$45*'Parameters calculator (hide)'!$B$47))</f>
        <v>635.02503200000001</v>
      </c>
      <c r="P22" s="5">
        <f t="shared" ca="1" si="4"/>
        <v>18.364256848880391</v>
      </c>
      <c r="Q22" s="5">
        <f t="shared" ca="1" si="5"/>
        <v>0</v>
      </c>
      <c r="R22" s="5">
        <f t="shared" ca="1" si="6"/>
        <v>14.56425684888039</v>
      </c>
      <c r="S22" s="5">
        <f t="shared" ca="1" si="7"/>
        <v>0</v>
      </c>
      <c r="T22" s="5">
        <f ca="1">M22/IF(Summary!$C$8&lt;&gt;"Patients",1,$I$9)</f>
        <v>14.261623907226106</v>
      </c>
      <c r="U22" s="5">
        <f ca="1">((N22-M22)/IF(Summary!$C$8&lt;&gt;"Patients",1,$I$9))</f>
        <v>2.909216118881119</v>
      </c>
      <c r="V22" s="5">
        <f t="shared" ca="1" si="8"/>
        <v>3.8</v>
      </c>
      <c r="X22" s="5">
        <f ca="1">(VLOOKUP(D22,'SPC background (hide)'!$AG$2:$AN$54,8,0)/IF(Summary!$C$8&lt;&gt;"Patients",1,$I$9))*(1-$I$4)*(1-$I$5+($I$6*$I$7))</f>
        <v>12.800550923076921</v>
      </c>
    </row>
    <row r="23" spans="1:24" x14ac:dyDescent="0.2">
      <c r="A23" s="87">
        <f t="shared" ca="1" si="9"/>
        <v>43640</v>
      </c>
      <c r="B23" s="67" t="str">
        <f t="shared" ca="1" si="1"/>
        <v/>
      </c>
      <c r="C23" s="67" t="str">
        <f t="shared" ca="1" si="2"/>
        <v/>
      </c>
      <c r="D23" s="67">
        <f t="shared" ca="1" si="0"/>
        <v>26</v>
      </c>
      <c r="E23" s="5">
        <f ca="1">IF(LEFT(Demand!$C$8,1)="H",VLOOKUP($D23,'SPC background (hide)'!$AG$2:$AS$54,12,0),'Demand background (hide)'!X12)</f>
        <v>551.5</v>
      </c>
      <c r="F23" s="5">
        <f ca="1">IF(LEFT(Demand!$C$8,1)="H",VLOOKUP($D23,'SPC background (hide)'!$AG$2:$AS$54,13,0),E23*1.1)</f>
        <v>664</v>
      </c>
      <c r="G23" s="5" t="str">
        <f>IF(Setup!$I$15="Yes",VLOOKUP(D23,'SPC background (hide)'!$AG$2:$AT$54,14,0)/IF(Summary!$C$8="Patients",'Summary Calculations (hide)'!$I$9,1),"")</f>
        <v/>
      </c>
      <c r="H23" s="67">
        <f ca="1">IF(Setup!$I$13="Yes",'Planned background (hide)'!$V$23/IF(Summary!$C$8="Patients",'Summary Calculations (hide)'!$I$9,1),"")</f>
        <v>3.8</v>
      </c>
      <c r="I23" s="5">
        <f ca="1">IFERROR(HLOOKUP(A23,'Capacity calculation (hide)'!$BK$1:$DK$4,4,0),Capacity!$I$15)</f>
        <v>18.364256848880391</v>
      </c>
      <c r="J23" s="5">
        <f ca="1">IFERROR(HLOOKUP(D23,'Capacity calculation (hide)'!$BK$110:$DJ$111,2,0),0)</f>
        <v>3.6923076923076925</v>
      </c>
      <c r="K23" s="5">
        <f ca="1">IF(I23-IF(Setup!$I$15="Yes",$G23,0)-IF(Setup!$I$13="Yes",$H23,0)&lt;0,0,I23-IF(Setup!$I$15="Yes",$G23,0)-IF(Setup!$I$13="Yes",$H23,0))</f>
        <v>14.56425684888039</v>
      </c>
      <c r="L23" s="5">
        <f t="shared" ca="1" si="3"/>
        <v>3.6923076923076925</v>
      </c>
      <c r="M23" s="5">
        <f ca="1">(IF('Demand adjustments for Covid'!$F$9="No",E23,SUM('Demand background (hide)'!DS12,'Demand background (hide)'!DV12:DW12))*(1-'Parameters calculator (hide)'!$B$43))*(1-'Parameters calculator (hide)'!$B$44+('Parameters calculator (hide)'!$B$45*'Parameters calculator (hide)'!$B$47))</f>
        <v>527.43419449999999</v>
      </c>
      <c r="N23" s="5">
        <f ca="1">(IF('Demand adjustments for Covid'!$F$9="No",F23,SUM('Demand background (hide)'!DT12,'Demand background (hide)'!DV12:DW12))*(1-'Parameters calculator (hide)'!$B$43))*(1-'Parameters calculator (hide)'!$B$44+('Parameters calculator (hide)'!$B$45*'Parameters calculator (hide)'!$B$47))</f>
        <v>635.02503200000001</v>
      </c>
      <c r="P23" s="5">
        <f t="shared" ca="1" si="4"/>
        <v>18.364256848880391</v>
      </c>
      <c r="Q23" s="5">
        <f t="shared" ca="1" si="5"/>
        <v>3.6923076923076925</v>
      </c>
      <c r="R23" s="5">
        <f t="shared" ca="1" si="6"/>
        <v>14.56425684888039</v>
      </c>
      <c r="S23" s="5">
        <f t="shared" ca="1" si="7"/>
        <v>3.6923076923076925</v>
      </c>
      <c r="T23" s="5">
        <f ca="1">M23/IF(Summary!$C$8&lt;&gt;"Patients",1,$I$9)</f>
        <v>14.261623907226106</v>
      </c>
      <c r="U23" s="5">
        <f ca="1">((N23-M23)/IF(Summary!$C$8&lt;&gt;"Patients",1,$I$9))</f>
        <v>2.909216118881119</v>
      </c>
      <c r="V23" s="5">
        <f t="shared" ca="1" si="8"/>
        <v>3.8</v>
      </c>
      <c r="X23" s="5">
        <f ca="1">(VLOOKUP(D23,'SPC background (hide)'!$AG$2:$AN$54,8,0)/IF(Summary!$C$8&lt;&gt;"Patients",1,$I$9))*(1-$I$4)*(1-$I$5+($I$6*$I$7))</f>
        <v>12.800550923076921</v>
      </c>
    </row>
    <row r="24" spans="1:24" x14ac:dyDescent="0.2">
      <c r="A24" s="87">
        <f t="shared" ca="1" si="9"/>
        <v>43647</v>
      </c>
      <c r="B24" s="67" t="str">
        <f t="shared" ca="1" si="1"/>
        <v/>
      </c>
      <c r="C24" s="67" t="str">
        <f t="shared" ca="1" si="2"/>
        <v>Jul</v>
      </c>
      <c r="D24" s="67">
        <f t="shared" ca="1" si="0"/>
        <v>27</v>
      </c>
      <c r="E24" s="5">
        <f ca="1">IF(LEFT(Demand!$C$8,1)="H",VLOOKUP($D24,'SPC background (hide)'!$AG$2:$AS$54,12,0),'Demand background (hide)'!X13)</f>
        <v>551.5</v>
      </c>
      <c r="F24" s="5">
        <f ca="1">IF(LEFT(Demand!$C$8,1)="H",VLOOKUP($D24,'SPC background (hide)'!$AG$2:$AS$54,13,0),E24*1.1)</f>
        <v>664</v>
      </c>
      <c r="G24" s="5" t="str">
        <f>IF(Setup!$I$15="Yes",VLOOKUP(D24,'SPC background (hide)'!$AG$2:$AT$54,14,0)/IF(Summary!$C$8="Patients",'Summary Calculations (hide)'!$I$9,1),"")</f>
        <v/>
      </c>
      <c r="H24" s="67">
        <f ca="1">IF(Setup!$I$13="Yes",'Planned background (hide)'!$V$23/IF(Summary!$C$8="Patients",'Summary Calculations (hide)'!$I$9,1),"")</f>
        <v>3.8</v>
      </c>
      <c r="I24" s="5">
        <f ca="1">IFERROR(HLOOKUP(A24,'Capacity calculation (hide)'!$BK$1:$DK$4,4,0),Capacity!$I$15)</f>
        <v>18.364256848880391</v>
      </c>
      <c r="J24" s="5">
        <f ca="1">IFERROR(HLOOKUP(D24,'Capacity calculation (hide)'!$BK$110:$DJ$111,2,0),0)</f>
        <v>7.6923076923076925</v>
      </c>
      <c r="K24" s="5">
        <f ca="1">IF(I24-IF(Setup!$I$15="Yes",$G24,0)-IF(Setup!$I$13="Yes",$H24,0)&lt;0,0,I24-IF(Setup!$I$15="Yes",$G24,0)-IF(Setup!$I$13="Yes",$H24,0))</f>
        <v>14.56425684888039</v>
      </c>
      <c r="L24" s="5">
        <f t="shared" ca="1" si="3"/>
        <v>7.6923076923076925</v>
      </c>
      <c r="M24" s="5">
        <f ca="1">(IF('Demand adjustments for Covid'!$F$9="No",E24,SUM('Demand background (hide)'!DS13,'Demand background (hide)'!DV13:DW13))*(1-'Parameters calculator (hide)'!$B$43))*(1-'Parameters calculator (hide)'!$B$44+('Parameters calculator (hide)'!$B$45*'Parameters calculator (hide)'!$B$47))</f>
        <v>527.43419449999999</v>
      </c>
      <c r="N24" s="5">
        <f ca="1">(IF('Demand adjustments for Covid'!$F$9="No",F24,SUM('Demand background (hide)'!DT13,'Demand background (hide)'!DV13:DW13))*(1-'Parameters calculator (hide)'!$B$43))*(1-'Parameters calculator (hide)'!$B$44+('Parameters calculator (hide)'!$B$45*'Parameters calculator (hide)'!$B$47))</f>
        <v>635.02503200000001</v>
      </c>
      <c r="P24" s="5">
        <f t="shared" ca="1" si="4"/>
        <v>18.364256848880391</v>
      </c>
      <c r="Q24" s="5">
        <f t="shared" ca="1" si="5"/>
        <v>7.6923076923076925</v>
      </c>
      <c r="R24" s="5">
        <f t="shared" ca="1" si="6"/>
        <v>14.56425684888039</v>
      </c>
      <c r="S24" s="5">
        <f t="shared" ca="1" si="7"/>
        <v>7.6923076923076925</v>
      </c>
      <c r="T24" s="5">
        <f ca="1">M24/IF(Summary!$C$8&lt;&gt;"Patients",1,$I$9)</f>
        <v>14.261623907226106</v>
      </c>
      <c r="U24" s="5">
        <f ca="1">((N24-M24)/IF(Summary!$C$8&lt;&gt;"Patients",1,$I$9))</f>
        <v>2.909216118881119</v>
      </c>
      <c r="V24" s="5">
        <f t="shared" ca="1" si="8"/>
        <v>3.8</v>
      </c>
      <c r="X24" s="5">
        <f ca="1">(VLOOKUP(D24,'SPC background (hide)'!$AG$2:$AN$54,8,0)/IF(Summary!$C$8&lt;&gt;"Patients",1,$I$9))*(1-$I$4)*(1-$I$5+($I$6*$I$7))</f>
        <v>12.800550923076921</v>
      </c>
    </row>
    <row r="25" spans="1:24" x14ac:dyDescent="0.2">
      <c r="A25" s="87">
        <f t="shared" ca="1" si="9"/>
        <v>43654</v>
      </c>
      <c r="B25" s="67" t="str">
        <f t="shared" ca="1" si="1"/>
        <v/>
      </c>
      <c r="C25" s="67" t="str">
        <f t="shared" ca="1" si="2"/>
        <v/>
      </c>
      <c r="D25" s="67">
        <f t="shared" ca="1" si="0"/>
        <v>28</v>
      </c>
      <c r="E25" s="5">
        <f ca="1">IF(LEFT(Demand!$C$8,1)="H",VLOOKUP($D25,'SPC background (hide)'!$AG$2:$AS$54,12,0),'Demand background (hide)'!X14)</f>
        <v>551.5</v>
      </c>
      <c r="F25" s="5">
        <f ca="1">IF(LEFT(Demand!$C$8,1)="H",VLOOKUP($D25,'SPC background (hide)'!$AG$2:$AS$54,13,0),E25*1.1)</f>
        <v>664</v>
      </c>
      <c r="G25" s="5" t="str">
        <f>IF(Setup!$I$15="Yes",VLOOKUP(D25,'SPC background (hide)'!$AG$2:$AT$54,14,0)/IF(Summary!$C$8="Patients",'Summary Calculations (hide)'!$I$9,1),"")</f>
        <v/>
      </c>
      <c r="H25" s="67">
        <f ca="1">IF(Setup!$I$13="Yes",'Planned background (hide)'!$V$23/IF(Summary!$C$8="Patients",'Summary Calculations (hide)'!$I$9,1),"")</f>
        <v>3.8</v>
      </c>
      <c r="I25" s="5">
        <f ca="1">IFERROR(HLOOKUP(A25,'Capacity calculation (hide)'!$BK$1:$DK$4,4,0),Capacity!$I$15)</f>
        <v>18.364256848880391</v>
      </c>
      <c r="J25" s="5">
        <f ca="1">IFERROR(HLOOKUP(D25,'Capacity calculation (hide)'!$BK$110:$DJ$111,2,0),0)</f>
        <v>4</v>
      </c>
      <c r="K25" s="5">
        <f ca="1">IF(I25-IF(Setup!$I$15="Yes",$G25,0)-IF(Setup!$I$13="Yes",$H25,0)&lt;0,0,I25-IF(Setup!$I$15="Yes",$G25,0)-IF(Setup!$I$13="Yes",$H25,0))</f>
        <v>14.56425684888039</v>
      </c>
      <c r="L25" s="5">
        <f t="shared" ca="1" si="3"/>
        <v>4</v>
      </c>
      <c r="M25" s="5">
        <f ca="1">(IF('Demand adjustments for Covid'!$F$9="No",E25,SUM('Demand background (hide)'!DS14,'Demand background (hide)'!DV14:DW14))*(1-'Parameters calculator (hide)'!$B$43))*(1-'Parameters calculator (hide)'!$B$44+('Parameters calculator (hide)'!$B$45*'Parameters calculator (hide)'!$B$47))</f>
        <v>527.43419449999999</v>
      </c>
      <c r="N25" s="5">
        <f ca="1">(IF('Demand adjustments for Covid'!$F$9="No",F25,SUM('Demand background (hide)'!DT14,'Demand background (hide)'!DV14:DW14))*(1-'Parameters calculator (hide)'!$B$43))*(1-'Parameters calculator (hide)'!$B$44+('Parameters calculator (hide)'!$B$45*'Parameters calculator (hide)'!$B$47))</f>
        <v>635.02503200000001</v>
      </c>
      <c r="P25" s="5">
        <f t="shared" ca="1" si="4"/>
        <v>18.364256848880391</v>
      </c>
      <c r="Q25" s="5">
        <f t="shared" ca="1" si="5"/>
        <v>4</v>
      </c>
      <c r="R25" s="5">
        <f t="shared" ca="1" si="6"/>
        <v>14.56425684888039</v>
      </c>
      <c r="S25" s="5">
        <f t="shared" ca="1" si="7"/>
        <v>4</v>
      </c>
      <c r="T25" s="5">
        <f ca="1">M25/IF(Summary!$C$8&lt;&gt;"Patients",1,$I$9)</f>
        <v>14.261623907226106</v>
      </c>
      <c r="U25" s="5">
        <f ca="1">((N25-M25)/IF(Summary!$C$8&lt;&gt;"Patients",1,$I$9))</f>
        <v>2.909216118881119</v>
      </c>
      <c r="V25" s="5">
        <f t="shared" ca="1" si="8"/>
        <v>3.8</v>
      </c>
      <c r="X25" s="5">
        <f ca="1">(VLOOKUP(D25,'SPC background (hide)'!$AG$2:$AN$54,8,0)/IF(Summary!$C$8&lt;&gt;"Patients",1,$I$9))*(1-$I$4)*(1-$I$5+($I$6*$I$7))</f>
        <v>12.800550923076921</v>
      </c>
    </row>
    <row r="26" spans="1:24" x14ac:dyDescent="0.2">
      <c r="A26" s="87">
        <f t="shared" ca="1" si="9"/>
        <v>43661</v>
      </c>
      <c r="B26" s="67" t="str">
        <f t="shared" ca="1" si="1"/>
        <v/>
      </c>
      <c r="C26" s="67" t="str">
        <f t="shared" ca="1" si="2"/>
        <v/>
      </c>
      <c r="D26" s="67">
        <f t="shared" ca="1" si="0"/>
        <v>29</v>
      </c>
      <c r="E26" s="5">
        <f ca="1">IF(LEFT(Demand!$C$8,1)="H",VLOOKUP($D26,'SPC background (hide)'!$AG$2:$AS$54,12,0),'Demand background (hide)'!X15)</f>
        <v>551.5</v>
      </c>
      <c r="F26" s="5">
        <f ca="1">IF(LEFT(Demand!$C$8,1)="H",VLOOKUP($D26,'SPC background (hide)'!$AG$2:$AS$54,13,0),E26*1.1)</f>
        <v>664</v>
      </c>
      <c r="G26" s="5" t="str">
        <f>IF(Setup!$I$15="Yes",VLOOKUP(D26,'SPC background (hide)'!$AG$2:$AT$54,14,0)/IF(Summary!$C$8="Patients",'Summary Calculations (hide)'!$I$9,1),"")</f>
        <v/>
      </c>
      <c r="H26" s="67">
        <f ca="1">IF(Setup!$I$13="Yes",'Planned background (hide)'!$V$23/IF(Summary!$C$8="Patients",'Summary Calculations (hide)'!$I$9,1),"")</f>
        <v>3.8</v>
      </c>
      <c r="I26" s="5">
        <f ca="1">IFERROR(HLOOKUP(A26,'Capacity calculation (hide)'!$BK$1:$DK$4,4,0),Capacity!$I$15)</f>
        <v>18.364256848880391</v>
      </c>
      <c r="J26" s="5">
        <f ca="1">IFERROR(HLOOKUP(D26,'Capacity calculation (hide)'!$BK$110:$DJ$111,2,0),0)</f>
        <v>0</v>
      </c>
      <c r="K26" s="5">
        <f ca="1">IF(I26-IF(Setup!$I$15="Yes",$G26,0)-IF(Setup!$I$13="Yes",$H26,0)&lt;0,0,I26-IF(Setup!$I$15="Yes",$G26,0)-IF(Setup!$I$13="Yes",$H26,0))</f>
        <v>14.56425684888039</v>
      </c>
      <c r="L26" s="5">
        <f t="shared" ca="1" si="3"/>
        <v>0</v>
      </c>
      <c r="M26" s="5">
        <f ca="1">(IF('Demand adjustments for Covid'!$F$9="No",E26,SUM('Demand background (hide)'!DS15,'Demand background (hide)'!DV15:DW15))*(1-'Parameters calculator (hide)'!$B$43))*(1-'Parameters calculator (hide)'!$B$44+('Parameters calculator (hide)'!$B$45*'Parameters calculator (hide)'!$B$47))</f>
        <v>527.43419449999999</v>
      </c>
      <c r="N26" s="5">
        <f ca="1">(IF('Demand adjustments for Covid'!$F$9="No",F26,SUM('Demand background (hide)'!DT15,'Demand background (hide)'!DV15:DW15))*(1-'Parameters calculator (hide)'!$B$43))*(1-'Parameters calculator (hide)'!$B$44+('Parameters calculator (hide)'!$B$45*'Parameters calculator (hide)'!$B$47))</f>
        <v>635.02503200000001</v>
      </c>
      <c r="P26" s="5">
        <f t="shared" ca="1" si="4"/>
        <v>18.364256848880391</v>
      </c>
      <c r="Q26" s="5">
        <f t="shared" ca="1" si="5"/>
        <v>0</v>
      </c>
      <c r="R26" s="5">
        <f t="shared" ca="1" si="6"/>
        <v>14.56425684888039</v>
      </c>
      <c r="S26" s="5">
        <f t="shared" ca="1" si="7"/>
        <v>0</v>
      </c>
      <c r="T26" s="5">
        <f ca="1">M26/IF(Summary!$C$8&lt;&gt;"Patients",1,$I$9)</f>
        <v>14.261623907226106</v>
      </c>
      <c r="U26" s="5">
        <f ca="1">((N26-M26)/IF(Summary!$C$8&lt;&gt;"Patients",1,$I$9))</f>
        <v>2.909216118881119</v>
      </c>
      <c r="V26" s="5">
        <f t="shared" ca="1" si="8"/>
        <v>3.8</v>
      </c>
      <c r="X26" s="5">
        <f ca="1">(VLOOKUP(D26,'SPC background (hide)'!$AG$2:$AN$54,8,0)/IF(Summary!$C$8&lt;&gt;"Patients",1,$I$9))*(1-$I$4)*(1-$I$5+($I$6*$I$7))</f>
        <v>12.800550923076921</v>
      </c>
    </row>
    <row r="27" spans="1:24" x14ac:dyDescent="0.2">
      <c r="A27" s="87">
        <f t="shared" ca="1" si="9"/>
        <v>43668</v>
      </c>
      <c r="B27" s="67" t="str">
        <f t="shared" ca="1" si="1"/>
        <v/>
      </c>
      <c r="C27" s="67" t="str">
        <f t="shared" ca="1" si="2"/>
        <v/>
      </c>
      <c r="D27" s="67">
        <f t="shared" ca="1" si="0"/>
        <v>30</v>
      </c>
      <c r="E27" s="5">
        <f ca="1">IF(LEFT(Demand!$C$8,1)="H",VLOOKUP($D27,'SPC background (hide)'!$AG$2:$AS$54,12,0),'Demand background (hide)'!X16)</f>
        <v>551.5</v>
      </c>
      <c r="F27" s="5">
        <f ca="1">IF(LEFT(Demand!$C$8,1)="H",VLOOKUP($D27,'SPC background (hide)'!$AG$2:$AS$54,13,0),E27*1.1)</f>
        <v>664</v>
      </c>
      <c r="G27" s="5" t="str">
        <f>IF(Setup!$I$15="Yes",VLOOKUP(D27,'SPC background (hide)'!$AG$2:$AT$54,14,0)/IF(Summary!$C$8="Patients",'Summary Calculations (hide)'!$I$9,1),"")</f>
        <v/>
      </c>
      <c r="H27" s="67">
        <f ca="1">IF(Setup!$I$13="Yes",'Planned background (hide)'!$V$23/IF(Summary!$C$8="Patients",'Summary Calculations (hide)'!$I$9,1),"")</f>
        <v>3.8</v>
      </c>
      <c r="I27" s="5">
        <f ca="1">IFERROR(HLOOKUP(A27,'Capacity calculation (hide)'!$BK$1:$DK$4,4,0),Capacity!$I$15)</f>
        <v>18.364256848880391</v>
      </c>
      <c r="J27" s="5">
        <f ca="1">IFERROR(HLOOKUP(D27,'Capacity calculation (hide)'!$BK$110:$DJ$111,2,0),0)</f>
        <v>0</v>
      </c>
      <c r="K27" s="5">
        <f ca="1">IF(I27-IF(Setup!$I$15="Yes",$G27,0)-IF(Setup!$I$13="Yes",$H27,0)&lt;0,0,I27-IF(Setup!$I$15="Yes",$G27,0)-IF(Setup!$I$13="Yes",$H27,0))</f>
        <v>14.56425684888039</v>
      </c>
      <c r="L27" s="5">
        <f t="shared" ca="1" si="3"/>
        <v>0</v>
      </c>
      <c r="M27" s="5">
        <f ca="1">(IF('Demand adjustments for Covid'!$F$9="No",E27,SUM('Demand background (hide)'!DS16,'Demand background (hide)'!DV16:DW16))*(1-'Parameters calculator (hide)'!$B$43))*(1-'Parameters calculator (hide)'!$B$44+('Parameters calculator (hide)'!$B$45*'Parameters calculator (hide)'!$B$47))</f>
        <v>527.43419449999999</v>
      </c>
      <c r="N27" s="5">
        <f ca="1">(IF('Demand adjustments for Covid'!$F$9="No",F27,SUM('Demand background (hide)'!DT16,'Demand background (hide)'!DV16:DW16))*(1-'Parameters calculator (hide)'!$B$43))*(1-'Parameters calculator (hide)'!$B$44+('Parameters calculator (hide)'!$B$45*'Parameters calculator (hide)'!$B$47))</f>
        <v>635.02503200000001</v>
      </c>
      <c r="P27" s="5">
        <f t="shared" ca="1" si="4"/>
        <v>18.364256848880391</v>
      </c>
      <c r="Q27" s="5">
        <f t="shared" ca="1" si="5"/>
        <v>0</v>
      </c>
      <c r="R27" s="5">
        <f t="shared" ca="1" si="6"/>
        <v>14.56425684888039</v>
      </c>
      <c r="S27" s="5">
        <f t="shared" ca="1" si="7"/>
        <v>0</v>
      </c>
      <c r="T27" s="5">
        <f ca="1">M27/IF(Summary!$C$8&lt;&gt;"Patients",1,$I$9)</f>
        <v>14.261623907226106</v>
      </c>
      <c r="U27" s="5">
        <f ca="1">((N27-M27)/IF(Summary!$C$8&lt;&gt;"Patients",1,$I$9))</f>
        <v>2.909216118881119</v>
      </c>
      <c r="V27" s="5">
        <f t="shared" ca="1" si="8"/>
        <v>3.8</v>
      </c>
      <c r="X27" s="5">
        <f ca="1">(VLOOKUP(D27,'SPC background (hide)'!$AG$2:$AN$54,8,0)/IF(Summary!$C$8&lt;&gt;"Patients",1,$I$9))*(1-$I$4)*(1-$I$5+($I$6*$I$7))</f>
        <v>12.800550923076921</v>
      </c>
    </row>
    <row r="28" spans="1:24" x14ac:dyDescent="0.2">
      <c r="A28" s="87">
        <f t="shared" ca="1" si="9"/>
        <v>43675</v>
      </c>
      <c r="B28" s="67" t="str">
        <f t="shared" ca="1" si="1"/>
        <v/>
      </c>
      <c r="C28" s="67" t="str">
        <f t="shared" ca="1" si="2"/>
        <v/>
      </c>
      <c r="D28" s="67">
        <f t="shared" ca="1" si="0"/>
        <v>31</v>
      </c>
      <c r="E28" s="5">
        <f ca="1">IF(LEFT(Demand!$C$8,1)="H",VLOOKUP($D28,'SPC background (hide)'!$AG$2:$AS$54,12,0),'Demand background (hide)'!X17)</f>
        <v>551.5</v>
      </c>
      <c r="F28" s="5">
        <f ca="1">IF(LEFT(Demand!$C$8,1)="H",VLOOKUP($D28,'SPC background (hide)'!$AG$2:$AS$54,13,0),E28*1.1)</f>
        <v>664</v>
      </c>
      <c r="G28" s="5" t="str">
        <f>IF(Setup!$I$15="Yes",VLOOKUP(D28,'SPC background (hide)'!$AG$2:$AT$54,14,0)/IF(Summary!$C$8="Patients",'Summary Calculations (hide)'!$I$9,1),"")</f>
        <v/>
      </c>
      <c r="H28" s="67">
        <f ca="1">IF(Setup!$I$13="Yes",'Planned background (hide)'!$V$23/IF(Summary!$C$8="Patients",'Summary Calculations (hide)'!$I$9,1),"")</f>
        <v>3.8</v>
      </c>
      <c r="I28" s="5">
        <f ca="1">IFERROR(HLOOKUP(A28,'Capacity calculation (hide)'!$BK$1:$DK$4,4,0),Capacity!$I$15)</f>
        <v>18.364256848880391</v>
      </c>
      <c r="J28" s="5">
        <f ca="1">IFERROR(HLOOKUP(D28,'Capacity calculation (hide)'!$BK$110:$DJ$111,2,0),0)</f>
        <v>7.6923076923076925</v>
      </c>
      <c r="K28" s="5">
        <f ca="1">IF(I28-IF(Setup!$I$15="Yes",$G28,0)-IF(Setup!$I$13="Yes",$H28,0)&lt;0,0,I28-IF(Setup!$I$15="Yes",$G28,0)-IF(Setup!$I$13="Yes",$H28,0))</f>
        <v>14.56425684888039</v>
      </c>
      <c r="L28" s="5">
        <f t="shared" ca="1" si="3"/>
        <v>7.6923076923076925</v>
      </c>
      <c r="M28" s="5">
        <f ca="1">(IF('Demand adjustments for Covid'!$F$9="No",E28,SUM('Demand background (hide)'!DS17,'Demand background (hide)'!DV17:DW17))*(1-'Parameters calculator (hide)'!$B$43))*(1-'Parameters calculator (hide)'!$B$44+('Parameters calculator (hide)'!$B$45*'Parameters calculator (hide)'!$B$47))</f>
        <v>527.43419449999999</v>
      </c>
      <c r="N28" s="5">
        <f ca="1">(IF('Demand adjustments for Covid'!$F$9="No",F28,SUM('Demand background (hide)'!DT17,'Demand background (hide)'!DV17:DW17))*(1-'Parameters calculator (hide)'!$B$43))*(1-'Parameters calculator (hide)'!$B$44+('Parameters calculator (hide)'!$B$45*'Parameters calculator (hide)'!$B$47))</f>
        <v>635.02503200000001</v>
      </c>
      <c r="P28" s="5">
        <f t="shared" ca="1" si="4"/>
        <v>18.364256848880391</v>
      </c>
      <c r="Q28" s="5">
        <f t="shared" ca="1" si="5"/>
        <v>7.6923076923076925</v>
      </c>
      <c r="R28" s="5">
        <f t="shared" ca="1" si="6"/>
        <v>14.56425684888039</v>
      </c>
      <c r="S28" s="5">
        <f t="shared" ca="1" si="7"/>
        <v>7.6923076923076925</v>
      </c>
      <c r="T28" s="5">
        <f ca="1">M28/IF(Summary!$C$8&lt;&gt;"Patients",1,$I$9)</f>
        <v>14.261623907226106</v>
      </c>
      <c r="U28" s="5">
        <f ca="1">((N28-M28)/IF(Summary!$C$8&lt;&gt;"Patients",1,$I$9))</f>
        <v>2.909216118881119</v>
      </c>
      <c r="V28" s="5">
        <f t="shared" ca="1" si="8"/>
        <v>3.8</v>
      </c>
      <c r="X28" s="5">
        <f ca="1">(VLOOKUP(D28,'SPC background (hide)'!$AG$2:$AN$54,8,0)/IF(Summary!$C$8&lt;&gt;"Patients",1,$I$9))*(1-$I$4)*(1-$I$5+($I$6*$I$7))</f>
        <v>12.800550923076921</v>
      </c>
    </row>
    <row r="29" spans="1:24" x14ac:dyDescent="0.2">
      <c r="A29" s="87">
        <f t="shared" ca="1" si="9"/>
        <v>43682</v>
      </c>
      <c r="B29" s="67" t="str">
        <f t="shared" ca="1" si="1"/>
        <v/>
      </c>
      <c r="C29" s="67" t="str">
        <f t="shared" ca="1" si="2"/>
        <v>Aug</v>
      </c>
      <c r="D29" s="67">
        <f t="shared" ca="1" si="0"/>
        <v>32</v>
      </c>
      <c r="E29" s="5">
        <f ca="1">IF(LEFT(Demand!$C$8,1)="H",VLOOKUP($D29,'SPC background (hide)'!$AG$2:$AS$54,12,0),'Demand background (hide)'!X18)</f>
        <v>551.5</v>
      </c>
      <c r="F29" s="5">
        <f ca="1">IF(LEFT(Demand!$C$8,1)="H",VLOOKUP($D29,'SPC background (hide)'!$AG$2:$AS$54,13,0),E29*1.1)</f>
        <v>664</v>
      </c>
      <c r="G29" s="5" t="str">
        <f>IF(Setup!$I$15="Yes",VLOOKUP(D29,'SPC background (hide)'!$AG$2:$AT$54,14,0)/IF(Summary!$C$8="Patients",'Summary Calculations (hide)'!$I$9,1),"")</f>
        <v/>
      </c>
      <c r="H29" s="67">
        <f ca="1">IF(Setup!$I$13="Yes",'Planned background (hide)'!$V$23/IF(Summary!$C$8="Patients",'Summary Calculations (hide)'!$I$9,1),"")</f>
        <v>3.8</v>
      </c>
      <c r="I29" s="5">
        <f ca="1">IFERROR(HLOOKUP(A29,'Capacity calculation (hide)'!$BK$1:$DK$4,4,0),Capacity!$I$15)</f>
        <v>13.725868725868725</v>
      </c>
      <c r="J29" s="5">
        <f ca="1">IFERROR(HLOOKUP(D29,'Capacity calculation (hide)'!$BK$110:$DJ$111,2,0),0)</f>
        <v>0</v>
      </c>
      <c r="K29" s="5">
        <f ca="1">IF(I29-IF(Setup!$I$15="Yes",$G29,0)-IF(Setup!$I$13="Yes",$H29,0)&lt;0,0,I29-IF(Setup!$I$15="Yes",$G29,0)-IF(Setup!$I$13="Yes",$H29,0))</f>
        <v>9.9258687258687246</v>
      </c>
      <c r="L29" s="5">
        <f t="shared" ca="1" si="3"/>
        <v>0</v>
      </c>
      <c r="M29" s="5">
        <f ca="1">(IF('Demand adjustments for Covid'!$F$9="No",E29,SUM('Demand background (hide)'!DS18,'Demand background (hide)'!DV18:DW18))*(1-'Parameters calculator (hide)'!$B$43))*(1-'Parameters calculator (hide)'!$B$44+('Parameters calculator (hide)'!$B$45*'Parameters calculator (hide)'!$B$47))</f>
        <v>527.43419449999999</v>
      </c>
      <c r="N29" s="5">
        <f ca="1">(IF('Demand adjustments for Covid'!$F$9="No",F29,SUM('Demand background (hide)'!DT18,'Demand background (hide)'!DV18:DW18))*(1-'Parameters calculator (hide)'!$B$43))*(1-'Parameters calculator (hide)'!$B$44+('Parameters calculator (hide)'!$B$45*'Parameters calculator (hide)'!$B$47))</f>
        <v>635.02503200000001</v>
      </c>
      <c r="P29" s="5">
        <f t="shared" ca="1" si="4"/>
        <v>13.725868725868725</v>
      </c>
      <c r="Q29" s="5">
        <f t="shared" ca="1" si="5"/>
        <v>0</v>
      </c>
      <c r="R29" s="5">
        <f t="shared" ca="1" si="6"/>
        <v>9.9258687258687246</v>
      </c>
      <c r="S29" s="5">
        <f t="shared" ca="1" si="7"/>
        <v>0</v>
      </c>
      <c r="T29" s="5">
        <f ca="1">M29/IF(Summary!$C$8&lt;&gt;"Patients",1,$I$9)</f>
        <v>14.261623907226106</v>
      </c>
      <c r="U29" s="5">
        <f ca="1">((N29-M29)/IF(Summary!$C$8&lt;&gt;"Patients",1,$I$9))</f>
        <v>2.909216118881119</v>
      </c>
      <c r="V29" s="5">
        <f t="shared" ca="1" si="8"/>
        <v>3.8</v>
      </c>
      <c r="X29" s="5">
        <f ca="1">(VLOOKUP(D29,'SPC background (hide)'!$AG$2:$AN$54,8,0)/IF(Summary!$C$8&lt;&gt;"Patients",1,$I$9))*(1-$I$4)*(1-$I$5+($I$6*$I$7))</f>
        <v>12.800550923076921</v>
      </c>
    </row>
    <row r="30" spans="1:24" x14ac:dyDescent="0.2">
      <c r="A30" s="87">
        <f t="shared" ca="1" si="9"/>
        <v>43689</v>
      </c>
      <c r="B30" s="67" t="str">
        <f t="shared" ca="1" si="1"/>
        <v/>
      </c>
      <c r="C30" s="67" t="str">
        <f t="shared" ca="1" si="2"/>
        <v/>
      </c>
      <c r="D30" s="67">
        <f t="shared" ca="1" si="0"/>
        <v>33</v>
      </c>
      <c r="E30" s="5">
        <f ca="1">IF(LEFT(Demand!$C$8,1)="H",VLOOKUP($D30,'SPC background (hide)'!$AG$2:$AS$54,12,0),'Demand background (hide)'!X19)</f>
        <v>551.5</v>
      </c>
      <c r="F30" s="5">
        <f ca="1">IF(LEFT(Demand!$C$8,1)="H",VLOOKUP($D30,'SPC background (hide)'!$AG$2:$AS$54,13,0),E30*1.1)</f>
        <v>664</v>
      </c>
      <c r="G30" s="5" t="str">
        <f>IF(Setup!$I$15="Yes",VLOOKUP(D30,'SPC background (hide)'!$AG$2:$AT$54,14,0)/IF(Summary!$C$8="Patients",'Summary Calculations (hide)'!$I$9,1),"")</f>
        <v/>
      </c>
      <c r="H30" s="67">
        <f ca="1">IF(Setup!$I$13="Yes",'Planned background (hide)'!$V$23/IF(Summary!$C$8="Patients",'Summary Calculations (hide)'!$I$9,1),"")</f>
        <v>3.8</v>
      </c>
      <c r="I30" s="5">
        <f ca="1">IFERROR(HLOOKUP(A30,'Capacity calculation (hide)'!$BK$1:$DK$4,4,0),Capacity!$I$15)</f>
        <v>13.725868725868725</v>
      </c>
      <c r="J30" s="5">
        <f ca="1">IFERROR(HLOOKUP(D30,'Capacity calculation (hide)'!$BK$110:$DJ$111,2,0),0)</f>
        <v>0</v>
      </c>
      <c r="K30" s="5">
        <f ca="1">IF(I30-IF(Setup!$I$15="Yes",$G30,0)-IF(Setup!$I$13="Yes",$H30,0)&lt;0,0,I30-IF(Setup!$I$15="Yes",$G30,0)-IF(Setup!$I$13="Yes",$H30,0))</f>
        <v>9.9258687258687246</v>
      </c>
      <c r="L30" s="5">
        <f t="shared" ca="1" si="3"/>
        <v>0</v>
      </c>
      <c r="M30" s="5">
        <f ca="1">(IF('Demand adjustments for Covid'!$F$9="No",E30,SUM('Demand background (hide)'!DS19,'Demand background (hide)'!DV19:DW19))*(1-'Parameters calculator (hide)'!$B$43))*(1-'Parameters calculator (hide)'!$B$44+('Parameters calculator (hide)'!$B$45*'Parameters calculator (hide)'!$B$47))</f>
        <v>527.43419449999999</v>
      </c>
      <c r="N30" s="5">
        <f ca="1">(IF('Demand adjustments for Covid'!$F$9="No",F30,SUM('Demand background (hide)'!DT19,'Demand background (hide)'!DV19:DW19))*(1-'Parameters calculator (hide)'!$B$43))*(1-'Parameters calculator (hide)'!$B$44+('Parameters calculator (hide)'!$B$45*'Parameters calculator (hide)'!$B$47))</f>
        <v>635.02503200000001</v>
      </c>
      <c r="P30" s="5">
        <f t="shared" ca="1" si="4"/>
        <v>13.725868725868725</v>
      </c>
      <c r="Q30" s="5">
        <f t="shared" ca="1" si="5"/>
        <v>0</v>
      </c>
      <c r="R30" s="5">
        <f t="shared" ca="1" si="6"/>
        <v>9.9258687258687246</v>
      </c>
      <c r="S30" s="5">
        <f t="shared" ca="1" si="7"/>
        <v>0</v>
      </c>
      <c r="T30" s="5">
        <f ca="1">M30/IF(Summary!$C$8&lt;&gt;"Patients",1,$I$9)</f>
        <v>14.261623907226106</v>
      </c>
      <c r="U30" s="5">
        <f ca="1">((N30-M30)/IF(Summary!$C$8&lt;&gt;"Patients",1,$I$9))</f>
        <v>2.909216118881119</v>
      </c>
      <c r="V30" s="5">
        <f t="shared" ca="1" si="8"/>
        <v>3.8</v>
      </c>
      <c r="X30" s="5">
        <f ca="1">(VLOOKUP(D30,'SPC background (hide)'!$AG$2:$AN$54,8,0)/IF(Summary!$C$8&lt;&gt;"Patients",1,$I$9))*(1-$I$4)*(1-$I$5+($I$6*$I$7))</f>
        <v>12.800550923076921</v>
      </c>
    </row>
    <row r="31" spans="1:24" x14ac:dyDescent="0.2">
      <c r="A31" s="87">
        <f t="shared" ca="1" si="9"/>
        <v>43696</v>
      </c>
      <c r="B31" s="67" t="str">
        <f t="shared" ca="1" si="1"/>
        <v/>
      </c>
      <c r="C31" s="67" t="str">
        <f t="shared" ca="1" si="2"/>
        <v/>
      </c>
      <c r="D31" s="67">
        <f t="shared" ca="1" si="0"/>
        <v>34</v>
      </c>
      <c r="E31" s="5">
        <f ca="1">IF(LEFT(Demand!$C$8,1)="H",VLOOKUP($D31,'SPC background (hide)'!$AG$2:$AS$54,12,0),'Demand background (hide)'!X20)</f>
        <v>551.5</v>
      </c>
      <c r="F31" s="5">
        <f ca="1">IF(LEFT(Demand!$C$8,1)="H",VLOOKUP($D31,'SPC background (hide)'!$AG$2:$AS$54,13,0),E31*1.1)</f>
        <v>664</v>
      </c>
      <c r="G31" s="5" t="str">
        <f>IF(Setup!$I$15="Yes",VLOOKUP(D31,'SPC background (hide)'!$AG$2:$AT$54,14,0)/IF(Summary!$C$8="Patients",'Summary Calculations (hide)'!$I$9,1),"")</f>
        <v/>
      </c>
      <c r="H31" s="67">
        <f ca="1">IF(Setup!$I$13="Yes",'Planned background (hide)'!$V$23/IF(Summary!$C$8="Patients",'Summary Calculations (hide)'!$I$9,1),"")</f>
        <v>3.8</v>
      </c>
      <c r="I31" s="5">
        <f ca="1">IFERROR(HLOOKUP(A31,'Capacity calculation (hide)'!$BK$1:$DK$4,4,0),Capacity!$I$15)</f>
        <v>13.725868725868725</v>
      </c>
      <c r="J31" s="5">
        <f ca="1">IFERROR(HLOOKUP(D31,'Capacity calculation (hide)'!$BK$110:$DJ$111,2,0),0)</f>
        <v>0</v>
      </c>
      <c r="K31" s="5">
        <f ca="1">IF(I31-IF(Setup!$I$15="Yes",$G31,0)-IF(Setup!$I$13="Yes",$H31,0)&lt;0,0,I31-IF(Setup!$I$15="Yes",$G31,0)-IF(Setup!$I$13="Yes",$H31,0))</f>
        <v>9.9258687258687246</v>
      </c>
      <c r="L31" s="5">
        <f t="shared" ca="1" si="3"/>
        <v>0</v>
      </c>
      <c r="M31" s="5">
        <f ca="1">(IF('Demand adjustments for Covid'!$F$9="No",E31,SUM('Demand background (hide)'!DS20,'Demand background (hide)'!DV20:DW20))*(1-'Parameters calculator (hide)'!$B$43))*(1-'Parameters calculator (hide)'!$B$44+('Parameters calculator (hide)'!$B$45*'Parameters calculator (hide)'!$B$47))</f>
        <v>527.43419449999999</v>
      </c>
      <c r="N31" s="5">
        <f ca="1">(IF('Demand adjustments for Covid'!$F$9="No",F31,SUM('Demand background (hide)'!DT20,'Demand background (hide)'!DV20:DW20))*(1-'Parameters calculator (hide)'!$B$43))*(1-'Parameters calculator (hide)'!$B$44+('Parameters calculator (hide)'!$B$45*'Parameters calculator (hide)'!$B$47))</f>
        <v>635.02503200000001</v>
      </c>
      <c r="P31" s="5">
        <f t="shared" ca="1" si="4"/>
        <v>13.725868725868725</v>
      </c>
      <c r="Q31" s="5">
        <f t="shared" ca="1" si="5"/>
        <v>0</v>
      </c>
      <c r="R31" s="5">
        <f t="shared" ca="1" si="6"/>
        <v>9.9258687258687246</v>
      </c>
      <c r="S31" s="5">
        <f t="shared" ca="1" si="7"/>
        <v>0</v>
      </c>
      <c r="T31" s="5">
        <f ca="1">M31/IF(Summary!$C$8&lt;&gt;"Patients",1,$I$9)</f>
        <v>14.261623907226106</v>
      </c>
      <c r="U31" s="5">
        <f ca="1">((N31-M31)/IF(Summary!$C$8&lt;&gt;"Patients",1,$I$9))</f>
        <v>2.909216118881119</v>
      </c>
      <c r="V31" s="5">
        <f t="shared" ca="1" si="8"/>
        <v>3.8</v>
      </c>
      <c r="X31" s="5">
        <f ca="1">(VLOOKUP(D31,'SPC background (hide)'!$AG$2:$AN$54,8,0)/IF(Summary!$C$8&lt;&gt;"Patients",1,$I$9))*(1-$I$4)*(1-$I$5+($I$6*$I$7))</f>
        <v>12.800550923076921</v>
      </c>
    </row>
    <row r="32" spans="1:24" x14ac:dyDescent="0.2">
      <c r="A32" s="87">
        <f t="shared" ca="1" si="9"/>
        <v>43703</v>
      </c>
      <c r="B32" s="67" t="str">
        <f t="shared" ca="1" si="1"/>
        <v/>
      </c>
      <c r="C32" s="67" t="str">
        <f t="shared" ca="1" si="2"/>
        <v/>
      </c>
      <c r="D32" s="67">
        <f t="shared" ca="1" si="0"/>
        <v>35</v>
      </c>
      <c r="E32" s="5">
        <f ca="1">IF(LEFT(Demand!$C$8,1)="H",VLOOKUP($D32,'SPC background (hide)'!$AG$2:$AS$54,12,0),'Demand background (hide)'!X21)</f>
        <v>551.5</v>
      </c>
      <c r="F32" s="5">
        <f ca="1">IF(LEFT(Demand!$C$8,1)="H",VLOOKUP($D32,'SPC background (hide)'!$AG$2:$AS$54,13,0),E32*1.1)</f>
        <v>664</v>
      </c>
      <c r="G32" s="5" t="str">
        <f>IF(Setup!$I$15="Yes",VLOOKUP(D32,'SPC background (hide)'!$AG$2:$AT$54,14,0)/IF(Summary!$C$8="Patients",'Summary Calculations (hide)'!$I$9,1),"")</f>
        <v/>
      </c>
      <c r="H32" s="67">
        <f ca="1">IF(Setup!$I$13="Yes",'Planned background (hide)'!$V$23/IF(Summary!$C$8="Patients",'Summary Calculations (hide)'!$I$9,1),"")</f>
        <v>3.8</v>
      </c>
      <c r="I32" s="5">
        <f ca="1">IFERROR(HLOOKUP(A32,'Capacity calculation (hide)'!$BK$1:$DK$4,4,0),Capacity!$I$15)</f>
        <v>13.725868725868725</v>
      </c>
      <c r="J32" s="5">
        <f ca="1">IFERROR(HLOOKUP(D32,'Capacity calculation (hide)'!$BK$110:$DJ$111,2,0),0)</f>
        <v>0</v>
      </c>
      <c r="K32" s="5">
        <f ca="1">IF(I32-IF(Setup!$I$15="Yes",$G32,0)-IF(Setup!$I$13="Yes",$H32,0)&lt;0,0,I32-IF(Setup!$I$15="Yes",$G32,0)-IF(Setup!$I$13="Yes",$H32,0))</f>
        <v>9.9258687258687246</v>
      </c>
      <c r="L32" s="5">
        <f t="shared" ca="1" si="3"/>
        <v>0</v>
      </c>
      <c r="M32" s="5">
        <f ca="1">(IF('Demand adjustments for Covid'!$F$9="No",E32,SUM('Demand background (hide)'!DS21,'Demand background (hide)'!DV21:DW21))*(1-'Parameters calculator (hide)'!$B$43))*(1-'Parameters calculator (hide)'!$B$44+('Parameters calculator (hide)'!$B$45*'Parameters calculator (hide)'!$B$47))</f>
        <v>527.43419449999999</v>
      </c>
      <c r="N32" s="5">
        <f ca="1">(IF('Demand adjustments for Covid'!$F$9="No",F32,SUM('Demand background (hide)'!DT21,'Demand background (hide)'!DV21:DW21))*(1-'Parameters calculator (hide)'!$B$43))*(1-'Parameters calculator (hide)'!$B$44+('Parameters calculator (hide)'!$B$45*'Parameters calculator (hide)'!$B$47))</f>
        <v>635.02503200000001</v>
      </c>
      <c r="P32" s="5">
        <f t="shared" ca="1" si="4"/>
        <v>13.725868725868725</v>
      </c>
      <c r="Q32" s="5">
        <f t="shared" ca="1" si="5"/>
        <v>0</v>
      </c>
      <c r="R32" s="5">
        <f t="shared" ca="1" si="6"/>
        <v>9.9258687258687246</v>
      </c>
      <c r="S32" s="5">
        <f t="shared" ca="1" si="7"/>
        <v>0</v>
      </c>
      <c r="T32" s="5">
        <f ca="1">M32/IF(Summary!$C$8&lt;&gt;"Patients",1,$I$9)</f>
        <v>14.261623907226106</v>
      </c>
      <c r="U32" s="5">
        <f ca="1">((N32-M32)/IF(Summary!$C$8&lt;&gt;"Patients",1,$I$9))</f>
        <v>2.909216118881119</v>
      </c>
      <c r="V32" s="5">
        <f t="shared" ca="1" si="8"/>
        <v>3.8</v>
      </c>
      <c r="X32" s="5">
        <f ca="1">(VLOOKUP(D32,'SPC background (hide)'!$AG$2:$AN$54,8,0)/IF(Summary!$C$8&lt;&gt;"Patients",1,$I$9))*(1-$I$4)*(1-$I$5+($I$6*$I$7))</f>
        <v>12.800550923076921</v>
      </c>
    </row>
    <row r="33" spans="1:24" x14ac:dyDescent="0.2">
      <c r="A33" s="87">
        <f t="shared" ca="1" si="9"/>
        <v>43710</v>
      </c>
      <c r="B33" s="67" t="str">
        <f t="shared" ca="1" si="1"/>
        <v/>
      </c>
      <c r="C33" s="67" t="str">
        <f t="shared" ca="1" si="2"/>
        <v>Sep</v>
      </c>
      <c r="D33" s="67">
        <f t="shared" ca="1" si="0"/>
        <v>36</v>
      </c>
      <c r="E33" s="5">
        <f ca="1">IF(LEFT(Demand!$C$8,1)="H",VLOOKUP($D33,'SPC background (hide)'!$AG$2:$AS$54,12,0),'Demand background (hide)'!X22)</f>
        <v>551.5</v>
      </c>
      <c r="F33" s="5">
        <f ca="1">IF(LEFT(Demand!$C$8,1)="H",VLOOKUP($D33,'SPC background (hide)'!$AG$2:$AS$54,13,0),E33*1.1)</f>
        <v>664</v>
      </c>
      <c r="G33" s="5" t="str">
        <f>IF(Setup!$I$15="Yes",VLOOKUP(D33,'SPC background (hide)'!$AG$2:$AT$54,14,0)/IF(Summary!$C$8="Patients",'Summary Calculations (hide)'!$I$9,1),"")</f>
        <v/>
      </c>
      <c r="H33" s="67">
        <f ca="1">IF(Setup!$I$13="Yes",'Planned background (hide)'!$V$23/IF(Summary!$C$8="Patients",'Summary Calculations (hide)'!$I$9,1),"")</f>
        <v>3.8</v>
      </c>
      <c r="I33" s="5">
        <f ca="1">IFERROR(HLOOKUP(A33,'Capacity calculation (hide)'!$BK$1:$DK$4,4,0),Capacity!$I$15)</f>
        <v>13.725868725868725</v>
      </c>
      <c r="J33" s="5">
        <f ca="1">IFERROR(HLOOKUP(D33,'Capacity calculation (hide)'!$BK$110:$DJ$111,2,0),0)</f>
        <v>0</v>
      </c>
      <c r="K33" s="5">
        <f ca="1">IF(I33-IF(Setup!$I$15="Yes",$G33,0)-IF(Setup!$I$13="Yes",$H33,0)&lt;0,0,I33-IF(Setup!$I$15="Yes",$G33,0)-IF(Setup!$I$13="Yes",$H33,0))</f>
        <v>9.9258687258687246</v>
      </c>
      <c r="L33" s="5">
        <f t="shared" ca="1" si="3"/>
        <v>0</v>
      </c>
      <c r="M33" s="5">
        <f ca="1">(IF('Demand adjustments for Covid'!$F$9="No",E33,SUM('Demand background (hide)'!DS22,'Demand background (hide)'!DV22:DW22))*(1-'Parameters calculator (hide)'!$B$43))*(1-'Parameters calculator (hide)'!$B$44+('Parameters calculator (hide)'!$B$45*'Parameters calculator (hide)'!$B$47))</f>
        <v>527.43419449999999</v>
      </c>
      <c r="N33" s="5">
        <f ca="1">(IF('Demand adjustments for Covid'!$F$9="No",F33,SUM('Demand background (hide)'!DT22,'Demand background (hide)'!DV22:DW22))*(1-'Parameters calculator (hide)'!$B$43))*(1-'Parameters calculator (hide)'!$B$44+('Parameters calculator (hide)'!$B$45*'Parameters calculator (hide)'!$B$47))</f>
        <v>635.02503200000001</v>
      </c>
      <c r="P33" s="5">
        <f t="shared" ca="1" si="4"/>
        <v>13.725868725868725</v>
      </c>
      <c r="Q33" s="5">
        <f t="shared" ca="1" si="5"/>
        <v>0</v>
      </c>
      <c r="R33" s="5">
        <f t="shared" ca="1" si="6"/>
        <v>9.9258687258687246</v>
      </c>
      <c r="S33" s="5">
        <f t="shared" ca="1" si="7"/>
        <v>0</v>
      </c>
      <c r="T33" s="5">
        <f ca="1">M33/IF(Summary!$C$8&lt;&gt;"Patients",1,$I$9)</f>
        <v>14.261623907226106</v>
      </c>
      <c r="U33" s="5">
        <f ca="1">((N33-M33)/IF(Summary!$C$8&lt;&gt;"Patients",1,$I$9))</f>
        <v>2.909216118881119</v>
      </c>
      <c r="V33" s="5">
        <f t="shared" ca="1" si="8"/>
        <v>3.8</v>
      </c>
      <c r="X33" s="5">
        <f ca="1">(VLOOKUP(D33,'SPC background (hide)'!$AG$2:$AN$54,8,0)/IF(Summary!$C$8&lt;&gt;"Patients",1,$I$9))*(1-$I$4)*(1-$I$5+($I$6*$I$7))</f>
        <v>12.800550923076921</v>
      </c>
    </row>
    <row r="34" spans="1:24" x14ac:dyDescent="0.2">
      <c r="A34" s="87">
        <f t="shared" ca="1" si="9"/>
        <v>43717</v>
      </c>
      <c r="B34" s="67" t="str">
        <f t="shared" ca="1" si="1"/>
        <v/>
      </c>
      <c r="C34" s="67" t="str">
        <f t="shared" ca="1" si="2"/>
        <v/>
      </c>
      <c r="D34" s="67">
        <f t="shared" ca="1" si="0"/>
        <v>37</v>
      </c>
      <c r="E34" s="5">
        <f ca="1">IF(LEFT(Demand!$C$8,1)="H",VLOOKUP($D34,'SPC background (hide)'!$AG$2:$AS$54,12,0),'Demand background (hide)'!X23)</f>
        <v>551.5</v>
      </c>
      <c r="F34" s="5">
        <f ca="1">IF(LEFT(Demand!$C$8,1)="H",VLOOKUP($D34,'SPC background (hide)'!$AG$2:$AS$54,13,0),E34*1.1)</f>
        <v>664</v>
      </c>
      <c r="G34" s="5" t="str">
        <f>IF(Setup!$I$15="Yes",VLOOKUP(D34,'SPC background (hide)'!$AG$2:$AT$54,14,0)/IF(Summary!$C$8="Patients",'Summary Calculations (hide)'!$I$9,1),"")</f>
        <v/>
      </c>
      <c r="H34" s="67">
        <f ca="1">IF(Setup!$I$13="Yes",'Planned background (hide)'!$V$23/IF(Summary!$C$8="Patients",'Summary Calculations (hide)'!$I$9,1),"")</f>
        <v>3.8</v>
      </c>
      <c r="I34" s="5">
        <f ca="1">IFERROR(HLOOKUP(A34,'Capacity calculation (hide)'!$BK$1:$DK$4,4,0),Capacity!$I$15)</f>
        <v>13.725868725868725</v>
      </c>
      <c r="J34" s="5">
        <f ca="1">IFERROR(HLOOKUP(D34,'Capacity calculation (hide)'!$BK$110:$DJ$111,2,0),0)</f>
        <v>0</v>
      </c>
      <c r="K34" s="5">
        <f ca="1">IF(I34-IF(Setup!$I$15="Yes",$G34,0)-IF(Setup!$I$13="Yes",$H34,0)&lt;0,0,I34-IF(Setup!$I$15="Yes",$G34,0)-IF(Setup!$I$13="Yes",$H34,0))</f>
        <v>9.9258687258687246</v>
      </c>
      <c r="L34" s="5">
        <f t="shared" ca="1" si="3"/>
        <v>0</v>
      </c>
      <c r="M34" s="5">
        <f ca="1">(IF('Demand adjustments for Covid'!$F$9="No",E34,SUM('Demand background (hide)'!DS23,'Demand background (hide)'!DV23:DW23))*(1-'Parameters calculator (hide)'!$B$43))*(1-'Parameters calculator (hide)'!$B$44+('Parameters calculator (hide)'!$B$45*'Parameters calculator (hide)'!$B$47))</f>
        <v>527.43419449999999</v>
      </c>
      <c r="N34" s="5">
        <f ca="1">(IF('Demand adjustments for Covid'!$F$9="No",F34,SUM('Demand background (hide)'!DT23,'Demand background (hide)'!DV23:DW23))*(1-'Parameters calculator (hide)'!$B$43))*(1-'Parameters calculator (hide)'!$B$44+('Parameters calculator (hide)'!$B$45*'Parameters calculator (hide)'!$B$47))</f>
        <v>635.02503200000001</v>
      </c>
      <c r="P34" s="5">
        <f t="shared" ca="1" si="4"/>
        <v>13.725868725868725</v>
      </c>
      <c r="Q34" s="5">
        <f t="shared" ca="1" si="5"/>
        <v>0</v>
      </c>
      <c r="R34" s="5">
        <f t="shared" ca="1" si="6"/>
        <v>9.9258687258687246</v>
      </c>
      <c r="S34" s="5">
        <f t="shared" ca="1" si="7"/>
        <v>0</v>
      </c>
      <c r="T34" s="5">
        <f ca="1">M34/IF(Summary!$C$8&lt;&gt;"Patients",1,$I$9)</f>
        <v>14.261623907226106</v>
      </c>
      <c r="U34" s="5">
        <f ca="1">((N34-M34)/IF(Summary!$C$8&lt;&gt;"Patients",1,$I$9))</f>
        <v>2.909216118881119</v>
      </c>
      <c r="V34" s="5">
        <f t="shared" ca="1" si="8"/>
        <v>3.8</v>
      </c>
      <c r="X34" s="5">
        <f ca="1">(VLOOKUP(D34,'SPC background (hide)'!$AG$2:$AN$54,8,0)/IF(Summary!$C$8&lt;&gt;"Patients",1,$I$9))*(1-$I$4)*(1-$I$5+($I$6*$I$7))</f>
        <v>12.800550923076921</v>
      </c>
    </row>
    <row r="35" spans="1:24" x14ac:dyDescent="0.2">
      <c r="A35" s="87">
        <f t="shared" ca="1" si="9"/>
        <v>43724</v>
      </c>
      <c r="B35" s="67" t="str">
        <f t="shared" ca="1" si="1"/>
        <v/>
      </c>
      <c r="C35" s="67" t="str">
        <f t="shared" ca="1" si="2"/>
        <v/>
      </c>
      <c r="D35" s="67">
        <f t="shared" ca="1" si="0"/>
        <v>38</v>
      </c>
      <c r="E35" s="5">
        <f ca="1">IF(LEFT(Demand!$C$8,1)="H",VLOOKUP($D35,'SPC background (hide)'!$AG$2:$AS$54,12,0),'Demand background (hide)'!X24)</f>
        <v>551.5</v>
      </c>
      <c r="F35" s="5">
        <f ca="1">IF(LEFT(Demand!$C$8,1)="H",VLOOKUP($D35,'SPC background (hide)'!$AG$2:$AS$54,13,0),E35*1.1)</f>
        <v>664</v>
      </c>
      <c r="G35" s="5" t="str">
        <f>IF(Setup!$I$15="Yes",VLOOKUP(D35,'SPC background (hide)'!$AG$2:$AT$54,14,0)/IF(Summary!$C$8="Patients",'Summary Calculations (hide)'!$I$9,1),"")</f>
        <v/>
      </c>
      <c r="H35" s="67">
        <f ca="1">IF(Setup!$I$13="Yes",'Planned background (hide)'!$V$23/IF(Summary!$C$8="Patients",'Summary Calculations (hide)'!$I$9,1),"")</f>
        <v>3.8</v>
      </c>
      <c r="I35" s="5">
        <f ca="1">IFERROR(HLOOKUP(A35,'Capacity calculation (hide)'!$BK$1:$DK$4,4,0),Capacity!$I$15)</f>
        <v>4.6383881230116648</v>
      </c>
      <c r="J35" s="5">
        <f ca="1">IFERROR(HLOOKUP(D35,'Capacity calculation (hide)'!$BK$110:$DJ$111,2,0),0)</f>
        <v>0</v>
      </c>
      <c r="K35" s="5">
        <f ca="1">IF(I35-IF(Setup!$I$15="Yes",$G35,0)-IF(Setup!$I$13="Yes",$H35,0)&lt;0,0,I35-IF(Setup!$I$15="Yes",$G35,0)-IF(Setup!$I$13="Yes",$H35,0))</f>
        <v>0.83838812301166499</v>
      </c>
      <c r="L35" s="5">
        <f t="shared" ca="1" si="3"/>
        <v>0</v>
      </c>
      <c r="M35" s="5">
        <f ca="1">(IF('Demand adjustments for Covid'!$F$9="No",E35,SUM('Demand background (hide)'!DS24,'Demand background (hide)'!DV24:DW24))*(1-'Parameters calculator (hide)'!$B$43))*(1-'Parameters calculator (hide)'!$B$44+('Parameters calculator (hide)'!$B$45*'Parameters calculator (hide)'!$B$47))</f>
        <v>527.43419449999999</v>
      </c>
      <c r="N35" s="5">
        <f ca="1">(IF('Demand adjustments for Covid'!$F$9="No",F35,SUM('Demand background (hide)'!DT24,'Demand background (hide)'!DV24:DW24))*(1-'Parameters calculator (hide)'!$B$43))*(1-'Parameters calculator (hide)'!$B$44+('Parameters calculator (hide)'!$B$45*'Parameters calculator (hide)'!$B$47))</f>
        <v>635.02503200000001</v>
      </c>
      <c r="P35" s="5">
        <f t="shared" ca="1" si="4"/>
        <v>4.6383881230116648</v>
      </c>
      <c r="Q35" s="5">
        <f t="shared" ca="1" si="5"/>
        <v>0</v>
      </c>
      <c r="R35" s="5">
        <f t="shared" ca="1" si="6"/>
        <v>0.83838812301166499</v>
      </c>
      <c r="S35" s="5">
        <f t="shared" ca="1" si="7"/>
        <v>0</v>
      </c>
      <c r="T35" s="5">
        <f ca="1">M35/IF(Summary!$C$8&lt;&gt;"Patients",1,$I$9)</f>
        <v>14.261623907226106</v>
      </c>
      <c r="U35" s="5">
        <f ca="1">((N35-M35)/IF(Summary!$C$8&lt;&gt;"Patients",1,$I$9))</f>
        <v>2.909216118881119</v>
      </c>
      <c r="V35" s="5">
        <f t="shared" ca="1" si="8"/>
        <v>3.8</v>
      </c>
      <c r="X35" s="5">
        <f ca="1">(VLOOKUP(D35,'SPC background (hide)'!$AG$2:$AN$54,8,0)/IF(Summary!$C$8&lt;&gt;"Patients",1,$I$9))*(1-$I$4)*(1-$I$5+($I$6*$I$7))</f>
        <v>12.800550923076921</v>
      </c>
    </row>
    <row r="36" spans="1:24" x14ac:dyDescent="0.2">
      <c r="A36" s="87">
        <f t="shared" ca="1" si="9"/>
        <v>43731</v>
      </c>
      <c r="B36" s="67" t="str">
        <f t="shared" ca="1" si="1"/>
        <v/>
      </c>
      <c r="C36" s="67" t="str">
        <f t="shared" ca="1" si="2"/>
        <v/>
      </c>
      <c r="D36" s="67">
        <f t="shared" ca="1" si="0"/>
        <v>39</v>
      </c>
      <c r="E36" s="5">
        <f ca="1">IF(LEFT(Demand!$C$8,1)="H",VLOOKUP($D36,'SPC background (hide)'!$AG$2:$AS$54,12,0),'Demand background (hide)'!X25)</f>
        <v>551.5</v>
      </c>
      <c r="F36" s="5">
        <f ca="1">IF(LEFT(Demand!$C$8,1)="H",VLOOKUP($D36,'SPC background (hide)'!$AG$2:$AS$54,13,0),E36*1.1)</f>
        <v>664</v>
      </c>
      <c r="G36" s="5" t="str">
        <f>IF(Setup!$I$15="Yes",VLOOKUP(D36,'SPC background (hide)'!$AG$2:$AT$54,14,0)/IF(Summary!$C$8="Patients",'Summary Calculations (hide)'!$I$9,1),"")</f>
        <v/>
      </c>
      <c r="H36" s="67">
        <f ca="1">IF(Setup!$I$13="Yes",'Planned background (hide)'!$V$23/IF(Summary!$C$8="Patients",'Summary Calculations (hide)'!$I$9,1),"")</f>
        <v>3.8</v>
      </c>
      <c r="I36" s="5">
        <f ca="1">IFERROR(HLOOKUP(A36,'Capacity calculation (hide)'!$BK$1:$DK$4,4,0),Capacity!$I$15)</f>
        <v>4.6383881230116648</v>
      </c>
      <c r="J36" s="5">
        <f ca="1">IFERROR(HLOOKUP(D36,'Capacity calculation (hide)'!$BK$110:$DJ$111,2,0),0)</f>
        <v>0</v>
      </c>
      <c r="K36" s="5">
        <f ca="1">IF(I36-IF(Setup!$I$15="Yes",$G36,0)-IF(Setup!$I$13="Yes",$H36,0)&lt;0,0,I36-IF(Setup!$I$15="Yes",$G36,0)-IF(Setup!$I$13="Yes",$H36,0))</f>
        <v>0.83838812301166499</v>
      </c>
      <c r="L36" s="5">
        <f t="shared" ca="1" si="3"/>
        <v>0</v>
      </c>
      <c r="M36" s="5">
        <f ca="1">(IF('Demand adjustments for Covid'!$F$9="No",E36,SUM('Demand background (hide)'!DS25,'Demand background (hide)'!DV25:DW25))*(1-'Parameters calculator (hide)'!$B$43))*(1-'Parameters calculator (hide)'!$B$44+('Parameters calculator (hide)'!$B$45*'Parameters calculator (hide)'!$B$47))</f>
        <v>527.43419449999999</v>
      </c>
      <c r="N36" s="5">
        <f ca="1">(IF('Demand adjustments for Covid'!$F$9="No",F36,SUM('Demand background (hide)'!DT25,'Demand background (hide)'!DV25:DW25))*(1-'Parameters calculator (hide)'!$B$43))*(1-'Parameters calculator (hide)'!$B$44+('Parameters calculator (hide)'!$B$45*'Parameters calculator (hide)'!$B$47))</f>
        <v>635.02503200000001</v>
      </c>
      <c r="P36" s="5">
        <f t="shared" ca="1" si="4"/>
        <v>4.6383881230116648</v>
      </c>
      <c r="Q36" s="5">
        <f t="shared" ca="1" si="5"/>
        <v>0</v>
      </c>
      <c r="R36" s="5">
        <f t="shared" ca="1" si="6"/>
        <v>0.83838812301166499</v>
      </c>
      <c r="S36" s="5">
        <f t="shared" ca="1" si="7"/>
        <v>0</v>
      </c>
      <c r="T36" s="5">
        <f ca="1">M36/IF(Summary!$C$8&lt;&gt;"Patients",1,$I$9)</f>
        <v>14.261623907226106</v>
      </c>
      <c r="U36" s="5">
        <f ca="1">((N36-M36)/IF(Summary!$C$8&lt;&gt;"Patients",1,$I$9))</f>
        <v>2.909216118881119</v>
      </c>
      <c r="V36" s="5">
        <f t="shared" ca="1" si="8"/>
        <v>3.8</v>
      </c>
      <c r="X36" s="5">
        <f ca="1">(VLOOKUP(D36,'SPC background (hide)'!$AG$2:$AN$54,8,0)/IF(Summary!$C$8&lt;&gt;"Patients",1,$I$9))*(1-$I$4)*(1-$I$5+($I$6*$I$7))</f>
        <v>12.800550923076921</v>
      </c>
    </row>
    <row r="37" spans="1:24" x14ac:dyDescent="0.2">
      <c r="A37" s="87">
        <f t="shared" ca="1" si="9"/>
        <v>43738</v>
      </c>
      <c r="B37" s="67" t="str">
        <f t="shared" ca="1" si="1"/>
        <v/>
      </c>
      <c r="C37" s="67" t="str">
        <f t="shared" ca="1" si="2"/>
        <v/>
      </c>
      <c r="D37" s="67">
        <f t="shared" ca="1" si="0"/>
        <v>40</v>
      </c>
      <c r="E37" s="5">
        <f ca="1">IF(LEFT(Demand!$C$8,1)="H",VLOOKUP($D37,'SPC background (hide)'!$AG$2:$AS$54,12,0),'Demand background (hide)'!X26)</f>
        <v>551.5</v>
      </c>
      <c r="F37" s="5">
        <f ca="1">IF(LEFT(Demand!$C$8,1)="H",VLOOKUP($D37,'SPC background (hide)'!$AG$2:$AS$54,13,0),E37*1.1)</f>
        <v>664</v>
      </c>
      <c r="G37" s="5" t="str">
        <f>IF(Setup!$I$15="Yes",VLOOKUP(D37,'SPC background (hide)'!$AG$2:$AT$54,14,0)/IF(Summary!$C$8="Patients",'Summary Calculations (hide)'!$I$9,1),"")</f>
        <v/>
      </c>
      <c r="H37" s="67">
        <f ca="1">IF(Setup!$I$13="Yes",'Planned background (hide)'!$V$23/IF(Summary!$C$8="Patients",'Summary Calculations (hide)'!$I$9,1),"")</f>
        <v>3.8</v>
      </c>
      <c r="I37" s="5">
        <f ca="1">IFERROR(HLOOKUP(A37,'Capacity calculation (hide)'!$BK$1:$DK$4,4,0),Capacity!$I$15)</f>
        <v>4.6383881230116648</v>
      </c>
      <c r="J37" s="5">
        <f ca="1">IFERROR(HLOOKUP(D37,'Capacity calculation (hide)'!$BK$110:$DJ$111,2,0),0)</f>
        <v>0</v>
      </c>
      <c r="K37" s="5">
        <f ca="1">IF(I37-IF(Setup!$I$15="Yes",$G37,0)-IF(Setup!$I$13="Yes",$H37,0)&lt;0,0,I37-IF(Setup!$I$15="Yes",$G37,0)-IF(Setup!$I$13="Yes",$H37,0))</f>
        <v>0.83838812301166499</v>
      </c>
      <c r="L37" s="5">
        <f t="shared" ca="1" si="3"/>
        <v>0</v>
      </c>
      <c r="M37" s="5">
        <f ca="1">(IF('Demand adjustments for Covid'!$F$9="No",E37,SUM('Demand background (hide)'!DS26,'Demand background (hide)'!DV26:DW26))*(1-'Parameters calculator (hide)'!$B$43))*(1-'Parameters calculator (hide)'!$B$44+('Parameters calculator (hide)'!$B$45*'Parameters calculator (hide)'!$B$47))</f>
        <v>527.43419449999999</v>
      </c>
      <c r="N37" s="5">
        <f ca="1">(IF('Demand adjustments for Covid'!$F$9="No",F37,SUM('Demand background (hide)'!DT26,'Demand background (hide)'!DV26:DW26))*(1-'Parameters calculator (hide)'!$B$43))*(1-'Parameters calculator (hide)'!$B$44+('Parameters calculator (hide)'!$B$45*'Parameters calculator (hide)'!$B$47))</f>
        <v>635.02503200000001</v>
      </c>
      <c r="P37" s="5">
        <f t="shared" ca="1" si="4"/>
        <v>4.6383881230116648</v>
      </c>
      <c r="Q37" s="5">
        <f t="shared" ca="1" si="5"/>
        <v>0</v>
      </c>
      <c r="R37" s="5">
        <f t="shared" ca="1" si="6"/>
        <v>0.83838812301166499</v>
      </c>
      <c r="S37" s="5">
        <f t="shared" ca="1" si="7"/>
        <v>0</v>
      </c>
      <c r="T37" s="5">
        <f ca="1">M37/IF(Summary!$C$8&lt;&gt;"Patients",1,$I$9)</f>
        <v>14.261623907226106</v>
      </c>
      <c r="U37" s="5">
        <f ca="1">((N37-M37)/IF(Summary!$C$8&lt;&gt;"Patients",1,$I$9))</f>
        <v>2.909216118881119</v>
      </c>
      <c r="V37" s="5">
        <f t="shared" ca="1" si="8"/>
        <v>3.8</v>
      </c>
      <c r="X37" s="5">
        <f ca="1">(VLOOKUP(D37,'SPC background (hide)'!$AG$2:$AN$54,8,0)/IF(Summary!$C$8&lt;&gt;"Patients",1,$I$9))*(1-$I$4)*(1-$I$5+($I$6*$I$7))</f>
        <v>12.800550923076921</v>
      </c>
    </row>
    <row r="38" spans="1:24" x14ac:dyDescent="0.2">
      <c r="A38" s="87">
        <f t="shared" ca="1" si="9"/>
        <v>43745</v>
      </c>
      <c r="B38" s="67" t="str">
        <f t="shared" ca="1" si="1"/>
        <v/>
      </c>
      <c r="C38" s="67" t="str">
        <f t="shared" ca="1" si="2"/>
        <v>Oct</v>
      </c>
      <c r="D38" s="67">
        <f t="shared" ca="1" si="0"/>
        <v>41</v>
      </c>
      <c r="E38" s="5">
        <f ca="1">IF(LEFT(Demand!$C$8,1)="H",VLOOKUP($D38,'SPC background (hide)'!$AG$2:$AS$54,12,0),'Demand background (hide)'!X27)</f>
        <v>551.5</v>
      </c>
      <c r="F38" s="5">
        <f ca="1">IF(LEFT(Demand!$C$8,1)="H",VLOOKUP($D38,'SPC background (hide)'!$AG$2:$AS$54,13,0),E38*1.1)</f>
        <v>664</v>
      </c>
      <c r="G38" s="5" t="str">
        <f>IF(Setup!$I$15="Yes",VLOOKUP(D38,'SPC background (hide)'!$AG$2:$AT$54,14,0)/IF(Summary!$C$8="Patients",'Summary Calculations (hide)'!$I$9,1),"")</f>
        <v/>
      </c>
      <c r="H38" s="67">
        <f ca="1">IF(Setup!$I$13="Yes",'Planned background (hide)'!$V$23/IF(Summary!$C$8="Patients",'Summary Calculations (hide)'!$I$9,1),"")</f>
        <v>3.8</v>
      </c>
      <c r="I38" s="5">
        <f ca="1">IFERROR(HLOOKUP(A38,'Capacity calculation (hide)'!$BK$1:$DK$4,4,0),Capacity!$I$15)</f>
        <v>4.6383881230116648</v>
      </c>
      <c r="J38" s="5">
        <f ca="1">IFERROR(HLOOKUP(D38,'Capacity calculation (hide)'!$BK$110:$DJ$111,2,0),0)</f>
        <v>0</v>
      </c>
      <c r="K38" s="5">
        <f ca="1">IF(I38-IF(Setup!$I$15="Yes",$G38,0)-IF(Setup!$I$13="Yes",$H38,0)&lt;0,0,I38-IF(Setup!$I$15="Yes",$G38,0)-IF(Setup!$I$13="Yes",$H38,0))</f>
        <v>0.83838812301166499</v>
      </c>
      <c r="L38" s="5">
        <f t="shared" ca="1" si="3"/>
        <v>0</v>
      </c>
      <c r="M38" s="5">
        <f ca="1">(IF('Demand adjustments for Covid'!$F$9="No",E38,SUM('Demand background (hide)'!DS27,'Demand background (hide)'!DV27:DW27))*(1-'Parameters calculator (hide)'!$B$43))*(1-'Parameters calculator (hide)'!$B$44+('Parameters calculator (hide)'!$B$45*'Parameters calculator (hide)'!$B$47))</f>
        <v>527.43419449999999</v>
      </c>
      <c r="N38" s="5">
        <f ca="1">(IF('Demand adjustments for Covid'!$F$9="No",F38,SUM('Demand background (hide)'!DT27,'Demand background (hide)'!DV27:DW27))*(1-'Parameters calculator (hide)'!$B$43))*(1-'Parameters calculator (hide)'!$B$44+('Parameters calculator (hide)'!$B$45*'Parameters calculator (hide)'!$B$47))</f>
        <v>635.02503200000001</v>
      </c>
      <c r="P38" s="5">
        <f t="shared" ca="1" si="4"/>
        <v>4.6383881230116648</v>
      </c>
      <c r="Q38" s="5">
        <f t="shared" ca="1" si="5"/>
        <v>0</v>
      </c>
      <c r="R38" s="5">
        <f t="shared" ca="1" si="6"/>
        <v>0.83838812301166499</v>
      </c>
      <c r="S38" s="5">
        <f t="shared" ca="1" si="7"/>
        <v>0</v>
      </c>
      <c r="T38" s="5">
        <f ca="1">M38/IF(Summary!$C$8&lt;&gt;"Patients",1,$I$9)</f>
        <v>14.261623907226106</v>
      </c>
      <c r="U38" s="5">
        <f ca="1">((N38-M38)/IF(Summary!$C$8&lt;&gt;"Patients",1,$I$9))</f>
        <v>2.909216118881119</v>
      </c>
      <c r="V38" s="5">
        <f t="shared" ca="1" si="8"/>
        <v>3.8</v>
      </c>
      <c r="X38" s="5">
        <f ca="1">(VLOOKUP(D38,'SPC background (hide)'!$AG$2:$AN$54,8,0)/IF(Summary!$C$8&lt;&gt;"Patients",1,$I$9))*(1-$I$4)*(1-$I$5+($I$6*$I$7))</f>
        <v>12.800550923076921</v>
      </c>
    </row>
    <row r="39" spans="1:24" x14ac:dyDescent="0.2">
      <c r="A39" s="87">
        <f t="shared" ca="1" si="9"/>
        <v>43752</v>
      </c>
      <c r="B39" s="67" t="str">
        <f t="shared" ca="1" si="1"/>
        <v/>
      </c>
      <c r="C39" s="67" t="str">
        <f t="shared" ca="1" si="2"/>
        <v/>
      </c>
      <c r="D39" s="67">
        <f t="shared" ca="1" si="0"/>
        <v>42</v>
      </c>
      <c r="E39" s="5">
        <f ca="1">IF(LEFT(Demand!$C$8,1)="H",VLOOKUP($D39,'SPC background (hide)'!$AG$2:$AS$54,12,0),'Demand background (hide)'!X28)</f>
        <v>551.5</v>
      </c>
      <c r="F39" s="5">
        <f ca="1">IF(LEFT(Demand!$C$8,1)="H",VLOOKUP($D39,'SPC background (hide)'!$AG$2:$AS$54,13,0),E39*1.1)</f>
        <v>664</v>
      </c>
      <c r="G39" s="5" t="str">
        <f>IF(Setup!$I$15="Yes",VLOOKUP(D39,'SPC background (hide)'!$AG$2:$AT$54,14,0)/IF(Summary!$C$8="Patients",'Summary Calculations (hide)'!$I$9,1),"")</f>
        <v/>
      </c>
      <c r="H39" s="67">
        <f ca="1">IF(Setup!$I$13="Yes",'Planned background (hide)'!$V$23/IF(Summary!$C$8="Patients",'Summary Calculations (hide)'!$I$9,1),"")</f>
        <v>3.8</v>
      </c>
      <c r="I39" s="5">
        <f ca="1">IFERROR(HLOOKUP(A39,'Capacity calculation (hide)'!$BK$1:$DK$4,4,0),Capacity!$I$15)</f>
        <v>18.364256848880391</v>
      </c>
      <c r="J39" s="5">
        <f ca="1">IFERROR(HLOOKUP(D39,'Capacity calculation (hide)'!$BK$110:$DJ$111,2,0),0)</f>
        <v>0</v>
      </c>
      <c r="K39" s="5">
        <f ca="1">IF(I39-IF(Setup!$I$15="Yes",$G39,0)-IF(Setup!$I$13="Yes",$H39,0)&lt;0,0,I39-IF(Setup!$I$15="Yes",$G39,0)-IF(Setup!$I$13="Yes",$H39,0))</f>
        <v>14.56425684888039</v>
      </c>
      <c r="L39" s="5">
        <f t="shared" ca="1" si="3"/>
        <v>0</v>
      </c>
      <c r="M39" s="5">
        <f ca="1">(IF('Demand adjustments for Covid'!$F$9="No",E39,SUM('Demand background (hide)'!DS28,'Demand background (hide)'!DV28:DW28))*(1-'Parameters calculator (hide)'!$B$43))*(1-'Parameters calculator (hide)'!$B$44+('Parameters calculator (hide)'!$B$45*'Parameters calculator (hide)'!$B$47))</f>
        <v>527.43419449999999</v>
      </c>
      <c r="N39" s="5">
        <f ca="1">(IF('Demand adjustments for Covid'!$F$9="No",F39,SUM('Demand background (hide)'!DT28,'Demand background (hide)'!DV28:DW28))*(1-'Parameters calculator (hide)'!$B$43))*(1-'Parameters calculator (hide)'!$B$44+('Parameters calculator (hide)'!$B$45*'Parameters calculator (hide)'!$B$47))</f>
        <v>635.02503200000001</v>
      </c>
      <c r="P39" s="5">
        <f t="shared" ca="1" si="4"/>
        <v>18.364256848880391</v>
      </c>
      <c r="Q39" s="5">
        <f t="shared" ca="1" si="5"/>
        <v>0</v>
      </c>
      <c r="R39" s="5">
        <f t="shared" ca="1" si="6"/>
        <v>14.56425684888039</v>
      </c>
      <c r="S39" s="5">
        <f t="shared" ca="1" si="7"/>
        <v>0</v>
      </c>
      <c r="T39" s="5">
        <f ca="1">M39/IF(Summary!$C$8&lt;&gt;"Patients",1,$I$9)</f>
        <v>14.261623907226106</v>
      </c>
      <c r="U39" s="5">
        <f ca="1">((N39-M39)/IF(Summary!$C$8&lt;&gt;"Patients",1,$I$9))</f>
        <v>2.909216118881119</v>
      </c>
      <c r="V39" s="5">
        <f t="shared" ca="1" si="8"/>
        <v>3.8</v>
      </c>
      <c r="X39" s="5">
        <f ca="1">(VLOOKUP(D39,'SPC background (hide)'!$AG$2:$AN$54,8,0)/IF(Summary!$C$8&lt;&gt;"Patients",1,$I$9))*(1-$I$4)*(1-$I$5+($I$6*$I$7))</f>
        <v>12.800550923076921</v>
      </c>
    </row>
    <row r="40" spans="1:24" x14ac:dyDescent="0.2">
      <c r="A40" s="87">
        <f t="shared" ca="1" si="9"/>
        <v>43759</v>
      </c>
      <c r="B40" s="67" t="str">
        <f t="shared" ca="1" si="1"/>
        <v/>
      </c>
      <c r="C40" s="67" t="str">
        <f t="shared" ca="1" si="2"/>
        <v/>
      </c>
      <c r="D40" s="67">
        <f t="shared" ca="1" si="0"/>
        <v>43</v>
      </c>
      <c r="E40" s="5">
        <f ca="1">IF(LEFT(Demand!$C$8,1)="H",VLOOKUP($D40,'SPC background (hide)'!$AG$2:$AS$54,12,0),'Demand background (hide)'!X29)</f>
        <v>551.5</v>
      </c>
      <c r="F40" s="5">
        <f ca="1">IF(LEFT(Demand!$C$8,1)="H",VLOOKUP($D40,'SPC background (hide)'!$AG$2:$AS$54,13,0),E40*1.1)</f>
        <v>664</v>
      </c>
      <c r="G40" s="5" t="str">
        <f>IF(Setup!$I$15="Yes",VLOOKUP(D40,'SPC background (hide)'!$AG$2:$AT$54,14,0)/IF(Summary!$C$8="Patients",'Summary Calculations (hide)'!$I$9,1),"")</f>
        <v/>
      </c>
      <c r="H40" s="67">
        <f ca="1">IF(Setup!$I$13="Yes",'Planned background (hide)'!$V$23/IF(Summary!$C$8="Patients",'Summary Calculations (hide)'!$I$9,1),"")</f>
        <v>3.8</v>
      </c>
      <c r="I40" s="5">
        <f ca="1">IFERROR(HLOOKUP(A40,'Capacity calculation (hide)'!$BK$1:$DK$4,4,0),Capacity!$I$15)</f>
        <v>18.364256848880391</v>
      </c>
      <c r="J40" s="5">
        <f ca="1">IFERROR(HLOOKUP(D40,'Capacity calculation (hide)'!$BK$110:$DJ$111,2,0),0)</f>
        <v>3.6923076923076925</v>
      </c>
      <c r="K40" s="5">
        <f ca="1">IF(I40-IF(Setup!$I$15="Yes",$G40,0)-IF(Setup!$I$13="Yes",$H40,0)&lt;0,0,I40-IF(Setup!$I$15="Yes",$G40,0)-IF(Setup!$I$13="Yes",$H40,0))</f>
        <v>14.56425684888039</v>
      </c>
      <c r="L40" s="5">
        <f t="shared" ca="1" si="3"/>
        <v>3.6923076923076925</v>
      </c>
      <c r="M40" s="5">
        <f ca="1">(IF('Demand adjustments for Covid'!$F$9="No",E40,SUM('Demand background (hide)'!DS29,'Demand background (hide)'!DV29:DW29))*(1-'Parameters calculator (hide)'!$B$43))*(1-'Parameters calculator (hide)'!$B$44+('Parameters calculator (hide)'!$B$45*'Parameters calculator (hide)'!$B$47))</f>
        <v>527.43419449999999</v>
      </c>
      <c r="N40" s="5">
        <f ca="1">(IF('Demand adjustments for Covid'!$F$9="No",F40,SUM('Demand background (hide)'!DT29,'Demand background (hide)'!DV29:DW29))*(1-'Parameters calculator (hide)'!$B$43))*(1-'Parameters calculator (hide)'!$B$44+('Parameters calculator (hide)'!$B$45*'Parameters calculator (hide)'!$B$47))</f>
        <v>635.02503200000001</v>
      </c>
      <c r="P40" s="5">
        <f t="shared" ca="1" si="4"/>
        <v>18.364256848880391</v>
      </c>
      <c r="Q40" s="5">
        <f t="shared" ca="1" si="5"/>
        <v>3.6923076923076925</v>
      </c>
      <c r="R40" s="5">
        <f t="shared" ca="1" si="6"/>
        <v>14.56425684888039</v>
      </c>
      <c r="S40" s="5">
        <f t="shared" ca="1" si="7"/>
        <v>3.6923076923076925</v>
      </c>
      <c r="T40" s="5">
        <f ca="1">M40/IF(Summary!$C$8&lt;&gt;"Patients",1,$I$9)</f>
        <v>14.261623907226106</v>
      </c>
      <c r="U40" s="5">
        <f ca="1">((N40-M40)/IF(Summary!$C$8&lt;&gt;"Patients",1,$I$9))</f>
        <v>2.909216118881119</v>
      </c>
      <c r="V40" s="5">
        <f t="shared" ca="1" si="8"/>
        <v>3.8</v>
      </c>
      <c r="X40" s="5">
        <f ca="1">(VLOOKUP(D40,'SPC background (hide)'!$AG$2:$AN$54,8,0)/IF(Summary!$C$8&lt;&gt;"Patients",1,$I$9))*(1-$I$4)*(1-$I$5+($I$6*$I$7))</f>
        <v>12.800550923076921</v>
      </c>
    </row>
    <row r="41" spans="1:24" x14ac:dyDescent="0.2">
      <c r="A41" s="87">
        <f t="shared" ca="1" si="9"/>
        <v>43766</v>
      </c>
      <c r="B41" s="67" t="str">
        <f t="shared" ca="1" si="1"/>
        <v/>
      </c>
      <c r="C41" s="67" t="str">
        <f t="shared" ca="1" si="2"/>
        <v/>
      </c>
      <c r="D41" s="67">
        <f t="shared" ca="1" si="0"/>
        <v>44</v>
      </c>
      <c r="E41" s="5">
        <f ca="1">IF(LEFT(Demand!$C$8,1)="H",VLOOKUP($D41,'SPC background (hide)'!$AG$2:$AS$54,12,0),'Demand background (hide)'!X30)</f>
        <v>551.5</v>
      </c>
      <c r="F41" s="5">
        <f ca="1">IF(LEFT(Demand!$C$8,1)="H",VLOOKUP($D41,'SPC background (hide)'!$AG$2:$AS$54,13,0),E41*1.1)</f>
        <v>664</v>
      </c>
      <c r="G41" s="5" t="str">
        <f>IF(Setup!$I$15="Yes",VLOOKUP(D41,'SPC background (hide)'!$AG$2:$AT$54,14,0)/IF(Summary!$C$8="Patients",'Summary Calculations (hide)'!$I$9,1),"")</f>
        <v/>
      </c>
      <c r="H41" s="67">
        <f ca="1">IF(Setup!$I$13="Yes",'Planned background (hide)'!$V$23/IF(Summary!$C$8="Patients",'Summary Calculations (hide)'!$I$9,1),"")</f>
        <v>3.8</v>
      </c>
      <c r="I41" s="5">
        <f ca="1">IFERROR(HLOOKUP(A41,'Capacity calculation (hide)'!$BK$1:$DK$4,4,0),Capacity!$I$15)</f>
        <v>18.364256848880391</v>
      </c>
      <c r="J41" s="5">
        <f ca="1">IFERROR(HLOOKUP(D41,'Capacity calculation (hide)'!$BK$110:$DJ$111,2,0),0)</f>
        <v>3.6923076923076925</v>
      </c>
      <c r="K41" s="5">
        <f ca="1">IF(I41-IF(Setup!$I$15="Yes",$G41,0)-IF(Setup!$I$13="Yes",$H41,0)&lt;0,0,I41-IF(Setup!$I$15="Yes",$G41,0)-IF(Setup!$I$13="Yes",$H41,0))</f>
        <v>14.56425684888039</v>
      </c>
      <c r="L41" s="5">
        <f t="shared" ca="1" si="3"/>
        <v>3.6923076923076925</v>
      </c>
      <c r="M41" s="5">
        <f ca="1">(IF('Demand adjustments for Covid'!$F$9="No",E41,SUM('Demand background (hide)'!DS30,'Demand background (hide)'!DV30:DW30))*(1-'Parameters calculator (hide)'!$B$43))*(1-'Parameters calculator (hide)'!$B$44+('Parameters calculator (hide)'!$B$45*'Parameters calculator (hide)'!$B$47))</f>
        <v>527.43419449999999</v>
      </c>
      <c r="N41" s="5">
        <f ca="1">(IF('Demand adjustments for Covid'!$F$9="No",F41,SUM('Demand background (hide)'!DT30,'Demand background (hide)'!DV30:DW30))*(1-'Parameters calculator (hide)'!$B$43))*(1-'Parameters calculator (hide)'!$B$44+('Parameters calculator (hide)'!$B$45*'Parameters calculator (hide)'!$B$47))</f>
        <v>635.02503200000001</v>
      </c>
      <c r="P41" s="5">
        <f t="shared" ca="1" si="4"/>
        <v>18.364256848880391</v>
      </c>
      <c r="Q41" s="5">
        <f t="shared" ca="1" si="5"/>
        <v>3.6923076923076925</v>
      </c>
      <c r="R41" s="5">
        <f t="shared" ca="1" si="6"/>
        <v>14.56425684888039</v>
      </c>
      <c r="S41" s="5">
        <f t="shared" ca="1" si="7"/>
        <v>3.6923076923076925</v>
      </c>
      <c r="T41" s="5">
        <f ca="1">M41/IF(Summary!$C$8&lt;&gt;"Patients",1,$I$9)</f>
        <v>14.261623907226106</v>
      </c>
      <c r="U41" s="5">
        <f ca="1">((N41-M41)/IF(Summary!$C$8&lt;&gt;"Patients",1,$I$9))</f>
        <v>2.909216118881119</v>
      </c>
      <c r="V41" s="5">
        <f t="shared" ca="1" si="8"/>
        <v>3.8</v>
      </c>
      <c r="X41" s="5">
        <f ca="1">(VLOOKUP(D41,'SPC background (hide)'!$AG$2:$AN$54,8,0)/IF(Summary!$C$8&lt;&gt;"Patients",1,$I$9))*(1-$I$4)*(1-$I$5+($I$6*$I$7))</f>
        <v>12.800550923076921</v>
      </c>
    </row>
    <row r="42" spans="1:24" x14ac:dyDescent="0.2">
      <c r="A42" s="87">
        <f t="shared" ca="1" si="9"/>
        <v>43773</v>
      </c>
      <c r="B42" s="67" t="str">
        <f t="shared" ca="1" si="1"/>
        <v/>
      </c>
      <c r="C42" s="67" t="str">
        <f t="shared" ca="1" si="2"/>
        <v>Nov</v>
      </c>
      <c r="D42" s="67">
        <f t="shared" ca="1" si="0"/>
        <v>45</v>
      </c>
      <c r="E42" s="5">
        <f ca="1">IF(LEFT(Demand!$C$8,1)="H",VLOOKUP($D42,'SPC background (hide)'!$AG$2:$AS$54,12,0),'Demand background (hide)'!X31)</f>
        <v>551.5</v>
      </c>
      <c r="F42" s="5">
        <f ca="1">IF(LEFT(Demand!$C$8,1)="H",VLOOKUP($D42,'SPC background (hide)'!$AG$2:$AS$54,13,0),E42*1.1)</f>
        <v>664</v>
      </c>
      <c r="G42" s="5" t="str">
        <f>IF(Setup!$I$15="Yes",VLOOKUP(D42,'SPC background (hide)'!$AG$2:$AT$54,14,0)/IF(Summary!$C$8="Patients",'Summary Calculations (hide)'!$I$9,1),"")</f>
        <v/>
      </c>
      <c r="H42" s="67">
        <f ca="1">IF(Setup!$I$13="Yes",'Planned background (hide)'!$V$23/IF(Summary!$C$8="Patients",'Summary Calculations (hide)'!$I$9,1),"")</f>
        <v>3.8</v>
      </c>
      <c r="I42" s="5">
        <f ca="1">IFERROR(HLOOKUP(A42,'Capacity calculation (hide)'!$BK$1:$DK$4,4,0),Capacity!$I$15)</f>
        <v>18.364256848880391</v>
      </c>
      <c r="J42" s="5">
        <f ca="1">IFERROR(HLOOKUP(D42,'Capacity calculation (hide)'!$BK$110:$DJ$111,2,0),0)</f>
        <v>7.6923076923076925</v>
      </c>
      <c r="K42" s="5">
        <f ca="1">IF(I42-IF(Setup!$I$15="Yes",$G42,0)-IF(Setup!$I$13="Yes",$H42,0)&lt;0,0,I42-IF(Setup!$I$15="Yes",$G42,0)-IF(Setup!$I$13="Yes",$H42,0))</f>
        <v>14.56425684888039</v>
      </c>
      <c r="L42" s="5">
        <f t="shared" ca="1" si="3"/>
        <v>7.6923076923076925</v>
      </c>
      <c r="M42" s="5">
        <f ca="1">(IF('Demand adjustments for Covid'!$F$9="No",E42,SUM('Demand background (hide)'!DS31,'Demand background (hide)'!DV31:DW31))*(1-'Parameters calculator (hide)'!$B$43))*(1-'Parameters calculator (hide)'!$B$44+('Parameters calculator (hide)'!$B$45*'Parameters calculator (hide)'!$B$47))</f>
        <v>527.43419449999999</v>
      </c>
      <c r="N42" s="5">
        <f ca="1">(IF('Demand adjustments for Covid'!$F$9="No",F42,SUM('Demand background (hide)'!DT31,'Demand background (hide)'!DV31:DW31))*(1-'Parameters calculator (hide)'!$B$43))*(1-'Parameters calculator (hide)'!$B$44+('Parameters calculator (hide)'!$B$45*'Parameters calculator (hide)'!$B$47))</f>
        <v>635.02503200000001</v>
      </c>
      <c r="P42" s="5">
        <f t="shared" ca="1" si="4"/>
        <v>18.364256848880391</v>
      </c>
      <c r="Q42" s="5">
        <f t="shared" ca="1" si="5"/>
        <v>7.6923076923076925</v>
      </c>
      <c r="R42" s="5">
        <f t="shared" ca="1" si="6"/>
        <v>14.56425684888039</v>
      </c>
      <c r="S42" s="5">
        <f t="shared" ca="1" si="7"/>
        <v>7.6923076923076925</v>
      </c>
      <c r="T42" s="5">
        <f ca="1">M42/IF(Summary!$C$8&lt;&gt;"Patients",1,$I$9)</f>
        <v>14.261623907226106</v>
      </c>
      <c r="U42" s="5">
        <f ca="1">((N42-M42)/IF(Summary!$C$8&lt;&gt;"Patients",1,$I$9))</f>
        <v>2.909216118881119</v>
      </c>
      <c r="V42" s="5">
        <f t="shared" ca="1" si="8"/>
        <v>3.8</v>
      </c>
      <c r="X42" s="5">
        <f ca="1">(VLOOKUP(D42,'SPC background (hide)'!$AG$2:$AN$54,8,0)/IF(Summary!$C$8&lt;&gt;"Patients",1,$I$9))*(1-$I$4)*(1-$I$5+($I$6*$I$7))</f>
        <v>12.800550923076921</v>
      </c>
    </row>
    <row r="43" spans="1:24" x14ac:dyDescent="0.2">
      <c r="A43" s="87">
        <f t="shared" ca="1" si="9"/>
        <v>43780</v>
      </c>
      <c r="B43" s="67" t="str">
        <f t="shared" ca="1" si="1"/>
        <v/>
      </c>
      <c r="C43" s="67" t="str">
        <f t="shared" ca="1" si="2"/>
        <v/>
      </c>
      <c r="D43" s="67">
        <f t="shared" ca="1" si="0"/>
        <v>46</v>
      </c>
      <c r="E43" s="5">
        <f ca="1">IF(LEFT(Demand!$C$8,1)="H",VLOOKUP($D43,'SPC background (hide)'!$AG$2:$AS$54,12,0),'Demand background (hide)'!X32)</f>
        <v>551.5</v>
      </c>
      <c r="F43" s="5">
        <f ca="1">IF(LEFT(Demand!$C$8,1)="H",VLOOKUP($D43,'SPC background (hide)'!$AG$2:$AS$54,13,0),E43*1.1)</f>
        <v>664</v>
      </c>
      <c r="G43" s="5" t="str">
        <f>IF(Setup!$I$15="Yes",VLOOKUP(D43,'SPC background (hide)'!$AG$2:$AT$54,14,0)/IF(Summary!$C$8="Patients",'Summary Calculations (hide)'!$I$9,1),"")</f>
        <v/>
      </c>
      <c r="H43" s="67">
        <f ca="1">IF(Setup!$I$13="Yes",'Planned background (hide)'!$V$23/IF(Summary!$C$8="Patients",'Summary Calculations (hide)'!$I$9,1),"")</f>
        <v>3.8</v>
      </c>
      <c r="I43" s="5">
        <f ca="1">IFERROR(HLOOKUP(A43,'Capacity calculation (hide)'!$BK$1:$DK$4,4,0),Capacity!$I$15)</f>
        <v>18.364256848880391</v>
      </c>
      <c r="J43" s="5">
        <f ca="1">IFERROR(HLOOKUP(D43,'Capacity calculation (hide)'!$BK$110:$DJ$111,2,0),0)</f>
        <v>7.6923076923076925</v>
      </c>
      <c r="K43" s="5">
        <f ca="1">IF(I43-IF(Setup!$I$15="Yes",$G43,0)-IF(Setup!$I$13="Yes",$H43,0)&lt;0,0,I43-IF(Setup!$I$15="Yes",$G43,0)-IF(Setup!$I$13="Yes",$H43,0))</f>
        <v>14.56425684888039</v>
      </c>
      <c r="L43" s="5">
        <f t="shared" ca="1" si="3"/>
        <v>7.6923076923076925</v>
      </c>
      <c r="M43" s="5">
        <f ca="1">(IF('Demand adjustments for Covid'!$F$9="No",E43,SUM('Demand background (hide)'!DS32,'Demand background (hide)'!DV32:DW32))*(1-'Parameters calculator (hide)'!$B$43))*(1-'Parameters calculator (hide)'!$B$44+('Parameters calculator (hide)'!$B$45*'Parameters calculator (hide)'!$B$47))</f>
        <v>527.43419449999999</v>
      </c>
      <c r="N43" s="5">
        <f ca="1">(IF('Demand adjustments for Covid'!$F$9="No",F43,SUM('Demand background (hide)'!DT32,'Demand background (hide)'!DV32:DW32))*(1-'Parameters calculator (hide)'!$B$43))*(1-'Parameters calculator (hide)'!$B$44+('Parameters calculator (hide)'!$B$45*'Parameters calculator (hide)'!$B$47))</f>
        <v>635.02503200000001</v>
      </c>
      <c r="P43" s="5">
        <f t="shared" ca="1" si="4"/>
        <v>18.364256848880391</v>
      </c>
      <c r="Q43" s="5">
        <f t="shared" ca="1" si="5"/>
        <v>7.6923076923076925</v>
      </c>
      <c r="R43" s="5">
        <f t="shared" ca="1" si="6"/>
        <v>14.56425684888039</v>
      </c>
      <c r="S43" s="5">
        <f t="shared" ca="1" si="7"/>
        <v>7.6923076923076925</v>
      </c>
      <c r="T43" s="5">
        <f ca="1">M43/IF(Summary!$C$8&lt;&gt;"Patients",1,$I$9)</f>
        <v>14.261623907226106</v>
      </c>
      <c r="U43" s="5">
        <f ca="1">((N43-M43)/IF(Summary!$C$8&lt;&gt;"Patients",1,$I$9))</f>
        <v>2.909216118881119</v>
      </c>
      <c r="V43" s="5">
        <f t="shared" ca="1" si="8"/>
        <v>3.8</v>
      </c>
      <c r="X43" s="5">
        <f ca="1">(VLOOKUP(D43,'SPC background (hide)'!$AG$2:$AN$54,8,0)/IF(Summary!$C$8&lt;&gt;"Patients",1,$I$9))*(1-$I$4)*(1-$I$5+($I$6*$I$7))</f>
        <v>12.800550923076921</v>
      </c>
    </row>
    <row r="44" spans="1:24" x14ac:dyDescent="0.2">
      <c r="A44" s="87">
        <f t="shared" ca="1" si="9"/>
        <v>43787</v>
      </c>
      <c r="B44" s="67" t="str">
        <f t="shared" ca="1" si="1"/>
        <v/>
      </c>
      <c r="C44" s="67" t="str">
        <f t="shared" ca="1" si="2"/>
        <v/>
      </c>
      <c r="D44" s="67">
        <f t="shared" ca="1" si="0"/>
        <v>47</v>
      </c>
      <c r="E44" s="5">
        <f ca="1">IF(LEFT(Demand!$C$8,1)="H",VLOOKUP($D44,'SPC background (hide)'!$AG$2:$AS$54,12,0),'Demand background (hide)'!X33)</f>
        <v>551.5</v>
      </c>
      <c r="F44" s="5">
        <f ca="1">IF(LEFT(Demand!$C$8,1)="H",VLOOKUP($D44,'SPC background (hide)'!$AG$2:$AS$54,13,0),E44*1.1)</f>
        <v>664</v>
      </c>
      <c r="G44" s="5" t="str">
        <f>IF(Setup!$I$15="Yes",VLOOKUP(D44,'SPC background (hide)'!$AG$2:$AT$54,14,0)/IF(Summary!$C$8="Patients",'Summary Calculations (hide)'!$I$9,1),"")</f>
        <v/>
      </c>
      <c r="H44" s="67">
        <f ca="1">IF(Setup!$I$13="Yes",'Planned background (hide)'!$V$23/IF(Summary!$C$8="Patients",'Summary Calculations (hide)'!$I$9,1),"")</f>
        <v>3.8</v>
      </c>
      <c r="I44" s="5">
        <f ca="1">IFERROR(HLOOKUP(A44,'Capacity calculation (hide)'!$BK$1:$DK$4,4,0),Capacity!$I$15)</f>
        <v>18.364256848880391</v>
      </c>
      <c r="J44" s="5">
        <f ca="1">IFERROR(HLOOKUP(D44,'Capacity calculation (hide)'!$BK$110:$DJ$111,2,0),0)</f>
        <v>3.6923076923076925</v>
      </c>
      <c r="K44" s="5">
        <f ca="1">IF(I44-IF(Setup!$I$15="Yes",$G44,0)-IF(Setup!$I$13="Yes",$H44,0)&lt;0,0,I44-IF(Setup!$I$15="Yes",$G44,0)-IF(Setup!$I$13="Yes",$H44,0))</f>
        <v>14.56425684888039</v>
      </c>
      <c r="L44" s="5">
        <f t="shared" ca="1" si="3"/>
        <v>3.6923076923076925</v>
      </c>
      <c r="M44" s="5">
        <f ca="1">(IF('Demand adjustments for Covid'!$F$9="No",E44,SUM('Demand background (hide)'!DS33,'Demand background (hide)'!DV33:DW33))*(1-'Parameters calculator (hide)'!$B$43))*(1-'Parameters calculator (hide)'!$B$44+('Parameters calculator (hide)'!$B$45*'Parameters calculator (hide)'!$B$47))</f>
        <v>527.43419449999999</v>
      </c>
      <c r="N44" s="5">
        <f ca="1">(IF('Demand adjustments for Covid'!$F$9="No",F44,SUM('Demand background (hide)'!DT33,'Demand background (hide)'!DV33:DW33))*(1-'Parameters calculator (hide)'!$B$43))*(1-'Parameters calculator (hide)'!$B$44+('Parameters calculator (hide)'!$B$45*'Parameters calculator (hide)'!$B$47))</f>
        <v>635.02503200000001</v>
      </c>
      <c r="P44" s="5">
        <f t="shared" ca="1" si="4"/>
        <v>18.364256848880391</v>
      </c>
      <c r="Q44" s="5">
        <f t="shared" ca="1" si="5"/>
        <v>3.6923076923076925</v>
      </c>
      <c r="R44" s="5">
        <f t="shared" ca="1" si="6"/>
        <v>14.56425684888039</v>
      </c>
      <c r="S44" s="5">
        <f t="shared" ca="1" si="7"/>
        <v>3.6923076923076925</v>
      </c>
      <c r="T44" s="5">
        <f ca="1">M44/IF(Summary!$C$8&lt;&gt;"Patients",1,$I$9)</f>
        <v>14.261623907226106</v>
      </c>
      <c r="U44" s="5">
        <f ca="1">((N44-M44)/IF(Summary!$C$8&lt;&gt;"Patients",1,$I$9))</f>
        <v>2.909216118881119</v>
      </c>
      <c r="V44" s="5">
        <f t="shared" ca="1" si="8"/>
        <v>3.8</v>
      </c>
      <c r="X44" s="5">
        <f ca="1">(VLOOKUP(D44,'SPC background (hide)'!$AG$2:$AN$54,8,0)/IF(Summary!$C$8&lt;&gt;"Patients",1,$I$9))*(1-$I$4)*(1-$I$5+($I$6*$I$7))</f>
        <v>12.800550923076921</v>
      </c>
    </row>
    <row r="45" spans="1:24" x14ac:dyDescent="0.2">
      <c r="A45" s="87">
        <f t="shared" ca="1" si="9"/>
        <v>43794</v>
      </c>
      <c r="B45" s="67" t="str">
        <f t="shared" ca="1" si="1"/>
        <v/>
      </c>
      <c r="C45" s="67" t="str">
        <f t="shared" ca="1" si="2"/>
        <v/>
      </c>
      <c r="D45" s="67">
        <f t="shared" ca="1" si="0"/>
        <v>48</v>
      </c>
      <c r="E45" s="5">
        <f ca="1">IF(LEFT(Demand!$C$8,1)="H",VLOOKUP($D45,'SPC background (hide)'!$AG$2:$AS$54,12,0),'Demand background (hide)'!X34)</f>
        <v>551.5</v>
      </c>
      <c r="F45" s="5">
        <f ca="1">IF(LEFT(Demand!$C$8,1)="H",VLOOKUP($D45,'SPC background (hide)'!$AG$2:$AS$54,13,0),E45*1.1)</f>
        <v>664</v>
      </c>
      <c r="G45" s="5" t="str">
        <f>IF(Setup!$I$15="Yes",VLOOKUP(D45,'SPC background (hide)'!$AG$2:$AT$54,14,0)/IF(Summary!$C$8="Patients",'Summary Calculations (hide)'!$I$9,1),"")</f>
        <v/>
      </c>
      <c r="H45" s="67">
        <f ca="1">IF(Setup!$I$13="Yes",'Planned background (hide)'!$V$23/IF(Summary!$C$8="Patients",'Summary Calculations (hide)'!$I$9,1),"")</f>
        <v>3.8</v>
      </c>
      <c r="I45" s="5">
        <f ca="1">IFERROR(HLOOKUP(A45,'Capacity calculation (hide)'!$BK$1:$DK$4,4,0),Capacity!$I$15)</f>
        <v>18.364256848880391</v>
      </c>
      <c r="J45" s="5">
        <f ca="1">IFERROR(HLOOKUP(D45,'Capacity calculation (hide)'!$BK$110:$DJ$111,2,0),0)</f>
        <v>3.6923076923076925</v>
      </c>
      <c r="K45" s="5">
        <f ca="1">IF(I45-IF(Setup!$I$15="Yes",$G45,0)-IF(Setup!$I$13="Yes",$H45,0)&lt;0,0,I45-IF(Setup!$I$15="Yes",$G45,0)-IF(Setup!$I$13="Yes",$H45,0))</f>
        <v>14.56425684888039</v>
      </c>
      <c r="L45" s="5">
        <f t="shared" ca="1" si="3"/>
        <v>3.6923076923076925</v>
      </c>
      <c r="M45" s="5">
        <f ca="1">(IF('Demand adjustments for Covid'!$F$9="No",E45,SUM('Demand background (hide)'!DS34,'Demand background (hide)'!DV34:DW34))*(1-'Parameters calculator (hide)'!$B$43))*(1-'Parameters calculator (hide)'!$B$44+('Parameters calculator (hide)'!$B$45*'Parameters calculator (hide)'!$B$47))</f>
        <v>527.43419449999999</v>
      </c>
      <c r="N45" s="5">
        <f ca="1">(IF('Demand adjustments for Covid'!$F$9="No",F45,SUM('Demand background (hide)'!DT34,'Demand background (hide)'!DV34:DW34))*(1-'Parameters calculator (hide)'!$B$43))*(1-'Parameters calculator (hide)'!$B$44+('Parameters calculator (hide)'!$B$45*'Parameters calculator (hide)'!$B$47))</f>
        <v>635.02503200000001</v>
      </c>
      <c r="P45" s="5">
        <f t="shared" ca="1" si="4"/>
        <v>18.364256848880391</v>
      </c>
      <c r="Q45" s="5">
        <f t="shared" ca="1" si="5"/>
        <v>3.6923076923076925</v>
      </c>
      <c r="R45" s="5">
        <f t="shared" ca="1" si="6"/>
        <v>14.56425684888039</v>
      </c>
      <c r="S45" s="5">
        <f t="shared" ca="1" si="7"/>
        <v>3.6923076923076925</v>
      </c>
      <c r="T45" s="5">
        <f ca="1">M45/IF(Summary!$C$8&lt;&gt;"Patients",1,$I$9)</f>
        <v>14.261623907226106</v>
      </c>
      <c r="U45" s="5">
        <f ca="1">((N45-M45)/IF(Summary!$C$8&lt;&gt;"Patients",1,$I$9))</f>
        <v>2.909216118881119</v>
      </c>
      <c r="V45" s="5">
        <f t="shared" ca="1" si="8"/>
        <v>3.8</v>
      </c>
      <c r="X45" s="5">
        <f ca="1">(VLOOKUP(D45,'SPC background (hide)'!$AG$2:$AN$54,8,0)/IF(Summary!$C$8&lt;&gt;"Patients",1,$I$9))*(1-$I$4)*(1-$I$5+($I$6*$I$7))</f>
        <v>12.800550923076921</v>
      </c>
    </row>
    <row r="46" spans="1:24" x14ac:dyDescent="0.2">
      <c r="A46" s="87">
        <f t="shared" ca="1" si="9"/>
        <v>43801</v>
      </c>
      <c r="B46" s="67" t="str">
        <f t="shared" ca="1" si="1"/>
        <v/>
      </c>
      <c r="C46" s="67" t="str">
        <f t="shared" ca="1" si="2"/>
        <v>Dec</v>
      </c>
      <c r="D46" s="67">
        <f t="shared" ca="1" si="0"/>
        <v>49</v>
      </c>
      <c r="E46" s="5">
        <f ca="1">IF(LEFT(Demand!$C$8,1)="H",VLOOKUP($D46,'SPC background (hide)'!$AG$2:$AS$54,12,0),'Demand background (hide)'!X35)</f>
        <v>551.5</v>
      </c>
      <c r="F46" s="5">
        <f ca="1">IF(LEFT(Demand!$C$8,1)="H",VLOOKUP($D46,'SPC background (hide)'!$AG$2:$AS$54,13,0),E46*1.1)</f>
        <v>664</v>
      </c>
      <c r="G46" s="5" t="str">
        <f>IF(Setup!$I$15="Yes",VLOOKUP(D46,'SPC background (hide)'!$AG$2:$AT$54,14,0)/IF(Summary!$C$8="Patients",'Summary Calculations (hide)'!$I$9,1),"")</f>
        <v/>
      </c>
      <c r="H46" s="67">
        <f ca="1">IF(Setup!$I$13="Yes",'Planned background (hide)'!$V$23/IF(Summary!$C$8="Patients",'Summary Calculations (hide)'!$I$9,1),"")</f>
        <v>3.8</v>
      </c>
      <c r="I46" s="5">
        <f ca="1">IFERROR(HLOOKUP(A46,'Capacity calculation (hide)'!$BK$1:$DK$4,4,0),Capacity!$I$15)</f>
        <v>18.364256848880391</v>
      </c>
      <c r="J46" s="5">
        <f ca="1">IFERROR(HLOOKUP(D46,'Capacity calculation (hide)'!$BK$110:$DJ$111,2,0),0)</f>
        <v>3.6923076923076925</v>
      </c>
      <c r="K46" s="5">
        <f ca="1">IF(I46-IF(Setup!$I$15="Yes",$G46,0)-IF(Setup!$I$13="Yes",$H46,0)&lt;0,0,I46-IF(Setup!$I$15="Yes",$G46,0)-IF(Setup!$I$13="Yes",$H46,0))</f>
        <v>14.56425684888039</v>
      </c>
      <c r="L46" s="5">
        <f t="shared" ca="1" si="3"/>
        <v>3.6923076923076925</v>
      </c>
      <c r="M46" s="5">
        <f ca="1">(IF('Demand adjustments for Covid'!$F$9="No",E46,SUM('Demand background (hide)'!DS35,'Demand background (hide)'!DV35:DW35))*(1-'Parameters calculator (hide)'!$B$43))*(1-'Parameters calculator (hide)'!$B$44+('Parameters calculator (hide)'!$B$45*'Parameters calculator (hide)'!$B$47))</f>
        <v>527.43419449999999</v>
      </c>
      <c r="N46" s="5">
        <f ca="1">(IF('Demand adjustments for Covid'!$F$9="No",F46,SUM('Demand background (hide)'!DT35,'Demand background (hide)'!DV35:DW35))*(1-'Parameters calculator (hide)'!$B$43))*(1-'Parameters calculator (hide)'!$B$44+('Parameters calculator (hide)'!$B$45*'Parameters calculator (hide)'!$B$47))</f>
        <v>635.02503200000001</v>
      </c>
      <c r="P46" s="5">
        <f t="shared" ca="1" si="4"/>
        <v>18.364256848880391</v>
      </c>
      <c r="Q46" s="5">
        <f t="shared" ca="1" si="5"/>
        <v>3.6923076923076925</v>
      </c>
      <c r="R46" s="5">
        <f t="shared" ca="1" si="6"/>
        <v>14.56425684888039</v>
      </c>
      <c r="S46" s="5">
        <f t="shared" ca="1" si="7"/>
        <v>3.6923076923076925</v>
      </c>
      <c r="T46" s="5">
        <f ca="1">M46/IF(Summary!$C$8&lt;&gt;"Patients",1,$I$9)</f>
        <v>14.261623907226106</v>
      </c>
      <c r="U46" s="5">
        <f ca="1">((N46-M46)/IF(Summary!$C$8&lt;&gt;"Patients",1,$I$9))</f>
        <v>2.909216118881119</v>
      </c>
      <c r="V46" s="5">
        <f t="shared" ca="1" si="8"/>
        <v>3.8</v>
      </c>
      <c r="X46" s="5">
        <f ca="1">(VLOOKUP(D46,'SPC background (hide)'!$AG$2:$AN$54,8,0)/IF(Summary!$C$8&lt;&gt;"Patients",1,$I$9))*(1-$I$4)*(1-$I$5+($I$6*$I$7))</f>
        <v>12.800550923076921</v>
      </c>
    </row>
    <row r="47" spans="1:24" x14ac:dyDescent="0.2">
      <c r="A47" s="87">
        <f t="shared" ca="1" si="9"/>
        <v>43808</v>
      </c>
      <c r="B47" s="67" t="str">
        <f t="shared" ca="1" si="1"/>
        <v/>
      </c>
      <c r="C47" s="67" t="str">
        <f t="shared" ca="1" si="2"/>
        <v/>
      </c>
      <c r="D47" s="67">
        <f t="shared" ref="D47:D66" ca="1" si="10">WEEKNUM(A47,21)</f>
        <v>50</v>
      </c>
      <c r="E47" s="5">
        <f ca="1">IF(LEFT(Demand!$C$8,1)="H",VLOOKUP($D47,'SPC background (hide)'!$AG$2:$AS$54,12,0),'Demand background (hide)'!X36)</f>
        <v>551.5</v>
      </c>
      <c r="F47" s="5">
        <f ca="1">IF(LEFT(Demand!$C$8,1)="H",VLOOKUP($D47,'SPC background (hide)'!$AG$2:$AS$54,13,0),E47*1.1)</f>
        <v>664</v>
      </c>
      <c r="G47" s="5" t="str">
        <f>IF(Setup!$I$15="Yes",VLOOKUP(D47,'SPC background (hide)'!$AG$2:$AT$54,14,0)/IF(Summary!$C$8="Patients",'Summary Calculations (hide)'!$I$9,1),"")</f>
        <v/>
      </c>
      <c r="H47" s="67">
        <f ca="1">IF(Setup!$I$13="Yes",'Planned background (hide)'!$V$23/IF(Summary!$C$8="Patients",'Summary Calculations (hide)'!$I$9,1),"")</f>
        <v>3.8</v>
      </c>
      <c r="I47" s="5">
        <f ca="1">IFERROR(HLOOKUP(A47,'Capacity calculation (hide)'!$BK$1:$DK$4,4,0),Capacity!$I$15)</f>
        <v>18.364256848880391</v>
      </c>
      <c r="J47" s="5">
        <f ca="1">IFERROR(HLOOKUP(D47,'Capacity calculation (hide)'!$BK$110:$DJ$111,2,0),0)</f>
        <v>3.6923076923076925</v>
      </c>
      <c r="K47" s="5">
        <f ca="1">IF(I47-IF(Setup!$I$15="Yes",$G47,0)-IF(Setup!$I$13="Yes",$H47,0)&lt;0,0,I47-IF(Setup!$I$15="Yes",$G47,0)-IF(Setup!$I$13="Yes",$H47,0))</f>
        <v>14.56425684888039</v>
      </c>
      <c r="L47" s="5">
        <f t="shared" ca="1" si="3"/>
        <v>3.6923076923076925</v>
      </c>
      <c r="M47" s="5">
        <f ca="1">(IF('Demand adjustments for Covid'!$F$9="No",E47,SUM('Demand background (hide)'!DS36,'Demand background (hide)'!DV36:DW36))*(1-'Parameters calculator (hide)'!$B$43))*(1-'Parameters calculator (hide)'!$B$44+('Parameters calculator (hide)'!$B$45*'Parameters calculator (hide)'!$B$47))</f>
        <v>527.43419449999999</v>
      </c>
      <c r="N47" s="5">
        <f ca="1">(IF('Demand adjustments for Covid'!$F$9="No",F47,SUM('Demand background (hide)'!DT36,'Demand background (hide)'!DV36:DW36))*(1-'Parameters calculator (hide)'!$B$43))*(1-'Parameters calculator (hide)'!$B$44+('Parameters calculator (hide)'!$B$45*'Parameters calculator (hide)'!$B$47))</f>
        <v>635.02503200000001</v>
      </c>
      <c r="P47" s="5">
        <f t="shared" ca="1" si="4"/>
        <v>18.364256848880391</v>
      </c>
      <c r="Q47" s="5">
        <f t="shared" ca="1" si="5"/>
        <v>3.6923076923076925</v>
      </c>
      <c r="R47" s="5">
        <f t="shared" ca="1" si="6"/>
        <v>14.56425684888039</v>
      </c>
      <c r="S47" s="5">
        <f t="shared" ca="1" si="7"/>
        <v>3.6923076923076925</v>
      </c>
      <c r="T47" s="5">
        <f ca="1">M47/IF(Summary!$C$8&lt;&gt;"Patients",1,$I$9)</f>
        <v>14.261623907226106</v>
      </c>
      <c r="U47" s="5">
        <f ca="1">((N47-M47)/IF(Summary!$C$8&lt;&gt;"Patients",1,$I$9))</f>
        <v>2.909216118881119</v>
      </c>
      <c r="V47" s="5">
        <f t="shared" ca="1" si="8"/>
        <v>3.8</v>
      </c>
      <c r="X47" s="5">
        <f ca="1">(VLOOKUP(D47,'SPC background (hide)'!$AG$2:$AN$54,8,0)/IF(Summary!$C$8&lt;&gt;"Patients",1,$I$9))*(1-$I$4)*(1-$I$5+($I$6*$I$7))</f>
        <v>12.800550923076921</v>
      </c>
    </row>
    <row r="48" spans="1:24" x14ac:dyDescent="0.2">
      <c r="A48" s="87">
        <f t="shared" ca="1" si="9"/>
        <v>43815</v>
      </c>
      <c r="B48" s="67" t="str">
        <f t="shared" ref="B48:B67" ca="1" si="11">IF(YEAR(A48)&lt;&gt;YEAR(A47),YEAR(A48),"")</f>
        <v/>
      </c>
      <c r="C48" s="67" t="str">
        <f t="shared" ref="C48:C67" ca="1" si="12">IF(TEXT(A48,"MMM")&lt;&gt;TEXT(A47,"MMM"),TEXT(A48,"MMM"),"")</f>
        <v/>
      </c>
      <c r="D48" s="67">
        <f t="shared" ca="1" si="10"/>
        <v>51</v>
      </c>
      <c r="E48" s="5">
        <f ca="1">IF(LEFT(Demand!$C$8,1)="H",VLOOKUP($D48,'SPC background (hide)'!$AG$2:$AS$54,12,0),'Demand background (hide)'!X37)</f>
        <v>551.5</v>
      </c>
      <c r="F48" s="5">
        <f ca="1">IF(LEFT(Demand!$C$8,1)="H",VLOOKUP($D48,'SPC background (hide)'!$AG$2:$AS$54,13,0),E48*1.1)</f>
        <v>664</v>
      </c>
      <c r="G48" s="5" t="str">
        <f>IF(Setup!$I$15="Yes",VLOOKUP(D48,'SPC background (hide)'!$AG$2:$AT$54,14,0)/IF(Summary!$C$8="Patients",'Summary Calculations (hide)'!$I$9,1),"")</f>
        <v/>
      </c>
      <c r="H48" s="67">
        <f ca="1">IF(Setup!$I$13="Yes",'Planned background (hide)'!$V$23/IF(Summary!$C$8="Patients",'Summary Calculations (hide)'!$I$9,1),"")</f>
        <v>3.8</v>
      </c>
      <c r="I48" s="5">
        <f ca="1">IFERROR(HLOOKUP(A48,'Capacity calculation (hide)'!$BK$1:$DK$4,4,0),Capacity!$I$15)</f>
        <v>7.9937888198757765</v>
      </c>
      <c r="J48" s="5">
        <f ca="1">IFERROR(HLOOKUP(D48,'Capacity calculation (hide)'!$BK$110:$DJ$111,2,0),0)</f>
        <v>0</v>
      </c>
      <c r="K48" s="5">
        <f ca="1">IF(I48-IF(Setup!$I$15="Yes",$G48,0)-IF(Setup!$I$13="Yes",$H48,0)&lt;0,0,I48-IF(Setup!$I$15="Yes",$G48,0)-IF(Setup!$I$13="Yes",$H48,0))</f>
        <v>4.1937888198757767</v>
      </c>
      <c r="L48" s="5">
        <f t="shared" ca="1" si="3"/>
        <v>0</v>
      </c>
      <c r="M48" s="5">
        <f ca="1">(IF('Demand adjustments for Covid'!$F$9="No",E48,SUM('Demand background (hide)'!DS37,'Demand background (hide)'!DV37:DW37))*(1-'Parameters calculator (hide)'!$B$43))*(1-'Parameters calculator (hide)'!$B$44+('Parameters calculator (hide)'!$B$45*'Parameters calculator (hide)'!$B$47))</f>
        <v>527.43419449999999</v>
      </c>
      <c r="N48" s="5">
        <f ca="1">(IF('Demand adjustments for Covid'!$F$9="No",F48,SUM('Demand background (hide)'!DT37,'Demand background (hide)'!DV37:DW37))*(1-'Parameters calculator (hide)'!$B$43))*(1-'Parameters calculator (hide)'!$B$44+('Parameters calculator (hide)'!$B$45*'Parameters calculator (hide)'!$B$47))</f>
        <v>635.02503200000001</v>
      </c>
      <c r="P48" s="5">
        <f t="shared" ca="1" si="4"/>
        <v>7.9937888198757765</v>
      </c>
      <c r="Q48" s="5">
        <f t="shared" ca="1" si="5"/>
        <v>0</v>
      </c>
      <c r="R48" s="5">
        <f t="shared" ca="1" si="6"/>
        <v>4.1937888198757767</v>
      </c>
      <c r="S48" s="5">
        <f t="shared" ca="1" si="7"/>
        <v>0</v>
      </c>
      <c r="T48" s="5">
        <f ca="1">M48/IF(Summary!$C$8&lt;&gt;"Patients",1,$I$9)</f>
        <v>14.261623907226106</v>
      </c>
      <c r="U48" s="5">
        <f ca="1">((N48-M48)/IF(Summary!$C$8&lt;&gt;"Patients",1,$I$9))</f>
        <v>2.909216118881119</v>
      </c>
      <c r="V48" s="5">
        <f t="shared" ca="1" si="8"/>
        <v>3.8</v>
      </c>
      <c r="X48" s="5">
        <f ca="1">(VLOOKUP(D48,'SPC background (hide)'!$AG$2:$AN$54,8,0)/IF(Summary!$C$8&lt;&gt;"Patients",1,$I$9))*(1-$I$4)*(1-$I$5+($I$6*$I$7))</f>
        <v>12.800550923076921</v>
      </c>
    </row>
    <row r="49" spans="1:24" x14ac:dyDescent="0.2">
      <c r="A49" s="87">
        <f t="shared" ca="1" si="9"/>
        <v>43822</v>
      </c>
      <c r="B49" s="67" t="str">
        <f t="shared" ca="1" si="11"/>
        <v/>
      </c>
      <c r="C49" s="67" t="str">
        <f t="shared" ca="1" si="12"/>
        <v/>
      </c>
      <c r="D49" s="67">
        <f t="shared" ca="1" si="10"/>
        <v>52</v>
      </c>
      <c r="E49" s="5">
        <f ca="1">IF(LEFT(Demand!$C$8,1)="H",VLOOKUP($D49,'SPC background (hide)'!$AG$2:$AS$54,12,0),'Demand background (hide)'!X38)</f>
        <v>551.5</v>
      </c>
      <c r="F49" s="5">
        <f ca="1">IF(LEFT(Demand!$C$8,1)="H",VLOOKUP($D49,'SPC background (hide)'!$AG$2:$AS$54,13,0),E49*1.1)</f>
        <v>664</v>
      </c>
      <c r="G49" s="5" t="str">
        <f>IF(Setup!$I$15="Yes",VLOOKUP(D49,'SPC background (hide)'!$AG$2:$AT$54,14,0)/IF(Summary!$C$8="Patients",'Summary Calculations (hide)'!$I$9,1),"")</f>
        <v/>
      </c>
      <c r="H49" s="67">
        <f ca="1">IF(Setup!$I$13="Yes",'Planned background (hide)'!$V$23/IF(Summary!$C$8="Patients",'Summary Calculations (hide)'!$I$9,1),"")</f>
        <v>3.8</v>
      </c>
      <c r="I49" s="5">
        <f ca="1">IFERROR(HLOOKUP(A49,'Capacity calculation (hide)'!$BK$1:$DK$4,4,0),Capacity!$I$15)</f>
        <v>7.9937888198757765</v>
      </c>
      <c r="J49" s="5">
        <f ca="1">IFERROR(HLOOKUP(D49,'Capacity calculation (hide)'!$BK$110:$DJ$111,2,0),0)</f>
        <v>0</v>
      </c>
      <c r="K49" s="5">
        <f ca="1">IF(I49-IF(Setup!$I$15="Yes",$G49,0)-IF(Setup!$I$13="Yes",$H49,0)&lt;0,0,I49-IF(Setup!$I$15="Yes",$G49,0)-IF(Setup!$I$13="Yes",$H49,0))</f>
        <v>4.1937888198757767</v>
      </c>
      <c r="L49" s="5">
        <f t="shared" ca="1" si="3"/>
        <v>0</v>
      </c>
      <c r="M49" s="5">
        <f ca="1">(IF('Demand adjustments for Covid'!$F$9="No",E49,SUM('Demand background (hide)'!DS38,'Demand background (hide)'!DV38:DW38))*(1-'Parameters calculator (hide)'!$B$43))*(1-'Parameters calculator (hide)'!$B$44+('Parameters calculator (hide)'!$B$45*'Parameters calculator (hide)'!$B$47))</f>
        <v>527.43419449999999</v>
      </c>
      <c r="N49" s="5">
        <f ca="1">(IF('Demand adjustments for Covid'!$F$9="No",F49,SUM('Demand background (hide)'!DT38,'Demand background (hide)'!DV38:DW38))*(1-'Parameters calculator (hide)'!$B$43))*(1-'Parameters calculator (hide)'!$B$44+('Parameters calculator (hide)'!$B$45*'Parameters calculator (hide)'!$B$47))</f>
        <v>635.02503200000001</v>
      </c>
      <c r="P49" s="5">
        <f t="shared" ca="1" si="4"/>
        <v>7.9937888198757765</v>
      </c>
      <c r="Q49" s="5">
        <f t="shared" ca="1" si="5"/>
        <v>0</v>
      </c>
      <c r="R49" s="5">
        <f t="shared" ca="1" si="6"/>
        <v>4.1937888198757767</v>
      </c>
      <c r="S49" s="5">
        <f t="shared" ca="1" si="7"/>
        <v>0</v>
      </c>
      <c r="T49" s="5">
        <f ca="1">M49/IF(Summary!$C$8&lt;&gt;"Patients",1,$I$9)</f>
        <v>14.261623907226106</v>
      </c>
      <c r="U49" s="5">
        <f ca="1">((N49-M49)/IF(Summary!$C$8&lt;&gt;"Patients",1,$I$9))</f>
        <v>2.909216118881119</v>
      </c>
      <c r="V49" s="5">
        <f t="shared" ca="1" si="8"/>
        <v>3.8</v>
      </c>
      <c r="X49" s="5">
        <f ca="1">(VLOOKUP(D49,'SPC background (hide)'!$AG$2:$AN$54,8,0)/IF(Summary!$C$8&lt;&gt;"Patients",1,$I$9))*(1-$I$4)*(1-$I$5+($I$6*$I$7))</f>
        <v>12.800550923076921</v>
      </c>
    </row>
    <row r="50" spans="1:24" x14ac:dyDescent="0.2">
      <c r="A50" s="87">
        <f t="shared" ca="1" si="9"/>
        <v>43829</v>
      </c>
      <c r="B50" s="67" t="str">
        <f t="shared" ca="1" si="11"/>
        <v/>
      </c>
      <c r="C50" s="67" t="str">
        <f t="shared" ca="1" si="12"/>
        <v/>
      </c>
      <c r="D50" s="67">
        <f t="shared" ca="1" si="10"/>
        <v>1</v>
      </c>
      <c r="E50" s="5">
        <f ca="1">IF(LEFT(Demand!$C$8,1)="H",VLOOKUP($D50,'SPC background (hide)'!$AG$2:$AS$54,12,0),'Demand background (hide)'!X39)</f>
        <v>551.5</v>
      </c>
      <c r="F50" s="5">
        <f ca="1">IF(LEFT(Demand!$C$8,1)="H",VLOOKUP($D50,'SPC background (hide)'!$AG$2:$AS$54,13,0),E50*1.1)</f>
        <v>664</v>
      </c>
      <c r="G50" s="5" t="str">
        <f>IF(Setup!$I$15="Yes",VLOOKUP(D50,'SPC background (hide)'!$AG$2:$AT$54,14,0)/IF(Summary!$C$8="Patients",'Summary Calculations (hide)'!$I$9,1),"")</f>
        <v/>
      </c>
      <c r="H50" s="67">
        <f ca="1">IF(Setup!$I$13="Yes",'Planned background (hide)'!$V$23/IF(Summary!$C$8="Patients",'Summary Calculations (hide)'!$I$9,1),"")</f>
        <v>3.8</v>
      </c>
      <c r="I50" s="5">
        <f ca="1">IFERROR(HLOOKUP(A50,'Capacity calculation (hide)'!$BK$1:$DK$4,4,0),Capacity!$I$15)</f>
        <v>7.9937888198757765</v>
      </c>
      <c r="J50" s="5">
        <f ca="1">IFERROR(HLOOKUP(D50,'Capacity calculation (hide)'!$BK$110:$DJ$111,2,0),0)</f>
        <v>0</v>
      </c>
      <c r="K50" s="5">
        <f ca="1">IF(I50-IF(Setup!$I$15="Yes",$G50,0)-IF(Setup!$I$13="Yes",$H50,0)&lt;0,0,I50-IF(Setup!$I$15="Yes",$G50,0)-IF(Setup!$I$13="Yes",$H50,0))</f>
        <v>4.1937888198757767</v>
      </c>
      <c r="L50" s="5">
        <f t="shared" ca="1" si="3"/>
        <v>0</v>
      </c>
      <c r="M50" s="5">
        <f ca="1">(IF('Demand adjustments for Covid'!$F$9="No",E50,SUM('Demand background (hide)'!DS39,'Demand background (hide)'!DV39:DW39))*(1-'Parameters calculator (hide)'!$B$43))*(1-'Parameters calculator (hide)'!$B$44+('Parameters calculator (hide)'!$B$45*'Parameters calculator (hide)'!$B$47))</f>
        <v>527.43419449999999</v>
      </c>
      <c r="N50" s="5">
        <f ca="1">(IF('Demand adjustments for Covid'!$F$9="No",F50,SUM('Demand background (hide)'!DT39,'Demand background (hide)'!DV39:DW39))*(1-'Parameters calculator (hide)'!$B$43))*(1-'Parameters calculator (hide)'!$B$44+('Parameters calculator (hide)'!$B$45*'Parameters calculator (hide)'!$B$47))</f>
        <v>635.02503200000001</v>
      </c>
      <c r="P50" s="5">
        <f t="shared" ca="1" si="4"/>
        <v>7.9937888198757765</v>
      </c>
      <c r="Q50" s="5">
        <f t="shared" ca="1" si="5"/>
        <v>0</v>
      </c>
      <c r="R50" s="5">
        <f t="shared" ca="1" si="6"/>
        <v>4.1937888198757767</v>
      </c>
      <c r="S50" s="5">
        <f t="shared" ca="1" si="7"/>
        <v>0</v>
      </c>
      <c r="T50" s="5">
        <f ca="1">M50/IF(Summary!$C$8&lt;&gt;"Patients",1,$I$9)</f>
        <v>14.261623907226106</v>
      </c>
      <c r="U50" s="5">
        <f ca="1">((N50-M50)/IF(Summary!$C$8&lt;&gt;"Patients",1,$I$9))</f>
        <v>2.909216118881119</v>
      </c>
      <c r="V50" s="5">
        <f t="shared" ca="1" si="8"/>
        <v>3.8</v>
      </c>
      <c r="X50" s="5">
        <f ca="1">(VLOOKUP(D50,'SPC background (hide)'!$AG$2:$AN$54,8,0)/IF(Summary!$C$8&lt;&gt;"Patients",1,$I$9))*(1-$I$4)*(1-$I$5+($I$6*$I$7))</f>
        <v>12.800550923076921</v>
      </c>
    </row>
    <row r="51" spans="1:24" x14ac:dyDescent="0.2">
      <c r="A51" s="87">
        <f t="shared" ca="1" si="9"/>
        <v>43836</v>
      </c>
      <c r="B51" s="67">
        <f t="shared" ca="1" si="11"/>
        <v>2020</v>
      </c>
      <c r="C51" s="67" t="str">
        <f t="shared" ca="1" si="12"/>
        <v>Jan</v>
      </c>
      <c r="D51" s="67">
        <f t="shared" ca="1" si="10"/>
        <v>2</v>
      </c>
      <c r="E51" s="5">
        <f ca="1">IF(LEFT(Demand!$C$8,1)="H",VLOOKUP($D51,'SPC background (hide)'!$AG$2:$AS$54,12,0),'Demand background (hide)'!X40)</f>
        <v>551.5</v>
      </c>
      <c r="F51" s="5">
        <f ca="1">IF(LEFT(Demand!$C$8,1)="H",VLOOKUP($D51,'SPC background (hide)'!$AG$2:$AS$54,13,0),E51*1.1)</f>
        <v>664</v>
      </c>
      <c r="G51" s="5" t="str">
        <f>IF(Setup!$I$15="Yes",VLOOKUP(D51,'SPC background (hide)'!$AG$2:$AT$54,14,0)/IF(Summary!$C$8="Patients",'Summary Calculations (hide)'!$I$9,1),"")</f>
        <v/>
      </c>
      <c r="H51" s="67">
        <f ca="1">IF(Setup!$I$13="Yes",'Planned background (hide)'!$V$23/IF(Summary!$C$8="Patients",'Summary Calculations (hide)'!$I$9,1),"")</f>
        <v>3.8</v>
      </c>
      <c r="I51" s="5">
        <f ca="1">IFERROR(HLOOKUP(A51,'Capacity calculation (hide)'!$BK$1:$DK$4,4,0),Capacity!$I$15)</f>
        <v>7.9937888198757765</v>
      </c>
      <c r="J51" s="5">
        <f ca="1">IFERROR(HLOOKUP(D51,'Capacity calculation (hide)'!$BK$110:$DJ$111,2,0),0)</f>
        <v>4</v>
      </c>
      <c r="K51" s="5">
        <f ca="1">IF(I51-IF(Setup!$I$15="Yes",$G51,0)-IF(Setup!$I$13="Yes",$H51,0)&lt;0,0,I51-IF(Setup!$I$15="Yes",$G51,0)-IF(Setup!$I$13="Yes",$H51,0))</f>
        <v>4.1937888198757767</v>
      </c>
      <c r="L51" s="5">
        <f t="shared" ca="1" si="3"/>
        <v>4</v>
      </c>
      <c r="M51" s="5">
        <f ca="1">(IF('Demand adjustments for Covid'!$F$9="No",E51,SUM('Demand background (hide)'!DS40,'Demand background (hide)'!DV40:DW40))*(1-'Parameters calculator (hide)'!$B$43))*(1-'Parameters calculator (hide)'!$B$44+('Parameters calculator (hide)'!$B$45*'Parameters calculator (hide)'!$B$47))</f>
        <v>527.43419449999999</v>
      </c>
      <c r="N51" s="5">
        <f ca="1">(IF('Demand adjustments for Covid'!$F$9="No",F51,SUM('Demand background (hide)'!DT40,'Demand background (hide)'!DV40:DW40))*(1-'Parameters calculator (hide)'!$B$43))*(1-'Parameters calculator (hide)'!$B$44+('Parameters calculator (hide)'!$B$45*'Parameters calculator (hide)'!$B$47))</f>
        <v>635.02503200000001</v>
      </c>
      <c r="P51" s="5">
        <f t="shared" ca="1" si="4"/>
        <v>7.9937888198757765</v>
      </c>
      <c r="Q51" s="5">
        <f t="shared" ca="1" si="5"/>
        <v>4</v>
      </c>
      <c r="R51" s="5">
        <f t="shared" ca="1" si="6"/>
        <v>4.1937888198757767</v>
      </c>
      <c r="S51" s="5">
        <f t="shared" ca="1" si="7"/>
        <v>4</v>
      </c>
      <c r="T51" s="5">
        <f ca="1">M51/IF(Summary!$C$8&lt;&gt;"Patients",1,$I$9)</f>
        <v>14.261623907226106</v>
      </c>
      <c r="U51" s="5">
        <f ca="1">((N51-M51)/IF(Summary!$C$8&lt;&gt;"Patients",1,$I$9))</f>
        <v>2.909216118881119</v>
      </c>
      <c r="V51" s="5">
        <f t="shared" ca="1" si="8"/>
        <v>3.8</v>
      </c>
      <c r="X51" s="5">
        <f ca="1">(VLOOKUP(D51,'SPC background (hide)'!$AG$2:$AN$54,8,0)/IF(Summary!$C$8&lt;&gt;"Patients",1,$I$9))*(1-$I$4)*(1-$I$5+($I$6*$I$7))</f>
        <v>12.800550923076921</v>
      </c>
    </row>
    <row r="52" spans="1:24" x14ac:dyDescent="0.2">
      <c r="A52" s="87">
        <f t="shared" ca="1" si="9"/>
        <v>43843</v>
      </c>
      <c r="B52" s="67" t="str">
        <f t="shared" ca="1" si="11"/>
        <v/>
      </c>
      <c r="C52" s="67" t="str">
        <f t="shared" ca="1" si="12"/>
        <v/>
      </c>
      <c r="D52" s="67">
        <f t="shared" ca="1" si="10"/>
        <v>3</v>
      </c>
      <c r="E52" s="5">
        <f ca="1">IF(LEFT(Demand!$C$8,1)="H",VLOOKUP($D52,'SPC background (hide)'!$AG$2:$AS$54,12,0),'Demand background (hide)'!X41)</f>
        <v>551.5</v>
      </c>
      <c r="F52" s="5">
        <f ca="1">IF(LEFT(Demand!$C$8,1)="H",VLOOKUP($D52,'SPC background (hide)'!$AG$2:$AS$54,13,0),E52*1.1)</f>
        <v>664</v>
      </c>
      <c r="G52" s="5" t="str">
        <f>IF(Setup!$I$15="Yes",VLOOKUP(D52,'SPC background (hide)'!$AG$2:$AT$54,14,0)/IF(Summary!$C$8="Patients",'Summary Calculations (hide)'!$I$9,1),"")</f>
        <v/>
      </c>
      <c r="H52" s="67">
        <f ca="1">IF(Setup!$I$13="Yes",'Planned background (hide)'!$V$23/IF(Summary!$C$8="Patients",'Summary Calculations (hide)'!$I$9,1),"")</f>
        <v>3.8</v>
      </c>
      <c r="I52" s="5">
        <f ca="1">IFERROR(HLOOKUP(A52,'Capacity calculation (hide)'!$BK$1:$DK$4,4,0),Capacity!$I$15)</f>
        <v>7.9937888198757765</v>
      </c>
      <c r="J52" s="5">
        <f ca="1">IFERROR(HLOOKUP(D52,'Capacity calculation (hide)'!$BK$110:$DJ$111,2,0),0)</f>
        <v>0</v>
      </c>
      <c r="K52" s="5">
        <f ca="1">IF(I52-IF(Setup!$I$15="Yes",$G52,0)-IF(Setup!$I$13="Yes",$H52,0)&lt;0,0,I52-IF(Setup!$I$15="Yes",$G52,0)-IF(Setup!$I$13="Yes",$H52,0))</f>
        <v>4.1937888198757767</v>
      </c>
      <c r="L52" s="5">
        <f t="shared" ca="1" si="3"/>
        <v>0</v>
      </c>
      <c r="M52" s="5">
        <f ca="1">(IF('Demand adjustments for Covid'!$F$9="No",E52,SUM('Demand background (hide)'!DS41,'Demand background (hide)'!DV41:DW41))*(1-'Parameters calculator (hide)'!$B$43))*(1-'Parameters calculator (hide)'!$B$44+('Parameters calculator (hide)'!$B$45*'Parameters calculator (hide)'!$B$47))</f>
        <v>527.43419449999999</v>
      </c>
      <c r="N52" s="5">
        <f ca="1">(IF('Demand adjustments for Covid'!$F$9="No",F52,SUM('Demand background (hide)'!DT41,'Demand background (hide)'!DV41:DW41))*(1-'Parameters calculator (hide)'!$B$43))*(1-'Parameters calculator (hide)'!$B$44+('Parameters calculator (hide)'!$B$45*'Parameters calculator (hide)'!$B$47))</f>
        <v>635.02503200000001</v>
      </c>
      <c r="P52" s="5">
        <f t="shared" ca="1" si="4"/>
        <v>7.9937888198757765</v>
      </c>
      <c r="Q52" s="5">
        <f t="shared" ca="1" si="5"/>
        <v>0</v>
      </c>
      <c r="R52" s="5">
        <f t="shared" ca="1" si="6"/>
        <v>4.1937888198757767</v>
      </c>
      <c r="S52" s="5">
        <f t="shared" ca="1" si="7"/>
        <v>0</v>
      </c>
      <c r="T52" s="5">
        <f ca="1">M52/IF(Summary!$C$8&lt;&gt;"Patients",1,$I$9)</f>
        <v>14.261623907226106</v>
      </c>
      <c r="U52" s="5">
        <f ca="1">((N52-M52)/IF(Summary!$C$8&lt;&gt;"Patients",1,$I$9))</f>
        <v>2.909216118881119</v>
      </c>
      <c r="V52" s="5">
        <f t="shared" ca="1" si="8"/>
        <v>3.8</v>
      </c>
      <c r="X52" s="5">
        <f ca="1">(VLOOKUP(D52,'SPC background (hide)'!$AG$2:$AN$54,8,0)/IF(Summary!$C$8&lt;&gt;"Patients",1,$I$9))*(1-$I$4)*(1-$I$5+($I$6*$I$7))</f>
        <v>12.800550923076921</v>
      </c>
    </row>
    <row r="53" spans="1:24" x14ac:dyDescent="0.2">
      <c r="A53" s="87">
        <f t="shared" ca="1" si="9"/>
        <v>43850</v>
      </c>
      <c r="B53" s="67" t="str">
        <f t="shared" ca="1" si="11"/>
        <v/>
      </c>
      <c r="C53" s="67" t="str">
        <f t="shared" ca="1" si="12"/>
        <v/>
      </c>
      <c r="D53" s="67">
        <f t="shared" ca="1" si="10"/>
        <v>4</v>
      </c>
      <c r="E53" s="5">
        <f ca="1">IF(LEFT(Demand!$C$8,1)="H",VLOOKUP($D53,'SPC background (hide)'!$AG$2:$AS$54,12,0),'Demand background (hide)'!X42)</f>
        <v>551.5</v>
      </c>
      <c r="F53" s="5">
        <f ca="1">IF(LEFT(Demand!$C$8,1)="H",VLOOKUP($D53,'SPC background (hide)'!$AG$2:$AS$54,13,0),E53*1.1)</f>
        <v>664</v>
      </c>
      <c r="G53" s="5" t="str">
        <f>IF(Setup!$I$15="Yes",VLOOKUP(D53,'SPC background (hide)'!$AG$2:$AT$54,14,0)/IF(Summary!$C$8="Patients",'Summary Calculations (hide)'!$I$9,1),"")</f>
        <v/>
      </c>
      <c r="H53" s="67">
        <f ca="1">IF(Setup!$I$13="Yes",'Planned background (hide)'!$V$23/IF(Summary!$C$8="Patients",'Summary Calculations (hide)'!$I$9,1),"")</f>
        <v>3.8</v>
      </c>
      <c r="I53" s="5">
        <f ca="1">IFERROR(HLOOKUP(A53,'Capacity calculation (hide)'!$BK$1:$DK$4,4,0),Capacity!$I$15)</f>
        <v>18.364256848880391</v>
      </c>
      <c r="J53" s="5">
        <f ca="1">IFERROR(HLOOKUP(D53,'Capacity calculation (hide)'!$BK$110:$DJ$111,2,0),0)</f>
        <v>0</v>
      </c>
      <c r="K53" s="5">
        <f ca="1">IF(I53-IF(Setup!$I$15="Yes",$G53,0)-IF(Setup!$I$13="Yes",$H53,0)&lt;0,0,I53-IF(Setup!$I$15="Yes",$G53,0)-IF(Setup!$I$13="Yes",$H53,0))</f>
        <v>14.56425684888039</v>
      </c>
      <c r="L53" s="5">
        <f t="shared" ca="1" si="3"/>
        <v>0</v>
      </c>
      <c r="M53" s="5">
        <f ca="1">(IF('Demand adjustments for Covid'!$F$9="No",E53,SUM('Demand background (hide)'!DS42,'Demand background (hide)'!DV42:DW42))*(1-'Parameters calculator (hide)'!$B$43))*(1-'Parameters calculator (hide)'!$B$44+('Parameters calculator (hide)'!$B$45*'Parameters calculator (hide)'!$B$47))</f>
        <v>527.43419449999999</v>
      </c>
      <c r="N53" s="5">
        <f ca="1">(IF('Demand adjustments for Covid'!$F$9="No",F53,SUM('Demand background (hide)'!DT42,'Demand background (hide)'!DV42:DW42))*(1-'Parameters calculator (hide)'!$B$43))*(1-'Parameters calculator (hide)'!$B$44+('Parameters calculator (hide)'!$B$45*'Parameters calculator (hide)'!$B$47))</f>
        <v>635.02503200000001</v>
      </c>
      <c r="P53" s="5">
        <f t="shared" ca="1" si="4"/>
        <v>18.364256848880391</v>
      </c>
      <c r="Q53" s="5">
        <f t="shared" ca="1" si="5"/>
        <v>0</v>
      </c>
      <c r="R53" s="5">
        <f t="shared" ca="1" si="6"/>
        <v>14.56425684888039</v>
      </c>
      <c r="S53" s="5">
        <f t="shared" ca="1" si="7"/>
        <v>0</v>
      </c>
      <c r="T53" s="5">
        <f ca="1">M53/IF(Summary!$C$8&lt;&gt;"Patients",1,$I$9)</f>
        <v>14.261623907226106</v>
      </c>
      <c r="U53" s="5">
        <f ca="1">((N53-M53)/IF(Summary!$C$8&lt;&gt;"Patients",1,$I$9))</f>
        <v>2.909216118881119</v>
      </c>
      <c r="V53" s="5">
        <f t="shared" ca="1" si="8"/>
        <v>3.8</v>
      </c>
      <c r="X53" s="5">
        <f ca="1">(VLOOKUP(D53,'SPC background (hide)'!$AG$2:$AN$54,8,0)/IF(Summary!$C$8&lt;&gt;"Patients",1,$I$9))*(1-$I$4)*(1-$I$5+($I$6*$I$7))</f>
        <v>12.800550923076921</v>
      </c>
    </row>
    <row r="54" spans="1:24" x14ac:dyDescent="0.2">
      <c r="A54" s="87">
        <f t="shared" ca="1" si="9"/>
        <v>43857</v>
      </c>
      <c r="B54" s="67" t="str">
        <f t="shared" ca="1" si="11"/>
        <v/>
      </c>
      <c r="C54" s="67" t="str">
        <f t="shared" ca="1" si="12"/>
        <v/>
      </c>
      <c r="D54" s="67">
        <f t="shared" ca="1" si="10"/>
        <v>5</v>
      </c>
      <c r="E54" s="5">
        <f ca="1">IF(LEFT(Demand!$C$8,1)="H",VLOOKUP($D54,'SPC background (hide)'!$AG$2:$AS$54,12,0),'Demand background (hide)'!X43)</f>
        <v>551.5</v>
      </c>
      <c r="F54" s="5">
        <f ca="1">IF(LEFT(Demand!$C$8,1)="H",VLOOKUP($D54,'SPC background (hide)'!$AG$2:$AS$54,13,0),E54*1.1)</f>
        <v>664</v>
      </c>
      <c r="G54" s="5" t="str">
        <f>IF(Setup!$I$15="Yes",VLOOKUP(D54,'SPC background (hide)'!$AG$2:$AT$54,14,0)/IF(Summary!$C$8="Patients",'Summary Calculations (hide)'!$I$9,1),"")</f>
        <v/>
      </c>
      <c r="H54" s="67">
        <f ca="1">IF(Setup!$I$13="Yes",'Planned background (hide)'!$V$23/IF(Summary!$C$8="Patients",'Summary Calculations (hide)'!$I$9,1),"")</f>
        <v>3.8</v>
      </c>
      <c r="I54" s="5">
        <f ca="1">IFERROR(HLOOKUP(A54,'Capacity calculation (hide)'!$BK$1:$DK$4,4,0),Capacity!$I$15)</f>
        <v>18.364256848880391</v>
      </c>
      <c r="J54" s="5">
        <f ca="1">IFERROR(HLOOKUP(D54,'Capacity calculation (hide)'!$BK$110:$DJ$111,2,0),0)</f>
        <v>0</v>
      </c>
      <c r="K54" s="5">
        <f ca="1">IF(I54-IF(Setup!$I$15="Yes",$G54,0)-IF(Setup!$I$13="Yes",$H54,0)&lt;0,0,I54-IF(Setup!$I$15="Yes",$G54,0)-IF(Setup!$I$13="Yes",$H54,0))</f>
        <v>14.56425684888039</v>
      </c>
      <c r="L54" s="5">
        <f t="shared" ca="1" si="3"/>
        <v>0</v>
      </c>
      <c r="M54" s="5">
        <f ca="1">(IF('Demand adjustments for Covid'!$F$9="No",E54,SUM('Demand background (hide)'!DS43,'Demand background (hide)'!DV43:DW43))*(1-'Parameters calculator (hide)'!$B$43))*(1-'Parameters calculator (hide)'!$B$44+('Parameters calculator (hide)'!$B$45*'Parameters calculator (hide)'!$B$47))</f>
        <v>527.43419449999999</v>
      </c>
      <c r="N54" s="5">
        <f ca="1">(IF('Demand adjustments for Covid'!$F$9="No",F54,SUM('Demand background (hide)'!DT43,'Demand background (hide)'!DV43:DW43))*(1-'Parameters calculator (hide)'!$B$43))*(1-'Parameters calculator (hide)'!$B$44+('Parameters calculator (hide)'!$B$45*'Parameters calculator (hide)'!$B$47))</f>
        <v>635.02503200000001</v>
      </c>
      <c r="P54" s="5">
        <f t="shared" ca="1" si="4"/>
        <v>18.364256848880391</v>
      </c>
      <c r="Q54" s="5">
        <f t="shared" ca="1" si="5"/>
        <v>0</v>
      </c>
      <c r="R54" s="5">
        <f t="shared" ca="1" si="6"/>
        <v>14.56425684888039</v>
      </c>
      <c r="S54" s="5">
        <f t="shared" ca="1" si="7"/>
        <v>0</v>
      </c>
      <c r="T54" s="5">
        <f ca="1">M54/IF(Summary!$C$8&lt;&gt;"Patients",1,$I$9)</f>
        <v>14.261623907226106</v>
      </c>
      <c r="U54" s="5">
        <f ca="1">((N54-M54)/IF(Summary!$C$8&lt;&gt;"Patients",1,$I$9))</f>
        <v>2.909216118881119</v>
      </c>
      <c r="V54" s="5">
        <f t="shared" ca="1" si="8"/>
        <v>3.8</v>
      </c>
      <c r="X54" s="5">
        <f ca="1">(VLOOKUP(D54,'SPC background (hide)'!$AG$2:$AN$54,8,0)/IF(Summary!$C$8&lt;&gt;"Patients",1,$I$9))*(1-$I$4)*(1-$I$5+($I$6*$I$7))</f>
        <v>12.800550923076921</v>
      </c>
    </row>
    <row r="55" spans="1:24" x14ac:dyDescent="0.2">
      <c r="A55" s="87">
        <f t="shared" ca="1" si="9"/>
        <v>43864</v>
      </c>
      <c r="B55" s="67" t="str">
        <f t="shared" ca="1" si="11"/>
        <v/>
      </c>
      <c r="C55" s="67" t="str">
        <f t="shared" ca="1" si="12"/>
        <v>Feb</v>
      </c>
      <c r="D55" s="67">
        <f t="shared" ca="1" si="10"/>
        <v>6</v>
      </c>
      <c r="E55" s="5">
        <f ca="1">IF(LEFT(Demand!$C$8,1)="H",VLOOKUP($D55,'SPC background (hide)'!$AG$2:$AS$54,12,0),'Demand background (hide)'!X44)</f>
        <v>551.5</v>
      </c>
      <c r="F55" s="5">
        <f ca="1">IF(LEFT(Demand!$C$8,1)="H",VLOOKUP($D55,'SPC background (hide)'!$AG$2:$AS$54,13,0),E55*1.1)</f>
        <v>664</v>
      </c>
      <c r="G55" s="5" t="str">
        <f>IF(Setup!$I$15="Yes",VLOOKUP(D55,'SPC background (hide)'!$AG$2:$AT$54,14,0)/IF(Summary!$C$8="Patients",'Summary Calculations (hide)'!$I$9,1),"")</f>
        <v/>
      </c>
      <c r="H55" s="67">
        <f ca="1">IF(Setup!$I$13="Yes",'Planned background (hide)'!$V$23/IF(Summary!$C$8="Patients",'Summary Calculations (hide)'!$I$9,1),"")</f>
        <v>3.8</v>
      </c>
      <c r="I55" s="5">
        <f ca="1">IFERROR(HLOOKUP(A55,'Capacity calculation (hide)'!$BK$1:$DK$4,4,0),Capacity!$I$15)</f>
        <v>4.6383881230116648</v>
      </c>
      <c r="J55" s="5">
        <f ca="1">IFERROR(HLOOKUP(D55,'Capacity calculation (hide)'!$BK$110:$DJ$111,2,0),0)</f>
        <v>0</v>
      </c>
      <c r="K55" s="5">
        <f ca="1">IF(I55-IF(Setup!$I$15="Yes",$G55,0)-IF(Setup!$I$13="Yes",$H55,0)&lt;0,0,I55-IF(Setup!$I$15="Yes",$G55,0)-IF(Setup!$I$13="Yes",$H55,0))</f>
        <v>0.83838812301166499</v>
      </c>
      <c r="L55" s="5">
        <f t="shared" ca="1" si="3"/>
        <v>0</v>
      </c>
      <c r="M55" s="5">
        <f ca="1">(IF('Demand adjustments for Covid'!$F$9="No",E55,SUM('Demand background (hide)'!DS44,'Demand background (hide)'!DV44:DW44))*(1-'Parameters calculator (hide)'!$B$43))*(1-'Parameters calculator (hide)'!$B$44+('Parameters calculator (hide)'!$B$45*'Parameters calculator (hide)'!$B$47))</f>
        <v>527.43419449999999</v>
      </c>
      <c r="N55" s="5">
        <f ca="1">(IF('Demand adjustments for Covid'!$F$9="No",F55,SUM('Demand background (hide)'!DT44,'Demand background (hide)'!DV44:DW44))*(1-'Parameters calculator (hide)'!$B$43))*(1-'Parameters calculator (hide)'!$B$44+('Parameters calculator (hide)'!$B$45*'Parameters calculator (hide)'!$B$47))</f>
        <v>635.02503200000001</v>
      </c>
      <c r="P55" s="5">
        <f t="shared" ca="1" si="4"/>
        <v>4.6383881230116648</v>
      </c>
      <c r="Q55" s="5">
        <f t="shared" ca="1" si="5"/>
        <v>0</v>
      </c>
      <c r="R55" s="5">
        <f t="shared" ca="1" si="6"/>
        <v>0.83838812301166499</v>
      </c>
      <c r="S55" s="5">
        <f t="shared" ca="1" si="7"/>
        <v>0</v>
      </c>
      <c r="T55" s="5">
        <f ca="1">M55/IF(Summary!$C$8&lt;&gt;"Patients",1,$I$9)</f>
        <v>14.261623907226106</v>
      </c>
      <c r="U55" s="5">
        <f ca="1">((N55-M55)/IF(Summary!$C$8&lt;&gt;"Patients",1,$I$9))</f>
        <v>2.909216118881119</v>
      </c>
      <c r="V55" s="5">
        <f t="shared" ca="1" si="8"/>
        <v>3.8</v>
      </c>
      <c r="X55" s="5">
        <f ca="1">(VLOOKUP(D55,'SPC background (hide)'!$AG$2:$AN$54,8,0)/IF(Summary!$C$8&lt;&gt;"Patients",1,$I$9))*(1-$I$4)*(1-$I$5+($I$6*$I$7))</f>
        <v>12.800550923076921</v>
      </c>
    </row>
    <row r="56" spans="1:24" x14ac:dyDescent="0.2">
      <c r="A56" s="87">
        <f t="shared" ca="1" si="9"/>
        <v>43871</v>
      </c>
      <c r="B56" s="67" t="str">
        <f t="shared" ca="1" si="11"/>
        <v/>
      </c>
      <c r="C56" s="67" t="str">
        <f t="shared" ca="1" si="12"/>
        <v/>
      </c>
      <c r="D56" s="67">
        <f t="shared" ca="1" si="10"/>
        <v>7</v>
      </c>
      <c r="E56" s="5">
        <f ca="1">IF(LEFT(Demand!$C$8,1)="H",VLOOKUP($D56,'SPC background (hide)'!$AG$2:$AS$54,12,0),'Demand background (hide)'!X45)</f>
        <v>551.5</v>
      </c>
      <c r="F56" s="5">
        <f ca="1">IF(LEFT(Demand!$C$8,1)="H",VLOOKUP($D56,'SPC background (hide)'!$AG$2:$AS$54,13,0),E56*1.1)</f>
        <v>664</v>
      </c>
      <c r="G56" s="5" t="str">
        <f>IF(Setup!$I$15="Yes",VLOOKUP(D56,'SPC background (hide)'!$AG$2:$AT$54,14,0)/IF(Summary!$C$8="Patients",'Summary Calculations (hide)'!$I$9,1),"")</f>
        <v/>
      </c>
      <c r="H56" s="67">
        <f ca="1">IF(Setup!$I$13="Yes",'Planned background (hide)'!$V$23/IF(Summary!$C$8="Patients",'Summary Calculations (hide)'!$I$9,1),"")</f>
        <v>3.8</v>
      </c>
      <c r="I56" s="5">
        <f ca="1">IFERROR(HLOOKUP(A56,'Capacity calculation (hide)'!$BK$1:$DK$4,4,0),Capacity!$I$15)</f>
        <v>18.364256848880391</v>
      </c>
      <c r="J56" s="5">
        <f ca="1">IFERROR(HLOOKUP(D56,'Capacity calculation (hide)'!$BK$110:$DJ$111,2,0),0)</f>
        <v>0</v>
      </c>
      <c r="K56" s="5">
        <f ca="1">IF(I56-IF(Setup!$I$15="Yes",$G56,0)-IF(Setup!$I$13="Yes",$H56,0)&lt;0,0,I56-IF(Setup!$I$15="Yes",$G56,0)-IF(Setup!$I$13="Yes",$H56,0))</f>
        <v>14.56425684888039</v>
      </c>
      <c r="L56" s="5">
        <f t="shared" ca="1" si="3"/>
        <v>0</v>
      </c>
      <c r="M56" s="5">
        <f ca="1">(IF('Demand adjustments for Covid'!$F$9="No",E56,SUM('Demand background (hide)'!DS45,'Demand background (hide)'!DV45:DW45))*(1-'Parameters calculator (hide)'!$B$43))*(1-'Parameters calculator (hide)'!$B$44+('Parameters calculator (hide)'!$B$45*'Parameters calculator (hide)'!$B$47))</f>
        <v>527.43419449999999</v>
      </c>
      <c r="N56" s="5">
        <f ca="1">(IF('Demand adjustments for Covid'!$F$9="No",F56,SUM('Demand background (hide)'!DT45,'Demand background (hide)'!DV45:DW45))*(1-'Parameters calculator (hide)'!$B$43))*(1-'Parameters calculator (hide)'!$B$44+('Parameters calculator (hide)'!$B$45*'Parameters calculator (hide)'!$B$47))</f>
        <v>635.02503200000001</v>
      </c>
      <c r="P56" s="5">
        <f t="shared" ca="1" si="4"/>
        <v>18.364256848880391</v>
      </c>
      <c r="Q56" s="5">
        <f t="shared" ca="1" si="5"/>
        <v>0</v>
      </c>
      <c r="R56" s="5">
        <f t="shared" ca="1" si="6"/>
        <v>14.56425684888039</v>
      </c>
      <c r="S56" s="5">
        <f t="shared" ca="1" si="7"/>
        <v>0</v>
      </c>
      <c r="T56" s="5">
        <f ca="1">M56/IF(Summary!$C$8&lt;&gt;"Patients",1,$I$9)</f>
        <v>14.261623907226106</v>
      </c>
      <c r="U56" s="5">
        <f ca="1">((N56-M56)/IF(Summary!$C$8&lt;&gt;"Patients",1,$I$9))</f>
        <v>2.909216118881119</v>
      </c>
      <c r="V56" s="5">
        <f t="shared" ca="1" si="8"/>
        <v>3.8</v>
      </c>
      <c r="X56" s="5">
        <f ca="1">(VLOOKUP(D56,'SPC background (hide)'!$AG$2:$AN$54,8,0)/IF(Summary!$C$8&lt;&gt;"Patients",1,$I$9))*(1-$I$4)*(1-$I$5+($I$6*$I$7))</f>
        <v>12.800550923076921</v>
      </c>
    </row>
    <row r="57" spans="1:24" x14ac:dyDescent="0.2">
      <c r="A57" s="87">
        <f t="shared" ca="1" si="9"/>
        <v>43878</v>
      </c>
      <c r="B57" s="67" t="str">
        <f t="shared" ca="1" si="11"/>
        <v/>
      </c>
      <c r="C57" s="67" t="str">
        <f t="shared" ca="1" si="12"/>
        <v/>
      </c>
      <c r="D57" s="67">
        <f t="shared" ca="1" si="10"/>
        <v>8</v>
      </c>
      <c r="E57" s="5">
        <f ca="1">IF(LEFT(Demand!$C$8,1)="H",VLOOKUP($D57,'SPC background (hide)'!$AG$2:$AS$54,12,0),'Demand background (hide)'!X46)</f>
        <v>551.5</v>
      </c>
      <c r="F57" s="5">
        <f ca="1">IF(LEFT(Demand!$C$8,1)="H",VLOOKUP($D57,'SPC background (hide)'!$AG$2:$AS$54,13,0),E57*1.1)</f>
        <v>664</v>
      </c>
      <c r="G57" s="5" t="str">
        <f>IF(Setup!$I$15="Yes",VLOOKUP(D57,'SPC background (hide)'!$AG$2:$AT$54,14,0)/IF(Summary!$C$8="Patients",'Summary Calculations (hide)'!$I$9,1),"")</f>
        <v/>
      </c>
      <c r="H57" s="67">
        <f ca="1">IF(Setup!$I$13="Yes",'Planned background (hide)'!$V$23/IF(Summary!$C$8="Patients",'Summary Calculations (hide)'!$I$9,1),"")</f>
        <v>3.8</v>
      </c>
      <c r="I57" s="5">
        <f ca="1">IFERROR(HLOOKUP(A57,'Capacity calculation (hide)'!$BK$1:$DK$4,4,0),Capacity!$I$15)</f>
        <v>18.364256848880391</v>
      </c>
      <c r="J57" s="5">
        <f ca="1">IFERROR(HLOOKUP(D57,'Capacity calculation (hide)'!$BK$110:$DJ$111,2,0),0)</f>
        <v>0</v>
      </c>
      <c r="K57" s="5">
        <f ca="1">IF(I57-IF(Setup!$I$15="Yes",$G57,0)-IF(Setup!$I$13="Yes",$H57,0)&lt;0,0,I57-IF(Setup!$I$15="Yes",$G57,0)-IF(Setup!$I$13="Yes",$H57,0))</f>
        <v>14.56425684888039</v>
      </c>
      <c r="L57" s="5">
        <f t="shared" ca="1" si="3"/>
        <v>0</v>
      </c>
      <c r="M57" s="5">
        <f ca="1">(IF('Demand adjustments for Covid'!$F$9="No",E57,SUM('Demand background (hide)'!DS46,'Demand background (hide)'!DV46:DW46))*(1-'Parameters calculator (hide)'!$B$43))*(1-'Parameters calculator (hide)'!$B$44+('Parameters calculator (hide)'!$B$45*'Parameters calculator (hide)'!$B$47))</f>
        <v>527.43419449999999</v>
      </c>
      <c r="N57" s="5">
        <f ca="1">(IF('Demand adjustments for Covid'!$F$9="No",F57,SUM('Demand background (hide)'!DT46,'Demand background (hide)'!DV46:DW46))*(1-'Parameters calculator (hide)'!$B$43))*(1-'Parameters calculator (hide)'!$B$44+('Parameters calculator (hide)'!$B$45*'Parameters calculator (hide)'!$B$47))</f>
        <v>635.02503200000001</v>
      </c>
      <c r="P57" s="5">
        <f t="shared" ca="1" si="4"/>
        <v>18.364256848880391</v>
      </c>
      <c r="Q57" s="5">
        <f t="shared" ca="1" si="5"/>
        <v>0</v>
      </c>
      <c r="R57" s="5">
        <f t="shared" ca="1" si="6"/>
        <v>14.56425684888039</v>
      </c>
      <c r="S57" s="5">
        <f t="shared" ca="1" si="7"/>
        <v>0</v>
      </c>
      <c r="T57" s="5">
        <f ca="1">M57/IF(Summary!$C$8&lt;&gt;"Patients",1,$I$9)</f>
        <v>14.261623907226106</v>
      </c>
      <c r="U57" s="5">
        <f ca="1">((N57-M57)/IF(Summary!$C$8&lt;&gt;"Patients",1,$I$9))</f>
        <v>2.909216118881119</v>
      </c>
      <c r="V57" s="5">
        <f t="shared" ca="1" si="8"/>
        <v>3.8</v>
      </c>
      <c r="X57" s="5">
        <f ca="1">(VLOOKUP(D57,'SPC background (hide)'!$AG$2:$AN$54,8,0)/IF(Summary!$C$8&lt;&gt;"Patients",1,$I$9))*(1-$I$4)*(1-$I$5+($I$6*$I$7))</f>
        <v>12.800550923076921</v>
      </c>
    </row>
    <row r="58" spans="1:24" x14ac:dyDescent="0.2">
      <c r="A58" s="87">
        <f t="shared" ca="1" si="9"/>
        <v>43885</v>
      </c>
      <c r="B58" s="67" t="str">
        <f t="shared" ca="1" si="11"/>
        <v/>
      </c>
      <c r="C58" s="67" t="str">
        <f t="shared" ca="1" si="12"/>
        <v/>
      </c>
      <c r="D58" s="67">
        <f t="shared" ca="1" si="10"/>
        <v>9</v>
      </c>
      <c r="E58" s="5">
        <f ca="1">IF(LEFT(Demand!$C$8,1)="H",VLOOKUP($D58,'SPC background (hide)'!$AG$2:$AS$54,12,0),'Demand background (hide)'!X47)</f>
        <v>551.5</v>
      </c>
      <c r="F58" s="5">
        <f ca="1">IF(LEFT(Demand!$C$8,1)="H",VLOOKUP($D58,'SPC background (hide)'!$AG$2:$AS$54,13,0),E58*1.1)</f>
        <v>664</v>
      </c>
      <c r="G58" s="5" t="str">
        <f>IF(Setup!$I$15="Yes",VLOOKUP(D58,'SPC background (hide)'!$AG$2:$AT$54,14,0)/IF(Summary!$C$8="Patients",'Summary Calculations (hide)'!$I$9,1),"")</f>
        <v/>
      </c>
      <c r="H58" s="67">
        <f ca="1">IF(Setup!$I$13="Yes",'Planned background (hide)'!$V$23/IF(Summary!$C$8="Patients",'Summary Calculations (hide)'!$I$9,1),"")</f>
        <v>3.8</v>
      </c>
      <c r="I58" s="5">
        <f ca="1">IFERROR(HLOOKUP(A58,'Capacity calculation (hide)'!$BK$1:$DK$4,4,0),Capacity!$I$15)</f>
        <v>18.364256848880391</v>
      </c>
      <c r="J58" s="5">
        <f ca="1">IFERROR(HLOOKUP(D58,'Capacity calculation (hide)'!$BK$110:$DJ$111,2,0),0)</f>
        <v>0</v>
      </c>
      <c r="K58" s="5">
        <f ca="1">IF(I58-IF(Setup!$I$15="Yes",$G58,0)-IF(Setup!$I$13="Yes",$H58,0)&lt;0,0,I58-IF(Setup!$I$15="Yes",$G58,0)-IF(Setup!$I$13="Yes",$H58,0))</f>
        <v>14.56425684888039</v>
      </c>
      <c r="L58" s="5">
        <f t="shared" ca="1" si="3"/>
        <v>0</v>
      </c>
      <c r="M58" s="5">
        <f ca="1">(IF('Demand adjustments for Covid'!$F$9="No",E58,SUM('Demand background (hide)'!DS47,'Demand background (hide)'!DV47:DW47))*(1-'Parameters calculator (hide)'!$B$43))*(1-'Parameters calculator (hide)'!$B$44+('Parameters calculator (hide)'!$B$45*'Parameters calculator (hide)'!$B$47))</f>
        <v>527.43419449999999</v>
      </c>
      <c r="N58" s="5">
        <f ca="1">(IF('Demand adjustments for Covid'!$F$9="No",F58,SUM('Demand background (hide)'!DT47,'Demand background (hide)'!DV47:DW47))*(1-'Parameters calculator (hide)'!$B$43))*(1-'Parameters calculator (hide)'!$B$44+('Parameters calculator (hide)'!$B$45*'Parameters calculator (hide)'!$B$47))</f>
        <v>635.02503200000001</v>
      </c>
      <c r="P58" s="5">
        <f t="shared" ca="1" si="4"/>
        <v>18.364256848880391</v>
      </c>
      <c r="Q58" s="5">
        <f t="shared" ca="1" si="5"/>
        <v>0</v>
      </c>
      <c r="R58" s="5">
        <f t="shared" ca="1" si="6"/>
        <v>14.56425684888039</v>
      </c>
      <c r="S58" s="5">
        <f t="shared" ca="1" si="7"/>
        <v>0</v>
      </c>
      <c r="T58" s="5">
        <f ca="1">M58/IF(Summary!$C$8&lt;&gt;"Patients",1,$I$9)</f>
        <v>14.261623907226106</v>
      </c>
      <c r="U58" s="5">
        <f ca="1">((N58-M58)/IF(Summary!$C$8&lt;&gt;"Patients",1,$I$9))</f>
        <v>2.909216118881119</v>
      </c>
      <c r="V58" s="5">
        <f t="shared" ca="1" si="8"/>
        <v>3.8</v>
      </c>
      <c r="X58" s="5">
        <f ca="1">(VLOOKUP(D58,'SPC background (hide)'!$AG$2:$AN$54,8,0)/IF(Summary!$C$8&lt;&gt;"Patients",1,$I$9))*(1-$I$4)*(1-$I$5+($I$6*$I$7))</f>
        <v>12.800550923076921</v>
      </c>
    </row>
    <row r="59" spans="1:24" x14ac:dyDescent="0.2">
      <c r="A59" s="87">
        <f t="shared" ca="1" si="9"/>
        <v>43892</v>
      </c>
      <c r="B59" s="67" t="str">
        <f t="shared" ca="1" si="11"/>
        <v/>
      </c>
      <c r="C59" s="67" t="str">
        <f t="shared" ca="1" si="12"/>
        <v>Mar</v>
      </c>
      <c r="D59" s="67">
        <f t="shared" ca="1" si="10"/>
        <v>10</v>
      </c>
      <c r="E59" s="5">
        <f ca="1">IF(LEFT(Demand!$C$8,1)="H",VLOOKUP($D59,'SPC background (hide)'!$AG$2:$AS$54,12,0),'Demand background (hide)'!X48)</f>
        <v>551.5</v>
      </c>
      <c r="F59" s="5">
        <f ca="1">IF(LEFT(Demand!$C$8,1)="H",VLOOKUP($D59,'SPC background (hide)'!$AG$2:$AS$54,13,0),E59*1.1)</f>
        <v>664</v>
      </c>
      <c r="G59" s="5" t="str">
        <f>IF(Setup!$I$15="Yes",VLOOKUP(D59,'SPC background (hide)'!$AG$2:$AT$54,14,0)/IF(Summary!$C$8="Patients",'Summary Calculations (hide)'!$I$9,1),"")</f>
        <v/>
      </c>
      <c r="H59" s="67">
        <f ca="1">IF(Setup!$I$13="Yes",'Planned background (hide)'!$V$23/IF(Summary!$C$8="Patients",'Summary Calculations (hide)'!$I$9,1),"")</f>
        <v>3.8</v>
      </c>
      <c r="I59" s="5">
        <f ca="1">IFERROR(HLOOKUP(A59,'Capacity calculation (hide)'!$BK$1:$DK$4,4,0),Capacity!$I$15)</f>
        <v>18.364256848880391</v>
      </c>
      <c r="J59" s="5">
        <f ca="1">IFERROR(HLOOKUP(D59,'Capacity calculation (hide)'!$BK$110:$DJ$111,2,0),0)</f>
        <v>0</v>
      </c>
      <c r="K59" s="5">
        <f ca="1">IF(I59-IF(Setup!$I$15="Yes",$G59,0)-IF(Setup!$I$13="Yes",$H59,0)&lt;0,0,I59-IF(Setup!$I$15="Yes",$G59,0)-IF(Setup!$I$13="Yes",$H59,0))</f>
        <v>14.56425684888039</v>
      </c>
      <c r="L59" s="5">
        <f t="shared" ca="1" si="3"/>
        <v>0</v>
      </c>
      <c r="M59" s="5">
        <f ca="1">(IF('Demand adjustments for Covid'!$F$9="No",E59,SUM('Demand background (hide)'!DS48,'Demand background (hide)'!DV48:DW48))*(1-'Parameters calculator (hide)'!$B$43))*(1-'Parameters calculator (hide)'!$B$44+('Parameters calculator (hide)'!$B$45*'Parameters calculator (hide)'!$B$47))</f>
        <v>527.43419449999999</v>
      </c>
      <c r="N59" s="5">
        <f ca="1">(IF('Demand adjustments for Covid'!$F$9="No",F59,SUM('Demand background (hide)'!DT48,'Demand background (hide)'!DV48:DW48))*(1-'Parameters calculator (hide)'!$B$43))*(1-'Parameters calculator (hide)'!$B$44+('Parameters calculator (hide)'!$B$45*'Parameters calculator (hide)'!$B$47))</f>
        <v>635.02503200000001</v>
      </c>
      <c r="P59" s="5">
        <f t="shared" ca="1" si="4"/>
        <v>18.364256848880391</v>
      </c>
      <c r="Q59" s="5">
        <f t="shared" ca="1" si="5"/>
        <v>0</v>
      </c>
      <c r="R59" s="5">
        <f t="shared" ca="1" si="6"/>
        <v>14.56425684888039</v>
      </c>
      <c r="S59" s="5">
        <f t="shared" ca="1" si="7"/>
        <v>0</v>
      </c>
      <c r="T59" s="5">
        <f ca="1">M59/IF(Summary!$C$8&lt;&gt;"Patients",1,$I$9)</f>
        <v>14.261623907226106</v>
      </c>
      <c r="U59" s="5">
        <f ca="1">((N59-M59)/IF(Summary!$C$8&lt;&gt;"Patients",1,$I$9))</f>
        <v>2.909216118881119</v>
      </c>
      <c r="V59" s="5">
        <f t="shared" ca="1" si="8"/>
        <v>3.8</v>
      </c>
      <c r="X59" s="5">
        <f ca="1">(VLOOKUP(D59,'SPC background (hide)'!$AG$2:$AN$54,8,0)/IF(Summary!$C$8&lt;&gt;"Patients",1,$I$9))*(1-$I$4)*(1-$I$5+($I$6*$I$7))</f>
        <v>12.800550923076921</v>
      </c>
    </row>
    <row r="60" spans="1:24" x14ac:dyDescent="0.2">
      <c r="A60" s="87">
        <f t="shared" ca="1" si="9"/>
        <v>43899</v>
      </c>
      <c r="B60" s="67" t="str">
        <f t="shared" ca="1" si="11"/>
        <v/>
      </c>
      <c r="C60" s="67" t="str">
        <f t="shared" ca="1" si="12"/>
        <v/>
      </c>
      <c r="D60" s="67">
        <f t="shared" ca="1" si="10"/>
        <v>11</v>
      </c>
      <c r="E60" s="5">
        <f ca="1">IF(LEFT(Demand!$C$8,1)="H",VLOOKUP($D60,'SPC background (hide)'!$AG$2:$AS$54,12,0),'Demand background (hide)'!X49)</f>
        <v>551.5</v>
      </c>
      <c r="F60" s="5">
        <f ca="1">IF(LEFT(Demand!$C$8,1)="H",VLOOKUP($D60,'SPC background (hide)'!$AG$2:$AS$54,13,0),E60*1.1)</f>
        <v>664</v>
      </c>
      <c r="G60" s="5" t="str">
        <f>IF(Setup!$I$15="Yes",VLOOKUP(D60,'SPC background (hide)'!$AG$2:$AT$54,14,0)/IF(Summary!$C$8="Patients",'Summary Calculations (hide)'!$I$9,1),"")</f>
        <v/>
      </c>
      <c r="H60" s="67">
        <f ca="1">IF(Setup!$I$13="Yes",'Planned background (hide)'!$V$23/IF(Summary!$C$8="Patients",'Summary Calculations (hide)'!$I$9,1),"")</f>
        <v>3.8</v>
      </c>
      <c r="I60" s="5">
        <f ca="1">IFERROR(HLOOKUP(A60,'Capacity calculation (hide)'!$BK$1:$DK$4,4,0),Capacity!$I$15)</f>
        <v>18.364256848880391</v>
      </c>
      <c r="J60" s="5">
        <f ca="1">IFERROR(HLOOKUP(D60,'Capacity calculation (hide)'!$BK$110:$DJ$111,2,0),0)</f>
        <v>0</v>
      </c>
      <c r="K60" s="5">
        <f ca="1">IF(I60-IF(Setup!$I$15="Yes",$G60,0)-IF(Setup!$I$13="Yes",$H60,0)&lt;0,0,I60-IF(Setup!$I$15="Yes",$G60,0)-IF(Setup!$I$13="Yes",$H60,0))</f>
        <v>14.56425684888039</v>
      </c>
      <c r="L60" s="5">
        <f t="shared" ca="1" si="3"/>
        <v>0</v>
      </c>
      <c r="M60" s="5">
        <f ca="1">(IF('Demand adjustments for Covid'!$F$9="No",E60,SUM('Demand background (hide)'!DS49,'Demand background (hide)'!DV49:DW49))*(1-'Parameters calculator (hide)'!$B$43))*(1-'Parameters calculator (hide)'!$B$44+('Parameters calculator (hide)'!$B$45*'Parameters calculator (hide)'!$B$47))</f>
        <v>527.43419449999999</v>
      </c>
      <c r="N60" s="5">
        <f ca="1">(IF('Demand adjustments for Covid'!$F$9="No",F60,SUM('Demand background (hide)'!DT49,'Demand background (hide)'!DV49:DW49))*(1-'Parameters calculator (hide)'!$B$43))*(1-'Parameters calculator (hide)'!$B$44+('Parameters calculator (hide)'!$B$45*'Parameters calculator (hide)'!$B$47))</f>
        <v>635.02503200000001</v>
      </c>
      <c r="P60" s="5">
        <f t="shared" ca="1" si="4"/>
        <v>18.364256848880391</v>
      </c>
      <c r="Q60" s="5">
        <f t="shared" ca="1" si="5"/>
        <v>0</v>
      </c>
      <c r="R60" s="5">
        <f t="shared" ca="1" si="6"/>
        <v>14.56425684888039</v>
      </c>
      <c r="S60" s="5">
        <f t="shared" ca="1" si="7"/>
        <v>0</v>
      </c>
      <c r="T60" s="5">
        <f ca="1">M60/IF(Summary!$C$8&lt;&gt;"Patients",1,$I$9)</f>
        <v>14.261623907226106</v>
      </c>
      <c r="U60" s="5">
        <f ca="1">((N60-M60)/IF(Summary!$C$8&lt;&gt;"Patients",1,$I$9))</f>
        <v>2.909216118881119</v>
      </c>
      <c r="V60" s="5">
        <f t="shared" ca="1" si="8"/>
        <v>3.8</v>
      </c>
      <c r="X60" s="5">
        <f ca="1">(VLOOKUP(D60,'SPC background (hide)'!$AG$2:$AN$54,8,0)/IF(Summary!$C$8&lt;&gt;"Patients",1,$I$9))*(1-$I$4)*(1-$I$5+($I$6*$I$7))</f>
        <v>12.800550923076921</v>
      </c>
    </row>
    <row r="61" spans="1:24" x14ac:dyDescent="0.2">
      <c r="A61" s="87">
        <f t="shared" ca="1" si="9"/>
        <v>43906</v>
      </c>
      <c r="B61" s="67" t="str">
        <f t="shared" ca="1" si="11"/>
        <v/>
      </c>
      <c r="C61" s="67" t="str">
        <f t="shared" ca="1" si="12"/>
        <v/>
      </c>
      <c r="D61" s="67">
        <f t="shared" ca="1" si="10"/>
        <v>12</v>
      </c>
      <c r="E61" s="5">
        <f ca="1">IF(LEFT(Demand!$C$8,1)="H",VLOOKUP($D61,'SPC background (hide)'!$AG$2:$AS$54,12,0),'Demand background (hide)'!X50)</f>
        <v>551.5</v>
      </c>
      <c r="F61" s="5">
        <f ca="1">IF(LEFT(Demand!$C$8,1)="H",VLOOKUP($D61,'SPC background (hide)'!$AG$2:$AS$54,13,0),E61*1.1)</f>
        <v>664</v>
      </c>
      <c r="G61" s="5" t="str">
        <f>IF(Setup!$I$15="Yes",VLOOKUP(D61,'SPC background (hide)'!$AG$2:$AT$54,14,0)/IF(Summary!$C$8="Patients",'Summary Calculations (hide)'!$I$9,1),"")</f>
        <v/>
      </c>
      <c r="H61" s="67">
        <f ca="1">IF(Setup!$I$13="Yes",'Planned background (hide)'!$V$23/IF(Summary!$C$8="Patients",'Summary Calculations (hide)'!$I$9,1),"")</f>
        <v>3.8</v>
      </c>
      <c r="I61" s="5">
        <f ca="1">IFERROR(HLOOKUP(A61,'Capacity calculation (hide)'!$BK$1:$DK$4,4,0),Capacity!$I$15)</f>
        <v>18.364256848880391</v>
      </c>
      <c r="J61" s="5">
        <f ca="1">IFERROR(HLOOKUP(D61,'Capacity calculation (hide)'!$BK$110:$DJ$111,2,0),0)</f>
        <v>0</v>
      </c>
      <c r="K61" s="5">
        <f ca="1">IF(I61-IF(Setup!$I$15="Yes",$G61,0)-IF(Setup!$I$13="Yes",$H61,0)&lt;0,0,I61-IF(Setup!$I$15="Yes",$G61,0)-IF(Setup!$I$13="Yes",$H61,0))</f>
        <v>14.56425684888039</v>
      </c>
      <c r="L61" s="5">
        <f t="shared" ca="1" si="3"/>
        <v>0</v>
      </c>
      <c r="M61" s="5">
        <f ca="1">(IF('Demand adjustments for Covid'!$F$9="No",E61,SUM('Demand background (hide)'!DS50,'Demand background (hide)'!DV50:DW50))*(1-'Parameters calculator (hide)'!$B$43))*(1-'Parameters calculator (hide)'!$B$44+('Parameters calculator (hide)'!$B$45*'Parameters calculator (hide)'!$B$47))</f>
        <v>527.43419449999999</v>
      </c>
      <c r="N61" s="5">
        <f ca="1">(IF('Demand adjustments for Covid'!$F$9="No",F61,SUM('Demand background (hide)'!DT50,'Demand background (hide)'!DV50:DW50))*(1-'Parameters calculator (hide)'!$B$43))*(1-'Parameters calculator (hide)'!$B$44+('Parameters calculator (hide)'!$B$45*'Parameters calculator (hide)'!$B$47))</f>
        <v>635.02503200000001</v>
      </c>
      <c r="P61" s="5">
        <f t="shared" ca="1" si="4"/>
        <v>18.364256848880391</v>
      </c>
      <c r="Q61" s="5">
        <f t="shared" ca="1" si="5"/>
        <v>0</v>
      </c>
      <c r="R61" s="5">
        <f t="shared" ca="1" si="6"/>
        <v>14.56425684888039</v>
      </c>
      <c r="S61" s="5">
        <f t="shared" ca="1" si="7"/>
        <v>0</v>
      </c>
      <c r="T61" s="5">
        <f ca="1">M61/IF(Summary!$C$8&lt;&gt;"Patients",1,$I$9)</f>
        <v>14.261623907226106</v>
      </c>
      <c r="U61" s="5">
        <f ca="1">((N61-M61)/IF(Summary!$C$8&lt;&gt;"Patients",1,$I$9))</f>
        <v>2.909216118881119</v>
      </c>
      <c r="V61" s="5">
        <f t="shared" ca="1" si="8"/>
        <v>3.8</v>
      </c>
      <c r="X61" s="5">
        <f ca="1">(VLOOKUP(D61,'SPC background (hide)'!$AG$2:$AN$54,8,0)/IF(Summary!$C$8&lt;&gt;"Patients",1,$I$9))*(1-$I$4)*(1-$I$5+($I$6*$I$7))</f>
        <v>12.800550923076921</v>
      </c>
    </row>
    <row r="62" spans="1:24" x14ac:dyDescent="0.2">
      <c r="A62" s="87">
        <f t="shared" ca="1" si="9"/>
        <v>43913</v>
      </c>
      <c r="B62" s="67" t="str">
        <f t="shared" ca="1" si="11"/>
        <v/>
      </c>
      <c r="C62" s="67" t="str">
        <f t="shared" ca="1" si="12"/>
        <v/>
      </c>
      <c r="D62" s="67">
        <f t="shared" ca="1" si="10"/>
        <v>13</v>
      </c>
      <c r="E62" s="5">
        <f ca="1">IF(LEFT(Demand!$C$8,1)="H",VLOOKUP($D62,'SPC background (hide)'!$AG$2:$AS$54,12,0),'Demand background (hide)'!X51)</f>
        <v>551.5</v>
      </c>
      <c r="F62" s="5">
        <f ca="1">IF(LEFT(Demand!$C$8,1)="H",VLOOKUP($D62,'SPC background (hide)'!$AG$2:$AS$54,13,0),E62*1.1)</f>
        <v>664</v>
      </c>
      <c r="G62" s="5" t="str">
        <f>IF(Setup!$I$15="Yes",VLOOKUP(D62,'SPC background (hide)'!$AG$2:$AT$54,14,0)/IF(Summary!$C$8="Patients",'Summary Calculations (hide)'!$I$9,1),"")</f>
        <v/>
      </c>
      <c r="H62" s="67">
        <f ca="1">IF(Setup!$I$13="Yes",'Planned background (hide)'!$V$23/IF(Summary!$C$8="Patients",'Summary Calculations (hide)'!$I$9,1),"")</f>
        <v>3.8</v>
      </c>
      <c r="I62" s="5">
        <f ca="1">IFERROR(HLOOKUP(A62,'Capacity calculation (hide)'!$BK$1:$DK$4,4,0),Capacity!$I$15)</f>
        <v>18.364256848880391</v>
      </c>
      <c r="J62" s="5">
        <f ca="1">IFERROR(HLOOKUP(D62,'Capacity calculation (hide)'!$BK$110:$DJ$111,2,0),0)</f>
        <v>0</v>
      </c>
      <c r="K62" s="5">
        <f ca="1">IF(I62-IF(Setup!$I$15="Yes",$G62,0)-IF(Setup!$I$13="Yes",$H62,0)&lt;0,0,I62-IF(Setup!$I$15="Yes",$G62,0)-IF(Setup!$I$13="Yes",$H62,0))</f>
        <v>14.56425684888039</v>
      </c>
      <c r="L62" s="5">
        <f t="shared" ca="1" si="3"/>
        <v>0</v>
      </c>
      <c r="M62" s="5">
        <f ca="1">(IF('Demand adjustments for Covid'!$F$9="No",E62,SUM('Demand background (hide)'!DS51,'Demand background (hide)'!DV51:DW51))*(1-'Parameters calculator (hide)'!$B$43))*(1-'Parameters calculator (hide)'!$B$44+('Parameters calculator (hide)'!$B$45*'Parameters calculator (hide)'!$B$47))</f>
        <v>527.43419449999999</v>
      </c>
      <c r="N62" s="5">
        <f ca="1">(IF('Demand adjustments for Covid'!$F$9="No",F62,SUM('Demand background (hide)'!DT51,'Demand background (hide)'!DV51:DW51))*(1-'Parameters calculator (hide)'!$B$43))*(1-'Parameters calculator (hide)'!$B$44+('Parameters calculator (hide)'!$B$45*'Parameters calculator (hide)'!$B$47))</f>
        <v>635.02503200000001</v>
      </c>
      <c r="P62" s="5">
        <f t="shared" ca="1" si="4"/>
        <v>18.364256848880391</v>
      </c>
      <c r="Q62" s="5">
        <f t="shared" ca="1" si="5"/>
        <v>0</v>
      </c>
      <c r="R62" s="5">
        <f t="shared" ca="1" si="6"/>
        <v>14.56425684888039</v>
      </c>
      <c r="S62" s="5">
        <f t="shared" ca="1" si="7"/>
        <v>0</v>
      </c>
      <c r="T62" s="5">
        <f ca="1">M62/IF(Summary!$C$8&lt;&gt;"Patients",1,$I$9)</f>
        <v>14.261623907226106</v>
      </c>
      <c r="U62" s="5">
        <f ca="1">((N62-M62)/IF(Summary!$C$8&lt;&gt;"Patients",1,$I$9))</f>
        <v>2.909216118881119</v>
      </c>
      <c r="V62" s="5">
        <f t="shared" ca="1" si="8"/>
        <v>3.8</v>
      </c>
      <c r="X62" s="5">
        <f ca="1">(VLOOKUP(D62,'SPC background (hide)'!$AG$2:$AN$54,8,0)/IF(Summary!$C$8&lt;&gt;"Patients",1,$I$9))*(1-$I$4)*(1-$I$5+($I$6*$I$7))</f>
        <v>12.800550923076921</v>
      </c>
    </row>
    <row r="63" spans="1:24" x14ac:dyDescent="0.2">
      <c r="A63" s="87">
        <f t="shared" ca="1" si="9"/>
        <v>43920</v>
      </c>
      <c r="B63" s="67" t="str">
        <f t="shared" ca="1" si="11"/>
        <v/>
      </c>
      <c r="C63" s="67" t="str">
        <f t="shared" ca="1" si="12"/>
        <v/>
      </c>
      <c r="D63" s="67">
        <f t="shared" ca="1" si="10"/>
        <v>14</v>
      </c>
      <c r="E63" s="5">
        <f ca="1">IF(LEFT(Demand!$C$8,1)="H",VLOOKUP($D63,'SPC background (hide)'!$AG$2:$AS$54,12,0),'Demand background (hide)'!X52)</f>
        <v>551.5</v>
      </c>
      <c r="F63" s="5">
        <f ca="1">IF(LEFT(Demand!$C$8,1)="H",VLOOKUP($D63,'SPC background (hide)'!$AG$2:$AS$54,13,0),E63*1.1)</f>
        <v>664</v>
      </c>
      <c r="G63" s="5" t="str">
        <f>IF(Setup!$I$15="Yes",VLOOKUP(D63,'SPC background (hide)'!$AG$2:$AT$54,14,0)/IF(Summary!$C$8="Patients",'Summary Calculations (hide)'!$I$9,1),"")</f>
        <v/>
      </c>
      <c r="H63" s="67">
        <f ca="1">IF(Setup!$I$13="Yes",'Planned background (hide)'!$V$23/IF(Summary!$C$8="Patients",'Summary Calculations (hide)'!$I$9,1),"")</f>
        <v>3.8</v>
      </c>
      <c r="I63" s="5">
        <f ca="1">IFERROR(HLOOKUP(A63,'Capacity calculation (hide)'!$BK$1:$DK$4,4,0),Capacity!$I$15)</f>
        <v>18.364256848880391</v>
      </c>
      <c r="J63" s="5">
        <f ca="1">IFERROR(HLOOKUP(D63,'Capacity calculation (hide)'!$BK$110:$DJ$111,2,0),0)</f>
        <v>0</v>
      </c>
      <c r="K63" s="5">
        <f ca="1">IF(I63-IF(Setup!$I$15="Yes",$G63,0)-IF(Setup!$I$13="Yes",$H63,0)&lt;0,0,I63-IF(Setup!$I$15="Yes",$G63,0)-IF(Setup!$I$13="Yes",$H63,0))</f>
        <v>14.56425684888039</v>
      </c>
      <c r="L63" s="5">
        <f t="shared" ca="1" si="3"/>
        <v>0</v>
      </c>
      <c r="M63" s="5">
        <f ca="1">(IF('Demand adjustments for Covid'!$F$9="No",E63,SUM('Demand background (hide)'!DS52,'Demand background (hide)'!DV52:DW52))*(1-'Parameters calculator (hide)'!$B$43))*(1-'Parameters calculator (hide)'!$B$44+('Parameters calculator (hide)'!$B$45*'Parameters calculator (hide)'!$B$47))</f>
        <v>527.43419449999999</v>
      </c>
      <c r="N63" s="5">
        <f ca="1">(IF('Demand adjustments for Covid'!$F$9="No",F63,SUM('Demand background (hide)'!DT52,'Demand background (hide)'!DV52:DW52))*(1-'Parameters calculator (hide)'!$B$43))*(1-'Parameters calculator (hide)'!$B$44+('Parameters calculator (hide)'!$B$45*'Parameters calculator (hide)'!$B$47))</f>
        <v>635.02503200000001</v>
      </c>
      <c r="P63" s="5">
        <f t="shared" ca="1" si="4"/>
        <v>18.364256848880391</v>
      </c>
      <c r="Q63" s="5">
        <f t="shared" ca="1" si="5"/>
        <v>0</v>
      </c>
      <c r="R63" s="5">
        <f t="shared" ca="1" si="6"/>
        <v>14.56425684888039</v>
      </c>
      <c r="S63" s="5">
        <f t="shared" ca="1" si="7"/>
        <v>0</v>
      </c>
      <c r="T63" s="5">
        <f ca="1">M63/IF(Summary!$C$8&lt;&gt;"Patients",1,$I$9)</f>
        <v>14.261623907226106</v>
      </c>
      <c r="U63" s="5">
        <f ca="1">((N63-M63)/IF(Summary!$C$8&lt;&gt;"Patients",1,$I$9))</f>
        <v>2.909216118881119</v>
      </c>
      <c r="V63" s="5">
        <f t="shared" ca="1" si="8"/>
        <v>3.8</v>
      </c>
      <c r="X63" s="5">
        <f ca="1">(VLOOKUP(D63,'SPC background (hide)'!$AG$2:$AN$54,8,0)/IF(Summary!$C$8&lt;&gt;"Patients",1,$I$9))*(1-$I$4)*(1-$I$5+($I$6*$I$7))</f>
        <v>12.800550923076921</v>
      </c>
    </row>
    <row r="64" spans="1:24" x14ac:dyDescent="0.2">
      <c r="A64" s="87">
        <f t="shared" ca="1" si="9"/>
        <v>43927</v>
      </c>
      <c r="B64" s="67" t="str">
        <f t="shared" ca="1" si="11"/>
        <v/>
      </c>
      <c r="C64" s="67" t="str">
        <f t="shared" ca="1" si="12"/>
        <v>Apr</v>
      </c>
      <c r="D64" s="67">
        <f t="shared" ca="1" si="10"/>
        <v>15</v>
      </c>
      <c r="E64" s="5">
        <f ca="1">IF(LEFT(Demand!$C$8,1)="H",VLOOKUP($D64,'SPC background (hide)'!$AG$2:$AS$54,12,0),'Demand background (hide)'!X53)</f>
        <v>551.5</v>
      </c>
      <c r="F64" s="5">
        <f ca="1">IF(LEFT(Demand!$C$8,1)="H",VLOOKUP($D64,'SPC background (hide)'!$AG$2:$AS$54,13,0),E64*1.1)</f>
        <v>664</v>
      </c>
      <c r="G64" s="5" t="str">
        <f>IF(Setup!$I$15="Yes",VLOOKUP(D64,'SPC background (hide)'!$AG$2:$AT$54,14,0)/IF(Summary!$C$8="Patients",'Summary Calculations (hide)'!$I$9,1),"")</f>
        <v/>
      </c>
      <c r="H64" s="67">
        <f ca="1">IF(Setup!$I$13="Yes",'Planned background (hide)'!$V$23/IF(Summary!$C$8="Patients",'Summary Calculations (hide)'!$I$9,1),"")</f>
        <v>3.8</v>
      </c>
      <c r="I64" s="5">
        <f ca="1">IFERROR(HLOOKUP(A64,'Capacity calculation (hide)'!$BK$1:$DK$4,4,0),Capacity!$I$15)</f>
        <v>18.364256848880391</v>
      </c>
      <c r="J64" s="5">
        <f ca="1">IFERROR(HLOOKUP(D64,'Capacity calculation (hide)'!$BK$110:$DJ$111,2,0),0)</f>
        <v>0</v>
      </c>
      <c r="K64" s="5">
        <f ca="1">IF(I64-IF(Setup!$I$15="Yes",$G64,0)-IF(Setup!$I$13="Yes",$H64,0)&lt;0,0,I64-IF(Setup!$I$15="Yes",$G64,0)-IF(Setup!$I$13="Yes",$H64,0))</f>
        <v>14.56425684888039</v>
      </c>
      <c r="L64" s="5">
        <f t="shared" ca="1" si="3"/>
        <v>0</v>
      </c>
      <c r="M64" s="5">
        <f ca="1">(IF('Demand adjustments for Covid'!$F$9="No",E64,SUM('Demand background (hide)'!DS53,'Demand background (hide)'!DV53:DW53))*(1-'Parameters calculator (hide)'!$B$43))*(1-'Parameters calculator (hide)'!$B$44+('Parameters calculator (hide)'!$B$45*'Parameters calculator (hide)'!$B$47))</f>
        <v>527.43419449999999</v>
      </c>
      <c r="N64" s="5">
        <f ca="1">(IF('Demand adjustments for Covid'!$F$9="No",F64,SUM('Demand background (hide)'!DT53,'Demand background (hide)'!DV53:DW53))*(1-'Parameters calculator (hide)'!$B$43))*(1-'Parameters calculator (hide)'!$B$44+('Parameters calculator (hide)'!$B$45*'Parameters calculator (hide)'!$B$47))</f>
        <v>635.02503200000001</v>
      </c>
      <c r="P64" s="5">
        <f t="shared" ca="1" si="4"/>
        <v>18.364256848880391</v>
      </c>
      <c r="Q64" s="5">
        <f t="shared" ca="1" si="5"/>
        <v>0</v>
      </c>
      <c r="R64" s="5">
        <f t="shared" ca="1" si="6"/>
        <v>14.56425684888039</v>
      </c>
      <c r="S64" s="5">
        <f t="shared" ca="1" si="7"/>
        <v>0</v>
      </c>
      <c r="T64" s="5">
        <f ca="1">M64/IF(Summary!$C$8&lt;&gt;"Patients",1,$I$9)</f>
        <v>14.261623907226106</v>
      </c>
      <c r="U64" s="5">
        <f ca="1">((N64-M64)/IF(Summary!$C$8&lt;&gt;"Patients",1,$I$9))</f>
        <v>2.909216118881119</v>
      </c>
      <c r="V64" s="5">
        <f t="shared" ca="1" si="8"/>
        <v>3.8</v>
      </c>
      <c r="X64" s="5">
        <f ca="1">(VLOOKUP(D64,'SPC background (hide)'!$AG$2:$AN$54,8,0)/IF(Summary!$C$8&lt;&gt;"Patients",1,$I$9))*(1-$I$4)*(1-$I$5+($I$6*$I$7))</f>
        <v>12.800550923076921</v>
      </c>
    </row>
    <row r="65" spans="1:24" x14ac:dyDescent="0.2">
      <c r="A65" s="87">
        <f t="shared" ca="1" si="9"/>
        <v>43934</v>
      </c>
      <c r="B65" s="67" t="str">
        <f t="shared" ca="1" si="11"/>
        <v/>
      </c>
      <c r="C65" s="67" t="str">
        <f t="shared" ca="1" si="12"/>
        <v/>
      </c>
      <c r="D65" s="67">
        <f t="shared" ca="1" si="10"/>
        <v>16</v>
      </c>
      <c r="E65" s="5">
        <f ca="1">IF(LEFT(Demand!$C$8,1)="H",VLOOKUP($D65,'SPC background (hide)'!$AG$2:$AS$54,12,0),'Demand background (hide)'!X54)</f>
        <v>551.5</v>
      </c>
      <c r="F65" s="5">
        <f ca="1">IF(LEFT(Demand!$C$8,1)="H",VLOOKUP($D65,'SPC background (hide)'!$AG$2:$AS$54,13,0),E65*1.1)</f>
        <v>664</v>
      </c>
      <c r="G65" s="5" t="str">
        <f>IF(Setup!$I$15="Yes",VLOOKUP(D65,'SPC background (hide)'!$AG$2:$AT$54,14,0)/IF(Summary!$C$8="Patients",'Summary Calculations (hide)'!$I$9,1),"")</f>
        <v/>
      </c>
      <c r="H65" s="67">
        <f ca="1">IF(Setup!$I$13="Yes",'Planned background (hide)'!$V$23/IF(Summary!$C$8="Patients",'Summary Calculations (hide)'!$I$9,1),"")</f>
        <v>3.8</v>
      </c>
      <c r="I65" s="5">
        <f ca="1">IFERROR(HLOOKUP(A65,'Capacity calculation (hide)'!$BK$1:$DK$4,4,0),Capacity!$I$15)</f>
        <v>18.364256848880391</v>
      </c>
      <c r="J65" s="5">
        <f ca="1">IFERROR(HLOOKUP(D65,'Capacity calculation (hide)'!$BK$110:$DJ$111,2,0),0)</f>
        <v>0</v>
      </c>
      <c r="K65" s="5">
        <f ca="1">IF(I65-IF(Setup!$I$15="Yes",$G65,0)-IF(Setup!$I$13="Yes",$H65,0)&lt;0,0,I65-IF(Setup!$I$15="Yes",$G65,0)-IF(Setup!$I$13="Yes",$H65,0))</f>
        <v>14.56425684888039</v>
      </c>
      <c r="L65" s="5">
        <f t="shared" ca="1" si="3"/>
        <v>0</v>
      </c>
      <c r="M65" s="5">
        <f ca="1">(IF('Demand adjustments for Covid'!$F$9="No",E65,SUM('Demand background (hide)'!DS54,'Demand background (hide)'!DV54:DW54))*(1-'Parameters calculator (hide)'!$B$43))*(1-'Parameters calculator (hide)'!$B$44+('Parameters calculator (hide)'!$B$45*'Parameters calculator (hide)'!$B$47))</f>
        <v>527.43419449999999</v>
      </c>
      <c r="N65" s="5">
        <f ca="1">(IF('Demand adjustments for Covid'!$F$9="No",F65,SUM('Demand background (hide)'!DT54,'Demand background (hide)'!DV54:DW54))*(1-'Parameters calculator (hide)'!$B$43))*(1-'Parameters calculator (hide)'!$B$44+('Parameters calculator (hide)'!$B$45*'Parameters calculator (hide)'!$B$47))</f>
        <v>635.02503200000001</v>
      </c>
      <c r="P65" s="5">
        <f t="shared" ca="1" si="4"/>
        <v>18.364256848880391</v>
      </c>
      <c r="Q65" s="5">
        <f t="shared" ca="1" si="5"/>
        <v>0</v>
      </c>
      <c r="R65" s="5">
        <f t="shared" ca="1" si="6"/>
        <v>14.56425684888039</v>
      </c>
      <c r="S65" s="5">
        <f t="shared" ca="1" si="7"/>
        <v>0</v>
      </c>
      <c r="T65" s="5">
        <f ca="1">M65/IF(Summary!$C$8&lt;&gt;"Patients",1,$I$9)</f>
        <v>14.261623907226106</v>
      </c>
      <c r="U65" s="5">
        <f ca="1">((N65-M65)/IF(Summary!$C$8&lt;&gt;"Patients",1,$I$9))</f>
        <v>2.909216118881119</v>
      </c>
      <c r="V65" s="5">
        <f t="shared" ca="1" si="8"/>
        <v>3.8</v>
      </c>
      <c r="X65" s="5">
        <f ca="1">(VLOOKUP(D65,'SPC background (hide)'!$AG$2:$AN$54,8,0)/IF(Summary!$C$8&lt;&gt;"Patients",1,$I$9))*(1-$I$4)*(1-$I$5+($I$6*$I$7))</f>
        <v>12.800550923076921</v>
      </c>
    </row>
    <row r="66" spans="1:24" x14ac:dyDescent="0.2">
      <c r="A66" s="87">
        <f t="shared" ca="1" si="9"/>
        <v>43941</v>
      </c>
      <c r="B66" s="67" t="str">
        <f t="shared" ca="1" si="11"/>
        <v/>
      </c>
      <c r="C66" s="67" t="str">
        <f t="shared" ca="1" si="12"/>
        <v/>
      </c>
      <c r="D66" s="67">
        <f t="shared" ca="1" si="10"/>
        <v>17</v>
      </c>
      <c r="E66" s="5">
        <f ca="1">IF(LEFT(Demand!$C$8,1)="H",VLOOKUP($D66,'SPC background (hide)'!$AG$2:$AS$54,12,0),'Demand background (hide)'!X55)</f>
        <v>551.5</v>
      </c>
      <c r="F66" s="5">
        <f ca="1">IF(LEFT(Demand!$C$8,1)="H",VLOOKUP($D66,'SPC background (hide)'!$AG$2:$AS$54,13,0),E66*1.1)</f>
        <v>664</v>
      </c>
      <c r="G66" s="5" t="str">
        <f>IF(Setup!$I$15="Yes",VLOOKUP(D66,'SPC background (hide)'!$AG$2:$AT$54,14,0)/IF(Summary!$C$8="Patients",'Summary Calculations (hide)'!$I$9,1),"")</f>
        <v/>
      </c>
      <c r="H66" s="67">
        <f ca="1">IF(Setup!$I$13="Yes",'Planned background (hide)'!$V$23/IF(Summary!$C$8="Patients",'Summary Calculations (hide)'!$I$9,1),"")</f>
        <v>3.8</v>
      </c>
      <c r="I66" s="5">
        <f ca="1">IFERROR(HLOOKUP(A66,'Capacity calculation (hide)'!$BK$1:$DK$4,4,0),Capacity!$I$15)</f>
        <v>18.364256848880391</v>
      </c>
      <c r="J66" s="5">
        <f ca="1">IFERROR(HLOOKUP(D66,'Capacity calculation (hide)'!$BK$110:$DJ$111,2,0),0)</f>
        <v>0</v>
      </c>
      <c r="K66" s="5">
        <f ca="1">IF(I66-IF(Setup!$I$15="Yes",$G66,0)-IF(Setup!$I$13="Yes",$H66,0)&lt;0,0,I66-IF(Setup!$I$15="Yes",$G66,0)-IF(Setup!$I$13="Yes",$H66,0))</f>
        <v>14.56425684888039</v>
      </c>
      <c r="L66" s="5">
        <f t="shared" ca="1" si="3"/>
        <v>0</v>
      </c>
      <c r="M66" s="5">
        <f ca="1">(IF('Demand adjustments for Covid'!$F$9="No",E66,SUM('Demand background (hide)'!DS55,'Demand background (hide)'!DV55:DW55))*(1-'Parameters calculator (hide)'!$B$43))*(1-'Parameters calculator (hide)'!$B$44+('Parameters calculator (hide)'!$B$45*'Parameters calculator (hide)'!$B$47))</f>
        <v>527.43419449999999</v>
      </c>
      <c r="N66" s="5">
        <f ca="1">(IF('Demand adjustments for Covid'!$F$9="No",F66,SUM('Demand background (hide)'!DT55,'Demand background (hide)'!DV55:DW55))*(1-'Parameters calculator (hide)'!$B$43))*(1-'Parameters calculator (hide)'!$B$44+('Parameters calculator (hide)'!$B$45*'Parameters calculator (hide)'!$B$47))</f>
        <v>635.02503200000001</v>
      </c>
      <c r="P66" s="5">
        <f t="shared" ca="1" si="4"/>
        <v>18.364256848880391</v>
      </c>
      <c r="Q66" s="5">
        <f t="shared" ca="1" si="5"/>
        <v>0</v>
      </c>
      <c r="R66" s="5">
        <f t="shared" ca="1" si="6"/>
        <v>14.56425684888039</v>
      </c>
      <c r="S66" s="5">
        <f t="shared" ca="1" si="7"/>
        <v>0</v>
      </c>
      <c r="T66" s="5">
        <f ca="1">M66/IF(Summary!$C$8&lt;&gt;"Patients",1,$I$9)</f>
        <v>14.261623907226106</v>
      </c>
      <c r="U66" s="5">
        <f ca="1">((N66-M66)/IF(Summary!$C$8&lt;&gt;"Patients",1,$I$9))</f>
        <v>2.909216118881119</v>
      </c>
      <c r="V66" s="5">
        <f t="shared" ca="1" si="8"/>
        <v>3.8</v>
      </c>
      <c r="X66" s="5">
        <f ca="1">(VLOOKUP(D66,'SPC background (hide)'!$AG$2:$AN$54,8,0)/IF(Summary!$C$8&lt;&gt;"Patients",1,$I$9))*(1-$I$4)*(1-$I$5+($I$6*$I$7))</f>
        <v>12.800550923076921</v>
      </c>
    </row>
    <row r="67" spans="1:24" x14ac:dyDescent="0.2">
      <c r="A67" s="297">
        <f t="shared" ca="1" si="9"/>
        <v>43948</v>
      </c>
      <c r="B67" s="67" t="str">
        <f t="shared" ca="1" si="11"/>
        <v/>
      </c>
      <c r="C67" s="67" t="str">
        <f t="shared" ca="1" si="12"/>
        <v/>
      </c>
      <c r="D67" s="59">
        <f ca="1">IF(MAX(D15:D66)=53,WEEKNUM(A67,21),53)</f>
        <v>53</v>
      </c>
      <c r="E67" s="5">
        <f ca="1">VLOOKUP($D67,'SPC background (hide)'!$AG$2:$AS$54,12,0)</f>
        <v>551.5</v>
      </c>
      <c r="F67" s="5">
        <f ca="1">VLOOKUP($D67,'SPC background (hide)'!$AG$2:$AS$54,13,0)</f>
        <v>664</v>
      </c>
      <c r="G67" s="5" t="str">
        <f>IF(Setup!$I$15="Yes",VLOOKUP(D67,'SPC background (hide)'!$AG$2:$AT$54,14,0)/IF(Summary!$C$8="Patients",'Summary Calculations (hide)'!$I$9,1),"")</f>
        <v/>
      </c>
      <c r="H67" s="67">
        <f ca="1">IF(Setup!$I$13="Yes",'Planned background (hide)'!$V$23/IF(Summary!$C$8="Patients",'Summary Calculations (hide)'!$I$9,1),"")</f>
        <v>3.8</v>
      </c>
      <c r="I67" s="5">
        <f ca="1">IFERROR(HLOOKUP(A67,'Capacity calculation (hide)'!$BK$1:$DK$4,4,0),Capacity!$I$15)</f>
        <v>14.192307692307692</v>
      </c>
      <c r="J67" s="5">
        <f ca="1">IFERROR(HLOOKUP(D67,'Capacity calculation (hide)'!$BK$110:$DJ$111,2,0),0)</f>
        <v>0</v>
      </c>
      <c r="K67" s="5">
        <f ca="1">IF(I67-IF(Setup!$I$15="Yes",$G67,0)-IF(Setup!$I$13="Yes",$H67,0)&lt;0,0,I67-IF(Setup!$I$15="Yes",$G67,0)-IF(Setup!$I$13="Yes",$H67,0))</f>
        <v>10.392307692307693</v>
      </c>
      <c r="L67" s="5">
        <f t="shared" ref="L67" ca="1" si="13">J67</f>
        <v>0</v>
      </c>
      <c r="M67" s="5">
        <f ca="1">(IF('Demand adjustments for Covid'!$F$9="No",E67,SUM('Demand background (hide)'!DS56,'Demand background (hide)'!DV56:DW56))*(1-'Parameters calculator (hide)'!$B$43))*(1-'Parameters calculator (hide)'!$B$44+('Parameters calculator (hide)'!$B$45*'Parameters calculator (hide)'!$B$47))</f>
        <v>527.43419449999999</v>
      </c>
      <c r="N67" s="5">
        <f ca="1">(IF('Demand adjustments for Covid'!$F$9="No",F67,SUM('Demand background (hide)'!DT56,'Demand background (hide)'!DV56:DW56))*(1-'Parameters calculator (hide)'!$B$43))*(1-'Parameters calculator (hide)'!$B$44+('Parameters calculator (hide)'!$B$45*'Parameters calculator (hide)'!$B$47))</f>
        <v>635.02503200000001</v>
      </c>
      <c r="O67" s="67"/>
      <c r="P67" s="5">
        <f t="shared" ref="P67" ca="1" si="14">I67</f>
        <v>14.192307692307692</v>
      </c>
      <c r="Q67" s="5">
        <f t="shared" ref="Q67" ca="1" si="15">J67</f>
        <v>0</v>
      </c>
      <c r="R67" s="5">
        <f t="shared" ref="R67" ca="1" si="16">IF(P67-V67&lt;0,0,P67-V67)</f>
        <v>10.392307692307693</v>
      </c>
      <c r="S67" s="5">
        <f t="shared" ref="S67" ca="1" si="17">IF(R67=0,IF(P67+Q67-V67&lt;0,0,P67+Q67-V67),Q67)</f>
        <v>0</v>
      </c>
      <c r="T67" s="5">
        <f ca="1">M67/IF(Summary!$C$8&lt;&gt;"Patients",1,$I$9)</f>
        <v>14.261623907226106</v>
      </c>
      <c r="U67" s="5">
        <f ca="1">((N67-M67)/IF(Summary!$C$8&lt;&gt;"Patients",1,$I$9))</f>
        <v>2.909216118881119</v>
      </c>
      <c r="V67" s="5">
        <f t="shared" ref="V67" ca="1" si="18">SUM(G67:H67)</f>
        <v>3.8</v>
      </c>
      <c r="W67" s="67"/>
      <c r="X67" s="5">
        <f ca="1">(VLOOKUP(D67,'SPC background (hide)'!$AG$2:$AN$54,8,0)/IF(Summary!$C$8&lt;&gt;"Patients",1,$I$9))*(1-$I$4)*(1-$I$5+($I$6*$I$7))</f>
        <v>12.800550923076921</v>
      </c>
    </row>
    <row r="68" spans="1:24" s="67" customFormat="1" x14ac:dyDescent="0.2">
      <c r="X68" s="5"/>
    </row>
    <row r="69" spans="1:24" x14ac:dyDescent="0.2">
      <c r="X69" s="5"/>
    </row>
    <row r="70" spans="1:24" x14ac:dyDescent="0.2">
      <c r="D70" t="s">
        <v>290</v>
      </c>
      <c r="E70" s="5">
        <f ca="1">AVERAGE(E15:E67)</f>
        <v>551.5</v>
      </c>
      <c r="F70" s="5">
        <f ca="1">AVERAGE(F15:F67)</f>
        <v>664</v>
      </c>
      <c r="G70" s="5" t="str">
        <f>IF(Setup!$I$15="Yes",AVERAGE(G15:G67),"")</f>
        <v/>
      </c>
      <c r="H70" s="5">
        <f ca="1">IF(Setup!$I$13="Yes",AVERAGE(H15:H67),"")</f>
        <v>3.8000000000000029</v>
      </c>
      <c r="I70" s="5">
        <f ca="1">AVERAGE(I15:I67)</f>
        <v>14.192307692307688</v>
      </c>
      <c r="J70" s="5">
        <f ca="1">AVERAGE(J15:J67)</f>
        <v>1.5210449927431062</v>
      </c>
      <c r="K70" s="5">
        <f ca="1">AVERAGE(K15:K67)</f>
        <v>10.392307692307693</v>
      </c>
      <c r="L70" s="5">
        <f ca="1">AVERAGE(L15:L67)</f>
        <v>1.5210449927431062</v>
      </c>
      <c r="M70" s="104">
        <f ca="1">IF(Summary!B15=0,AVERAGE(M15:M67)/IF(Summary!$C$8&lt;&gt;"Patients",1,$I$9),AVERAGE('Planning (hide)'!C4:C55))</f>
        <v>14.261623907226118</v>
      </c>
      <c r="N70" s="104" cm="1">
        <f t="array" aca="1" ref="N70" ca="1">IF(Summary!B15=0,AVERAGE(N15:N67)/IF(Summary!$C$8&lt;&gt;"Patients",1,$I$9),AVERAGE('Planning (hide)'!C4:C55+'Planning (hide)'!D4:D55))</f>
        <v>17.170840026107236</v>
      </c>
      <c r="R70" s="5">
        <f ca="1">AVERAGE(R15:R67)</f>
        <v>10.392307692307693</v>
      </c>
      <c r="S70" s="5">
        <f ca="1">AVERAGE(S15:S67)</f>
        <v>1.5210449927431062</v>
      </c>
      <c r="V70" s="104">
        <f ca="1">IF(AND(Setup!$I$13="No",Setup!$I$15="No"),0,IF(H70&lt;&gt;"",H70,0)+IF(G70&lt;&gt;"",G70,0))</f>
        <v>3.8000000000000029</v>
      </c>
      <c r="X70" s="5">
        <f ca="1">AVERAGE(X15:X67)</f>
        <v>12.800550923076914</v>
      </c>
    </row>
    <row r="71" spans="1:24" x14ac:dyDescent="0.2">
      <c r="E71" s="60"/>
      <c r="I71" t="s">
        <v>308</v>
      </c>
      <c r="K71" s="104">
        <f ca="1">(K70)/IF(Summary!$C$8&lt;&gt;"Patients",1,$I$9)</f>
        <v>0.28100412408104714</v>
      </c>
      <c r="L71" s="104">
        <f ca="1">(L70)/IF(Summary!$C$8&lt;&gt;"Patients",1,$I$9)</f>
        <v>4.1128489314265805E-2</v>
      </c>
      <c r="M71" s="5"/>
      <c r="N71" s="5">
        <f ca="1">N70-M70</f>
        <v>2.9092161188811172</v>
      </c>
      <c r="R71" s="5">
        <f ca="1">SUM(R15:R67)</f>
        <v>550.79230769230776</v>
      </c>
      <c r="S71" s="5">
        <f ca="1">SUM(S15:S67)</f>
        <v>80.615384615384627</v>
      </c>
      <c r="V71" s="5">
        <f ca="1">SUM(V15:V67)</f>
        <v>201.40000000000015</v>
      </c>
      <c r="X71" s="5">
        <f ca="1">SUM(X15:X67)</f>
        <v>678.42919892307646</v>
      </c>
    </row>
    <row r="72" spans="1:24" x14ac:dyDescent="0.2">
      <c r="E72" s="5"/>
      <c r="F72" s="5"/>
      <c r="J72" s="5"/>
      <c r="K72" s="5"/>
      <c r="L72" s="5"/>
      <c r="M72" s="5"/>
      <c r="N72" s="5"/>
      <c r="X72" s="5">
        <f ca="1">AVERAGE(X15:X67)</f>
        <v>12.800550923076914</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4.25" x14ac:dyDescent="0.2"/>
  <cols>
    <col min="1" max="1" width="27.25" bestFit="1" customWidth="1"/>
    <col min="2" max="2" width="20.75" bestFit="1" customWidth="1"/>
    <col min="3" max="3" width="60.625" bestFit="1" customWidth="1"/>
    <col min="4" max="4" width="15.25" customWidth="1"/>
    <col min="5" max="5" width="20" bestFit="1" customWidth="1"/>
    <col min="8" max="8" width="18.5" bestFit="1" customWidth="1"/>
    <col min="13" max="13" width="11.625" bestFit="1" customWidth="1"/>
    <col min="14" max="14" width="10.125" bestFit="1" customWidth="1"/>
  </cols>
  <sheetData>
    <row r="2" spans="1:29" x14ac:dyDescent="0.2">
      <c r="M2" t="s">
        <v>1128</v>
      </c>
    </row>
    <row r="3" spans="1:29" x14ac:dyDescent="0.2">
      <c r="A3" t="s">
        <v>1114</v>
      </c>
      <c r="B3" s="301">
        <f>Summary!$D$42</f>
        <v>0</v>
      </c>
      <c r="H3" t="s">
        <v>153</v>
      </c>
      <c r="I3" t="s">
        <v>148</v>
      </c>
      <c r="J3" t="s">
        <v>149</v>
      </c>
      <c r="K3" t="s">
        <v>156</v>
      </c>
      <c r="L3" t="s">
        <v>1126</v>
      </c>
      <c r="M3" t="s">
        <v>531</v>
      </c>
      <c r="N3" t="s">
        <v>1127</v>
      </c>
    </row>
    <row r="4" spans="1:29" x14ac:dyDescent="0.2">
      <c r="A4" t="s">
        <v>1115</v>
      </c>
      <c r="B4" s="301">
        <f>Summary!$D$43</f>
        <v>0</v>
      </c>
      <c r="H4">
        <v>1</v>
      </c>
      <c r="I4">
        <f>'SPC background (hide)'!L4</f>
        <v>99</v>
      </c>
      <c r="J4">
        <f ca="1">'SPC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2">
      <c r="A5" t="s">
        <v>75</v>
      </c>
      <c r="B5" s="3">
        <f ca="1">'Summary Calculations (hide)'!I4</f>
        <v>1.0999999999999999E-2</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
      <c r="A6" t="s">
        <v>1116</v>
      </c>
      <c r="B6" s="3">
        <f ca="1">'Summary Calculations (hide)'!I5</f>
        <v>0.11299999999999999</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
      <c r="A7" t="s">
        <v>99</v>
      </c>
      <c r="B7" s="3">
        <f ca="1">'Summary Calculations (hide)'!I6</f>
        <v>9.9999999999999992E-2</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
      <c r="A8" t="s">
        <v>418</v>
      </c>
      <c r="B8" s="3">
        <f ca="1">'Summary Calculations (hide)'!I7</f>
        <v>0.8</v>
      </c>
      <c r="H8" s="67">
        <v>5</v>
      </c>
      <c r="I8" s="67">
        <f ca="1">'SPC background (hide)'!L8</f>
        <v>53</v>
      </c>
      <c r="J8" s="67">
        <f ca="1">'SPC background (hide)'!M8</f>
        <v>52</v>
      </c>
      <c r="K8" s="5">
        <f ca="1">'SPC background (hide)'!O8</f>
        <v>495</v>
      </c>
      <c r="L8" s="67">
        <f ca="1">IFERROR(VLOOKUP(H8,'SPC background (hide)'!$AI$2:$AJ$54,2,FALSE),"")</f>
        <v>141.67348608837972</v>
      </c>
      <c r="M8" s="5">
        <f ca="1">'SPC background (hide)'!P8</f>
        <v>551.5</v>
      </c>
      <c r="N8" s="5">
        <f ca="1">'SPC background (hide)'!Q8</f>
        <v>664</v>
      </c>
    </row>
    <row r="10" spans="1:29" x14ac:dyDescent="0.2">
      <c r="A10" t="s">
        <v>1148</v>
      </c>
      <c r="B10" s="3"/>
      <c r="H10" t="s">
        <v>1125</v>
      </c>
      <c r="T10" t="s">
        <v>1131</v>
      </c>
    </row>
    <row r="11" spans="1:29" x14ac:dyDescent="0.2">
      <c r="A11" t="s">
        <v>1117</v>
      </c>
      <c r="B11" s="3">
        <f ca="1">(1-B5)*(1-(B6+B7))</f>
        <v>0.77834300000000001</v>
      </c>
      <c r="C11" s="51" t="s">
        <v>1144</v>
      </c>
      <c r="D11" t="s">
        <v>1138</v>
      </c>
      <c r="T11" t="s">
        <v>1132</v>
      </c>
      <c r="U11" t="s">
        <v>1133</v>
      </c>
      <c r="V11" t="s">
        <v>1134</v>
      </c>
      <c r="W11" t="s">
        <v>1135</v>
      </c>
      <c r="X11" t="s">
        <v>1136</v>
      </c>
      <c r="Y11" t="s">
        <v>1137</v>
      </c>
      <c r="Z11" t="s">
        <v>156</v>
      </c>
      <c r="AA11" t="s">
        <v>1141</v>
      </c>
      <c r="AB11" t="s">
        <v>1142</v>
      </c>
      <c r="AC11" t="s">
        <v>1143</v>
      </c>
    </row>
    <row r="12" spans="1:29" x14ac:dyDescent="0.2">
      <c r="A12" t="s">
        <v>1118</v>
      </c>
      <c r="B12" s="3">
        <f ca="1">(1-B5) * (B7*B8)</f>
        <v>7.9119999999999996E-2</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
      <c r="A13" t="s">
        <v>1122</v>
      </c>
      <c r="B13" s="3">
        <f ca="1">B11+B12</f>
        <v>0.85746299999999998</v>
      </c>
      <c r="C13" s="51" t="s">
        <v>1123</v>
      </c>
      <c r="H13" s="297">
        <f ca="1">'Summary Calculations (hide)'!A15</f>
        <v>43584</v>
      </c>
      <c r="I13">
        <f ca="1">'Summary Calculations (hide)'!B15</f>
        <v>2019</v>
      </c>
      <c r="J13" t="str">
        <f ca="1">'Summary Calculations (hide)'!C15</f>
        <v>Apr</v>
      </c>
      <c r="K13">
        <f ca="1">'Summary Calculations (hide)'!D15</f>
        <v>18</v>
      </c>
      <c r="L13">
        <f ca="1">VLOOKUP($K13,'SPC background (hide)'!$AG$2:$AS$54,3,0)</f>
        <v>1</v>
      </c>
      <c r="M13">
        <f ca="1">((VLOOKUP(L13,$H$4:$N$8,4,FALSE)*(1-$B$5)*(1-$B$6+($B$7*$B$8))))</f>
        <v>473.39968499999998</v>
      </c>
      <c r="N13" s="67">
        <f ca="1">((VLOOKUP(L13,$H$4:$N$8,5,FALSE)*(1-$B$5)*(1-$B$6+($B$7*$B$8))))</f>
        <v>135.49128017594109</v>
      </c>
      <c r="R13" s="5">
        <f ca="1">(VLOOKUP(K13,'Summary Calculations (hide)'!$D$15:$L$67,8,0)+VLOOKUP(K13,'Summary Calculations (hide)'!$D$15:$L$67,9,0))*IF(Summary!$C$8="Patients",'Summary Calculations (hide)'!$I$9,1)</f>
        <v>31.005905583793474</v>
      </c>
      <c r="AA13">
        <f ca="1">IF(Summary!$C$8="Patients", 'Parameters calculator (hide)'!$H$63,'Parameters calculator (hide)'!$H$62)</f>
        <v>42.562452931683694</v>
      </c>
      <c r="AB13" s="67">
        <f ca="1">IF(Summary!$C$8="Patients", 'Parameters calculator (hide)'!$I$63,'Parameters calculator (hide)'!$I$62)</f>
        <v>47.04271113501882</v>
      </c>
      <c r="AC13">
        <f ca="1">AB13-AA13</f>
        <v>4.4802582033351257</v>
      </c>
    </row>
    <row r="14" spans="1:29" x14ac:dyDescent="0.2">
      <c r="A14" t="s">
        <v>1119</v>
      </c>
      <c r="B14" s="3">
        <f ca="1">1 - B7</f>
        <v>0.9</v>
      </c>
      <c r="C14" s="51" t="s">
        <v>1146</v>
      </c>
      <c r="H14" s="297">
        <f ca="1">'Summary Calculations (hide)'!A16</f>
        <v>43591</v>
      </c>
      <c r="I14" t="str">
        <f ca="1">'Summary Calculations (hide)'!B16</f>
        <v/>
      </c>
      <c r="J14" t="str">
        <f ca="1">'Summary Calculations (hide)'!C16</f>
        <v>May</v>
      </c>
      <c r="K14">
        <f ca="1">'Summary Calculations (hide)'!D16</f>
        <v>19</v>
      </c>
      <c r="L14" s="67">
        <f ca="1">VLOOKUP($K14,'SPC background (hide)'!$AG$2:$AS$54,3,0)</f>
        <v>1</v>
      </c>
      <c r="M14" s="67">
        <f t="shared" ref="M14:M64" ca="1" si="0">((VLOOKUP(L14,$H$4:$N$8,4,FALSE)*(1-$B$5)*(1-$B$6+($B$7*$B$8))))</f>
        <v>473.39968499999998</v>
      </c>
      <c r="N14" s="67">
        <f t="shared" ref="N14:N64" ca="1" si="1">((VLOOKUP(L14,$H$4:$N$8,5,FALSE)*(1-$B$5)*(1-$B$6+($B$7*$B$8))))</f>
        <v>135.49128017594109</v>
      </c>
      <c r="O14" s="67"/>
      <c r="P14" s="67"/>
      <c r="Q14" s="67"/>
      <c r="R14" s="5">
        <f ca="1">(VLOOKUP(K14,'Summary Calculations (hide)'!$D$15:$L$67,8,0)+VLOOKUP(K14,'Summary Calculations (hide)'!$D$15:$L$67,9,0))*IF(Summary!$C$8="Patients",'Summary Calculations (hide)'!$I$9,1)</f>
        <v>178.9369400665521</v>
      </c>
      <c r="AA14" s="67">
        <f ca="1">IF(Summary!$C$8="Patients", 'Parameters calculator (hide)'!$H$63,'Parameters calculator (hide)'!$H$62)</f>
        <v>42.562452931683694</v>
      </c>
      <c r="AB14" s="67">
        <f ca="1">IF(Summary!$C$8="Patients", 'Parameters calculator (hide)'!$I$63,'Parameters calculator (hide)'!$I$62)</f>
        <v>47.04271113501882</v>
      </c>
      <c r="AC14" s="67">
        <f t="shared" ref="AC14:AC64" ca="1" si="2">AB14-AA14</f>
        <v>4.4802582033351257</v>
      </c>
    </row>
    <row r="15" spans="1:29" x14ac:dyDescent="0.2">
      <c r="A15" t="s">
        <v>1120</v>
      </c>
      <c r="B15" s="3">
        <f ca="1">B7*B8</f>
        <v>0.08</v>
      </c>
      <c r="C15" s="51" t="s">
        <v>1147</v>
      </c>
      <c r="H15" s="297">
        <f ca="1">'Summary Calculations (hide)'!A17</f>
        <v>43598</v>
      </c>
      <c r="I15" t="str">
        <f ca="1">'Summary Calculations (hide)'!B17</f>
        <v/>
      </c>
      <c r="J15" t="str">
        <f ca="1">'Summary Calculations (hide)'!C17</f>
        <v/>
      </c>
      <c r="K15">
        <f ca="1">'Summary Calculations (hide)'!D17</f>
        <v>20</v>
      </c>
      <c r="L15" s="67">
        <f ca="1">VLOOKUP($K15,'SPC background (hide)'!$AG$2:$AS$54,3,0)</f>
        <v>1</v>
      </c>
      <c r="M15" s="67">
        <f t="shared" ca="1" si="0"/>
        <v>473.39968499999998</v>
      </c>
      <c r="N15" s="67">
        <f t="shared" ca="1" si="1"/>
        <v>135.49128017594109</v>
      </c>
      <c r="O15" s="67"/>
      <c r="P15" s="67"/>
      <c r="Q15" s="67"/>
      <c r="R15" s="5">
        <f ca="1">(VLOOKUP(K15,'Summary Calculations (hide)'!$D$15:$L$67,8,0)+VLOOKUP(K15,'Summary Calculations (hide)'!$D$15:$L$67,9,0))*IF(Summary!$C$8="Patients",'Summary Calculations (hide)'!$I$9,1)</f>
        <v>31.005905583793474</v>
      </c>
      <c r="AA15" s="67">
        <f ca="1">IF(Summary!$C$8="Patients", 'Parameters calculator (hide)'!$H$63,'Parameters calculator (hide)'!$H$62)</f>
        <v>42.562452931683694</v>
      </c>
      <c r="AB15" s="67">
        <f ca="1">IF(Summary!$C$8="Patients", 'Parameters calculator (hide)'!$I$63,'Parameters calculator (hide)'!$I$62)</f>
        <v>47.04271113501882</v>
      </c>
      <c r="AC15" s="67">
        <f t="shared" ca="1" si="2"/>
        <v>4.4802582033351257</v>
      </c>
    </row>
    <row r="16" spans="1:29" x14ac:dyDescent="0.2">
      <c r="A16" t="s">
        <v>1130</v>
      </c>
      <c r="B16" s="3">
        <f ca="1">B14+B15</f>
        <v>0.98</v>
      </c>
      <c r="C16" s="51" t="s">
        <v>1124</v>
      </c>
      <c r="H16" s="297">
        <f ca="1">'Summary Calculations (hide)'!A18</f>
        <v>43605</v>
      </c>
      <c r="I16" t="str">
        <f ca="1">'Summary Calculations (hide)'!B18</f>
        <v/>
      </c>
      <c r="J16" t="str">
        <f ca="1">'Summary Calculations (hide)'!C18</f>
        <v/>
      </c>
      <c r="K16">
        <f ca="1">'Summary Calculations (hide)'!D18</f>
        <v>21</v>
      </c>
      <c r="L16" s="67">
        <f ca="1">VLOOKUP($K16,'SPC background (hide)'!$AG$2:$AS$54,3,0)</f>
        <v>1</v>
      </c>
      <c r="M16" s="67">
        <f t="shared" ca="1" si="0"/>
        <v>473.39968499999998</v>
      </c>
      <c r="N16" s="67">
        <f t="shared" ca="1" si="1"/>
        <v>135.49128017594109</v>
      </c>
      <c r="O16" s="67"/>
      <c r="P16" s="67"/>
      <c r="Q16" s="67"/>
      <c r="R16" s="5">
        <f ca="1">(VLOOKUP(K16,'Summary Calculations (hide)'!$D$15:$L$67,8,0)+VLOOKUP(K16,'Summary Calculations (hide)'!$D$15:$L$67,9,0))*IF(Summary!$C$8="Patients",'Summary Calculations (hide)'!$I$9,1)</f>
        <v>178.9369400665521</v>
      </c>
      <c r="AA16" s="67">
        <f ca="1">IF(Summary!$C$8="Patients", 'Parameters calculator (hide)'!$H$63,'Parameters calculator (hide)'!$H$62)</f>
        <v>42.562452931683694</v>
      </c>
      <c r="AB16" s="67">
        <f ca="1">IF(Summary!$C$8="Patients", 'Parameters calculator (hide)'!$I$63,'Parameters calculator (hide)'!$I$62)</f>
        <v>47.04271113501882</v>
      </c>
      <c r="AC16" s="67">
        <f t="shared" ca="1" si="2"/>
        <v>4.4802582033351257</v>
      </c>
    </row>
    <row r="17" spans="1:29" x14ac:dyDescent="0.2">
      <c r="H17" s="297">
        <f ca="1">'Summary Calculations (hide)'!A19</f>
        <v>43612</v>
      </c>
      <c r="I17" t="str">
        <f ca="1">'Summary Calculations (hide)'!B19</f>
        <v/>
      </c>
      <c r="J17" t="str">
        <f ca="1">'Summary Calculations (hide)'!C19</f>
        <v/>
      </c>
      <c r="K17">
        <f ca="1">'Summary Calculations (hide)'!D19</f>
        <v>22</v>
      </c>
      <c r="L17" s="67">
        <f ca="1">VLOOKUP($K17,'SPC background (hide)'!$AG$2:$AS$54,3,0)</f>
        <v>1</v>
      </c>
      <c r="M17" s="67">
        <f t="shared" ca="1" si="0"/>
        <v>473.39968499999998</v>
      </c>
      <c r="N17" s="67">
        <f t="shared" ca="1" si="1"/>
        <v>135.49128017594109</v>
      </c>
      <c r="O17" s="67"/>
      <c r="P17" s="67"/>
      <c r="Q17" s="67"/>
      <c r="R17" s="5">
        <f ca="1">(VLOOKUP(K17,'Summary Calculations (hide)'!$D$15:$L$67,8,0)+VLOOKUP(K17,'Summary Calculations (hide)'!$D$15:$L$67,9,0))*IF(Summary!$C$8="Patients",'Summary Calculations (hide)'!$I$9,1)</f>
        <v>31.005905583793474</v>
      </c>
      <c r="AA17" s="67">
        <f ca="1">IF(Summary!$C$8="Patients", 'Parameters calculator (hide)'!$H$63,'Parameters calculator (hide)'!$H$62)</f>
        <v>42.562452931683694</v>
      </c>
      <c r="AB17" s="67">
        <f ca="1">IF(Summary!$C$8="Patients", 'Parameters calculator (hide)'!$I$63,'Parameters calculator (hide)'!$I$62)</f>
        <v>47.04271113501882</v>
      </c>
      <c r="AC17" s="67">
        <f t="shared" ca="1" si="2"/>
        <v>4.4802582033351257</v>
      </c>
    </row>
    <row r="18" spans="1:29" x14ac:dyDescent="0.2">
      <c r="A18" s="3"/>
      <c r="B18" s="3"/>
      <c r="C18" s="3"/>
      <c r="H18" s="297">
        <f ca="1">'Summary Calculations (hide)'!A20</f>
        <v>43619</v>
      </c>
      <c r="I18" t="str">
        <f ca="1">'Summary Calculations (hide)'!B20</f>
        <v/>
      </c>
      <c r="J18" t="str">
        <f ca="1">'Summary Calculations (hide)'!C20</f>
        <v>Jun</v>
      </c>
      <c r="K18">
        <f ca="1">'Summary Calculations (hide)'!D20</f>
        <v>23</v>
      </c>
      <c r="L18" s="67">
        <f ca="1">VLOOKUP($K18,'SPC background (hide)'!$AG$2:$AS$54,3,0)</f>
        <v>1</v>
      </c>
      <c r="M18" s="67">
        <f t="shared" ca="1" si="0"/>
        <v>473.39968499999998</v>
      </c>
      <c r="N18" s="67">
        <f t="shared" ca="1" si="1"/>
        <v>135.49128017594109</v>
      </c>
      <c r="O18" s="67"/>
      <c r="P18" s="67"/>
      <c r="Q18" s="67"/>
      <c r="R18" s="5">
        <f ca="1">(VLOOKUP(K18,'Summary Calculations (hide)'!$D$15:$L$67,8,0)+VLOOKUP(K18,'Summary Calculations (hide)'!$D$15:$L$67,9,0))*IF(Summary!$C$8="Patients",'Summary Calculations (hide)'!$I$9,1)</f>
        <v>686.55743001462827</v>
      </c>
      <c r="AA18" s="67">
        <f ca="1">IF(Summary!$C$8="Patients", 'Parameters calculator (hide)'!$H$63,'Parameters calculator (hide)'!$H$62)</f>
        <v>42.562452931683694</v>
      </c>
      <c r="AB18" s="67">
        <f ca="1">IF(Summary!$C$8="Patients", 'Parameters calculator (hide)'!$I$63,'Parameters calculator (hide)'!$I$62)</f>
        <v>47.04271113501882</v>
      </c>
      <c r="AC18" s="67">
        <f t="shared" ca="1" si="2"/>
        <v>4.4802582033351257</v>
      </c>
    </row>
    <row r="19" spans="1:29" x14ac:dyDescent="0.2">
      <c r="A19" s="3"/>
      <c r="B19" s="3"/>
      <c r="C19" s="3"/>
      <c r="H19" s="297">
        <f ca="1">'Summary Calculations (hide)'!A21</f>
        <v>43626</v>
      </c>
      <c r="I19" t="str">
        <f ca="1">'Summary Calculations (hide)'!B21</f>
        <v/>
      </c>
      <c r="J19" t="str">
        <f ca="1">'Summary Calculations (hide)'!C21</f>
        <v/>
      </c>
      <c r="K19">
        <f ca="1">'Summary Calculations (hide)'!D21</f>
        <v>24</v>
      </c>
      <c r="L19" s="67">
        <f ca="1">VLOOKUP($K19,'SPC background (hide)'!$AG$2:$AS$54,3,0)</f>
        <v>1</v>
      </c>
      <c r="M19" s="67">
        <f t="shared" ca="1" si="0"/>
        <v>473.39968499999998</v>
      </c>
      <c r="N19" s="67">
        <f t="shared" ca="1" si="1"/>
        <v>135.49128017594109</v>
      </c>
      <c r="O19" s="67"/>
      <c r="P19" s="67"/>
      <c r="Q19" s="67"/>
      <c r="R19" s="5">
        <f ca="1">(VLOOKUP(K19,'Summary Calculations (hide)'!$D$15:$L$67,8,0)+VLOOKUP(K19,'Summary Calculations (hide)'!$D$15:$L$67,9,0))*IF(Summary!$C$8="Patients",'Summary Calculations (hide)'!$I$9,1)</f>
        <v>686.55743001462827</v>
      </c>
      <c r="AA19" s="67">
        <f ca="1">IF(Summary!$C$8="Patients", 'Parameters calculator (hide)'!$H$63,'Parameters calculator (hide)'!$H$62)</f>
        <v>42.562452931683694</v>
      </c>
      <c r="AB19" s="67">
        <f ca="1">IF(Summary!$C$8="Patients", 'Parameters calculator (hide)'!$I$63,'Parameters calculator (hide)'!$I$62)</f>
        <v>47.04271113501882</v>
      </c>
      <c r="AC19" s="67">
        <f t="shared" ca="1" si="2"/>
        <v>4.4802582033351257</v>
      </c>
    </row>
    <row r="20" spans="1:29" x14ac:dyDescent="0.2">
      <c r="A20" s="3"/>
      <c r="B20" s="3"/>
      <c r="C20" s="3"/>
      <c r="H20" s="297">
        <f ca="1">'Summary Calculations (hide)'!A22</f>
        <v>43633</v>
      </c>
      <c r="I20" t="str">
        <f ca="1">'Summary Calculations (hide)'!B22</f>
        <v/>
      </c>
      <c r="J20" t="str">
        <f ca="1">'Summary Calculations (hide)'!C22</f>
        <v/>
      </c>
      <c r="K20">
        <f ca="1">'Summary Calculations (hide)'!D22</f>
        <v>25</v>
      </c>
      <c r="L20" s="67">
        <f ca="1">VLOOKUP($K20,'SPC background (hide)'!$AG$2:$AS$54,3,0)</f>
        <v>1</v>
      </c>
      <c r="M20" s="67">
        <f t="shared" ca="1" si="0"/>
        <v>473.39968499999998</v>
      </c>
      <c r="N20" s="67">
        <f t="shared" ca="1" si="1"/>
        <v>135.49128017594109</v>
      </c>
      <c r="O20" s="67"/>
      <c r="P20" s="67"/>
      <c r="Q20" s="67"/>
      <c r="R20" s="5">
        <f ca="1">(VLOOKUP(K20,'Summary Calculations (hide)'!$D$15:$L$67,8,0)+VLOOKUP(K20,'Summary Calculations (hide)'!$D$15:$L$67,9,0))*IF(Summary!$C$8="Patients",'Summary Calculations (hide)'!$I$9,1)</f>
        <v>538.62639553186966</v>
      </c>
      <c r="AA20" s="67">
        <f ca="1">IF(Summary!$C$8="Patients", 'Parameters calculator (hide)'!$H$63,'Parameters calculator (hide)'!$H$62)</f>
        <v>42.562452931683694</v>
      </c>
      <c r="AB20" s="67">
        <f ca="1">IF(Summary!$C$8="Patients", 'Parameters calculator (hide)'!$I$63,'Parameters calculator (hide)'!$I$62)</f>
        <v>47.04271113501882</v>
      </c>
      <c r="AC20" s="67">
        <f t="shared" ca="1" si="2"/>
        <v>4.4802582033351257</v>
      </c>
    </row>
    <row r="21" spans="1:29" x14ac:dyDescent="0.2">
      <c r="A21" s="3"/>
      <c r="B21" s="3"/>
      <c r="C21" s="3"/>
      <c r="H21" s="297">
        <f ca="1">'Summary Calculations (hide)'!A23</f>
        <v>43640</v>
      </c>
      <c r="I21" t="str">
        <f ca="1">'Summary Calculations (hide)'!B23</f>
        <v/>
      </c>
      <c r="J21" t="str">
        <f ca="1">'Summary Calculations (hide)'!C23</f>
        <v/>
      </c>
      <c r="K21">
        <f ca="1">'Summary Calculations (hide)'!D23</f>
        <v>26</v>
      </c>
      <c r="L21" s="67">
        <f ca="1">VLOOKUP($K21,'SPC background (hide)'!$AG$2:$AS$54,3,0)</f>
        <v>1</v>
      </c>
      <c r="M21" s="67">
        <f t="shared" ca="1" si="0"/>
        <v>473.39968499999998</v>
      </c>
      <c r="N21" s="67">
        <f t="shared" ca="1" si="1"/>
        <v>135.49128017594109</v>
      </c>
      <c r="O21" s="67"/>
      <c r="P21" s="67"/>
      <c r="Q21" s="67"/>
      <c r="R21" s="5">
        <f ca="1">(VLOOKUP(K21,'Summary Calculations (hide)'!$D$15:$L$67,8,0)+VLOOKUP(K21,'Summary Calculations (hide)'!$D$15:$L$67,9,0))*IF(Summary!$C$8="Patients",'Summary Calculations (hide)'!$I$9,1)</f>
        <v>675.17811966980071</v>
      </c>
      <c r="AA21" s="67">
        <f ca="1">IF(Summary!$C$8="Patients", 'Parameters calculator (hide)'!$H$63,'Parameters calculator (hide)'!$H$62)</f>
        <v>42.562452931683694</v>
      </c>
      <c r="AB21" s="67">
        <f ca="1">IF(Summary!$C$8="Patients", 'Parameters calculator (hide)'!$I$63,'Parameters calculator (hide)'!$I$62)</f>
        <v>47.04271113501882</v>
      </c>
      <c r="AC21" s="67">
        <f t="shared" ca="1" si="2"/>
        <v>4.4802582033351257</v>
      </c>
    </row>
    <row r="22" spans="1:29" x14ac:dyDescent="0.2">
      <c r="A22" s="3"/>
      <c r="B22" s="3"/>
      <c r="C22" s="3"/>
      <c r="H22" s="297">
        <f ca="1">'Summary Calculations (hide)'!A24</f>
        <v>43647</v>
      </c>
      <c r="I22" t="str">
        <f ca="1">'Summary Calculations (hide)'!B24</f>
        <v/>
      </c>
      <c r="J22" t="str">
        <f ca="1">'Summary Calculations (hide)'!C24</f>
        <v>Jul</v>
      </c>
      <c r="K22">
        <f ca="1">'Summary Calculations (hide)'!D24</f>
        <v>27</v>
      </c>
      <c r="L22" s="67">
        <f ca="1">VLOOKUP($K22,'SPC background (hide)'!$AG$2:$AS$54,3,0)</f>
        <v>1</v>
      </c>
      <c r="M22" s="67">
        <f t="shared" ca="1" si="0"/>
        <v>473.39968499999998</v>
      </c>
      <c r="N22" s="67">
        <f t="shared" ca="1" si="1"/>
        <v>135.49128017594109</v>
      </c>
      <c r="O22" s="67"/>
      <c r="P22" s="67"/>
      <c r="Q22" s="67"/>
      <c r="R22" s="5">
        <f ca="1">(VLOOKUP(K22,'Summary Calculations (hide)'!$D$15:$L$67,8,0)+VLOOKUP(K22,'Summary Calculations (hide)'!$D$15:$L$67,9,0))*IF(Summary!$C$8="Patients",'Summary Calculations (hide)'!$I$9,1)</f>
        <v>823.10915415255943</v>
      </c>
      <c r="AA22" s="67">
        <f ca="1">IF(Summary!$C$8="Patients", 'Parameters calculator (hide)'!$H$63,'Parameters calculator (hide)'!$H$62)</f>
        <v>42.562452931683694</v>
      </c>
      <c r="AB22" s="67">
        <f ca="1">IF(Summary!$C$8="Patients", 'Parameters calculator (hide)'!$I$63,'Parameters calculator (hide)'!$I$62)</f>
        <v>47.04271113501882</v>
      </c>
      <c r="AC22" s="67">
        <f t="shared" ca="1" si="2"/>
        <v>4.4802582033351257</v>
      </c>
    </row>
    <row r="23" spans="1:29" x14ac:dyDescent="0.2">
      <c r="A23" s="3"/>
      <c r="B23" s="3"/>
      <c r="C23" s="3"/>
      <c r="H23" s="297">
        <f ca="1">'Summary Calculations (hide)'!A25</f>
        <v>43654</v>
      </c>
      <c r="I23" t="str">
        <f ca="1">'Summary Calculations (hide)'!B25</f>
        <v/>
      </c>
      <c r="J23" t="str">
        <f ca="1">'Summary Calculations (hide)'!C25</f>
        <v/>
      </c>
      <c r="K23">
        <f ca="1">'Summary Calculations (hide)'!D25</f>
        <v>28</v>
      </c>
      <c r="L23" s="67">
        <f ca="1">VLOOKUP($K23,'SPC background (hide)'!$AG$2:$AS$54,3,0)</f>
        <v>1</v>
      </c>
      <c r="M23" s="67">
        <f t="shared" ca="1" si="0"/>
        <v>473.39968499999998</v>
      </c>
      <c r="N23" s="67">
        <f t="shared" ca="1" si="1"/>
        <v>135.49128017594109</v>
      </c>
      <c r="O23" s="67"/>
      <c r="P23" s="67"/>
      <c r="Q23" s="67"/>
      <c r="R23" s="5">
        <f ca="1">(VLOOKUP(K23,'Summary Calculations (hide)'!$D$15:$L$67,8,0)+VLOOKUP(K23,'Summary Calculations (hide)'!$D$15:$L$67,9,0))*IF(Summary!$C$8="Patients",'Summary Calculations (hide)'!$I$9,1)</f>
        <v>686.55743001462827</v>
      </c>
      <c r="AA23" s="67">
        <f ca="1">IF(Summary!$C$8="Patients", 'Parameters calculator (hide)'!$H$63,'Parameters calculator (hide)'!$H$62)</f>
        <v>42.562452931683694</v>
      </c>
      <c r="AB23" s="67">
        <f ca="1">IF(Summary!$C$8="Patients", 'Parameters calculator (hide)'!$I$63,'Parameters calculator (hide)'!$I$62)</f>
        <v>47.04271113501882</v>
      </c>
      <c r="AC23" s="67">
        <f t="shared" ca="1" si="2"/>
        <v>4.4802582033351257</v>
      </c>
    </row>
    <row r="24" spans="1:29" x14ac:dyDescent="0.2">
      <c r="A24" s="3"/>
      <c r="B24" s="3"/>
      <c r="C24" s="3"/>
      <c r="H24" s="297">
        <f ca="1">'Summary Calculations (hide)'!A26</f>
        <v>43661</v>
      </c>
      <c r="I24" t="str">
        <f ca="1">'Summary Calculations (hide)'!B26</f>
        <v/>
      </c>
      <c r="J24" t="str">
        <f ca="1">'Summary Calculations (hide)'!C26</f>
        <v/>
      </c>
      <c r="K24">
        <f ca="1">'Summary Calculations (hide)'!D26</f>
        <v>29</v>
      </c>
      <c r="L24" s="67">
        <f ca="1">VLOOKUP($K24,'SPC background (hide)'!$AG$2:$AS$54,3,0)</f>
        <v>1</v>
      </c>
      <c r="M24" s="67">
        <f t="shared" ca="1" si="0"/>
        <v>473.39968499999998</v>
      </c>
      <c r="N24" s="67">
        <f t="shared" ca="1" si="1"/>
        <v>135.49128017594109</v>
      </c>
      <c r="O24" s="67"/>
      <c r="P24" s="67"/>
      <c r="Q24" s="67"/>
      <c r="R24" s="5">
        <f ca="1">(VLOOKUP(K24,'Summary Calculations (hide)'!$D$15:$L$67,8,0)+VLOOKUP(K24,'Summary Calculations (hide)'!$D$15:$L$67,9,0))*IF(Summary!$C$8="Patients",'Summary Calculations (hide)'!$I$9,1)</f>
        <v>538.62639553186966</v>
      </c>
      <c r="AA24" s="67">
        <f ca="1">IF(Summary!$C$8="Patients", 'Parameters calculator (hide)'!$H$63,'Parameters calculator (hide)'!$H$62)</f>
        <v>42.562452931683694</v>
      </c>
      <c r="AB24" s="67">
        <f ca="1">IF(Summary!$C$8="Patients", 'Parameters calculator (hide)'!$I$63,'Parameters calculator (hide)'!$I$62)</f>
        <v>47.04271113501882</v>
      </c>
      <c r="AC24" s="67">
        <f t="shared" ca="1" si="2"/>
        <v>4.4802582033351257</v>
      </c>
    </row>
    <row r="25" spans="1:29" x14ac:dyDescent="0.2">
      <c r="A25" s="3"/>
      <c r="B25" s="3"/>
      <c r="C25" s="3"/>
      <c r="H25" s="297">
        <f ca="1">'Summary Calculations (hide)'!A27</f>
        <v>43668</v>
      </c>
      <c r="I25" t="str">
        <f ca="1">'Summary Calculations (hide)'!B27</f>
        <v/>
      </c>
      <c r="J25" t="str">
        <f ca="1">'Summary Calculations (hide)'!C27</f>
        <v/>
      </c>
      <c r="K25">
        <f ca="1">'Summary Calculations (hide)'!D27</f>
        <v>30</v>
      </c>
      <c r="L25" s="67">
        <f ca="1">VLOOKUP($K25,'SPC background (hide)'!$AG$2:$AS$54,3,0)</f>
        <v>1</v>
      </c>
      <c r="M25" s="67">
        <f t="shared" ca="1" si="0"/>
        <v>473.39968499999998</v>
      </c>
      <c r="N25" s="67">
        <f t="shared" ca="1" si="1"/>
        <v>135.49128017594109</v>
      </c>
      <c r="O25" s="67"/>
      <c r="P25" s="67"/>
      <c r="Q25" s="67"/>
      <c r="R25" s="5">
        <f ca="1">(VLOOKUP(K25,'Summary Calculations (hide)'!$D$15:$L$67,8,0)+VLOOKUP(K25,'Summary Calculations (hide)'!$D$15:$L$67,9,0))*IF(Summary!$C$8="Patients",'Summary Calculations (hide)'!$I$9,1)</f>
        <v>538.62639553186966</v>
      </c>
      <c r="AA25" s="67">
        <f ca="1">IF(Summary!$C$8="Patients", 'Parameters calculator (hide)'!$H$63,'Parameters calculator (hide)'!$H$62)</f>
        <v>42.562452931683694</v>
      </c>
      <c r="AB25" s="67">
        <f ca="1">IF(Summary!$C$8="Patients", 'Parameters calculator (hide)'!$I$63,'Parameters calculator (hide)'!$I$62)</f>
        <v>47.04271113501882</v>
      </c>
      <c r="AC25" s="67">
        <f t="shared" ca="1" si="2"/>
        <v>4.4802582033351257</v>
      </c>
    </row>
    <row r="26" spans="1:29" ht="15" x14ac:dyDescent="0.25">
      <c r="A26" s="3"/>
      <c r="B26" s="3"/>
      <c r="C26" s="302"/>
      <c r="H26" s="297">
        <f ca="1">'Summary Calculations (hide)'!A28</f>
        <v>43675</v>
      </c>
      <c r="I26" t="str">
        <f ca="1">'Summary Calculations (hide)'!B28</f>
        <v/>
      </c>
      <c r="J26" t="str">
        <f ca="1">'Summary Calculations (hide)'!C28</f>
        <v/>
      </c>
      <c r="K26">
        <f ca="1">'Summary Calculations (hide)'!D28</f>
        <v>31</v>
      </c>
      <c r="L26" s="67">
        <f ca="1">VLOOKUP($K26,'SPC background (hide)'!$AG$2:$AS$54,3,0)</f>
        <v>1</v>
      </c>
      <c r="M26" s="67">
        <f t="shared" ca="1" si="0"/>
        <v>473.39968499999998</v>
      </c>
      <c r="N26" s="67">
        <f t="shared" ca="1" si="1"/>
        <v>135.49128017594109</v>
      </c>
      <c r="O26" s="67"/>
      <c r="P26" s="67"/>
      <c r="Q26" s="67"/>
      <c r="R26" s="5">
        <f ca="1">(VLOOKUP(K26,'Summary Calculations (hide)'!$D$15:$L$67,8,0)+VLOOKUP(K26,'Summary Calculations (hide)'!$D$15:$L$67,9,0))*IF(Summary!$C$8="Patients",'Summary Calculations (hide)'!$I$9,1)</f>
        <v>823.10915415255943</v>
      </c>
      <c r="AA26" s="67">
        <f ca="1">IF(Summary!$C$8="Patients", 'Parameters calculator (hide)'!$H$63,'Parameters calculator (hide)'!$H$62)</f>
        <v>42.562452931683694</v>
      </c>
      <c r="AB26" s="67">
        <f ca="1">IF(Summary!$C$8="Patients", 'Parameters calculator (hide)'!$I$63,'Parameters calculator (hide)'!$I$62)</f>
        <v>47.04271113501882</v>
      </c>
      <c r="AC26" s="67">
        <f t="shared" ca="1" si="2"/>
        <v>4.4802582033351257</v>
      </c>
    </row>
    <row r="27" spans="1:29" x14ac:dyDescent="0.2">
      <c r="A27" s="3"/>
      <c r="B27" s="3"/>
      <c r="C27" s="3"/>
      <c r="H27" s="297">
        <f ca="1">'Summary Calculations (hide)'!A29</f>
        <v>43682</v>
      </c>
      <c r="I27" t="str">
        <f ca="1">'Summary Calculations (hide)'!B29</f>
        <v/>
      </c>
      <c r="J27" t="str">
        <f ca="1">'Summary Calculations (hide)'!C29</f>
        <v>Aug</v>
      </c>
      <c r="K27">
        <f ca="1">'Summary Calculations (hide)'!D29</f>
        <v>32</v>
      </c>
      <c r="L27" s="67">
        <f ca="1">VLOOKUP($K27,'SPC background (hide)'!$AG$2:$AS$54,3,0)</f>
        <v>1</v>
      </c>
      <c r="M27" s="67">
        <f t="shared" ca="1" si="0"/>
        <v>473.39968499999998</v>
      </c>
      <c r="N27" s="67">
        <f t="shared" ca="1" si="1"/>
        <v>135.49128017594109</v>
      </c>
      <c r="O27" s="67"/>
      <c r="P27" s="67"/>
      <c r="Q27" s="67"/>
      <c r="R27" s="5">
        <f ca="1">(VLOOKUP(K27,'Summary Calculations (hide)'!$D$15:$L$67,8,0)+VLOOKUP(K27,'Summary Calculations (hide)'!$D$15:$L$67,9,0))*IF(Summary!$C$8="Patients",'Summary Calculations (hide)'!$I$9,1)</f>
        <v>367.08600718945547</v>
      </c>
      <c r="AA27" s="67">
        <f ca="1">IF(Summary!$C$8="Patients", 'Parameters calculator (hide)'!$H$63,'Parameters calculator (hide)'!$H$62)</f>
        <v>42.562452931683694</v>
      </c>
      <c r="AB27" s="67">
        <f ca="1">IF(Summary!$C$8="Patients", 'Parameters calculator (hide)'!$I$63,'Parameters calculator (hide)'!$I$62)</f>
        <v>47.04271113501882</v>
      </c>
      <c r="AC27" s="67">
        <f t="shared" ca="1" si="2"/>
        <v>4.4802582033351257</v>
      </c>
    </row>
    <row r="28" spans="1:29" x14ac:dyDescent="0.2">
      <c r="A28" s="3"/>
      <c r="B28" s="3"/>
      <c r="C28" s="3"/>
      <c r="H28" s="297">
        <f ca="1">'Summary Calculations (hide)'!A30</f>
        <v>43689</v>
      </c>
      <c r="I28" t="str">
        <f ca="1">'Summary Calculations (hide)'!B30</f>
        <v/>
      </c>
      <c r="J28" t="str">
        <f ca="1">'Summary Calculations (hide)'!C30</f>
        <v/>
      </c>
      <c r="K28">
        <f ca="1">'Summary Calculations (hide)'!D30</f>
        <v>33</v>
      </c>
      <c r="L28" s="67">
        <f ca="1">VLOOKUP($K28,'SPC background (hide)'!$AG$2:$AS$54,3,0)</f>
        <v>1</v>
      </c>
      <c r="M28" s="67">
        <f t="shared" ca="1" si="0"/>
        <v>473.39968499999998</v>
      </c>
      <c r="N28" s="67">
        <f t="shared" ca="1" si="1"/>
        <v>135.49128017594109</v>
      </c>
      <c r="O28" s="67"/>
      <c r="P28" s="67"/>
      <c r="Q28" s="67"/>
      <c r="R28" s="5">
        <f ca="1">(VLOOKUP(K28,'Summary Calculations (hide)'!$D$15:$L$67,8,0)+VLOOKUP(K28,'Summary Calculations (hide)'!$D$15:$L$67,9,0))*IF(Summary!$C$8="Patients",'Summary Calculations (hide)'!$I$9,1)</f>
        <v>367.08600718945547</v>
      </c>
      <c r="AA28" s="67">
        <f ca="1">IF(Summary!$C$8="Patients", 'Parameters calculator (hide)'!$H$63,'Parameters calculator (hide)'!$H$62)</f>
        <v>42.562452931683694</v>
      </c>
      <c r="AB28" s="67">
        <f ca="1">IF(Summary!$C$8="Patients", 'Parameters calculator (hide)'!$I$63,'Parameters calculator (hide)'!$I$62)</f>
        <v>47.04271113501882</v>
      </c>
      <c r="AC28" s="67">
        <f t="shared" ca="1" si="2"/>
        <v>4.4802582033351257</v>
      </c>
    </row>
    <row r="29" spans="1:29" x14ac:dyDescent="0.2">
      <c r="A29" s="3"/>
      <c r="B29" s="3"/>
      <c r="C29" s="3"/>
      <c r="H29" s="297">
        <f ca="1">'Summary Calculations (hide)'!A31</f>
        <v>43696</v>
      </c>
      <c r="I29" t="str">
        <f ca="1">'Summary Calculations (hide)'!B31</f>
        <v/>
      </c>
      <c r="J29" t="str">
        <f ca="1">'Summary Calculations (hide)'!C31</f>
        <v/>
      </c>
      <c r="K29">
        <f ca="1">'Summary Calculations (hide)'!D31</f>
        <v>34</v>
      </c>
      <c r="L29" s="67">
        <f ca="1">VLOOKUP($K29,'SPC background (hide)'!$AG$2:$AS$54,3,0)</f>
        <v>1</v>
      </c>
      <c r="M29" s="67">
        <f t="shared" ca="1" si="0"/>
        <v>473.39968499999998</v>
      </c>
      <c r="N29" s="67">
        <f t="shared" ca="1" si="1"/>
        <v>135.49128017594109</v>
      </c>
      <c r="O29" s="67"/>
      <c r="P29" s="67"/>
      <c r="Q29" s="67"/>
      <c r="R29" s="5">
        <f ca="1">(VLOOKUP(K29,'Summary Calculations (hide)'!$D$15:$L$67,8,0)+VLOOKUP(K29,'Summary Calculations (hide)'!$D$15:$L$67,9,0))*IF(Summary!$C$8="Patients",'Summary Calculations (hide)'!$I$9,1)</f>
        <v>367.08600718945547</v>
      </c>
      <c r="AA29" s="67">
        <f ca="1">IF(Summary!$C$8="Patients", 'Parameters calculator (hide)'!$H$63,'Parameters calculator (hide)'!$H$62)</f>
        <v>42.562452931683694</v>
      </c>
      <c r="AB29" s="67">
        <f ca="1">IF(Summary!$C$8="Patients", 'Parameters calculator (hide)'!$I$63,'Parameters calculator (hide)'!$I$62)</f>
        <v>47.04271113501882</v>
      </c>
      <c r="AC29" s="67">
        <f t="shared" ca="1" si="2"/>
        <v>4.4802582033351257</v>
      </c>
    </row>
    <row r="30" spans="1:29" x14ac:dyDescent="0.2">
      <c r="A30" s="3"/>
      <c r="B30" s="3"/>
      <c r="C30" s="3"/>
      <c r="H30" s="297">
        <f ca="1">'Summary Calculations (hide)'!A32</f>
        <v>43703</v>
      </c>
      <c r="I30" t="str">
        <f ca="1">'Summary Calculations (hide)'!B32</f>
        <v/>
      </c>
      <c r="J30" t="str">
        <f ca="1">'Summary Calculations (hide)'!C32</f>
        <v/>
      </c>
      <c r="K30">
        <f ca="1">'Summary Calculations (hide)'!D32</f>
        <v>35</v>
      </c>
      <c r="L30" s="67">
        <f ca="1">VLOOKUP($K30,'SPC background (hide)'!$AG$2:$AS$54,3,0)</f>
        <v>1</v>
      </c>
      <c r="M30" s="67">
        <f t="shared" ca="1" si="0"/>
        <v>473.39968499999998</v>
      </c>
      <c r="N30" s="67">
        <f t="shared" ca="1" si="1"/>
        <v>135.49128017594109</v>
      </c>
      <c r="O30" s="67"/>
      <c r="P30" s="67"/>
      <c r="Q30" s="67"/>
      <c r="R30" s="5">
        <f ca="1">(VLOOKUP(K30,'Summary Calculations (hide)'!$D$15:$L$67,8,0)+VLOOKUP(K30,'Summary Calculations (hide)'!$D$15:$L$67,9,0))*IF(Summary!$C$8="Patients",'Summary Calculations (hide)'!$I$9,1)</f>
        <v>367.08600718945547</v>
      </c>
      <c r="AA30" s="67">
        <f ca="1">IF(Summary!$C$8="Patients", 'Parameters calculator (hide)'!$H$63,'Parameters calculator (hide)'!$H$62)</f>
        <v>42.562452931683694</v>
      </c>
      <c r="AB30" s="67">
        <f ca="1">IF(Summary!$C$8="Patients", 'Parameters calculator (hide)'!$I$63,'Parameters calculator (hide)'!$I$62)</f>
        <v>47.04271113501882</v>
      </c>
      <c r="AC30" s="67">
        <f t="shared" ca="1" si="2"/>
        <v>4.4802582033351257</v>
      </c>
    </row>
    <row r="31" spans="1:29" x14ac:dyDescent="0.2">
      <c r="A31" s="3"/>
      <c r="B31" s="3"/>
      <c r="C31" s="3"/>
      <c r="H31" s="297">
        <f ca="1">'Summary Calculations (hide)'!A33</f>
        <v>43710</v>
      </c>
      <c r="I31" t="str">
        <f ca="1">'Summary Calculations (hide)'!B33</f>
        <v/>
      </c>
      <c r="J31" t="str">
        <f ca="1">'Summary Calculations (hide)'!C33</f>
        <v>Sep</v>
      </c>
      <c r="K31">
        <f ca="1">'Summary Calculations (hide)'!D33</f>
        <v>36</v>
      </c>
      <c r="L31" s="67">
        <f ca="1">VLOOKUP($K31,'SPC background (hide)'!$AG$2:$AS$54,3,0)</f>
        <v>1</v>
      </c>
      <c r="M31" s="67">
        <f t="shared" ca="1" si="0"/>
        <v>473.39968499999998</v>
      </c>
      <c r="N31" s="67">
        <f t="shared" ca="1" si="1"/>
        <v>135.49128017594109</v>
      </c>
      <c r="O31" s="67"/>
      <c r="P31" s="67"/>
      <c r="Q31" s="67"/>
      <c r="R31" s="5">
        <f ca="1">(VLOOKUP(K31,'Summary Calculations (hide)'!$D$15:$L$67,8,0)+VLOOKUP(K31,'Summary Calculations (hide)'!$D$15:$L$67,9,0))*IF(Summary!$C$8="Patients",'Summary Calculations (hide)'!$I$9,1)</f>
        <v>367.08600718945547</v>
      </c>
      <c r="AA31" s="67">
        <f ca="1">IF(Summary!$C$8="Patients", 'Parameters calculator (hide)'!$H$63,'Parameters calculator (hide)'!$H$62)</f>
        <v>42.562452931683694</v>
      </c>
      <c r="AB31" s="67">
        <f ca="1">IF(Summary!$C$8="Patients", 'Parameters calculator (hide)'!$I$63,'Parameters calculator (hide)'!$I$62)</f>
        <v>47.04271113501882</v>
      </c>
      <c r="AC31" s="67">
        <f t="shared" ca="1" si="2"/>
        <v>4.4802582033351257</v>
      </c>
    </row>
    <row r="32" spans="1:29" x14ac:dyDescent="0.2">
      <c r="A32" s="3"/>
      <c r="B32" s="3"/>
      <c r="C32" s="3"/>
      <c r="H32" s="297">
        <f ca="1">'Summary Calculations (hide)'!A34</f>
        <v>43717</v>
      </c>
      <c r="I32" t="str">
        <f ca="1">'Summary Calculations (hide)'!B34</f>
        <v/>
      </c>
      <c r="J32" t="str">
        <f ca="1">'Summary Calculations (hide)'!C34</f>
        <v/>
      </c>
      <c r="K32">
        <f ca="1">'Summary Calculations (hide)'!D34</f>
        <v>37</v>
      </c>
      <c r="L32" s="67">
        <f ca="1">VLOOKUP($K32,'SPC background (hide)'!$AG$2:$AS$54,3,0)</f>
        <v>1</v>
      </c>
      <c r="M32" s="67">
        <f t="shared" ca="1" si="0"/>
        <v>473.39968499999998</v>
      </c>
      <c r="N32" s="67">
        <f t="shared" ca="1" si="1"/>
        <v>135.49128017594109</v>
      </c>
      <c r="O32" s="67"/>
      <c r="P32" s="67"/>
      <c r="Q32" s="67"/>
      <c r="R32" s="5">
        <f ca="1">(VLOOKUP(K32,'Summary Calculations (hide)'!$D$15:$L$67,8,0)+VLOOKUP(K32,'Summary Calculations (hide)'!$D$15:$L$67,9,0))*IF(Summary!$C$8="Patients",'Summary Calculations (hide)'!$I$9,1)</f>
        <v>367.08600718945547</v>
      </c>
      <c r="AA32" s="67">
        <f ca="1">IF(Summary!$C$8="Patients", 'Parameters calculator (hide)'!$H$63,'Parameters calculator (hide)'!$H$62)</f>
        <v>42.562452931683694</v>
      </c>
      <c r="AB32" s="67">
        <f ca="1">IF(Summary!$C$8="Patients", 'Parameters calculator (hide)'!$I$63,'Parameters calculator (hide)'!$I$62)</f>
        <v>47.04271113501882</v>
      </c>
      <c r="AC32" s="67">
        <f t="shared" ca="1" si="2"/>
        <v>4.4802582033351257</v>
      </c>
    </row>
    <row r="33" spans="1:29" x14ac:dyDescent="0.2">
      <c r="B33" t="s">
        <v>1149</v>
      </c>
      <c r="H33" s="297">
        <f ca="1">'Summary Calculations (hide)'!A35</f>
        <v>43724</v>
      </c>
      <c r="I33" t="str">
        <f ca="1">'Summary Calculations (hide)'!B35</f>
        <v/>
      </c>
      <c r="J33" t="str">
        <f ca="1">'Summary Calculations (hide)'!C35</f>
        <v/>
      </c>
      <c r="K33">
        <f ca="1">'Summary Calculations (hide)'!D35</f>
        <v>38</v>
      </c>
      <c r="L33" s="67">
        <f ca="1">VLOOKUP($K33,'SPC background (hide)'!$AG$2:$AS$54,3,0)</f>
        <v>1</v>
      </c>
      <c r="M33" s="67">
        <f t="shared" ca="1" si="0"/>
        <v>473.39968499999998</v>
      </c>
      <c r="N33" s="67">
        <f t="shared" ca="1" si="1"/>
        <v>135.49128017594109</v>
      </c>
      <c r="O33" s="67"/>
      <c r="P33" s="67"/>
      <c r="Q33" s="67"/>
      <c r="R33" s="5">
        <f ca="1">(VLOOKUP(K33,'Summary Calculations (hide)'!$D$15:$L$67,8,0)+VLOOKUP(K33,'Summary Calculations (hide)'!$D$15:$L$67,9,0))*IF(Summary!$C$8="Patients",'Summary Calculations (hide)'!$I$9,1)</f>
        <v>31.005905583793474</v>
      </c>
      <c r="AA33" s="67">
        <f ca="1">IF(Summary!$C$8="Patients", 'Parameters calculator (hide)'!$H$63,'Parameters calculator (hide)'!$H$62)</f>
        <v>42.562452931683694</v>
      </c>
      <c r="AB33" s="67">
        <f ca="1">IF(Summary!$C$8="Patients", 'Parameters calculator (hide)'!$I$63,'Parameters calculator (hide)'!$I$62)</f>
        <v>47.04271113501882</v>
      </c>
      <c r="AC33" s="67">
        <f t="shared" ca="1" si="2"/>
        <v>4.4802582033351257</v>
      </c>
    </row>
    <row r="34" spans="1:29" x14ac:dyDescent="0.2">
      <c r="A34" t="s">
        <v>1121</v>
      </c>
      <c r="B34" s="5">
        <f ca="1">'Parameters calculator (hide)'!C79</f>
        <v>2100</v>
      </c>
      <c r="H34" s="297">
        <f ca="1">'Summary Calculations (hide)'!A36</f>
        <v>43731</v>
      </c>
      <c r="I34" t="str">
        <f ca="1">'Summary Calculations (hide)'!B36</f>
        <v/>
      </c>
      <c r="J34" t="str">
        <f ca="1">'Summary Calculations (hide)'!C36</f>
        <v/>
      </c>
      <c r="K34">
        <f ca="1">'Summary Calculations (hide)'!D36</f>
        <v>39</v>
      </c>
      <c r="L34" s="67">
        <f ca="1">VLOOKUP($K34,'SPC background (hide)'!$AG$2:$AS$54,3,0)</f>
        <v>1</v>
      </c>
      <c r="M34" s="67">
        <f t="shared" ca="1" si="0"/>
        <v>473.39968499999998</v>
      </c>
      <c r="N34" s="67">
        <f t="shared" ca="1" si="1"/>
        <v>135.49128017594109</v>
      </c>
      <c r="O34" s="67"/>
      <c r="P34" s="67"/>
      <c r="Q34" s="67"/>
      <c r="R34" s="5">
        <f ca="1">(VLOOKUP(K34,'Summary Calculations (hide)'!$D$15:$L$67,8,0)+VLOOKUP(K34,'Summary Calculations (hide)'!$D$15:$L$67,9,0))*IF(Summary!$C$8="Patients",'Summary Calculations (hide)'!$I$9,1)</f>
        <v>31.005905583793474</v>
      </c>
      <c r="AA34" s="67">
        <f ca="1">IF(Summary!$C$8="Patients", 'Parameters calculator (hide)'!$H$63,'Parameters calculator (hide)'!$H$62)</f>
        <v>42.562452931683694</v>
      </c>
      <c r="AB34" s="67">
        <f ca="1">IF(Summary!$C$8="Patients", 'Parameters calculator (hide)'!$I$63,'Parameters calculator (hide)'!$I$62)</f>
        <v>47.04271113501882</v>
      </c>
      <c r="AC34" s="67">
        <f t="shared" ca="1" si="2"/>
        <v>4.4802582033351257</v>
      </c>
    </row>
    <row r="35" spans="1:29" x14ac:dyDescent="0.2">
      <c r="H35" s="297">
        <f ca="1">'Summary Calculations (hide)'!A37</f>
        <v>43738</v>
      </c>
      <c r="I35" t="str">
        <f ca="1">'Summary Calculations (hide)'!B37</f>
        <v/>
      </c>
      <c r="J35" t="str">
        <f ca="1">'Summary Calculations (hide)'!C37</f>
        <v/>
      </c>
      <c r="K35">
        <f ca="1">'Summary Calculations (hide)'!D37</f>
        <v>40</v>
      </c>
      <c r="L35" s="67">
        <f ca="1">VLOOKUP($K35,'SPC background (hide)'!$AG$2:$AS$54,3,0)</f>
        <v>1</v>
      </c>
      <c r="M35" s="67">
        <f t="shared" ca="1" si="0"/>
        <v>473.39968499999998</v>
      </c>
      <c r="N35" s="67">
        <f t="shared" ca="1" si="1"/>
        <v>135.49128017594109</v>
      </c>
      <c r="O35" s="67"/>
      <c r="P35" s="67"/>
      <c r="Q35" s="67"/>
      <c r="R35" s="5">
        <f ca="1">(VLOOKUP(K35,'Summary Calculations (hide)'!$D$15:$L$67,8,0)+VLOOKUP(K35,'Summary Calculations (hide)'!$D$15:$L$67,9,0))*IF(Summary!$C$8="Patients",'Summary Calculations (hide)'!$I$9,1)</f>
        <v>31.005905583793474</v>
      </c>
      <c r="AA35" s="67">
        <f ca="1">IF(Summary!$C$8="Patients", 'Parameters calculator (hide)'!$H$63,'Parameters calculator (hide)'!$H$62)</f>
        <v>42.562452931683694</v>
      </c>
      <c r="AB35" s="67">
        <f ca="1">IF(Summary!$C$8="Patients", 'Parameters calculator (hide)'!$I$63,'Parameters calculator (hide)'!$I$62)</f>
        <v>47.04271113501882</v>
      </c>
      <c r="AC35" s="67">
        <f t="shared" ca="1" si="2"/>
        <v>4.4802582033351257</v>
      </c>
    </row>
    <row r="36" spans="1:29" x14ac:dyDescent="0.2">
      <c r="H36" s="297">
        <f ca="1">'Summary Calculations (hide)'!A38</f>
        <v>43745</v>
      </c>
      <c r="I36" t="str">
        <f ca="1">'Summary Calculations (hide)'!B38</f>
        <v/>
      </c>
      <c r="J36" t="str">
        <f ca="1">'Summary Calculations (hide)'!C38</f>
        <v>Oct</v>
      </c>
      <c r="K36">
        <f ca="1">'Summary Calculations (hide)'!D38</f>
        <v>41</v>
      </c>
      <c r="L36" s="67">
        <f ca="1">VLOOKUP($K36,'SPC background (hide)'!$AG$2:$AS$54,3,0)</f>
        <v>1</v>
      </c>
      <c r="M36" s="67">
        <f t="shared" ca="1" si="0"/>
        <v>473.39968499999998</v>
      </c>
      <c r="N36" s="67">
        <f t="shared" ca="1" si="1"/>
        <v>135.49128017594109</v>
      </c>
      <c r="O36" s="67"/>
      <c r="P36" s="67"/>
      <c r="Q36" s="67"/>
      <c r="R36" s="5">
        <f ca="1">(VLOOKUP(K36,'Summary Calculations (hide)'!$D$15:$L$67,8,0)+VLOOKUP(K36,'Summary Calculations (hide)'!$D$15:$L$67,9,0))*IF(Summary!$C$8="Patients",'Summary Calculations (hide)'!$I$9,1)</f>
        <v>31.005905583793474</v>
      </c>
      <c r="AA36" s="67">
        <f ca="1">IF(Summary!$C$8="Patients", 'Parameters calculator (hide)'!$H$63,'Parameters calculator (hide)'!$H$62)</f>
        <v>42.562452931683694</v>
      </c>
      <c r="AB36" s="67">
        <f ca="1">IF(Summary!$C$8="Patients", 'Parameters calculator (hide)'!$I$63,'Parameters calculator (hide)'!$I$62)</f>
        <v>47.04271113501882</v>
      </c>
      <c r="AC36" s="67">
        <f t="shared" ca="1" si="2"/>
        <v>4.4802582033351257</v>
      </c>
    </row>
    <row r="37" spans="1:29" x14ac:dyDescent="0.2">
      <c r="H37" s="297">
        <f ca="1">'Summary Calculations (hide)'!A39</f>
        <v>43752</v>
      </c>
      <c r="I37" t="str">
        <f ca="1">'Summary Calculations (hide)'!B39</f>
        <v/>
      </c>
      <c r="J37" t="str">
        <f ca="1">'Summary Calculations (hide)'!C39</f>
        <v/>
      </c>
      <c r="K37">
        <f ca="1">'Summary Calculations (hide)'!D39</f>
        <v>42</v>
      </c>
      <c r="L37" s="67">
        <f ca="1">VLOOKUP($K37,'SPC background (hide)'!$AG$2:$AS$54,3,0)</f>
        <v>1</v>
      </c>
      <c r="M37" s="67">
        <f t="shared" ca="1" si="0"/>
        <v>473.39968499999998</v>
      </c>
      <c r="N37" s="67">
        <f t="shared" ca="1" si="1"/>
        <v>135.49128017594109</v>
      </c>
      <c r="O37" s="67"/>
      <c r="P37" s="67"/>
      <c r="Q37" s="67"/>
      <c r="R37" s="5">
        <f ca="1">(VLOOKUP(K37,'Summary Calculations (hide)'!$D$15:$L$67,8,0)+VLOOKUP(K37,'Summary Calculations (hide)'!$D$15:$L$67,9,0))*IF(Summary!$C$8="Patients",'Summary Calculations (hide)'!$I$9,1)</f>
        <v>538.62639553186966</v>
      </c>
      <c r="AA37" s="67">
        <f ca="1">IF(Summary!$C$8="Patients", 'Parameters calculator (hide)'!$H$63,'Parameters calculator (hide)'!$H$62)</f>
        <v>42.562452931683694</v>
      </c>
      <c r="AB37" s="67">
        <f ca="1">IF(Summary!$C$8="Patients", 'Parameters calculator (hide)'!$I$63,'Parameters calculator (hide)'!$I$62)</f>
        <v>47.04271113501882</v>
      </c>
      <c r="AC37" s="67">
        <f t="shared" ca="1" si="2"/>
        <v>4.4802582033351257</v>
      </c>
    </row>
    <row r="38" spans="1:29" x14ac:dyDescent="0.2">
      <c r="H38" s="297">
        <f ca="1">'Summary Calculations (hide)'!A40</f>
        <v>43759</v>
      </c>
      <c r="I38" t="str">
        <f ca="1">'Summary Calculations (hide)'!B40</f>
        <v/>
      </c>
      <c r="J38" t="str">
        <f ca="1">'Summary Calculations (hide)'!C40</f>
        <v/>
      </c>
      <c r="K38">
        <f ca="1">'Summary Calculations (hide)'!D40</f>
        <v>43</v>
      </c>
      <c r="L38" s="67">
        <f ca="1">VLOOKUP($K38,'SPC background (hide)'!$AG$2:$AS$54,3,0)</f>
        <v>1</v>
      </c>
      <c r="M38" s="67">
        <f t="shared" ca="1" si="0"/>
        <v>473.39968499999998</v>
      </c>
      <c r="N38" s="67">
        <f t="shared" ca="1" si="1"/>
        <v>135.49128017594109</v>
      </c>
      <c r="O38" s="67"/>
      <c r="P38" s="67"/>
      <c r="Q38" s="67"/>
      <c r="R38" s="5">
        <f ca="1">(VLOOKUP(K38,'Summary Calculations (hide)'!$D$15:$L$67,8,0)+VLOOKUP(K38,'Summary Calculations (hide)'!$D$15:$L$67,9,0))*IF(Summary!$C$8="Patients",'Summary Calculations (hide)'!$I$9,1)</f>
        <v>675.17811966980071</v>
      </c>
      <c r="AA38" s="67">
        <f ca="1">IF(Summary!$C$8="Patients", 'Parameters calculator (hide)'!$H$63,'Parameters calculator (hide)'!$H$62)</f>
        <v>42.562452931683694</v>
      </c>
      <c r="AB38" s="67">
        <f ca="1">IF(Summary!$C$8="Patients", 'Parameters calculator (hide)'!$I$63,'Parameters calculator (hide)'!$I$62)</f>
        <v>47.04271113501882</v>
      </c>
      <c r="AC38" s="67">
        <f t="shared" ca="1" si="2"/>
        <v>4.4802582033351257</v>
      </c>
    </row>
    <row r="39" spans="1:29" x14ac:dyDescent="0.2">
      <c r="H39" s="297">
        <f ca="1">'Summary Calculations (hide)'!A41</f>
        <v>43766</v>
      </c>
      <c r="I39" t="str">
        <f ca="1">'Summary Calculations (hide)'!B41</f>
        <v/>
      </c>
      <c r="J39" t="str">
        <f ca="1">'Summary Calculations (hide)'!C41</f>
        <v/>
      </c>
      <c r="K39">
        <f ca="1">'Summary Calculations (hide)'!D41</f>
        <v>44</v>
      </c>
      <c r="L39" s="67">
        <f ca="1">VLOOKUP($K39,'SPC background (hide)'!$AG$2:$AS$54,3,0)</f>
        <v>1</v>
      </c>
      <c r="M39" s="67">
        <f t="shared" ca="1" si="0"/>
        <v>473.39968499999998</v>
      </c>
      <c r="N39" s="67">
        <f t="shared" ca="1" si="1"/>
        <v>135.49128017594109</v>
      </c>
      <c r="O39" s="67"/>
      <c r="P39" s="67"/>
      <c r="Q39" s="67"/>
      <c r="R39" s="5">
        <f ca="1">(VLOOKUP(K39,'Summary Calculations (hide)'!$D$15:$L$67,8,0)+VLOOKUP(K39,'Summary Calculations (hide)'!$D$15:$L$67,9,0))*IF(Summary!$C$8="Patients",'Summary Calculations (hide)'!$I$9,1)</f>
        <v>675.17811966980071</v>
      </c>
      <c r="AA39" s="67">
        <f ca="1">IF(Summary!$C$8="Patients", 'Parameters calculator (hide)'!$H$63,'Parameters calculator (hide)'!$H$62)</f>
        <v>42.562452931683694</v>
      </c>
      <c r="AB39" s="67">
        <f ca="1">IF(Summary!$C$8="Patients", 'Parameters calculator (hide)'!$I$63,'Parameters calculator (hide)'!$I$62)</f>
        <v>47.04271113501882</v>
      </c>
      <c r="AC39" s="67">
        <f t="shared" ca="1" si="2"/>
        <v>4.4802582033351257</v>
      </c>
    </row>
    <row r="40" spans="1:29" x14ac:dyDescent="0.2">
      <c r="H40" s="297">
        <f ca="1">'Summary Calculations (hide)'!A42</f>
        <v>43773</v>
      </c>
      <c r="I40" t="str">
        <f ca="1">'Summary Calculations (hide)'!B42</f>
        <v/>
      </c>
      <c r="J40" t="str">
        <f ca="1">'Summary Calculations (hide)'!C42</f>
        <v>Nov</v>
      </c>
      <c r="K40">
        <f ca="1">'Summary Calculations (hide)'!D42</f>
        <v>45</v>
      </c>
      <c r="L40" s="67">
        <f ca="1">VLOOKUP($K40,'SPC background (hide)'!$AG$2:$AS$54,3,0)</f>
        <v>1</v>
      </c>
      <c r="M40" s="67">
        <f t="shared" ca="1" si="0"/>
        <v>473.39968499999998</v>
      </c>
      <c r="N40" s="67">
        <f t="shared" ca="1" si="1"/>
        <v>135.49128017594109</v>
      </c>
      <c r="O40" s="67"/>
      <c r="P40" s="67"/>
      <c r="Q40" s="67"/>
      <c r="R40" s="5">
        <f ca="1">(VLOOKUP(K40,'Summary Calculations (hide)'!$D$15:$L$67,8,0)+VLOOKUP(K40,'Summary Calculations (hide)'!$D$15:$L$67,9,0))*IF(Summary!$C$8="Patients",'Summary Calculations (hide)'!$I$9,1)</f>
        <v>823.10915415255943</v>
      </c>
      <c r="AA40" s="67">
        <f ca="1">IF(Summary!$C$8="Patients", 'Parameters calculator (hide)'!$H$63,'Parameters calculator (hide)'!$H$62)</f>
        <v>42.562452931683694</v>
      </c>
      <c r="AB40" s="67">
        <f ca="1">IF(Summary!$C$8="Patients", 'Parameters calculator (hide)'!$I$63,'Parameters calculator (hide)'!$I$62)</f>
        <v>47.04271113501882</v>
      </c>
      <c r="AC40" s="67">
        <f t="shared" ca="1" si="2"/>
        <v>4.4802582033351257</v>
      </c>
    </row>
    <row r="41" spans="1:29" x14ac:dyDescent="0.2">
      <c r="H41" s="297">
        <f ca="1">'Summary Calculations (hide)'!A43</f>
        <v>43780</v>
      </c>
      <c r="I41" t="str">
        <f ca="1">'Summary Calculations (hide)'!B43</f>
        <v/>
      </c>
      <c r="J41" t="str">
        <f ca="1">'Summary Calculations (hide)'!C43</f>
        <v/>
      </c>
      <c r="K41">
        <f ca="1">'Summary Calculations (hide)'!D43</f>
        <v>46</v>
      </c>
      <c r="L41" s="67">
        <f ca="1">VLOOKUP($K41,'SPC background (hide)'!$AG$2:$AS$54,3,0)</f>
        <v>1</v>
      </c>
      <c r="M41" s="67">
        <f t="shared" ca="1" si="0"/>
        <v>473.39968499999998</v>
      </c>
      <c r="N41" s="67">
        <f t="shared" ca="1" si="1"/>
        <v>135.49128017594109</v>
      </c>
      <c r="O41" s="67"/>
      <c r="P41" s="67"/>
      <c r="Q41" s="67"/>
      <c r="R41" s="5">
        <f ca="1">(VLOOKUP(K41,'Summary Calculations (hide)'!$D$15:$L$67,8,0)+VLOOKUP(K41,'Summary Calculations (hide)'!$D$15:$L$67,9,0))*IF(Summary!$C$8="Patients",'Summary Calculations (hide)'!$I$9,1)</f>
        <v>823.10915415255943</v>
      </c>
      <c r="AA41" s="67">
        <f ca="1">IF(Summary!$C$8="Patients", 'Parameters calculator (hide)'!$H$63,'Parameters calculator (hide)'!$H$62)</f>
        <v>42.562452931683694</v>
      </c>
      <c r="AB41" s="67">
        <f ca="1">IF(Summary!$C$8="Patients", 'Parameters calculator (hide)'!$I$63,'Parameters calculator (hide)'!$I$62)</f>
        <v>47.04271113501882</v>
      </c>
      <c r="AC41" s="67">
        <f t="shared" ca="1" si="2"/>
        <v>4.4802582033351257</v>
      </c>
    </row>
    <row r="42" spans="1:29" x14ac:dyDescent="0.2">
      <c r="H42" s="297">
        <f ca="1">'Summary Calculations (hide)'!A44</f>
        <v>43787</v>
      </c>
      <c r="I42" t="str">
        <f ca="1">'Summary Calculations (hide)'!B44</f>
        <v/>
      </c>
      <c r="J42" t="str">
        <f ca="1">'Summary Calculations (hide)'!C44</f>
        <v/>
      </c>
      <c r="K42">
        <f ca="1">'Summary Calculations (hide)'!D44</f>
        <v>47</v>
      </c>
      <c r="L42" s="67">
        <f ca="1">VLOOKUP($K42,'SPC background (hide)'!$AG$2:$AS$54,3,0)</f>
        <v>1</v>
      </c>
      <c r="M42" s="67">
        <f t="shared" ca="1" si="0"/>
        <v>473.39968499999998</v>
      </c>
      <c r="N42" s="67">
        <f t="shared" ca="1" si="1"/>
        <v>135.49128017594109</v>
      </c>
      <c r="O42" s="67"/>
      <c r="P42" s="67"/>
      <c r="Q42" s="67"/>
      <c r="R42" s="5">
        <f ca="1">(VLOOKUP(K42,'Summary Calculations (hide)'!$D$15:$L$67,8,0)+VLOOKUP(K42,'Summary Calculations (hide)'!$D$15:$L$67,9,0))*IF(Summary!$C$8="Patients",'Summary Calculations (hide)'!$I$9,1)</f>
        <v>675.17811966980071</v>
      </c>
      <c r="AA42" s="67">
        <f ca="1">IF(Summary!$C$8="Patients", 'Parameters calculator (hide)'!$H$63,'Parameters calculator (hide)'!$H$62)</f>
        <v>42.562452931683694</v>
      </c>
      <c r="AB42" s="67">
        <f ca="1">IF(Summary!$C$8="Patients", 'Parameters calculator (hide)'!$I$63,'Parameters calculator (hide)'!$I$62)</f>
        <v>47.04271113501882</v>
      </c>
      <c r="AC42" s="67">
        <f t="shared" ca="1" si="2"/>
        <v>4.4802582033351257</v>
      </c>
    </row>
    <row r="43" spans="1:29" x14ac:dyDescent="0.2">
      <c r="H43" s="297">
        <f ca="1">'Summary Calculations (hide)'!A45</f>
        <v>43794</v>
      </c>
      <c r="I43" t="str">
        <f ca="1">'Summary Calculations (hide)'!B45</f>
        <v/>
      </c>
      <c r="J43" t="str">
        <f ca="1">'Summary Calculations (hide)'!C45</f>
        <v/>
      </c>
      <c r="K43">
        <f ca="1">'Summary Calculations (hide)'!D45</f>
        <v>48</v>
      </c>
      <c r="L43" s="67">
        <f ca="1">VLOOKUP($K43,'SPC background (hide)'!$AG$2:$AS$54,3,0)</f>
        <v>1</v>
      </c>
      <c r="M43" s="67">
        <f t="shared" ca="1" si="0"/>
        <v>473.39968499999998</v>
      </c>
      <c r="N43" s="67">
        <f t="shared" ca="1" si="1"/>
        <v>135.49128017594109</v>
      </c>
      <c r="O43" s="67"/>
      <c r="P43" s="67"/>
      <c r="Q43" s="67"/>
      <c r="R43" s="5">
        <f ca="1">(VLOOKUP(K43,'Summary Calculations (hide)'!$D$15:$L$67,8,0)+VLOOKUP(K43,'Summary Calculations (hide)'!$D$15:$L$67,9,0))*IF(Summary!$C$8="Patients",'Summary Calculations (hide)'!$I$9,1)</f>
        <v>675.17811966980071</v>
      </c>
      <c r="AA43" s="67">
        <f ca="1">IF(Summary!$C$8="Patients", 'Parameters calculator (hide)'!$H$63,'Parameters calculator (hide)'!$H$62)</f>
        <v>42.562452931683694</v>
      </c>
      <c r="AB43" s="67">
        <f ca="1">IF(Summary!$C$8="Patients", 'Parameters calculator (hide)'!$I$63,'Parameters calculator (hide)'!$I$62)</f>
        <v>47.04271113501882</v>
      </c>
      <c r="AC43" s="67">
        <f t="shared" ca="1" si="2"/>
        <v>4.4802582033351257</v>
      </c>
    </row>
    <row r="44" spans="1:29" x14ac:dyDescent="0.2">
      <c r="H44" s="297">
        <f ca="1">'Summary Calculations (hide)'!A46</f>
        <v>43801</v>
      </c>
      <c r="I44" t="str">
        <f ca="1">'Summary Calculations (hide)'!B46</f>
        <v/>
      </c>
      <c r="J44" t="str">
        <f ca="1">'Summary Calculations (hide)'!C46</f>
        <v>Dec</v>
      </c>
      <c r="K44">
        <f ca="1">'Summary Calculations (hide)'!D46</f>
        <v>49</v>
      </c>
      <c r="L44" s="67">
        <f ca="1">VLOOKUP($K44,'SPC background (hide)'!$AG$2:$AS$54,3,0)</f>
        <v>1</v>
      </c>
      <c r="M44" s="67">
        <f t="shared" ca="1" si="0"/>
        <v>473.39968499999998</v>
      </c>
      <c r="N44" s="67">
        <f t="shared" ca="1" si="1"/>
        <v>135.49128017594109</v>
      </c>
      <c r="O44" s="67"/>
      <c r="P44" s="67"/>
      <c r="Q44" s="67"/>
      <c r="R44" s="5">
        <f ca="1">(VLOOKUP(K44,'Summary Calculations (hide)'!$D$15:$L$67,8,0)+VLOOKUP(K44,'Summary Calculations (hide)'!$D$15:$L$67,9,0))*IF(Summary!$C$8="Patients",'Summary Calculations (hide)'!$I$9,1)</f>
        <v>675.17811966980071</v>
      </c>
      <c r="AA44" s="67">
        <f ca="1">IF(Summary!$C$8="Patients", 'Parameters calculator (hide)'!$H$63,'Parameters calculator (hide)'!$H$62)</f>
        <v>42.562452931683694</v>
      </c>
      <c r="AB44" s="67">
        <f ca="1">IF(Summary!$C$8="Patients", 'Parameters calculator (hide)'!$I$63,'Parameters calculator (hide)'!$I$62)</f>
        <v>47.04271113501882</v>
      </c>
      <c r="AC44" s="67">
        <f t="shared" ca="1" si="2"/>
        <v>4.4802582033351257</v>
      </c>
    </row>
    <row r="45" spans="1:29" x14ac:dyDescent="0.2">
      <c r="H45" s="297">
        <f ca="1">'Summary Calculations (hide)'!A47</f>
        <v>43808</v>
      </c>
      <c r="I45" t="str">
        <f ca="1">'Summary Calculations (hide)'!B47</f>
        <v/>
      </c>
      <c r="J45" t="str">
        <f ca="1">'Summary Calculations (hide)'!C47</f>
        <v/>
      </c>
      <c r="K45">
        <f ca="1">'Summary Calculations (hide)'!D47</f>
        <v>50</v>
      </c>
      <c r="L45" s="67">
        <f ca="1">VLOOKUP($K45,'SPC background (hide)'!$AG$2:$AS$54,3,0)</f>
        <v>1</v>
      </c>
      <c r="M45" s="67">
        <f t="shared" ca="1" si="0"/>
        <v>473.39968499999998</v>
      </c>
      <c r="N45" s="67">
        <f t="shared" ca="1" si="1"/>
        <v>135.49128017594109</v>
      </c>
      <c r="O45" s="67"/>
      <c r="P45" s="67"/>
      <c r="Q45" s="67"/>
      <c r="R45" s="5">
        <f ca="1">(VLOOKUP(K45,'Summary Calculations (hide)'!$D$15:$L$67,8,0)+VLOOKUP(K45,'Summary Calculations (hide)'!$D$15:$L$67,9,0))*IF(Summary!$C$8="Patients",'Summary Calculations (hide)'!$I$9,1)</f>
        <v>675.17811966980071</v>
      </c>
      <c r="AA45" s="67">
        <f ca="1">IF(Summary!$C$8="Patients", 'Parameters calculator (hide)'!$H$63,'Parameters calculator (hide)'!$H$62)</f>
        <v>42.562452931683694</v>
      </c>
      <c r="AB45" s="67">
        <f ca="1">IF(Summary!$C$8="Patients", 'Parameters calculator (hide)'!$I$63,'Parameters calculator (hide)'!$I$62)</f>
        <v>47.04271113501882</v>
      </c>
      <c r="AC45" s="67">
        <f t="shared" ca="1" si="2"/>
        <v>4.4802582033351257</v>
      </c>
    </row>
    <row r="46" spans="1:29" x14ac:dyDescent="0.2">
      <c r="H46" s="297">
        <f ca="1">'Summary Calculations (hide)'!A48</f>
        <v>43815</v>
      </c>
      <c r="I46" t="str">
        <f ca="1">'Summary Calculations (hide)'!B48</f>
        <v/>
      </c>
      <c r="J46" t="str">
        <f ca="1">'Summary Calculations (hide)'!C48</f>
        <v/>
      </c>
      <c r="K46">
        <f ca="1">'Summary Calculations (hide)'!D48</f>
        <v>51</v>
      </c>
      <c r="L46" s="67">
        <f ca="1">VLOOKUP($K46,'SPC background (hide)'!$AG$2:$AS$54,3,0)</f>
        <v>1</v>
      </c>
      <c r="M46" s="67">
        <f t="shared" ca="1" si="0"/>
        <v>473.39968499999998</v>
      </c>
      <c r="N46" s="67">
        <f t="shared" ca="1" si="1"/>
        <v>135.49128017594109</v>
      </c>
      <c r="O46" s="67"/>
      <c r="P46" s="67"/>
      <c r="Q46" s="67"/>
      <c r="R46" s="5">
        <f ca="1">(VLOOKUP(K46,'Summary Calculations (hide)'!$D$15:$L$67,8,0)+VLOOKUP(K46,'Summary Calculations (hide)'!$D$15:$L$67,9,0))*IF(Summary!$C$8="Patients",'Summary Calculations (hide)'!$I$9,1)</f>
        <v>155.09787963161278</v>
      </c>
      <c r="AA46" s="67">
        <f ca="1">IF(Summary!$C$8="Patients", 'Parameters calculator (hide)'!$H$63,'Parameters calculator (hide)'!$H$62)</f>
        <v>42.562452931683694</v>
      </c>
      <c r="AB46" s="67">
        <f ca="1">IF(Summary!$C$8="Patients", 'Parameters calculator (hide)'!$I$63,'Parameters calculator (hide)'!$I$62)</f>
        <v>47.04271113501882</v>
      </c>
      <c r="AC46" s="67">
        <f t="shared" ca="1" si="2"/>
        <v>4.4802582033351257</v>
      </c>
    </row>
    <row r="47" spans="1:29" x14ac:dyDescent="0.2">
      <c r="H47" s="297">
        <f ca="1">'Summary Calculations (hide)'!A49</f>
        <v>43822</v>
      </c>
      <c r="I47" t="str">
        <f ca="1">'Summary Calculations (hide)'!B49</f>
        <v/>
      </c>
      <c r="J47" t="str">
        <f ca="1">'Summary Calculations (hide)'!C49</f>
        <v/>
      </c>
      <c r="K47">
        <f ca="1">'Summary Calculations (hide)'!D49</f>
        <v>52</v>
      </c>
      <c r="L47" s="67">
        <f ca="1">VLOOKUP($K47,'SPC background (hide)'!$AG$2:$AS$54,3,0)</f>
        <v>1</v>
      </c>
      <c r="M47" s="67">
        <f t="shared" ca="1" si="0"/>
        <v>473.39968499999998</v>
      </c>
      <c r="N47" s="67">
        <f t="shared" ca="1" si="1"/>
        <v>135.49128017594109</v>
      </c>
      <c r="O47" s="67"/>
      <c r="P47" s="67"/>
      <c r="Q47" s="67"/>
      <c r="R47" s="5">
        <f ca="1">(VLOOKUP(K47,'Summary Calculations (hide)'!$D$15:$L$67,8,0)+VLOOKUP(K47,'Summary Calculations (hide)'!$D$15:$L$67,9,0))*IF(Summary!$C$8="Patients",'Summary Calculations (hide)'!$I$9,1)</f>
        <v>155.09787963161278</v>
      </c>
      <c r="AA47" s="67">
        <f ca="1">IF(Summary!$C$8="Patients", 'Parameters calculator (hide)'!$H$63,'Parameters calculator (hide)'!$H$62)</f>
        <v>42.562452931683694</v>
      </c>
      <c r="AB47" s="67">
        <f ca="1">IF(Summary!$C$8="Patients", 'Parameters calculator (hide)'!$I$63,'Parameters calculator (hide)'!$I$62)</f>
        <v>47.04271113501882</v>
      </c>
      <c r="AC47" s="67">
        <f t="shared" ca="1" si="2"/>
        <v>4.4802582033351257</v>
      </c>
    </row>
    <row r="48" spans="1:29" x14ac:dyDescent="0.2">
      <c r="H48" s="297">
        <f ca="1">'Summary Calculations (hide)'!A50</f>
        <v>43829</v>
      </c>
      <c r="I48" t="str">
        <f ca="1">'Summary Calculations (hide)'!B50</f>
        <v/>
      </c>
      <c r="J48" t="str">
        <f ca="1">'Summary Calculations (hide)'!C50</f>
        <v/>
      </c>
      <c r="K48">
        <f ca="1">'Summary Calculations (hide)'!D50</f>
        <v>1</v>
      </c>
      <c r="L48" s="67">
        <f ca="1">VLOOKUP($K48,'SPC background (hide)'!$AG$2:$AS$54,3,0)</f>
        <v>1</v>
      </c>
      <c r="M48" s="67">
        <f t="shared" ca="1" si="0"/>
        <v>473.39968499999998</v>
      </c>
      <c r="N48" s="67">
        <f t="shared" ca="1" si="1"/>
        <v>135.49128017594109</v>
      </c>
      <c r="O48" s="67"/>
      <c r="P48" s="67"/>
      <c r="Q48" s="67"/>
      <c r="R48" s="5">
        <f ca="1">(VLOOKUP(K48,'Summary Calculations (hide)'!$D$15:$L$67,8,0)+VLOOKUP(K48,'Summary Calculations (hide)'!$D$15:$L$67,9,0))*IF(Summary!$C$8="Patients",'Summary Calculations (hide)'!$I$9,1)</f>
        <v>155.09787963161278</v>
      </c>
      <c r="AA48" s="67">
        <f ca="1">IF(Summary!$C$8="Patients", 'Parameters calculator (hide)'!$H$63,'Parameters calculator (hide)'!$H$62)</f>
        <v>42.562452931683694</v>
      </c>
      <c r="AB48" s="67">
        <f ca="1">IF(Summary!$C$8="Patients", 'Parameters calculator (hide)'!$I$63,'Parameters calculator (hide)'!$I$62)</f>
        <v>47.04271113501882</v>
      </c>
      <c r="AC48" s="67">
        <f t="shared" ca="1" si="2"/>
        <v>4.4802582033351257</v>
      </c>
    </row>
    <row r="49" spans="8:29" x14ac:dyDescent="0.2">
      <c r="H49" s="297">
        <f ca="1">'Summary Calculations (hide)'!A51</f>
        <v>43836</v>
      </c>
      <c r="I49">
        <f ca="1">'Summary Calculations (hide)'!B51</f>
        <v>2020</v>
      </c>
      <c r="J49" t="str">
        <f ca="1">'Summary Calculations (hide)'!C51</f>
        <v>Jan</v>
      </c>
      <c r="K49">
        <f ca="1">'Summary Calculations (hide)'!D51</f>
        <v>2</v>
      </c>
      <c r="L49" s="67">
        <f ca="1">VLOOKUP($K49,'SPC background (hide)'!$AG$2:$AS$54,3,0)</f>
        <v>1</v>
      </c>
      <c r="M49" s="67">
        <f t="shared" ca="1" si="0"/>
        <v>473.39968499999998</v>
      </c>
      <c r="N49" s="67">
        <f t="shared" ca="1" si="1"/>
        <v>135.49128017594109</v>
      </c>
      <c r="O49" s="67"/>
      <c r="P49" s="67"/>
      <c r="Q49" s="67"/>
      <c r="R49" s="5">
        <f ca="1">(VLOOKUP(K49,'Summary Calculations (hide)'!$D$15:$L$67,8,0)+VLOOKUP(K49,'Summary Calculations (hide)'!$D$15:$L$67,9,0))*IF(Summary!$C$8="Patients",'Summary Calculations (hide)'!$I$9,1)</f>
        <v>303.02891411437145</v>
      </c>
      <c r="AA49" s="67">
        <f ca="1">IF(Summary!$C$8="Patients", 'Parameters calculator (hide)'!$H$63,'Parameters calculator (hide)'!$H$62)</f>
        <v>42.562452931683694</v>
      </c>
      <c r="AB49" s="67">
        <f ca="1">IF(Summary!$C$8="Patients", 'Parameters calculator (hide)'!$I$63,'Parameters calculator (hide)'!$I$62)</f>
        <v>47.04271113501882</v>
      </c>
      <c r="AC49" s="67">
        <f t="shared" ca="1" si="2"/>
        <v>4.4802582033351257</v>
      </c>
    </row>
    <row r="50" spans="8:29" x14ac:dyDescent="0.2">
      <c r="H50" s="297">
        <f ca="1">'Summary Calculations (hide)'!A52</f>
        <v>43843</v>
      </c>
      <c r="I50" t="str">
        <f ca="1">'Summary Calculations (hide)'!B52</f>
        <v/>
      </c>
      <c r="J50" t="str">
        <f ca="1">'Summary Calculations (hide)'!C52</f>
        <v/>
      </c>
      <c r="K50">
        <f ca="1">'Summary Calculations (hide)'!D52</f>
        <v>3</v>
      </c>
      <c r="L50" s="67">
        <f ca="1">VLOOKUP($K50,'SPC background (hide)'!$AG$2:$AS$54,3,0)</f>
        <v>1</v>
      </c>
      <c r="M50" s="67">
        <f t="shared" ca="1" si="0"/>
        <v>473.39968499999998</v>
      </c>
      <c r="N50" s="67">
        <f t="shared" ca="1" si="1"/>
        <v>135.49128017594109</v>
      </c>
      <c r="O50" s="67"/>
      <c r="P50" s="67"/>
      <c r="Q50" s="67"/>
      <c r="R50" s="5">
        <f ca="1">(VLOOKUP(K50,'Summary Calculations (hide)'!$D$15:$L$67,8,0)+VLOOKUP(K50,'Summary Calculations (hide)'!$D$15:$L$67,9,0))*IF(Summary!$C$8="Patients",'Summary Calculations (hide)'!$I$9,1)</f>
        <v>155.09787963161278</v>
      </c>
      <c r="AA50" s="67">
        <f ca="1">IF(Summary!$C$8="Patients", 'Parameters calculator (hide)'!$H$63,'Parameters calculator (hide)'!$H$62)</f>
        <v>42.562452931683694</v>
      </c>
      <c r="AB50" s="67">
        <f ca="1">IF(Summary!$C$8="Patients", 'Parameters calculator (hide)'!$I$63,'Parameters calculator (hide)'!$I$62)</f>
        <v>47.04271113501882</v>
      </c>
      <c r="AC50" s="67">
        <f t="shared" ca="1" si="2"/>
        <v>4.4802582033351257</v>
      </c>
    </row>
    <row r="51" spans="8:29" x14ac:dyDescent="0.2">
      <c r="H51" s="297">
        <f ca="1">'Summary Calculations (hide)'!A53</f>
        <v>43850</v>
      </c>
      <c r="I51" t="str">
        <f ca="1">'Summary Calculations (hide)'!B53</f>
        <v/>
      </c>
      <c r="J51" t="str">
        <f ca="1">'Summary Calculations (hide)'!C53</f>
        <v/>
      </c>
      <c r="K51">
        <f ca="1">'Summary Calculations (hide)'!D53</f>
        <v>4</v>
      </c>
      <c r="L51" s="67">
        <f ca="1">VLOOKUP($K51,'SPC background (hide)'!$AG$2:$AS$54,3,0)</f>
        <v>1</v>
      </c>
      <c r="M51" s="67">
        <f t="shared" ca="1" si="0"/>
        <v>473.39968499999998</v>
      </c>
      <c r="N51" s="67">
        <f t="shared" ca="1" si="1"/>
        <v>135.49128017594109</v>
      </c>
      <c r="O51" s="67"/>
      <c r="P51" s="67"/>
      <c r="Q51" s="67"/>
      <c r="R51" s="5">
        <f ca="1">(VLOOKUP(K51,'Summary Calculations (hide)'!$D$15:$L$67,8,0)+VLOOKUP(K51,'Summary Calculations (hide)'!$D$15:$L$67,9,0))*IF(Summary!$C$8="Patients",'Summary Calculations (hide)'!$I$9,1)</f>
        <v>538.62639553186966</v>
      </c>
      <c r="AA51" s="67">
        <f ca="1">IF(Summary!$C$8="Patients", 'Parameters calculator (hide)'!$H$63,'Parameters calculator (hide)'!$H$62)</f>
        <v>42.562452931683694</v>
      </c>
      <c r="AB51" s="67">
        <f ca="1">IF(Summary!$C$8="Patients", 'Parameters calculator (hide)'!$I$63,'Parameters calculator (hide)'!$I$62)</f>
        <v>47.04271113501882</v>
      </c>
      <c r="AC51" s="67">
        <f t="shared" ca="1" si="2"/>
        <v>4.4802582033351257</v>
      </c>
    </row>
    <row r="52" spans="8:29" x14ac:dyDescent="0.2">
      <c r="H52" s="297">
        <f ca="1">'Summary Calculations (hide)'!A54</f>
        <v>43857</v>
      </c>
      <c r="I52" t="str">
        <f ca="1">'Summary Calculations (hide)'!B54</f>
        <v/>
      </c>
      <c r="J52" t="str">
        <f ca="1">'Summary Calculations (hide)'!C54</f>
        <v/>
      </c>
      <c r="K52">
        <f ca="1">'Summary Calculations (hide)'!D54</f>
        <v>5</v>
      </c>
      <c r="L52" s="67">
        <f ca="1">VLOOKUP($K52,'SPC background (hide)'!$AG$2:$AS$54,3,0)</f>
        <v>1</v>
      </c>
      <c r="M52" s="67">
        <f t="shared" ca="1" si="0"/>
        <v>473.39968499999998</v>
      </c>
      <c r="N52" s="67">
        <f t="shared" ca="1" si="1"/>
        <v>135.49128017594109</v>
      </c>
      <c r="O52" s="67"/>
      <c r="P52" s="67"/>
      <c r="Q52" s="67"/>
      <c r="R52" s="5">
        <f ca="1">(VLOOKUP(K52,'Summary Calculations (hide)'!$D$15:$L$67,8,0)+VLOOKUP(K52,'Summary Calculations (hide)'!$D$15:$L$67,9,0))*IF(Summary!$C$8="Patients",'Summary Calculations (hide)'!$I$9,1)</f>
        <v>538.62639553186966</v>
      </c>
      <c r="AA52" s="67">
        <f ca="1">IF(Summary!$C$8="Patients", 'Parameters calculator (hide)'!$H$63,'Parameters calculator (hide)'!$H$62)</f>
        <v>42.562452931683694</v>
      </c>
      <c r="AB52" s="67">
        <f ca="1">IF(Summary!$C$8="Patients", 'Parameters calculator (hide)'!$I$63,'Parameters calculator (hide)'!$I$62)</f>
        <v>47.04271113501882</v>
      </c>
      <c r="AC52" s="67">
        <f t="shared" ca="1" si="2"/>
        <v>4.4802582033351257</v>
      </c>
    </row>
    <row r="53" spans="8:29" x14ac:dyDescent="0.2">
      <c r="H53" s="297">
        <f ca="1">'Summary Calculations (hide)'!A55</f>
        <v>43864</v>
      </c>
      <c r="I53" t="str">
        <f ca="1">'Summary Calculations (hide)'!B55</f>
        <v/>
      </c>
      <c r="J53" t="str">
        <f ca="1">'Summary Calculations (hide)'!C55</f>
        <v>Feb</v>
      </c>
      <c r="K53">
        <f ca="1">'Summary Calculations (hide)'!D55</f>
        <v>6</v>
      </c>
      <c r="L53" s="67">
        <f ca="1">VLOOKUP($K53,'SPC background (hide)'!$AG$2:$AS$54,3,0)</f>
        <v>5</v>
      </c>
      <c r="M53" s="67">
        <f t="shared" ca="1" si="0"/>
        <v>473.39968499999998</v>
      </c>
      <c r="N53" s="67">
        <f t="shared" ca="1" si="1"/>
        <v>135.49128017594109</v>
      </c>
      <c r="O53" s="67"/>
      <c r="P53" s="67"/>
      <c r="Q53" s="67"/>
      <c r="R53" s="5">
        <f ca="1">(VLOOKUP(K53,'Summary Calculations (hide)'!$D$15:$L$67,8,0)+VLOOKUP(K53,'Summary Calculations (hide)'!$D$15:$L$67,9,0))*IF(Summary!$C$8="Patients",'Summary Calculations (hide)'!$I$9,1)</f>
        <v>31.005905583793474</v>
      </c>
      <c r="AA53" s="67">
        <f ca="1">IF(Summary!$C$8="Patients", 'Parameters calculator (hide)'!$H$63,'Parameters calculator (hide)'!$H$62)</f>
        <v>42.562452931683694</v>
      </c>
      <c r="AB53" s="67">
        <f ca="1">IF(Summary!$C$8="Patients", 'Parameters calculator (hide)'!$I$63,'Parameters calculator (hide)'!$I$62)</f>
        <v>47.04271113501882</v>
      </c>
      <c r="AC53" s="67">
        <f t="shared" ca="1" si="2"/>
        <v>4.4802582033351257</v>
      </c>
    </row>
    <row r="54" spans="8:29" x14ac:dyDescent="0.2">
      <c r="H54" s="297">
        <f ca="1">'Summary Calculations (hide)'!A56</f>
        <v>43871</v>
      </c>
      <c r="I54" t="str">
        <f ca="1">'Summary Calculations (hide)'!B56</f>
        <v/>
      </c>
      <c r="J54" t="str">
        <f ca="1">'Summary Calculations (hide)'!C56</f>
        <v/>
      </c>
      <c r="K54">
        <f ca="1">'Summary Calculations (hide)'!D56</f>
        <v>7</v>
      </c>
      <c r="L54" s="67">
        <f ca="1">VLOOKUP($K54,'SPC background (hide)'!$AG$2:$AS$54,3,0)</f>
        <v>1</v>
      </c>
      <c r="M54" s="67">
        <f t="shared" ca="1" si="0"/>
        <v>473.39968499999998</v>
      </c>
      <c r="N54" s="67">
        <f t="shared" ca="1" si="1"/>
        <v>135.49128017594109</v>
      </c>
      <c r="O54" s="67"/>
      <c r="P54" s="67"/>
      <c r="Q54" s="67"/>
      <c r="R54" s="5">
        <f ca="1">(VLOOKUP(K54,'Summary Calculations (hide)'!$D$15:$L$67,8,0)+VLOOKUP(K54,'Summary Calculations (hide)'!$D$15:$L$67,9,0))*IF(Summary!$C$8="Patients",'Summary Calculations (hide)'!$I$9,1)</f>
        <v>538.62639553186966</v>
      </c>
      <c r="AA54" s="67">
        <f ca="1">IF(Summary!$C$8="Patients", 'Parameters calculator (hide)'!$H$63,'Parameters calculator (hide)'!$H$62)</f>
        <v>42.562452931683694</v>
      </c>
      <c r="AB54" s="67">
        <f ca="1">IF(Summary!$C$8="Patients", 'Parameters calculator (hide)'!$I$63,'Parameters calculator (hide)'!$I$62)</f>
        <v>47.04271113501882</v>
      </c>
      <c r="AC54" s="67">
        <f t="shared" ca="1" si="2"/>
        <v>4.4802582033351257</v>
      </c>
    </row>
    <row r="55" spans="8:29" x14ac:dyDescent="0.2">
      <c r="H55" s="297">
        <f ca="1">'Summary Calculations (hide)'!A57</f>
        <v>43878</v>
      </c>
      <c r="I55" t="str">
        <f ca="1">'Summary Calculations (hide)'!B57</f>
        <v/>
      </c>
      <c r="J55" t="str">
        <f ca="1">'Summary Calculations (hide)'!C57</f>
        <v/>
      </c>
      <c r="K55">
        <f ca="1">'Summary Calculations (hide)'!D57</f>
        <v>8</v>
      </c>
      <c r="L55" s="67">
        <f ca="1">VLOOKUP($K55,'SPC background (hide)'!$AG$2:$AS$54,3,0)</f>
        <v>1</v>
      </c>
      <c r="M55" s="67">
        <f t="shared" ca="1" si="0"/>
        <v>473.39968499999998</v>
      </c>
      <c r="N55" s="67">
        <f t="shared" ca="1" si="1"/>
        <v>135.49128017594109</v>
      </c>
      <c r="O55" s="67"/>
      <c r="P55" s="67"/>
      <c r="Q55" s="67"/>
      <c r="R55" s="5">
        <f ca="1">(VLOOKUP(K55,'Summary Calculations (hide)'!$D$15:$L$67,8,0)+VLOOKUP(K55,'Summary Calculations (hide)'!$D$15:$L$67,9,0))*IF(Summary!$C$8="Patients",'Summary Calculations (hide)'!$I$9,1)</f>
        <v>538.62639553186966</v>
      </c>
      <c r="AA55" s="67">
        <f ca="1">IF(Summary!$C$8="Patients", 'Parameters calculator (hide)'!$H$63,'Parameters calculator (hide)'!$H$62)</f>
        <v>42.562452931683694</v>
      </c>
      <c r="AB55" s="67">
        <f ca="1">IF(Summary!$C$8="Patients", 'Parameters calculator (hide)'!$I$63,'Parameters calculator (hide)'!$I$62)</f>
        <v>47.04271113501882</v>
      </c>
      <c r="AC55" s="67">
        <f t="shared" ca="1" si="2"/>
        <v>4.4802582033351257</v>
      </c>
    </row>
    <row r="56" spans="8:29" x14ac:dyDescent="0.2">
      <c r="H56" s="297">
        <f ca="1">'Summary Calculations (hide)'!A58</f>
        <v>43885</v>
      </c>
      <c r="I56" t="str">
        <f ca="1">'Summary Calculations (hide)'!B58</f>
        <v/>
      </c>
      <c r="J56" t="str">
        <f ca="1">'Summary Calculations (hide)'!C58</f>
        <v/>
      </c>
      <c r="K56">
        <f ca="1">'Summary Calculations (hide)'!D58</f>
        <v>9</v>
      </c>
      <c r="L56" s="67">
        <f ca="1">VLOOKUP($K56,'SPC background (hide)'!$AG$2:$AS$54,3,0)</f>
        <v>1</v>
      </c>
      <c r="M56" s="67">
        <f t="shared" ca="1" si="0"/>
        <v>473.39968499999998</v>
      </c>
      <c r="N56" s="67">
        <f t="shared" ca="1" si="1"/>
        <v>135.49128017594109</v>
      </c>
      <c r="O56" s="67"/>
      <c r="P56" s="67"/>
      <c r="Q56" s="67"/>
      <c r="R56" s="5">
        <f ca="1">(VLOOKUP(K56,'Summary Calculations (hide)'!$D$15:$L$67,8,0)+VLOOKUP(K56,'Summary Calculations (hide)'!$D$15:$L$67,9,0))*IF(Summary!$C$8="Patients",'Summary Calculations (hide)'!$I$9,1)</f>
        <v>538.62639553186966</v>
      </c>
      <c r="AA56" s="67">
        <f ca="1">IF(Summary!$C$8="Patients", 'Parameters calculator (hide)'!$H$63,'Parameters calculator (hide)'!$H$62)</f>
        <v>42.562452931683694</v>
      </c>
      <c r="AB56" s="67">
        <f ca="1">IF(Summary!$C$8="Patients", 'Parameters calculator (hide)'!$I$63,'Parameters calculator (hide)'!$I$62)</f>
        <v>47.04271113501882</v>
      </c>
      <c r="AC56" s="67">
        <f t="shared" ca="1" si="2"/>
        <v>4.4802582033351257</v>
      </c>
    </row>
    <row r="57" spans="8:29" x14ac:dyDescent="0.2">
      <c r="H57" s="297">
        <f ca="1">'Summary Calculations (hide)'!A59</f>
        <v>43892</v>
      </c>
      <c r="I57" t="str">
        <f ca="1">'Summary Calculations (hide)'!B59</f>
        <v/>
      </c>
      <c r="J57" t="str">
        <f ca="1">'Summary Calculations (hide)'!C59</f>
        <v>Mar</v>
      </c>
      <c r="K57">
        <f ca="1">'Summary Calculations (hide)'!D59</f>
        <v>10</v>
      </c>
      <c r="L57" s="67">
        <f ca="1">VLOOKUP($K57,'SPC background (hide)'!$AG$2:$AS$54,3,0)</f>
        <v>1</v>
      </c>
      <c r="M57" s="67">
        <f t="shared" ca="1" si="0"/>
        <v>473.39968499999998</v>
      </c>
      <c r="N57" s="67">
        <f t="shared" ca="1" si="1"/>
        <v>135.49128017594109</v>
      </c>
      <c r="O57" s="67"/>
      <c r="P57" s="67"/>
      <c r="Q57" s="67"/>
      <c r="R57" s="5">
        <f ca="1">(VLOOKUP(K57,'Summary Calculations (hide)'!$D$15:$L$67,8,0)+VLOOKUP(K57,'Summary Calculations (hide)'!$D$15:$L$67,9,0))*IF(Summary!$C$8="Patients",'Summary Calculations (hide)'!$I$9,1)</f>
        <v>538.62639553186966</v>
      </c>
      <c r="AA57" s="67">
        <f ca="1">IF(Summary!$C$8="Patients", 'Parameters calculator (hide)'!$H$63,'Parameters calculator (hide)'!$H$62)</f>
        <v>42.562452931683694</v>
      </c>
      <c r="AB57" s="67">
        <f ca="1">IF(Summary!$C$8="Patients", 'Parameters calculator (hide)'!$I$63,'Parameters calculator (hide)'!$I$62)</f>
        <v>47.04271113501882</v>
      </c>
      <c r="AC57" s="67">
        <f t="shared" ca="1" si="2"/>
        <v>4.4802582033351257</v>
      </c>
    </row>
    <row r="58" spans="8:29" x14ac:dyDescent="0.2">
      <c r="H58" s="297">
        <f ca="1">'Summary Calculations (hide)'!A60</f>
        <v>43899</v>
      </c>
      <c r="I58" t="str">
        <f ca="1">'Summary Calculations (hide)'!B60</f>
        <v/>
      </c>
      <c r="J58" t="str">
        <f ca="1">'Summary Calculations (hide)'!C60</f>
        <v/>
      </c>
      <c r="K58">
        <f ca="1">'Summary Calculations (hide)'!D60</f>
        <v>11</v>
      </c>
      <c r="L58" s="67">
        <f ca="1">VLOOKUP($K58,'SPC background (hide)'!$AG$2:$AS$54,3,0)</f>
        <v>1</v>
      </c>
      <c r="M58" s="67">
        <f t="shared" ca="1" si="0"/>
        <v>473.39968499999998</v>
      </c>
      <c r="N58" s="67">
        <f t="shared" ca="1" si="1"/>
        <v>135.49128017594109</v>
      </c>
      <c r="O58" s="67"/>
      <c r="P58" s="67"/>
      <c r="Q58" s="67"/>
      <c r="R58" s="5">
        <f ca="1">(VLOOKUP(K58,'Summary Calculations (hide)'!$D$15:$L$67,8,0)+VLOOKUP(K58,'Summary Calculations (hide)'!$D$15:$L$67,9,0))*IF(Summary!$C$8="Patients",'Summary Calculations (hide)'!$I$9,1)</f>
        <v>538.62639553186966</v>
      </c>
      <c r="AA58" s="67">
        <f ca="1">IF(Summary!$C$8="Patients", 'Parameters calculator (hide)'!$H$63,'Parameters calculator (hide)'!$H$62)</f>
        <v>42.562452931683694</v>
      </c>
      <c r="AB58" s="67">
        <f ca="1">IF(Summary!$C$8="Patients", 'Parameters calculator (hide)'!$I$63,'Parameters calculator (hide)'!$I$62)</f>
        <v>47.04271113501882</v>
      </c>
      <c r="AC58" s="67">
        <f t="shared" ca="1" si="2"/>
        <v>4.4802582033351257</v>
      </c>
    </row>
    <row r="59" spans="8:29" x14ac:dyDescent="0.2">
      <c r="H59" s="297">
        <f ca="1">'Summary Calculations (hide)'!A61</f>
        <v>43906</v>
      </c>
      <c r="I59" t="str">
        <f ca="1">'Summary Calculations (hide)'!B61</f>
        <v/>
      </c>
      <c r="J59" t="str">
        <f ca="1">'Summary Calculations (hide)'!C61</f>
        <v/>
      </c>
      <c r="K59">
        <f ca="1">'Summary Calculations (hide)'!D61</f>
        <v>12</v>
      </c>
      <c r="L59" s="67">
        <f ca="1">VLOOKUP($K59,'SPC background (hide)'!$AG$2:$AS$54,3,0)</f>
        <v>1</v>
      </c>
      <c r="M59" s="67">
        <f t="shared" ca="1" si="0"/>
        <v>473.39968499999998</v>
      </c>
      <c r="N59" s="67">
        <f t="shared" ca="1" si="1"/>
        <v>135.49128017594109</v>
      </c>
      <c r="O59" s="67"/>
      <c r="P59" s="67"/>
      <c r="Q59" s="67"/>
      <c r="R59" s="5">
        <f ca="1">(VLOOKUP(K59,'Summary Calculations (hide)'!$D$15:$L$67,8,0)+VLOOKUP(K59,'Summary Calculations (hide)'!$D$15:$L$67,9,0))*IF(Summary!$C$8="Patients",'Summary Calculations (hide)'!$I$9,1)</f>
        <v>538.62639553186966</v>
      </c>
      <c r="AA59" s="67">
        <f ca="1">IF(Summary!$C$8="Patients", 'Parameters calculator (hide)'!$H$63,'Parameters calculator (hide)'!$H$62)</f>
        <v>42.562452931683694</v>
      </c>
      <c r="AB59" s="67">
        <f ca="1">IF(Summary!$C$8="Patients", 'Parameters calculator (hide)'!$I$63,'Parameters calculator (hide)'!$I$62)</f>
        <v>47.04271113501882</v>
      </c>
      <c r="AC59" s="67">
        <f t="shared" ca="1" si="2"/>
        <v>4.4802582033351257</v>
      </c>
    </row>
    <row r="60" spans="8:29" x14ac:dyDescent="0.2">
      <c r="H60" s="297">
        <f ca="1">'Summary Calculations (hide)'!A62</f>
        <v>43913</v>
      </c>
      <c r="I60" t="str">
        <f ca="1">'Summary Calculations (hide)'!B62</f>
        <v/>
      </c>
      <c r="J60" t="str">
        <f ca="1">'Summary Calculations (hide)'!C62</f>
        <v/>
      </c>
      <c r="K60">
        <f ca="1">'Summary Calculations (hide)'!D62</f>
        <v>13</v>
      </c>
      <c r="L60" s="67">
        <f ca="1">VLOOKUP($K60,'SPC background (hide)'!$AG$2:$AS$54,3,0)</f>
        <v>1</v>
      </c>
      <c r="M60" s="67">
        <f t="shared" ca="1" si="0"/>
        <v>473.39968499999998</v>
      </c>
      <c r="N60" s="67">
        <f t="shared" ca="1" si="1"/>
        <v>135.49128017594109</v>
      </c>
      <c r="O60" s="67"/>
      <c r="P60" s="67"/>
      <c r="Q60" s="67"/>
      <c r="R60" s="5">
        <f ca="1">(VLOOKUP(K60,'Summary Calculations (hide)'!$D$15:$L$67,8,0)+VLOOKUP(K60,'Summary Calculations (hide)'!$D$15:$L$67,9,0))*IF(Summary!$C$8="Patients",'Summary Calculations (hide)'!$I$9,1)</f>
        <v>538.62639553186966</v>
      </c>
      <c r="AA60" s="67">
        <f ca="1">IF(Summary!$C$8="Patients", 'Parameters calculator (hide)'!$H$63,'Parameters calculator (hide)'!$H$62)</f>
        <v>42.562452931683694</v>
      </c>
      <c r="AB60" s="67">
        <f ca="1">IF(Summary!$C$8="Patients", 'Parameters calculator (hide)'!$I$63,'Parameters calculator (hide)'!$I$62)</f>
        <v>47.04271113501882</v>
      </c>
      <c r="AC60" s="67">
        <f t="shared" ca="1" si="2"/>
        <v>4.4802582033351257</v>
      </c>
    </row>
    <row r="61" spans="8:29" x14ac:dyDescent="0.2">
      <c r="H61" s="297">
        <f ca="1">'Summary Calculations (hide)'!A63</f>
        <v>43920</v>
      </c>
      <c r="I61" t="str">
        <f ca="1">'Summary Calculations (hide)'!B63</f>
        <v/>
      </c>
      <c r="J61" t="str">
        <f ca="1">'Summary Calculations (hide)'!C63</f>
        <v/>
      </c>
      <c r="K61">
        <f ca="1">'Summary Calculations (hide)'!D63</f>
        <v>14</v>
      </c>
      <c r="L61" s="67">
        <f ca="1">VLOOKUP($K61,'SPC background (hide)'!$AG$2:$AS$54,3,0)</f>
        <v>1</v>
      </c>
      <c r="M61" s="67">
        <f t="shared" ca="1" si="0"/>
        <v>473.39968499999998</v>
      </c>
      <c r="N61" s="67">
        <f t="shared" ca="1" si="1"/>
        <v>135.49128017594109</v>
      </c>
      <c r="O61" s="67"/>
      <c r="P61" s="67"/>
      <c r="Q61" s="67"/>
      <c r="R61" s="5">
        <f ca="1">(VLOOKUP(K61,'Summary Calculations (hide)'!$D$15:$L$67,8,0)+VLOOKUP(K61,'Summary Calculations (hide)'!$D$15:$L$67,9,0))*IF(Summary!$C$8="Patients",'Summary Calculations (hide)'!$I$9,1)</f>
        <v>538.62639553186966</v>
      </c>
      <c r="AA61" s="67">
        <f ca="1">IF(Summary!$C$8="Patients", 'Parameters calculator (hide)'!$H$63,'Parameters calculator (hide)'!$H$62)</f>
        <v>42.562452931683694</v>
      </c>
      <c r="AB61" s="67">
        <f ca="1">IF(Summary!$C$8="Patients", 'Parameters calculator (hide)'!$I$63,'Parameters calculator (hide)'!$I$62)</f>
        <v>47.04271113501882</v>
      </c>
      <c r="AC61" s="67">
        <f t="shared" ca="1" si="2"/>
        <v>4.4802582033351257</v>
      </c>
    </row>
    <row r="62" spans="8:29" x14ac:dyDescent="0.2">
      <c r="H62" s="297">
        <f ca="1">'Summary Calculations (hide)'!A64</f>
        <v>43927</v>
      </c>
      <c r="I62" t="str">
        <f ca="1">'Summary Calculations (hide)'!B64</f>
        <v/>
      </c>
      <c r="J62" t="str">
        <f ca="1">'Summary Calculations (hide)'!C64</f>
        <v>Apr</v>
      </c>
      <c r="K62">
        <f ca="1">'Summary Calculations (hide)'!D64</f>
        <v>15</v>
      </c>
      <c r="L62" s="67">
        <f ca="1">VLOOKUP($K62,'SPC background (hide)'!$AG$2:$AS$54,3,0)</f>
        <v>1</v>
      </c>
      <c r="M62" s="67">
        <f t="shared" ca="1" si="0"/>
        <v>473.39968499999998</v>
      </c>
      <c r="N62" s="67">
        <f t="shared" ca="1" si="1"/>
        <v>135.49128017594109</v>
      </c>
      <c r="O62" s="67"/>
      <c r="P62" s="67"/>
      <c r="Q62" s="67"/>
      <c r="R62" s="5">
        <f ca="1">(VLOOKUP(K62,'Summary Calculations (hide)'!$D$15:$L$67,8,0)+VLOOKUP(K62,'Summary Calculations (hide)'!$D$15:$L$67,9,0))*IF(Summary!$C$8="Patients",'Summary Calculations (hide)'!$I$9,1)</f>
        <v>538.62639553186966</v>
      </c>
      <c r="AA62" s="67">
        <f ca="1">IF(Summary!$C$8="Patients", 'Parameters calculator (hide)'!$H$63,'Parameters calculator (hide)'!$H$62)</f>
        <v>42.562452931683694</v>
      </c>
      <c r="AB62" s="67">
        <f ca="1">IF(Summary!$C$8="Patients", 'Parameters calculator (hide)'!$I$63,'Parameters calculator (hide)'!$I$62)</f>
        <v>47.04271113501882</v>
      </c>
      <c r="AC62" s="67">
        <f t="shared" ca="1" si="2"/>
        <v>4.4802582033351257</v>
      </c>
    </row>
    <row r="63" spans="8:29" x14ac:dyDescent="0.2">
      <c r="H63" s="297">
        <f ca="1">'Summary Calculations (hide)'!A65</f>
        <v>43934</v>
      </c>
      <c r="I63" t="str">
        <f ca="1">'Summary Calculations (hide)'!B65</f>
        <v/>
      </c>
      <c r="J63" t="str">
        <f ca="1">'Summary Calculations (hide)'!C65</f>
        <v/>
      </c>
      <c r="K63">
        <f ca="1">'Summary Calculations (hide)'!D65</f>
        <v>16</v>
      </c>
      <c r="L63" s="67">
        <f ca="1">VLOOKUP($K63,'SPC background (hide)'!$AG$2:$AS$54,3,0)</f>
        <v>1</v>
      </c>
      <c r="M63" s="67">
        <f t="shared" ca="1" si="0"/>
        <v>473.39968499999998</v>
      </c>
      <c r="N63" s="67">
        <f t="shared" ca="1" si="1"/>
        <v>135.49128017594109</v>
      </c>
      <c r="O63" s="67"/>
      <c r="P63" s="67"/>
      <c r="Q63" s="67"/>
      <c r="R63" s="5">
        <f ca="1">(VLOOKUP(K63,'Summary Calculations (hide)'!$D$15:$L$67,8,0)+VLOOKUP(K63,'Summary Calculations (hide)'!$D$15:$L$67,9,0))*IF(Summary!$C$8="Patients",'Summary Calculations (hide)'!$I$9,1)</f>
        <v>538.62639553186966</v>
      </c>
      <c r="AA63" s="67">
        <f ca="1">IF(Summary!$C$8="Patients", 'Parameters calculator (hide)'!$H$63,'Parameters calculator (hide)'!$H$62)</f>
        <v>42.562452931683694</v>
      </c>
      <c r="AB63" s="67">
        <f ca="1">IF(Summary!$C$8="Patients", 'Parameters calculator (hide)'!$I$63,'Parameters calculator (hide)'!$I$62)</f>
        <v>47.04271113501882</v>
      </c>
      <c r="AC63" s="67">
        <f t="shared" ca="1" si="2"/>
        <v>4.4802582033351257</v>
      </c>
    </row>
    <row r="64" spans="8:29" x14ac:dyDescent="0.2">
      <c r="H64" s="297">
        <f ca="1">'Summary Calculations (hide)'!A66</f>
        <v>43941</v>
      </c>
      <c r="I64" t="str">
        <f ca="1">'Summary Calculations (hide)'!B66</f>
        <v/>
      </c>
      <c r="J64" t="str">
        <f ca="1">'Summary Calculations (hide)'!C66</f>
        <v/>
      </c>
      <c r="K64">
        <f ca="1">'Summary Calculations (hide)'!D66</f>
        <v>17</v>
      </c>
      <c r="L64" s="67">
        <f ca="1">VLOOKUP($K64,'SPC background (hide)'!$AG$2:$AS$54,3,0)</f>
        <v>1</v>
      </c>
      <c r="M64" s="67">
        <f t="shared" ca="1" si="0"/>
        <v>473.39968499999998</v>
      </c>
      <c r="N64" s="67">
        <f t="shared" ca="1" si="1"/>
        <v>135.49128017594109</v>
      </c>
      <c r="O64" s="67"/>
      <c r="P64" s="67"/>
      <c r="Q64" s="67"/>
      <c r="R64" s="5">
        <f ca="1">(VLOOKUP(K64,'Summary Calculations (hide)'!$D$15:$L$67,8,0)+VLOOKUP(K64,'Summary Calculations (hide)'!$D$15:$L$67,9,0))*IF(Summary!$C$8="Patients",'Summary Calculations (hide)'!$I$9,1)</f>
        <v>538.62639553186966</v>
      </c>
      <c r="AA64" s="67">
        <f ca="1">IF(Summary!$C$8="Patients", 'Parameters calculator (hide)'!$H$63,'Parameters calculator (hide)'!$H$62)</f>
        <v>42.562452931683694</v>
      </c>
      <c r="AB64" s="67">
        <f ca="1">IF(Summary!$C$8="Patients", 'Parameters calculator (hide)'!$I$63,'Parameters calculator (hide)'!$I$62)</f>
        <v>47.04271113501882</v>
      </c>
      <c r="AC64" s="67">
        <f t="shared" ca="1" si="2"/>
        <v>4.4802582033351257</v>
      </c>
    </row>
    <row r="65" spans="1:114" x14ac:dyDescent="0.2">
      <c r="H65" s="7"/>
      <c r="I65" s="3"/>
      <c r="J65" s="3"/>
      <c r="K65" s="3"/>
      <c r="L65" s="3"/>
      <c r="M65" s="3"/>
      <c r="N65" s="3"/>
      <c r="O65" s="3"/>
      <c r="P65" s="3"/>
      <c r="Q65" s="3"/>
      <c r="R65" s="67"/>
    </row>
    <row r="67" spans="1:114" ht="15" x14ac:dyDescent="0.25">
      <c r="A67" s="2"/>
    </row>
    <row r="68" spans="1:114" ht="15" x14ac:dyDescent="0.25">
      <c r="A68" s="2"/>
    </row>
    <row r="70" spans="1:114" ht="15" x14ac:dyDescent="0.25">
      <c r="BJ70" s="2"/>
    </row>
    <row r="71" spans="1:114" ht="15"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ht="15"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6" sqref="C6"/>
    </sheetView>
  </sheetViews>
  <sheetFormatPr defaultColWidth="9" defaultRowHeight="14.25" x14ac:dyDescent="0.2"/>
  <cols>
    <col min="1" max="1" width="0.75" style="67" customWidth="1"/>
    <col min="2" max="2" width="19.625" style="67" customWidth="1"/>
    <col min="3" max="4" width="10.125" style="67" customWidth="1"/>
    <col min="5" max="5" width="5.125" style="67" customWidth="1"/>
    <col min="6" max="18" width="2.25" style="67" customWidth="1"/>
    <col min="19" max="19" width="2" style="67" customWidth="1"/>
    <col min="20" max="43" width="2.25" style="67" customWidth="1"/>
    <col min="44" max="44" width="2" style="67" customWidth="1"/>
    <col min="45" max="57" width="2.25" style="67" customWidth="1"/>
    <col min="58" max="64" width="9" style="67" customWidth="1"/>
    <col min="65" max="16384" width="9" style="67"/>
  </cols>
  <sheetData>
    <row r="2" spans="2:62" ht="15" x14ac:dyDescent="0.25">
      <c r="B2" s="2" t="s">
        <v>510</v>
      </c>
    </row>
    <row r="3" spans="2:62" x14ac:dyDescent="0.2">
      <c r="C3" s="45"/>
      <c r="D3" s="45"/>
    </row>
    <row r="4" spans="2:62" x14ac:dyDescent="0.2">
      <c r="B4" s="67" t="s">
        <v>490</v>
      </c>
      <c r="C4" s="162" t="s">
        <v>21</v>
      </c>
      <c r="D4" s="45"/>
    </row>
    <row r="5" spans="2:62" x14ac:dyDescent="0.2">
      <c r="F5" s="79"/>
      <c r="G5" s="79"/>
      <c r="H5" s="79"/>
      <c r="I5" s="79"/>
      <c r="J5" s="79"/>
      <c r="K5" s="79"/>
      <c r="L5" s="79"/>
      <c r="M5" s="79"/>
      <c r="N5" s="79"/>
      <c r="O5" s="79"/>
      <c r="P5" s="79"/>
      <c r="Q5" s="79"/>
      <c r="R5" s="79"/>
      <c r="S5" s="79"/>
      <c r="T5" s="79"/>
      <c r="U5" s="79"/>
      <c r="V5" s="79"/>
      <c r="W5" s="79"/>
    </row>
    <row r="6" spans="2:62" ht="14.25" customHeight="1" x14ac:dyDescent="0.2">
      <c r="B6" s="67" t="s">
        <v>516</v>
      </c>
      <c r="C6" s="167"/>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ht="15" x14ac:dyDescent="0.25">
      <c r="B8" s="304" t="s">
        <v>1156</v>
      </c>
      <c r="C8" s="308" t="s">
        <v>22</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
      <c r="D10" s="306"/>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8.5" x14ac:dyDescent="0.2">
      <c r="B11" s="1" t="s">
        <v>1158</v>
      </c>
      <c r="C11" s="388">
        <v>0.05</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
      <c r="B12" s="81"/>
      <c r="C12" s="67" t="s">
        <v>1231</v>
      </c>
      <c r="D12" s="345">
        <f ca="1">'Summary Calculations (hide)'!X70</f>
        <v>12.800550923076914</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
      <c r="B13" s="331"/>
      <c r="C13" s="345" t="str">
        <f>IF(C11&lt;&gt;"","New value","")</f>
        <v>New value</v>
      </c>
      <c r="D13" s="345">
        <f ca="1">IF(OR(C11="",C11=1),"",D12*(1+C11))</f>
        <v>13.440578469230759</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
      <c r="B15" s="67" t="s">
        <v>1150</v>
      </c>
      <c r="C15" s="389"/>
      <c r="D15" s="307">
        <f ca="1">'Parameters calculator (hide)'!B43</f>
        <v>1.0999999999999999E-2</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
      <c r="B16" s="67" t="s">
        <v>1151</v>
      </c>
      <c r="C16" s="389"/>
      <c r="D16" s="307">
        <f ca="1">'Parameters calculator (hide)'!B44</f>
        <v>0.11299999999999999</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
      <c r="B17" s="67" t="s">
        <v>1152</v>
      </c>
      <c r="C17" s="389"/>
      <c r="D17" s="307">
        <f ca="1">'Parameters calculator (hide)'!B45</f>
        <v>9.9999999999999992E-2</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
      <c r="B18" s="67" t="s">
        <v>1153</v>
      </c>
      <c r="C18" s="389"/>
      <c r="D18" s="307">
        <f ca="1">'Parameters calculator (hide)'!B46</f>
        <v>0.2</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
      <c r="B22" s="439" t="s">
        <v>512</v>
      </c>
      <c r="C22" s="492" t="s">
        <v>511</v>
      </c>
      <c r="D22" s="492"/>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
      <c r="B23" s="490"/>
      <c r="C23" s="493"/>
      <c r="D23" s="493"/>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8.5" hidden="1" x14ac:dyDescent="0.2">
      <c r="B24" s="491"/>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
      <c r="B26" s="163" t="s">
        <v>1112</v>
      </c>
      <c r="C26" s="220">
        <f t="shared" ref="C26:C45" si="0">IF(B26="","",COUNTIF(F26:BE26,"X"))</f>
        <v>5</v>
      </c>
      <c r="D26" s="164">
        <v>85</v>
      </c>
      <c r="F26" s="155"/>
      <c r="G26" s="155"/>
      <c r="H26" s="155"/>
      <c r="I26" s="155"/>
      <c r="J26" s="155"/>
      <c r="K26" s="155"/>
      <c r="L26" s="155"/>
      <c r="M26" s="155"/>
      <c r="N26" s="155"/>
      <c r="O26" s="155" t="s">
        <v>482</v>
      </c>
      <c r="P26" s="155"/>
      <c r="Q26" s="155"/>
      <c r="R26" s="155"/>
      <c r="S26" s="155"/>
      <c r="T26" s="155"/>
      <c r="U26" s="155" t="s">
        <v>1237</v>
      </c>
      <c r="V26" s="155" t="s">
        <v>1237</v>
      </c>
      <c r="W26" s="155" t="s">
        <v>1237</v>
      </c>
      <c r="X26" s="155" t="s">
        <v>1237</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
      <c r="B27" s="163" t="s">
        <v>1238</v>
      </c>
      <c r="C27" s="220">
        <f t="shared" si="0"/>
        <v>7</v>
      </c>
      <c r="D27" s="164">
        <v>102</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1237</v>
      </c>
      <c r="AY27" s="158" t="s">
        <v>1237</v>
      </c>
      <c r="AZ27" s="158"/>
      <c r="BA27" s="158"/>
      <c r="BB27" s="158"/>
      <c r="BC27" s="158"/>
      <c r="BD27" s="158"/>
      <c r="BE27" s="158"/>
    </row>
    <row r="28" spans="2:62" hidden="1" x14ac:dyDescent="0.2">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
      <c r="B126" s="125"/>
    </row>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hidden="1" x14ac:dyDescent="0.2"/>
    <row r="226" hidden="1" x14ac:dyDescent="0.2"/>
    <row r="227" hidden="1" x14ac:dyDescent="0.2"/>
    <row r="228" hidden="1" x14ac:dyDescent="0.2"/>
    <row r="229" hidden="1" x14ac:dyDescent="0.2"/>
    <row r="230" hidden="1" x14ac:dyDescent="0.2"/>
    <row r="231" hidden="1" x14ac:dyDescent="0.2"/>
    <row r="232" hidden="1" x14ac:dyDescent="0.2"/>
    <row r="233" hidden="1" x14ac:dyDescent="0.2"/>
    <row r="234" hidden="1" x14ac:dyDescent="0.2"/>
  </sheetData>
  <sheetProtection algorithmName="SHA-512" hashValue="kcHDa0GCxS3IytWWH56DrXFvxFEPvMArRaYeES0blezfN5QNzPzDtBMLYSkjwqtn08a9sGXcXlYaJGGGMRJCpw==" saltValue="7V2yINasyIq4d9Qkcc4tXQ=="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57150</xdr:rowOff>
                  </from>
                  <to>
                    <xdr:col>60</xdr:col>
                    <xdr:colOff>19050</xdr:colOff>
                    <xdr:row>4</xdr:row>
                    <xdr:rowOff>104775</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142875</xdr:rowOff>
                  </from>
                  <to>
                    <xdr:col>60</xdr:col>
                    <xdr:colOff>19050</xdr:colOff>
                    <xdr:row>8</xdr:row>
                    <xdr:rowOff>28575</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133350</xdr:rowOff>
                  </from>
                  <to>
                    <xdr:col>60</xdr:col>
                    <xdr:colOff>28575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4" sqref="A4:J5"/>
    </sheetView>
  </sheetViews>
  <sheetFormatPr defaultColWidth="8.75" defaultRowHeight="14.25" x14ac:dyDescent="0.2"/>
  <cols>
    <col min="1" max="1" width="16.75" style="67" bestFit="1" customWidth="1"/>
    <col min="2" max="14" width="8.75" style="67"/>
    <col min="15" max="15" width="22" style="67" customWidth="1"/>
    <col min="16" max="16384" width="8.75" style="67"/>
  </cols>
  <sheetData>
    <row r="1" spans="1:10" x14ac:dyDescent="0.2">
      <c r="A1" s="67" t="s">
        <v>1265</v>
      </c>
      <c r="B1" s="67">
        <v>2</v>
      </c>
    </row>
    <row r="3" spans="1:10" x14ac:dyDescent="0.2">
      <c r="A3" s="67" t="s">
        <v>1244</v>
      </c>
      <c r="B3" s="67" t="s">
        <v>14</v>
      </c>
      <c r="C3" s="67" t="s">
        <v>1245</v>
      </c>
      <c r="D3" s="67" t="s">
        <v>1246</v>
      </c>
      <c r="E3" s="67" t="s">
        <v>529</v>
      </c>
      <c r="F3" s="67" t="s">
        <v>75</v>
      </c>
      <c r="G3" s="67" t="s">
        <v>1247</v>
      </c>
      <c r="H3" s="67" t="s">
        <v>99</v>
      </c>
      <c r="I3" s="67" t="s">
        <v>1248</v>
      </c>
      <c r="J3" s="67" t="s">
        <v>391</v>
      </c>
    </row>
    <row r="4" spans="1:10" x14ac:dyDescent="0.2">
      <c r="A4" t="s">
        <v>1266</v>
      </c>
      <c r="B4" t="s">
        <v>19</v>
      </c>
      <c r="C4" s="317">
        <v>44039</v>
      </c>
      <c r="D4" t="s">
        <v>20</v>
      </c>
      <c r="E4">
        <v>0.2</v>
      </c>
      <c r="F4">
        <v>0.05</v>
      </c>
      <c r="G4">
        <v>0.12</v>
      </c>
      <c r="H4">
        <v>0.05</v>
      </c>
      <c r="I4">
        <v>0.25</v>
      </c>
      <c r="J4" t="s">
        <v>22</v>
      </c>
    </row>
    <row r="5" spans="1:10" x14ac:dyDescent="0.2">
      <c r="A5" s="67" t="s">
        <v>1288</v>
      </c>
      <c r="B5" s="67" t="s">
        <v>21</v>
      </c>
      <c r="C5" s="317">
        <v>43969</v>
      </c>
      <c r="D5" s="67" t="s">
        <v>20</v>
      </c>
      <c r="E5" s="67">
        <v>0.05</v>
      </c>
      <c r="J5" s="67" t="s">
        <v>22</v>
      </c>
    </row>
  </sheetData>
  <sheetProtection algorithmName="SHA-512" hashValue="7x+EoG3IyzDEL05A+LdFoTDCR25LqZwsrYmAz020anbng2LhhQCCWNKaoeVAgDnPPTHbft28kkTTOt1bSMVvQw==" saltValue="qr/3obZnftNh22VJazZ2RA==" spinCount="100000" sheet="1" objects="1" scenarios="1"/>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306"/>
  <sheetViews>
    <sheetView workbookViewId="0">
      <selection activeCell="F4" sqref="F4"/>
    </sheetView>
  </sheetViews>
  <sheetFormatPr defaultRowHeight="14.25" x14ac:dyDescent="0.2"/>
  <cols>
    <col min="1" max="1" width="16.75" bestFit="1" customWidth="1"/>
    <col min="2" max="2" width="9.75" bestFit="1" customWidth="1"/>
    <col min="3" max="4" width="9" hidden="1" customWidth="1"/>
    <col min="7" max="7" width="9" style="67"/>
    <col min="8" max="8" width="9" style="67" hidden="1" customWidth="1"/>
    <col min="30" max="30" width="11.75" bestFit="1" customWidth="1"/>
    <col min="31" max="31" width="10.75" customWidth="1"/>
    <col min="32" max="32" width="9" customWidth="1"/>
  </cols>
  <sheetData>
    <row r="1" spans="1:31" x14ac:dyDescent="0.2">
      <c r="A1" t="s">
        <v>556</v>
      </c>
    </row>
    <row r="2" spans="1:31" x14ac:dyDescent="0.2">
      <c r="B2" s="87"/>
      <c r="C2" t="s">
        <v>519</v>
      </c>
      <c r="E2" t="s">
        <v>494</v>
      </c>
      <c r="I2" t="s">
        <v>520</v>
      </c>
    </row>
    <row r="3" spans="1:31" x14ac:dyDescent="0.2">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
      <c r="A4" s="87">
        <f ca="1">IF(Planning!$C$6="",TODAY()-WEEKDAY(TODAY(),3)+7,Planning!$C$6)</f>
        <v>44788</v>
      </c>
      <c r="B4">
        <f ca="1">WEEKNUM(A4,21)</f>
        <v>33</v>
      </c>
      <c r="C4" s="5">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14.261623907226106</v>
      </c>
      <c r="D4" s="5">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2.909216118881119</v>
      </c>
      <c r="E4" s="5">
        <f ca="1">VLOOKUP($B4,'Summary Calculations (hide)'!$D$15:$U$67,15,0)</f>
        <v>9.9258687258687246</v>
      </c>
      <c r="F4" s="5">
        <f ca="1">VLOOKUP($B4,'Summary Calculations (hide)'!$D$15:$U$67,16,0)</f>
        <v>0</v>
      </c>
      <c r="G4" s="5">
        <f ca="1">SUM(E4:F4)</f>
        <v>9.9258687258687246</v>
      </c>
      <c r="H4" s="5">
        <f ca="1">IF(G4+SUM(I4:AC4)&lt;0,0,G4+SUM(I4:AC4))</f>
        <v>9.9258687258687246</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14.261623907226106</v>
      </c>
      <c r="AE4" s="67">
        <f ca="1">VLOOKUP($B4,'Summary Calculations (hide)'!$D$15:$U$67,18,0)</f>
        <v>2.909216118881119</v>
      </c>
    </row>
    <row r="5" spans="1:31" x14ac:dyDescent="0.2">
      <c r="A5" s="87">
        <f ca="1">A4+7</f>
        <v>44795</v>
      </c>
      <c r="B5" s="67">
        <f t="shared" ref="B5:B55" ca="1" si="0">WEEKNUM(A5,21)</f>
        <v>34</v>
      </c>
      <c r="C5" s="5">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14.261623907226106</v>
      </c>
      <c r="D5" s="5">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2.909216118881119</v>
      </c>
      <c r="E5" s="5">
        <f ca="1">VLOOKUP($B5,'Summary Calculations (hide)'!$D$15:$U$67,15,0)</f>
        <v>9.9258687258687246</v>
      </c>
      <c r="F5" s="5">
        <f ca="1">VLOOKUP($B5,'Summary Calculations (hide)'!$D$15:$U$67,16,0)</f>
        <v>0</v>
      </c>
      <c r="G5" s="5">
        <f t="shared" ref="G5:G55" ca="1" si="1">SUM(E5:F5)</f>
        <v>9.9258687258687246</v>
      </c>
      <c r="H5" s="5">
        <f t="shared" ref="H5:H55" ca="1" si="2">IF(G5+SUM(I5:AC5)&lt;0,0,G5+SUM(I5:AC5))</f>
        <v>9.9258687258687246</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14.261623907226106</v>
      </c>
      <c r="AE5" s="67">
        <f ca="1">VLOOKUP($B5,'Summary Calculations (hide)'!$D$15:$U$67,18,0)</f>
        <v>2.909216118881119</v>
      </c>
    </row>
    <row r="6" spans="1:31" x14ac:dyDescent="0.2">
      <c r="A6" s="87">
        <f t="shared" ref="A6:A55" ca="1" si="3">A5+7</f>
        <v>44802</v>
      </c>
      <c r="B6" s="67">
        <f t="shared" ca="1" si="0"/>
        <v>35</v>
      </c>
      <c r="C6" s="5">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14.261623907226106</v>
      </c>
      <c r="D6" s="5">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2.909216118881119</v>
      </c>
      <c r="E6" s="5">
        <f ca="1">VLOOKUP($B6,'Summary Calculations (hide)'!$D$15:$U$67,15,0)</f>
        <v>9.9258687258687246</v>
      </c>
      <c r="F6" s="5">
        <f ca="1">VLOOKUP($B6,'Summary Calculations (hide)'!$D$15:$U$67,16,0)</f>
        <v>0</v>
      </c>
      <c r="G6" s="5">
        <f t="shared" ca="1" si="1"/>
        <v>9.9258687258687246</v>
      </c>
      <c r="H6" s="5">
        <f t="shared" ca="1" si="2"/>
        <v>9.9258687258687246</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14.261623907226106</v>
      </c>
      <c r="AE6" s="67">
        <f ca="1">VLOOKUP($B6,'Summary Calculations (hide)'!$D$15:$U$67,18,0)</f>
        <v>2.909216118881119</v>
      </c>
    </row>
    <row r="7" spans="1:31" x14ac:dyDescent="0.2">
      <c r="A7" s="87">
        <f t="shared" ca="1" si="3"/>
        <v>44809</v>
      </c>
      <c r="B7" s="67">
        <f t="shared" ca="1" si="0"/>
        <v>36</v>
      </c>
      <c r="C7" s="5">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14.261623907226106</v>
      </c>
      <c r="D7" s="5">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2.909216118881119</v>
      </c>
      <c r="E7" s="5">
        <f ca="1">VLOOKUP($B7,'Summary Calculations (hide)'!$D$15:$U$67,15,0)</f>
        <v>9.9258687258687246</v>
      </c>
      <c r="F7" s="5">
        <f ca="1">VLOOKUP($B7,'Summary Calculations (hide)'!$D$15:$U$67,16,0)</f>
        <v>0</v>
      </c>
      <c r="G7" s="5">
        <f t="shared" ca="1" si="1"/>
        <v>9.9258687258687246</v>
      </c>
      <c r="H7" s="5">
        <f t="shared" ca="1" si="2"/>
        <v>9.9258687258687246</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14.261623907226106</v>
      </c>
      <c r="AE7" s="67">
        <f ca="1">VLOOKUP($B7,'Summary Calculations (hide)'!$D$15:$U$67,18,0)</f>
        <v>2.909216118881119</v>
      </c>
    </row>
    <row r="8" spans="1:31" x14ac:dyDescent="0.2">
      <c r="A8" s="87">
        <f t="shared" ca="1" si="3"/>
        <v>44816</v>
      </c>
      <c r="B8" s="67">
        <f t="shared" ca="1" si="0"/>
        <v>37</v>
      </c>
      <c r="C8" s="5">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14.261623907226106</v>
      </c>
      <c r="D8" s="5">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2.909216118881119</v>
      </c>
      <c r="E8" s="5">
        <f ca="1">VLOOKUP($B8,'Summary Calculations (hide)'!$D$15:$U$67,15,0)</f>
        <v>9.9258687258687246</v>
      </c>
      <c r="F8" s="5">
        <f ca="1">VLOOKUP($B8,'Summary Calculations (hide)'!$D$15:$U$67,16,0)</f>
        <v>0</v>
      </c>
      <c r="G8" s="5">
        <f t="shared" ca="1" si="1"/>
        <v>9.9258687258687246</v>
      </c>
      <c r="H8" s="5">
        <f t="shared" ca="1" si="2"/>
        <v>9.9258687258687246</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14.261623907226106</v>
      </c>
      <c r="AE8" s="67">
        <f ca="1">VLOOKUP($B8,'Summary Calculations (hide)'!$D$15:$U$67,18,0)</f>
        <v>2.909216118881119</v>
      </c>
    </row>
    <row r="9" spans="1:31" x14ac:dyDescent="0.2">
      <c r="A9" s="87">
        <f t="shared" ca="1" si="3"/>
        <v>44823</v>
      </c>
      <c r="B9" s="67">
        <f t="shared" ca="1" si="0"/>
        <v>38</v>
      </c>
      <c r="C9" s="5">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14.261623907226106</v>
      </c>
      <c r="D9" s="5">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2.909216118881119</v>
      </c>
      <c r="E9" s="5">
        <f ca="1">VLOOKUP($B9,'Summary Calculations (hide)'!$D$15:$U$67,15,0)</f>
        <v>0.83838812301166499</v>
      </c>
      <c r="F9" s="5">
        <f ca="1">VLOOKUP($B9,'Summary Calculations (hide)'!$D$15:$U$67,16,0)</f>
        <v>0</v>
      </c>
      <c r="G9" s="5">
        <f t="shared" ca="1" si="1"/>
        <v>0.83838812301166499</v>
      </c>
      <c r="H9" s="5">
        <f t="shared" ca="1" si="2"/>
        <v>0.83838812301166499</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14.261623907226106</v>
      </c>
      <c r="AE9" s="67">
        <f ca="1">VLOOKUP($B9,'Summary Calculations (hide)'!$D$15:$U$67,18,0)</f>
        <v>2.909216118881119</v>
      </c>
    </row>
    <row r="10" spans="1:31" x14ac:dyDescent="0.2">
      <c r="A10" s="87">
        <f t="shared" ca="1" si="3"/>
        <v>44830</v>
      </c>
      <c r="B10" s="67">
        <f t="shared" ca="1" si="0"/>
        <v>39</v>
      </c>
      <c r="C10" s="5">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14.261623907226106</v>
      </c>
      <c r="D10" s="5">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2.909216118881119</v>
      </c>
      <c r="E10" s="5">
        <f ca="1">VLOOKUP($B10,'Summary Calculations (hide)'!$D$15:$U$67,15,0)</f>
        <v>0.83838812301166499</v>
      </c>
      <c r="F10" s="5">
        <f ca="1">VLOOKUP($B10,'Summary Calculations (hide)'!$D$15:$U$67,16,0)</f>
        <v>0</v>
      </c>
      <c r="G10" s="5">
        <f t="shared" ca="1" si="1"/>
        <v>0.83838812301166499</v>
      </c>
      <c r="H10" s="5">
        <f t="shared" ca="1" si="2"/>
        <v>102.83838812301167</v>
      </c>
      <c r="I10" s="67">
        <f ca="1">IF(OFFSET(Planning!$E$25,0,ROW(A7),1,1)&lt;&gt;"",-'Planning (hide)'!$G10,0)</f>
        <v>0</v>
      </c>
      <c r="J10" s="67">
        <f ca="1">IF(OFFSET(Planning!$E$25,COLUMN(A7),ROW(A7),1,1)&lt;&gt;"",OFFSET(Planning!$D$25,COLUMN(A7),0,1,1),0)</f>
        <v>0</v>
      </c>
      <c r="K10" s="67">
        <f ca="1">IF(OFFSET(Planning!$E$25,COLUMN(B7),ROW(B7),1,1)&lt;&gt;"",OFFSET(Planning!$D$25,COLUMN(B7),0,1,1),0)</f>
        <v>102</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14.261623907226106</v>
      </c>
      <c r="AE10" s="67">
        <f ca="1">VLOOKUP($B10,'Summary Calculations (hide)'!$D$15:$U$67,18,0)</f>
        <v>2.909216118881119</v>
      </c>
    </row>
    <row r="11" spans="1:31" x14ac:dyDescent="0.2">
      <c r="A11" s="87">
        <f t="shared" ca="1" si="3"/>
        <v>44837</v>
      </c>
      <c r="B11" s="67">
        <f t="shared" ca="1" si="0"/>
        <v>40</v>
      </c>
      <c r="C11" s="5">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14.261623907226106</v>
      </c>
      <c r="D11" s="5">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2.909216118881119</v>
      </c>
      <c r="E11" s="5">
        <f ca="1">VLOOKUP($B11,'Summary Calculations (hide)'!$D$15:$U$67,15,0)</f>
        <v>0.83838812301166499</v>
      </c>
      <c r="F11" s="5">
        <f ca="1">VLOOKUP($B11,'Summary Calculations (hide)'!$D$15:$U$67,16,0)</f>
        <v>0</v>
      </c>
      <c r="G11" s="5">
        <f t="shared" ca="1" si="1"/>
        <v>0.83838812301166499</v>
      </c>
      <c r="H11" s="5">
        <f t="shared" ca="1" si="2"/>
        <v>0.83838812301166499</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14.261623907226106</v>
      </c>
      <c r="AE11" s="67">
        <f ca="1">VLOOKUP($B11,'Summary Calculations (hide)'!$D$15:$U$67,18,0)</f>
        <v>2.909216118881119</v>
      </c>
    </row>
    <row r="12" spans="1:31" x14ac:dyDescent="0.2">
      <c r="A12" s="87">
        <f t="shared" ca="1" si="3"/>
        <v>44844</v>
      </c>
      <c r="B12" s="67">
        <f t="shared" ca="1" si="0"/>
        <v>41</v>
      </c>
      <c r="C12" s="5">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14.261623907226106</v>
      </c>
      <c r="D12" s="5">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2.909216118881119</v>
      </c>
      <c r="E12" s="5">
        <f ca="1">VLOOKUP($B12,'Summary Calculations (hide)'!$D$15:$U$67,15,0)</f>
        <v>0.83838812301166499</v>
      </c>
      <c r="F12" s="5">
        <f ca="1">VLOOKUP($B12,'Summary Calculations (hide)'!$D$15:$U$67,16,0)</f>
        <v>0</v>
      </c>
      <c r="G12" s="5">
        <f t="shared" ca="1" si="1"/>
        <v>0.83838812301166499</v>
      </c>
      <c r="H12" s="5">
        <f t="shared" ca="1" si="2"/>
        <v>102.83838812301167</v>
      </c>
      <c r="I12" s="67">
        <f ca="1">IF(OFFSET(Planning!$E$25,0,ROW(A9),1,1)&lt;&gt;"",-'Planning (hide)'!$G12,0)</f>
        <v>0</v>
      </c>
      <c r="J12" s="67">
        <f ca="1">IF(OFFSET(Planning!$E$25,COLUMN(A9),ROW(A9),1,1)&lt;&gt;"",OFFSET(Planning!$D$25,COLUMN(A9),0,1,1),0)</f>
        <v>0</v>
      </c>
      <c r="K12" s="67">
        <f ca="1">IF(OFFSET(Planning!$E$25,COLUMN(B9),ROW(B9),1,1)&lt;&gt;"",OFFSET(Planning!$D$25,COLUMN(B9),0,1,1),0)</f>
        <v>102</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14.261623907226106</v>
      </c>
      <c r="AE12" s="67">
        <f ca="1">VLOOKUP($B12,'Summary Calculations (hide)'!$D$15:$U$67,18,0)</f>
        <v>2.909216118881119</v>
      </c>
    </row>
    <row r="13" spans="1:31" x14ac:dyDescent="0.2">
      <c r="A13" s="87">
        <f t="shared" ca="1" si="3"/>
        <v>44851</v>
      </c>
      <c r="B13" s="67">
        <f t="shared" ca="1" si="0"/>
        <v>42</v>
      </c>
      <c r="C13" s="5">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14.261623907226106</v>
      </c>
      <c r="D13" s="5">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2.909216118881119</v>
      </c>
      <c r="E13" s="5">
        <f ca="1">VLOOKUP($B13,'Summary Calculations (hide)'!$D$15:$U$67,15,0)</f>
        <v>14.56425684888039</v>
      </c>
      <c r="F13" s="5">
        <f ca="1">VLOOKUP($B13,'Summary Calculations (hide)'!$D$15:$U$67,16,0)</f>
        <v>0</v>
      </c>
      <c r="G13" s="5">
        <f t="shared" ca="1" si="1"/>
        <v>14.56425684888039</v>
      </c>
      <c r="H13" s="5">
        <f t="shared" ca="1" si="2"/>
        <v>99.56425684888039</v>
      </c>
      <c r="I13" s="67">
        <f ca="1">IF(OFFSET(Planning!$E$25,0,ROW(A10),1,1)&lt;&gt;"",-'Planning (hide)'!$G13,0)</f>
        <v>0</v>
      </c>
      <c r="J13" s="67">
        <f ca="1">IF(OFFSET(Planning!$E$25,COLUMN(A10),ROW(A10),1,1)&lt;&gt;"",OFFSET(Planning!$D$25,COLUMN(A10),0,1,1),0)</f>
        <v>85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14.261623907226106</v>
      </c>
      <c r="AE13" s="67">
        <f ca="1">VLOOKUP($B13,'Summary Calculations (hide)'!$D$15:$U$67,18,0)</f>
        <v>2.909216118881119</v>
      </c>
    </row>
    <row r="14" spans="1:31" x14ac:dyDescent="0.2">
      <c r="A14" s="87">
        <f t="shared" ca="1" si="3"/>
        <v>44858</v>
      </c>
      <c r="B14" s="67">
        <f t="shared" ca="1" si="0"/>
        <v>43</v>
      </c>
      <c r="C14" s="5">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14.261623907226106</v>
      </c>
      <c r="D14" s="5">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2.909216118881119</v>
      </c>
      <c r="E14" s="5">
        <f ca="1">VLOOKUP($B14,'Summary Calculations (hide)'!$D$15:$U$67,15,0)</f>
        <v>14.56425684888039</v>
      </c>
      <c r="F14" s="5">
        <f ca="1">VLOOKUP($B14,'Summary Calculations (hide)'!$D$15:$U$67,16,0)</f>
        <v>3.6923076923076925</v>
      </c>
      <c r="G14" s="5">
        <f t="shared" ca="1" si="1"/>
        <v>18.256564541188084</v>
      </c>
      <c r="H14" s="5">
        <f t="shared" ca="1" si="2"/>
        <v>18.256564541188084</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14.261623907226106</v>
      </c>
      <c r="AE14" s="67">
        <f ca="1">VLOOKUP($B14,'Summary Calculations (hide)'!$D$15:$U$67,18,0)</f>
        <v>2.909216118881119</v>
      </c>
    </row>
    <row r="15" spans="1:31" x14ac:dyDescent="0.2">
      <c r="A15" s="87">
        <f t="shared" ca="1" si="3"/>
        <v>44865</v>
      </c>
      <c r="B15" s="67">
        <f t="shared" ca="1" si="0"/>
        <v>44</v>
      </c>
      <c r="C15" s="5">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14.261623907226106</v>
      </c>
      <c r="D15" s="5">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2.909216118881119</v>
      </c>
      <c r="E15" s="5">
        <f ca="1">VLOOKUP($B15,'Summary Calculations (hide)'!$D$15:$U$67,15,0)</f>
        <v>14.56425684888039</v>
      </c>
      <c r="F15" s="5">
        <f ca="1">VLOOKUP($B15,'Summary Calculations (hide)'!$D$15:$U$67,16,0)</f>
        <v>3.6923076923076925</v>
      </c>
      <c r="G15" s="5">
        <f t="shared" ca="1" si="1"/>
        <v>18.256564541188084</v>
      </c>
      <c r="H15" s="5">
        <f t="shared" ca="1" si="2"/>
        <v>18.256564541188084</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14.261623907226106</v>
      </c>
      <c r="AE15" s="67">
        <f ca="1">VLOOKUP($B15,'Summary Calculations (hide)'!$D$15:$U$67,18,0)</f>
        <v>2.909216118881119</v>
      </c>
    </row>
    <row r="16" spans="1:31" x14ac:dyDescent="0.2">
      <c r="A16" s="87">
        <f t="shared" ca="1" si="3"/>
        <v>44872</v>
      </c>
      <c r="B16" s="67">
        <f t="shared" ca="1" si="0"/>
        <v>45</v>
      </c>
      <c r="C16" s="5">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14.261623907226106</v>
      </c>
      <c r="D16" s="5">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2.909216118881119</v>
      </c>
      <c r="E16" s="5">
        <f ca="1">VLOOKUP($B16,'Summary Calculations (hide)'!$D$15:$U$67,15,0)</f>
        <v>14.56425684888039</v>
      </c>
      <c r="F16" s="5">
        <f ca="1">VLOOKUP($B16,'Summary Calculations (hide)'!$D$15:$U$67,16,0)</f>
        <v>7.6923076923076925</v>
      </c>
      <c r="G16" s="5">
        <f t="shared" ca="1" si="1"/>
        <v>22.256564541188084</v>
      </c>
      <c r="H16" s="5">
        <f t="shared" ca="1" si="2"/>
        <v>124.25656454118808</v>
      </c>
      <c r="I16" s="67">
        <f ca="1">IF(OFFSET(Planning!$E$25,0,ROW(A13),1,1)&lt;&gt;"",-'Planning (hide)'!$G16,0)</f>
        <v>0</v>
      </c>
      <c r="J16" s="67">
        <f ca="1">IF(OFFSET(Planning!$E$25,COLUMN(A13),ROW(A13),1,1)&lt;&gt;"",OFFSET(Planning!$D$25,COLUMN(A13),0,1,1),0)</f>
        <v>0</v>
      </c>
      <c r="K16" s="67">
        <f ca="1">IF(OFFSET(Planning!$E$25,COLUMN(B13),ROW(B13),1,1)&lt;&gt;"",OFFSET(Planning!$D$25,COLUMN(B13),0,1,1),0)</f>
        <v>102</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14.261623907226106</v>
      </c>
      <c r="AE16" s="67">
        <f ca="1">VLOOKUP($B16,'Summary Calculations (hide)'!$D$15:$U$67,18,0)</f>
        <v>2.909216118881119</v>
      </c>
    </row>
    <row r="17" spans="1:31" x14ac:dyDescent="0.2">
      <c r="A17" s="87">
        <f t="shared" ca="1" si="3"/>
        <v>44879</v>
      </c>
      <c r="B17" s="67">
        <f t="shared" ca="1" si="0"/>
        <v>46</v>
      </c>
      <c r="C17" s="5">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14.261623907226106</v>
      </c>
      <c r="D17" s="5">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2.909216118881119</v>
      </c>
      <c r="E17" s="5">
        <f ca="1">VLOOKUP($B17,'Summary Calculations (hide)'!$D$15:$U$67,15,0)</f>
        <v>14.56425684888039</v>
      </c>
      <c r="F17" s="5">
        <f ca="1">VLOOKUP($B17,'Summary Calculations (hide)'!$D$15:$U$67,16,0)</f>
        <v>7.6923076923076925</v>
      </c>
      <c r="G17" s="5">
        <f t="shared" ca="1" si="1"/>
        <v>22.256564541188084</v>
      </c>
      <c r="H17" s="5">
        <f t="shared" ca="1" si="2"/>
        <v>22.256564541188084</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14.261623907226106</v>
      </c>
      <c r="AE17" s="67">
        <f ca="1">VLOOKUP($B17,'Summary Calculations (hide)'!$D$15:$U$67,18,0)</f>
        <v>2.909216118881119</v>
      </c>
    </row>
    <row r="18" spans="1:31" x14ac:dyDescent="0.2">
      <c r="A18" s="87">
        <f t="shared" ca="1" si="3"/>
        <v>44886</v>
      </c>
      <c r="B18" s="67">
        <f t="shared" ca="1" si="0"/>
        <v>47</v>
      </c>
      <c r="C18" s="5">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14.261623907226106</v>
      </c>
      <c r="D18" s="5">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2.909216118881119</v>
      </c>
      <c r="E18" s="5">
        <f ca="1">VLOOKUP($B18,'Summary Calculations (hide)'!$D$15:$U$67,15,0)</f>
        <v>14.56425684888039</v>
      </c>
      <c r="F18" s="5">
        <f ca="1">VLOOKUP($B18,'Summary Calculations (hide)'!$D$15:$U$67,16,0)</f>
        <v>3.6923076923076925</v>
      </c>
      <c r="G18" s="5">
        <f t="shared" ca="1" si="1"/>
        <v>18.256564541188084</v>
      </c>
      <c r="H18" s="5">
        <f t="shared" ca="1" si="2"/>
        <v>18.256564541188084</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14.261623907226106</v>
      </c>
      <c r="AE18" s="67">
        <f ca="1">VLOOKUP($B18,'Summary Calculations (hide)'!$D$15:$U$67,18,0)</f>
        <v>2.909216118881119</v>
      </c>
    </row>
    <row r="19" spans="1:31" x14ac:dyDescent="0.2">
      <c r="A19" s="87">
        <f t="shared" ca="1" si="3"/>
        <v>44893</v>
      </c>
      <c r="B19" s="67">
        <f t="shared" ca="1" si="0"/>
        <v>48</v>
      </c>
      <c r="C19" s="5">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14.261623907226106</v>
      </c>
      <c r="D19" s="5">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2.909216118881119</v>
      </c>
      <c r="E19" s="5">
        <f ca="1">VLOOKUP($B19,'Summary Calculations (hide)'!$D$15:$U$67,15,0)</f>
        <v>14.56425684888039</v>
      </c>
      <c r="F19" s="5">
        <f ca="1">VLOOKUP($B19,'Summary Calculations (hide)'!$D$15:$U$67,16,0)</f>
        <v>3.6923076923076925</v>
      </c>
      <c r="G19" s="5">
        <f t="shared" ca="1" si="1"/>
        <v>18.256564541188084</v>
      </c>
      <c r="H19" s="5">
        <f t="shared" ca="1" si="2"/>
        <v>103.25656454118808</v>
      </c>
      <c r="I19" s="67">
        <f ca="1">IF(OFFSET(Planning!$E$25,0,ROW(A16),1,1)&lt;&gt;"",-'Planning (hide)'!$G19,0)</f>
        <v>0</v>
      </c>
      <c r="J19" s="67">
        <f ca="1">IF(OFFSET(Planning!$E$25,COLUMN(A16),ROW(A16),1,1)&lt;&gt;"",OFFSET(Planning!$D$25,COLUMN(A16),0,1,1),0)</f>
        <v>85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14.261623907226106</v>
      </c>
      <c r="AE19" s="67">
        <f ca="1">VLOOKUP($B19,'Summary Calculations (hide)'!$D$15:$U$67,18,0)</f>
        <v>2.909216118881119</v>
      </c>
    </row>
    <row r="20" spans="1:31" x14ac:dyDescent="0.2">
      <c r="A20" s="87">
        <f t="shared" ca="1" si="3"/>
        <v>44900</v>
      </c>
      <c r="B20" s="67">
        <f t="shared" ca="1" si="0"/>
        <v>49</v>
      </c>
      <c r="C20" s="5">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14.261623907226106</v>
      </c>
      <c r="D20" s="5">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2.909216118881119</v>
      </c>
      <c r="E20" s="5">
        <f ca="1">VLOOKUP($B20,'Summary Calculations (hide)'!$D$15:$U$67,15,0)</f>
        <v>14.56425684888039</v>
      </c>
      <c r="F20" s="5">
        <f ca="1">VLOOKUP($B20,'Summary Calculations (hide)'!$D$15:$U$67,16,0)</f>
        <v>3.6923076923076925</v>
      </c>
      <c r="G20" s="5">
        <f t="shared" ca="1" si="1"/>
        <v>18.256564541188084</v>
      </c>
      <c r="H20" s="5">
        <f t="shared" ca="1" si="2"/>
        <v>103.25656454118808</v>
      </c>
      <c r="I20" s="67">
        <f ca="1">IF(OFFSET(Planning!$E$25,0,ROW(A17),1,1)&lt;&gt;"",-'Planning (hide)'!$G20,0)</f>
        <v>0</v>
      </c>
      <c r="J20" s="67">
        <f ca="1">IF(OFFSET(Planning!$E$25,COLUMN(A17),ROW(A17),1,1)&lt;&gt;"",OFFSET(Planning!$D$25,COLUMN(A17),0,1,1),0)</f>
        <v>85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14.261623907226106</v>
      </c>
      <c r="AE20" s="67">
        <f ca="1">VLOOKUP($B20,'Summary Calculations (hide)'!$D$15:$U$67,18,0)</f>
        <v>2.909216118881119</v>
      </c>
    </row>
    <row r="21" spans="1:31" x14ac:dyDescent="0.2">
      <c r="A21" s="87">
        <f t="shared" ca="1" si="3"/>
        <v>44907</v>
      </c>
      <c r="B21" s="67">
        <f t="shared" ca="1" si="0"/>
        <v>50</v>
      </c>
      <c r="C21" s="5">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14.261623907226106</v>
      </c>
      <c r="D21" s="5">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2.909216118881119</v>
      </c>
      <c r="E21" s="5">
        <f ca="1">VLOOKUP($B21,'Summary Calculations (hide)'!$D$15:$U$67,15,0)</f>
        <v>14.56425684888039</v>
      </c>
      <c r="F21" s="5">
        <f ca="1">VLOOKUP($B21,'Summary Calculations (hide)'!$D$15:$U$67,16,0)</f>
        <v>3.6923076923076925</v>
      </c>
      <c r="G21" s="5">
        <f t="shared" ca="1" si="1"/>
        <v>18.256564541188084</v>
      </c>
      <c r="H21" s="5">
        <f t="shared" ca="1" si="2"/>
        <v>103.25656454118808</v>
      </c>
      <c r="I21" s="67">
        <f ca="1">IF(OFFSET(Planning!$E$25,0,ROW(A18),1,1)&lt;&gt;"",-'Planning (hide)'!$G21,0)</f>
        <v>0</v>
      </c>
      <c r="J21" s="67">
        <f ca="1">IF(OFFSET(Planning!$E$25,COLUMN(A18),ROW(A18),1,1)&lt;&gt;"",OFFSET(Planning!$D$25,COLUMN(A18),0,1,1),0)</f>
        <v>85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14.261623907226106</v>
      </c>
      <c r="AE21" s="67">
        <f ca="1">VLOOKUP($B21,'Summary Calculations (hide)'!$D$15:$U$67,18,0)</f>
        <v>2.909216118881119</v>
      </c>
    </row>
    <row r="22" spans="1:31" x14ac:dyDescent="0.2">
      <c r="A22" s="87">
        <f t="shared" ca="1" si="3"/>
        <v>44914</v>
      </c>
      <c r="B22" s="67">
        <f t="shared" ca="1" si="0"/>
        <v>51</v>
      </c>
      <c r="C22" s="5">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14.261623907226106</v>
      </c>
      <c r="D22" s="5">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2.909216118881119</v>
      </c>
      <c r="E22" s="5">
        <f ca="1">VLOOKUP($B22,'Summary Calculations (hide)'!$D$15:$U$67,15,0)</f>
        <v>4.1937888198757767</v>
      </c>
      <c r="F22" s="5">
        <f ca="1">VLOOKUP($B22,'Summary Calculations (hide)'!$D$15:$U$67,16,0)</f>
        <v>0</v>
      </c>
      <c r="G22" s="5">
        <f t="shared" ca="1" si="1"/>
        <v>4.1937888198757767</v>
      </c>
      <c r="H22" s="5">
        <f t="shared" ca="1" si="2"/>
        <v>89.193788819875778</v>
      </c>
      <c r="I22" s="67">
        <f ca="1">IF(OFFSET(Planning!$E$25,0,ROW(A19),1,1)&lt;&gt;"",-'Planning (hide)'!$G22,0)</f>
        <v>0</v>
      </c>
      <c r="J22" s="67">
        <f ca="1">IF(OFFSET(Planning!$E$25,COLUMN(A19),ROW(A19),1,1)&lt;&gt;"",OFFSET(Planning!$D$25,COLUMN(A19),0,1,1),0)</f>
        <v>85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14.261623907226106</v>
      </c>
      <c r="AE22" s="67">
        <f ca="1">VLOOKUP($B22,'Summary Calculations (hide)'!$D$15:$U$67,18,0)</f>
        <v>2.909216118881119</v>
      </c>
    </row>
    <row r="23" spans="1:31" x14ac:dyDescent="0.2">
      <c r="A23" s="87">
        <f t="shared" ca="1" si="3"/>
        <v>44921</v>
      </c>
      <c r="B23" s="67">
        <f t="shared" ca="1" si="0"/>
        <v>52</v>
      </c>
      <c r="C23" s="5">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14.261623907226106</v>
      </c>
      <c r="D23" s="5">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2.909216118881119</v>
      </c>
      <c r="E23" s="5">
        <f ca="1">VLOOKUP($B23,'Summary Calculations (hide)'!$D$15:$U$67,15,0)</f>
        <v>4.1937888198757767</v>
      </c>
      <c r="F23" s="5">
        <f ca="1">VLOOKUP($B23,'Summary Calculations (hide)'!$D$15:$U$67,16,0)</f>
        <v>0</v>
      </c>
      <c r="G23" s="5">
        <f t="shared" ca="1" si="1"/>
        <v>4.1937888198757767</v>
      </c>
      <c r="H23" s="5">
        <f t="shared" ca="1" si="2"/>
        <v>4.1937888198757767</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14.261623907226106</v>
      </c>
      <c r="AE23" s="67">
        <f ca="1">VLOOKUP($B23,'Summary Calculations (hide)'!$D$15:$U$67,18,0)</f>
        <v>2.909216118881119</v>
      </c>
    </row>
    <row r="24" spans="1:31" x14ac:dyDescent="0.2">
      <c r="A24" s="87">
        <f t="shared" ca="1" si="3"/>
        <v>44928</v>
      </c>
      <c r="B24" s="67">
        <f t="shared" ca="1" si="0"/>
        <v>1</v>
      </c>
      <c r="C24" s="5">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14.261623907226106</v>
      </c>
      <c r="D24" s="5">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2.909216118881119</v>
      </c>
      <c r="E24" s="5">
        <f ca="1">VLOOKUP($B24,'Summary Calculations (hide)'!$D$15:$U$67,15,0)</f>
        <v>4.1937888198757767</v>
      </c>
      <c r="F24" s="5">
        <f ca="1">VLOOKUP($B24,'Summary Calculations (hide)'!$D$15:$U$67,16,0)</f>
        <v>0</v>
      </c>
      <c r="G24" s="5">
        <f t="shared" ca="1" si="1"/>
        <v>4.1937888198757767</v>
      </c>
      <c r="H24" s="5">
        <f t="shared" ca="1" si="2"/>
        <v>106.19378881987578</v>
      </c>
      <c r="I24" s="67">
        <f ca="1">IF(OFFSET(Planning!$E$25,0,ROW(A21),1,1)&lt;&gt;"",-'Planning (hide)'!$G24,0)</f>
        <v>0</v>
      </c>
      <c r="J24" s="67">
        <f ca="1">IF(OFFSET(Planning!$E$25,COLUMN(A21),ROW(A21),1,1)&lt;&gt;"",OFFSET(Planning!$D$25,COLUMN(A21),0,1,1),0)</f>
        <v>0</v>
      </c>
      <c r="K24" s="67">
        <f ca="1">IF(OFFSET(Planning!$E$25,COLUMN(B21),ROW(B21),1,1)&lt;&gt;"",OFFSET(Planning!$D$25,COLUMN(B21),0,1,1),0)</f>
        <v>102</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14.261623907226106</v>
      </c>
      <c r="AE24" s="67">
        <f ca="1">VLOOKUP($B24,'Summary Calculations (hide)'!$D$15:$U$67,18,0)</f>
        <v>2.909216118881119</v>
      </c>
    </row>
    <row r="25" spans="1:31" x14ac:dyDescent="0.2">
      <c r="A25" s="87">
        <f t="shared" ca="1" si="3"/>
        <v>44935</v>
      </c>
      <c r="B25" s="67">
        <f t="shared" ca="1" si="0"/>
        <v>2</v>
      </c>
      <c r="C25" s="5">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14.261623907226106</v>
      </c>
      <c r="D25" s="5">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2.909216118881119</v>
      </c>
      <c r="E25" s="5">
        <f ca="1">VLOOKUP($B25,'Summary Calculations (hide)'!$D$15:$U$67,15,0)</f>
        <v>4.1937888198757767</v>
      </c>
      <c r="F25" s="5">
        <f ca="1">VLOOKUP($B25,'Summary Calculations (hide)'!$D$15:$U$67,16,0)</f>
        <v>4</v>
      </c>
      <c r="G25" s="5">
        <f t="shared" ca="1" si="1"/>
        <v>8.1937888198757776</v>
      </c>
      <c r="H25" s="5">
        <f t="shared" ca="1" si="2"/>
        <v>110.19378881987578</v>
      </c>
      <c r="I25" s="67">
        <f ca="1">IF(OFFSET(Planning!$E$25,0,ROW(A22),1,1)&lt;&gt;"",-'Planning (hide)'!$G25,0)</f>
        <v>0</v>
      </c>
      <c r="J25" s="67">
        <f ca="1">IF(OFFSET(Planning!$E$25,COLUMN(A22),ROW(A22),1,1)&lt;&gt;"",OFFSET(Planning!$D$25,COLUMN(A22),0,1,1),0)</f>
        <v>0</v>
      </c>
      <c r="K25" s="67">
        <f ca="1">IF(OFFSET(Planning!$E$25,COLUMN(B22),ROW(B22),1,1)&lt;&gt;"",OFFSET(Planning!$D$25,COLUMN(B22),0,1,1),0)</f>
        <v>102</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14.261623907226106</v>
      </c>
      <c r="AE25" s="67">
        <f ca="1">VLOOKUP($B25,'Summary Calculations (hide)'!$D$15:$U$67,18,0)</f>
        <v>2.909216118881119</v>
      </c>
    </row>
    <row r="26" spans="1:31" x14ac:dyDescent="0.2">
      <c r="A26" s="87">
        <f t="shared" ca="1" si="3"/>
        <v>44942</v>
      </c>
      <c r="B26" s="67">
        <f t="shared" ca="1" si="0"/>
        <v>3</v>
      </c>
      <c r="C26" s="5">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14.261623907226106</v>
      </c>
      <c r="D26" s="5">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2.909216118881119</v>
      </c>
      <c r="E26" s="5">
        <f ca="1">VLOOKUP($B26,'Summary Calculations (hide)'!$D$15:$U$67,15,0)</f>
        <v>4.1937888198757767</v>
      </c>
      <c r="F26" s="5">
        <f ca="1">VLOOKUP($B26,'Summary Calculations (hide)'!$D$15:$U$67,16,0)</f>
        <v>0</v>
      </c>
      <c r="G26" s="5">
        <f t="shared" ca="1" si="1"/>
        <v>4.1937888198757767</v>
      </c>
      <c r="H26" s="5">
        <f t="shared" ca="1" si="2"/>
        <v>4.1937888198757767</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14.261623907226106</v>
      </c>
      <c r="AE26" s="67">
        <f ca="1">VLOOKUP($B26,'Summary Calculations (hide)'!$D$15:$U$67,18,0)</f>
        <v>2.909216118881119</v>
      </c>
    </row>
    <row r="27" spans="1:31" x14ac:dyDescent="0.2">
      <c r="A27" s="87">
        <f t="shared" ca="1" si="3"/>
        <v>44949</v>
      </c>
      <c r="B27" s="67">
        <f t="shared" ca="1" si="0"/>
        <v>4</v>
      </c>
      <c r="C27" s="5">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14.261623907226106</v>
      </c>
      <c r="D27" s="5">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2.909216118881119</v>
      </c>
      <c r="E27" s="5">
        <f ca="1">VLOOKUP($B27,'Summary Calculations (hide)'!$D$15:$U$67,15,0)</f>
        <v>14.56425684888039</v>
      </c>
      <c r="F27" s="5">
        <f ca="1">VLOOKUP($B27,'Summary Calculations (hide)'!$D$15:$U$67,16,0)</f>
        <v>0</v>
      </c>
      <c r="G27" s="5">
        <f t="shared" ca="1" si="1"/>
        <v>14.56425684888039</v>
      </c>
      <c r="H27" s="5">
        <f t="shared" ca="1" si="2"/>
        <v>14.56425684888039</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14.261623907226106</v>
      </c>
      <c r="AE27" s="67">
        <f ca="1">VLOOKUP($B27,'Summary Calculations (hide)'!$D$15:$U$67,18,0)</f>
        <v>2.909216118881119</v>
      </c>
    </row>
    <row r="28" spans="1:31" x14ac:dyDescent="0.2">
      <c r="A28" s="87">
        <f t="shared" ca="1" si="3"/>
        <v>44956</v>
      </c>
      <c r="B28" s="67">
        <f t="shared" ca="1" si="0"/>
        <v>5</v>
      </c>
      <c r="C28" s="5">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14.261623907226106</v>
      </c>
      <c r="D28" s="5">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2.909216118881119</v>
      </c>
      <c r="E28" s="5">
        <f ca="1">VLOOKUP($B28,'Summary Calculations (hide)'!$D$15:$U$67,15,0)</f>
        <v>14.56425684888039</v>
      </c>
      <c r="F28" s="5">
        <f ca="1">VLOOKUP($B28,'Summary Calculations (hide)'!$D$15:$U$67,16,0)</f>
        <v>0</v>
      </c>
      <c r="G28" s="5">
        <f t="shared" ca="1" si="1"/>
        <v>14.56425684888039</v>
      </c>
      <c r="H28" s="5">
        <f t="shared" ca="1" si="2"/>
        <v>14.56425684888039</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14.261623907226106</v>
      </c>
      <c r="AE28" s="67">
        <f ca="1">VLOOKUP($B28,'Summary Calculations (hide)'!$D$15:$U$67,18,0)</f>
        <v>2.909216118881119</v>
      </c>
    </row>
    <row r="29" spans="1:31" x14ac:dyDescent="0.2">
      <c r="A29" s="87">
        <f t="shared" ca="1" si="3"/>
        <v>44963</v>
      </c>
      <c r="B29" s="67">
        <f t="shared" ca="1" si="0"/>
        <v>6</v>
      </c>
      <c r="C29" s="5">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14.261623907226106</v>
      </c>
      <c r="D29" s="5">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2.909216118881119</v>
      </c>
      <c r="E29" s="5">
        <f ca="1">VLOOKUP($B29,'Summary Calculations (hide)'!$D$15:$U$67,15,0)</f>
        <v>0.83838812301166499</v>
      </c>
      <c r="F29" s="5">
        <f ca="1">VLOOKUP($B29,'Summary Calculations (hide)'!$D$15:$U$67,16,0)</f>
        <v>0</v>
      </c>
      <c r="G29" s="5">
        <f t="shared" ca="1" si="1"/>
        <v>0.83838812301166499</v>
      </c>
      <c r="H29" s="5">
        <f t="shared" ca="1" si="2"/>
        <v>0.83838812301166499</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14.261623907226106</v>
      </c>
      <c r="AE29" s="67">
        <f ca="1">VLOOKUP($B29,'Summary Calculations (hide)'!$D$15:$U$67,18,0)</f>
        <v>2.909216118881119</v>
      </c>
    </row>
    <row r="30" spans="1:31" x14ac:dyDescent="0.2">
      <c r="A30" s="87">
        <f t="shared" ca="1" si="3"/>
        <v>44970</v>
      </c>
      <c r="B30" s="67">
        <f t="shared" ca="1" si="0"/>
        <v>7</v>
      </c>
      <c r="C30" s="5">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14.261623907226106</v>
      </c>
      <c r="D30" s="5">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2.909216118881119</v>
      </c>
      <c r="E30" s="5">
        <f ca="1">VLOOKUP($B30,'Summary Calculations (hide)'!$D$15:$U$67,15,0)</f>
        <v>14.56425684888039</v>
      </c>
      <c r="F30" s="5">
        <f ca="1">VLOOKUP($B30,'Summary Calculations (hide)'!$D$15:$U$67,16,0)</f>
        <v>0</v>
      </c>
      <c r="G30" s="5">
        <f t="shared" ca="1" si="1"/>
        <v>14.56425684888039</v>
      </c>
      <c r="H30" s="5">
        <f t="shared" ca="1" si="2"/>
        <v>14.56425684888039</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14.261623907226106</v>
      </c>
      <c r="AE30" s="67">
        <f ca="1">VLOOKUP($B30,'Summary Calculations (hide)'!$D$15:$U$67,18,0)</f>
        <v>2.909216118881119</v>
      </c>
    </row>
    <row r="31" spans="1:31" x14ac:dyDescent="0.2">
      <c r="A31" s="87">
        <f t="shared" ca="1" si="3"/>
        <v>44977</v>
      </c>
      <c r="B31" s="67">
        <f t="shared" ca="1" si="0"/>
        <v>8</v>
      </c>
      <c r="C31" s="5">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14.261623907226106</v>
      </c>
      <c r="D31" s="5">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2.909216118881119</v>
      </c>
      <c r="E31" s="5">
        <f ca="1">VLOOKUP($B31,'Summary Calculations (hide)'!$D$15:$U$67,15,0)</f>
        <v>14.56425684888039</v>
      </c>
      <c r="F31" s="5">
        <f ca="1">VLOOKUP($B31,'Summary Calculations (hide)'!$D$15:$U$67,16,0)</f>
        <v>0</v>
      </c>
      <c r="G31" s="5">
        <f t="shared" ca="1" si="1"/>
        <v>14.56425684888039</v>
      </c>
      <c r="H31" s="5">
        <f t="shared" ca="1" si="2"/>
        <v>14.56425684888039</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14.261623907226106</v>
      </c>
      <c r="AE31" s="67">
        <f ca="1">VLOOKUP($B31,'Summary Calculations (hide)'!$D$15:$U$67,18,0)</f>
        <v>2.909216118881119</v>
      </c>
    </row>
    <row r="32" spans="1:31" x14ac:dyDescent="0.2">
      <c r="A32" s="87">
        <f t="shared" ca="1" si="3"/>
        <v>44984</v>
      </c>
      <c r="B32" s="67">
        <f t="shared" ca="1" si="0"/>
        <v>9</v>
      </c>
      <c r="C32" s="5">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14.261623907226106</v>
      </c>
      <c r="D32" s="5">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2.909216118881119</v>
      </c>
      <c r="E32" s="5">
        <f ca="1">VLOOKUP($B32,'Summary Calculations (hide)'!$D$15:$U$67,15,0)</f>
        <v>14.56425684888039</v>
      </c>
      <c r="F32" s="5">
        <f ca="1">VLOOKUP($B32,'Summary Calculations (hide)'!$D$15:$U$67,16,0)</f>
        <v>0</v>
      </c>
      <c r="G32" s="5">
        <f t="shared" ca="1" si="1"/>
        <v>14.56425684888039</v>
      </c>
      <c r="H32" s="5">
        <f t="shared" ca="1" si="2"/>
        <v>14.56425684888039</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14.261623907226106</v>
      </c>
      <c r="AE32" s="67">
        <f ca="1">VLOOKUP($B32,'Summary Calculations (hide)'!$D$15:$U$67,18,0)</f>
        <v>2.909216118881119</v>
      </c>
    </row>
    <row r="33" spans="1:31" x14ac:dyDescent="0.2">
      <c r="A33" s="87">
        <f t="shared" ca="1" si="3"/>
        <v>44991</v>
      </c>
      <c r="B33" s="67">
        <f t="shared" ca="1" si="0"/>
        <v>10</v>
      </c>
      <c r="C33" s="5">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14.261623907226106</v>
      </c>
      <c r="D33" s="5">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2.909216118881119</v>
      </c>
      <c r="E33" s="5">
        <f ca="1">VLOOKUP($B33,'Summary Calculations (hide)'!$D$15:$U$67,15,0)</f>
        <v>14.56425684888039</v>
      </c>
      <c r="F33" s="5">
        <f ca="1">VLOOKUP($B33,'Summary Calculations (hide)'!$D$15:$U$67,16,0)</f>
        <v>0</v>
      </c>
      <c r="G33" s="5">
        <f t="shared" ca="1" si="1"/>
        <v>14.56425684888039</v>
      </c>
      <c r="H33" s="5">
        <f t="shared" ca="1" si="2"/>
        <v>14.56425684888039</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14.261623907226106</v>
      </c>
      <c r="AE33" s="67">
        <f ca="1">VLOOKUP($B33,'Summary Calculations (hide)'!$D$15:$U$67,18,0)</f>
        <v>2.909216118881119</v>
      </c>
    </row>
    <row r="34" spans="1:31" x14ac:dyDescent="0.2">
      <c r="A34" s="87">
        <f t="shared" ca="1" si="3"/>
        <v>44998</v>
      </c>
      <c r="B34" s="67">
        <f t="shared" ca="1" si="0"/>
        <v>11</v>
      </c>
      <c r="C34" s="5">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14.261623907226106</v>
      </c>
      <c r="D34" s="5">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2.909216118881119</v>
      </c>
      <c r="E34" s="5">
        <f ca="1">VLOOKUP($B34,'Summary Calculations (hide)'!$D$15:$U$67,15,0)</f>
        <v>14.56425684888039</v>
      </c>
      <c r="F34" s="5">
        <f ca="1">VLOOKUP($B34,'Summary Calculations (hide)'!$D$15:$U$67,16,0)</f>
        <v>0</v>
      </c>
      <c r="G34" s="5">
        <f t="shared" ca="1" si="1"/>
        <v>14.56425684888039</v>
      </c>
      <c r="H34" s="5">
        <f t="shared" ca="1" si="2"/>
        <v>14.56425684888039</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14.261623907226106</v>
      </c>
      <c r="AE34" s="67">
        <f ca="1">VLOOKUP($B34,'Summary Calculations (hide)'!$D$15:$U$67,18,0)</f>
        <v>2.909216118881119</v>
      </c>
    </row>
    <row r="35" spans="1:31" x14ac:dyDescent="0.2">
      <c r="A35" s="87">
        <f t="shared" ca="1" si="3"/>
        <v>45005</v>
      </c>
      <c r="B35" s="67">
        <f t="shared" ca="1" si="0"/>
        <v>12</v>
      </c>
      <c r="C35" s="5">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14.261623907226106</v>
      </c>
      <c r="D35" s="5">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2.909216118881119</v>
      </c>
      <c r="E35" s="5">
        <f ca="1">VLOOKUP($B35,'Summary Calculations (hide)'!$D$15:$U$67,15,0)</f>
        <v>14.56425684888039</v>
      </c>
      <c r="F35" s="5">
        <f ca="1">VLOOKUP($B35,'Summary Calculations (hide)'!$D$15:$U$67,16,0)</f>
        <v>0</v>
      </c>
      <c r="G35" s="5">
        <f t="shared" ca="1" si="1"/>
        <v>14.56425684888039</v>
      </c>
      <c r="H35" s="5">
        <f t="shared" ca="1" si="2"/>
        <v>14.56425684888039</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14.261623907226106</v>
      </c>
      <c r="AE35" s="67">
        <f ca="1">VLOOKUP($B35,'Summary Calculations (hide)'!$D$15:$U$67,18,0)</f>
        <v>2.909216118881119</v>
      </c>
    </row>
    <row r="36" spans="1:31" x14ac:dyDescent="0.2">
      <c r="A36" s="87">
        <f t="shared" ca="1" si="3"/>
        <v>45012</v>
      </c>
      <c r="B36" s="67">
        <f t="shared" ca="1" si="0"/>
        <v>13</v>
      </c>
      <c r="C36" s="5">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14.261623907226106</v>
      </c>
      <c r="D36" s="5">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2.909216118881119</v>
      </c>
      <c r="E36" s="5">
        <f ca="1">VLOOKUP($B36,'Summary Calculations (hide)'!$D$15:$U$67,15,0)</f>
        <v>14.56425684888039</v>
      </c>
      <c r="F36" s="5">
        <f ca="1">VLOOKUP($B36,'Summary Calculations (hide)'!$D$15:$U$67,16,0)</f>
        <v>0</v>
      </c>
      <c r="G36" s="5">
        <f t="shared" ca="1" si="1"/>
        <v>14.56425684888039</v>
      </c>
      <c r="H36" s="5">
        <f t="shared" ca="1" si="2"/>
        <v>14.56425684888039</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14.261623907226106</v>
      </c>
      <c r="AE36" s="67">
        <f ca="1">VLOOKUP($B36,'Summary Calculations (hide)'!$D$15:$U$67,18,0)</f>
        <v>2.909216118881119</v>
      </c>
    </row>
    <row r="37" spans="1:31" x14ac:dyDescent="0.2">
      <c r="A37" s="87">
        <f t="shared" ca="1" si="3"/>
        <v>45019</v>
      </c>
      <c r="B37" s="67">
        <f t="shared" ca="1" si="0"/>
        <v>14</v>
      </c>
      <c r="C37" s="5">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14.261623907226106</v>
      </c>
      <c r="D37" s="5">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2.909216118881119</v>
      </c>
      <c r="E37" s="5">
        <f ca="1">VLOOKUP($B37,'Summary Calculations (hide)'!$D$15:$U$67,15,0)</f>
        <v>14.56425684888039</v>
      </c>
      <c r="F37" s="5">
        <f ca="1">VLOOKUP($B37,'Summary Calculations (hide)'!$D$15:$U$67,16,0)</f>
        <v>0</v>
      </c>
      <c r="G37" s="5">
        <f t="shared" ca="1" si="1"/>
        <v>14.56425684888039</v>
      </c>
      <c r="H37" s="5">
        <f t="shared" ca="1" si="2"/>
        <v>14.56425684888039</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14.261623907226106</v>
      </c>
      <c r="AE37" s="67">
        <f ca="1">VLOOKUP($B37,'Summary Calculations (hide)'!$D$15:$U$67,18,0)</f>
        <v>2.909216118881119</v>
      </c>
    </row>
    <row r="38" spans="1:31" x14ac:dyDescent="0.2">
      <c r="A38" s="87">
        <f t="shared" ca="1" si="3"/>
        <v>45026</v>
      </c>
      <c r="B38" s="67">
        <f t="shared" ca="1" si="0"/>
        <v>15</v>
      </c>
      <c r="C38" s="5">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14.261623907226106</v>
      </c>
      <c r="D38" s="5">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2.909216118881119</v>
      </c>
      <c r="E38" s="5">
        <f ca="1">VLOOKUP($B38,'Summary Calculations (hide)'!$D$15:$U$67,15,0)</f>
        <v>14.56425684888039</v>
      </c>
      <c r="F38" s="5">
        <f ca="1">VLOOKUP($B38,'Summary Calculations (hide)'!$D$15:$U$67,16,0)</f>
        <v>0</v>
      </c>
      <c r="G38" s="5">
        <f t="shared" ca="1" si="1"/>
        <v>14.56425684888039</v>
      </c>
      <c r="H38" s="5">
        <f t="shared" ca="1" si="2"/>
        <v>14.56425684888039</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14.261623907226106</v>
      </c>
      <c r="AE38" s="67">
        <f ca="1">VLOOKUP($B38,'Summary Calculations (hide)'!$D$15:$U$67,18,0)</f>
        <v>2.909216118881119</v>
      </c>
    </row>
    <row r="39" spans="1:31" x14ac:dyDescent="0.2">
      <c r="A39" s="87">
        <f t="shared" ca="1" si="3"/>
        <v>45033</v>
      </c>
      <c r="B39" s="67">
        <f t="shared" ca="1" si="0"/>
        <v>16</v>
      </c>
      <c r="C39" s="5">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14.261623907226106</v>
      </c>
      <c r="D39" s="5">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2.909216118881119</v>
      </c>
      <c r="E39" s="5">
        <f ca="1">VLOOKUP($B39,'Summary Calculations (hide)'!$D$15:$U$67,15,0)</f>
        <v>14.56425684888039</v>
      </c>
      <c r="F39" s="5">
        <f ca="1">VLOOKUP($B39,'Summary Calculations (hide)'!$D$15:$U$67,16,0)</f>
        <v>0</v>
      </c>
      <c r="G39" s="5">
        <f t="shared" ca="1" si="1"/>
        <v>14.56425684888039</v>
      </c>
      <c r="H39" s="5">
        <f t="shared" ca="1" si="2"/>
        <v>14.56425684888039</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14.261623907226106</v>
      </c>
      <c r="AE39" s="67">
        <f ca="1">VLOOKUP($B39,'Summary Calculations (hide)'!$D$15:$U$67,18,0)</f>
        <v>2.909216118881119</v>
      </c>
    </row>
    <row r="40" spans="1:31" x14ac:dyDescent="0.2">
      <c r="A40" s="87">
        <f t="shared" ca="1" si="3"/>
        <v>45040</v>
      </c>
      <c r="B40" s="67">
        <f t="shared" ca="1" si="0"/>
        <v>17</v>
      </c>
      <c r="C40" s="5">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14.261623907226106</v>
      </c>
      <c r="D40" s="5">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2.909216118881119</v>
      </c>
      <c r="E40" s="5">
        <f ca="1">VLOOKUP($B40,'Summary Calculations (hide)'!$D$15:$U$67,15,0)</f>
        <v>14.56425684888039</v>
      </c>
      <c r="F40" s="5">
        <f ca="1">VLOOKUP($B40,'Summary Calculations (hide)'!$D$15:$U$67,16,0)</f>
        <v>0</v>
      </c>
      <c r="G40" s="5">
        <f t="shared" ca="1" si="1"/>
        <v>14.56425684888039</v>
      </c>
      <c r="H40" s="5">
        <f t="shared" ca="1" si="2"/>
        <v>14.56425684888039</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14.261623907226106</v>
      </c>
      <c r="AE40" s="67">
        <f ca="1">VLOOKUP($B40,'Summary Calculations (hide)'!$D$15:$U$67,18,0)</f>
        <v>2.909216118881119</v>
      </c>
    </row>
    <row r="41" spans="1:31" x14ac:dyDescent="0.2">
      <c r="A41" s="87">
        <f t="shared" ca="1" si="3"/>
        <v>45047</v>
      </c>
      <c r="B41" s="67">
        <f t="shared" ca="1" si="0"/>
        <v>18</v>
      </c>
      <c r="C41" s="5">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14.261623907226106</v>
      </c>
      <c r="D41" s="5">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2.909216118881119</v>
      </c>
      <c r="E41" s="5">
        <f ca="1">VLOOKUP($B41,'Summary Calculations (hide)'!$D$15:$U$67,15,0)</f>
        <v>0.83838812301166499</v>
      </c>
      <c r="F41" s="5">
        <f ca="1">VLOOKUP($B41,'Summary Calculations (hide)'!$D$15:$U$67,16,0)</f>
        <v>0</v>
      </c>
      <c r="G41" s="5">
        <f t="shared" ca="1" si="1"/>
        <v>0.83838812301166499</v>
      </c>
      <c r="H41" s="5">
        <f t="shared" ca="1" si="2"/>
        <v>0.83838812301166499</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14.261623907226106</v>
      </c>
      <c r="AE41" s="67">
        <f ca="1">VLOOKUP($B41,'Summary Calculations (hide)'!$D$15:$U$67,18,0)</f>
        <v>2.909216118881119</v>
      </c>
    </row>
    <row r="42" spans="1:31" x14ac:dyDescent="0.2">
      <c r="A42" s="87">
        <f ca="1">A41+7</f>
        <v>45054</v>
      </c>
      <c r="B42" s="67">
        <f t="shared" ca="1" si="0"/>
        <v>19</v>
      </c>
      <c r="C42" s="5">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14.261623907226106</v>
      </c>
      <c r="D42" s="5">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2.909216118881119</v>
      </c>
      <c r="E42" s="5">
        <f ca="1">VLOOKUP($B42,'Summary Calculations (hide)'!$D$15:$U$67,15,0)</f>
        <v>0.83838812301166499</v>
      </c>
      <c r="F42" s="5">
        <f ca="1">VLOOKUP($B42,'Summary Calculations (hide)'!$D$15:$U$67,16,0)</f>
        <v>4</v>
      </c>
      <c r="G42" s="5">
        <f t="shared" ca="1" si="1"/>
        <v>4.838388123011665</v>
      </c>
      <c r="H42" s="5">
        <f t="shared" ca="1" si="2"/>
        <v>4.838388123011665</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14.261623907226106</v>
      </c>
      <c r="AE42" s="67">
        <f ca="1">VLOOKUP($B42,'Summary Calculations (hide)'!$D$15:$U$67,18,0)</f>
        <v>2.909216118881119</v>
      </c>
    </row>
    <row r="43" spans="1:31" x14ac:dyDescent="0.2">
      <c r="A43" s="87">
        <f t="shared" ca="1" si="3"/>
        <v>45061</v>
      </c>
      <c r="B43" s="67">
        <f t="shared" ca="1" si="0"/>
        <v>20</v>
      </c>
      <c r="C43" s="5">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14.261623907226106</v>
      </c>
      <c r="D43" s="5">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2.909216118881119</v>
      </c>
      <c r="E43" s="5">
        <f ca="1">VLOOKUP($B43,'Summary Calculations (hide)'!$D$15:$U$67,15,0)</f>
        <v>0.83838812301166499</v>
      </c>
      <c r="F43" s="5">
        <f ca="1">VLOOKUP($B43,'Summary Calculations (hide)'!$D$15:$U$67,16,0)</f>
        <v>0</v>
      </c>
      <c r="G43" s="5">
        <f t="shared" ca="1" si="1"/>
        <v>0.83838812301166499</v>
      </c>
      <c r="H43" s="5">
        <f t="shared" ca="1" si="2"/>
        <v>0.83838812301166499</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14.261623907226106</v>
      </c>
      <c r="AE43" s="67">
        <f ca="1">VLOOKUP($B43,'Summary Calculations (hide)'!$D$15:$U$67,18,0)</f>
        <v>2.909216118881119</v>
      </c>
    </row>
    <row r="44" spans="1:31" x14ac:dyDescent="0.2">
      <c r="A44" s="87">
        <f t="shared" ca="1" si="3"/>
        <v>45068</v>
      </c>
      <c r="B44" s="67">
        <f t="shared" ca="1" si="0"/>
        <v>21</v>
      </c>
      <c r="C44" s="5">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14.261623907226106</v>
      </c>
      <c r="D44" s="5">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2.909216118881119</v>
      </c>
      <c r="E44" s="5">
        <f ca="1">VLOOKUP($B44,'Summary Calculations (hide)'!$D$15:$U$67,15,0)</f>
        <v>0.83838812301166499</v>
      </c>
      <c r="F44" s="5">
        <f ca="1">VLOOKUP($B44,'Summary Calculations (hide)'!$D$15:$U$67,16,0)</f>
        <v>4</v>
      </c>
      <c r="G44" s="5">
        <f t="shared" ca="1" si="1"/>
        <v>4.838388123011665</v>
      </c>
      <c r="H44" s="5">
        <f t="shared" ca="1" si="2"/>
        <v>4.838388123011665</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14.261623907226106</v>
      </c>
      <c r="AE44" s="67">
        <f ca="1">VLOOKUP($B44,'Summary Calculations (hide)'!$D$15:$U$67,18,0)</f>
        <v>2.909216118881119</v>
      </c>
    </row>
    <row r="45" spans="1:31" x14ac:dyDescent="0.2">
      <c r="A45" s="87">
        <f t="shared" ca="1" si="3"/>
        <v>45075</v>
      </c>
      <c r="B45" s="67">
        <f t="shared" ca="1" si="0"/>
        <v>22</v>
      </c>
      <c r="C45" s="5">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14.261623907226106</v>
      </c>
      <c r="D45" s="5">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2.909216118881119</v>
      </c>
      <c r="E45" s="5">
        <f ca="1">VLOOKUP($B45,'Summary Calculations (hide)'!$D$15:$U$67,15,0)</f>
        <v>0.83838812301166499</v>
      </c>
      <c r="F45" s="5">
        <f ca="1">VLOOKUP($B45,'Summary Calculations (hide)'!$D$15:$U$67,16,0)</f>
        <v>0</v>
      </c>
      <c r="G45" s="5">
        <f t="shared" ca="1" si="1"/>
        <v>0.83838812301166499</v>
      </c>
      <c r="H45" s="5">
        <f t="shared" ca="1" si="2"/>
        <v>0.83838812301166499</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14.261623907226106</v>
      </c>
      <c r="AE45" s="67">
        <f ca="1">VLOOKUP($B45,'Summary Calculations (hide)'!$D$15:$U$67,18,0)</f>
        <v>2.909216118881119</v>
      </c>
    </row>
    <row r="46" spans="1:31" x14ac:dyDescent="0.2">
      <c r="A46" s="87">
        <f t="shared" ca="1" si="3"/>
        <v>45082</v>
      </c>
      <c r="B46" s="67">
        <f t="shared" ca="1" si="0"/>
        <v>23</v>
      </c>
      <c r="C46" s="5">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14.261623907226106</v>
      </c>
      <c r="D46" s="5">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2.909216118881119</v>
      </c>
      <c r="E46" s="5">
        <f ca="1">VLOOKUP($B46,'Summary Calculations (hide)'!$D$15:$U$67,15,0)</f>
        <v>14.56425684888039</v>
      </c>
      <c r="F46" s="5">
        <f ca="1">VLOOKUP($B46,'Summary Calculations (hide)'!$D$15:$U$67,16,0)</f>
        <v>4</v>
      </c>
      <c r="G46" s="5">
        <f t="shared" ca="1" si="1"/>
        <v>18.56425684888039</v>
      </c>
      <c r="H46" s="5">
        <f t="shared" ca="1" si="2"/>
        <v>18.56425684888039</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14.261623907226106</v>
      </c>
      <c r="AE46" s="67">
        <f ca="1">VLOOKUP($B46,'Summary Calculations (hide)'!$D$15:$U$67,18,0)</f>
        <v>2.909216118881119</v>
      </c>
    </row>
    <row r="47" spans="1:31" x14ac:dyDescent="0.2">
      <c r="A47" s="87">
        <f t="shared" ca="1" si="3"/>
        <v>45089</v>
      </c>
      <c r="B47" s="67">
        <f t="shared" ca="1" si="0"/>
        <v>24</v>
      </c>
      <c r="C47" s="5">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14.261623907226106</v>
      </c>
      <c r="D47" s="5">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2.909216118881119</v>
      </c>
      <c r="E47" s="5">
        <f ca="1">VLOOKUP($B47,'Summary Calculations (hide)'!$D$15:$U$67,15,0)</f>
        <v>14.56425684888039</v>
      </c>
      <c r="F47" s="5">
        <f ca="1">VLOOKUP($B47,'Summary Calculations (hide)'!$D$15:$U$67,16,0)</f>
        <v>4</v>
      </c>
      <c r="G47" s="5">
        <f t="shared" ca="1" si="1"/>
        <v>18.56425684888039</v>
      </c>
      <c r="H47" s="5">
        <f t="shared" ca="1" si="2"/>
        <v>18.56425684888039</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14.261623907226106</v>
      </c>
      <c r="AE47" s="67">
        <f ca="1">VLOOKUP($B47,'Summary Calculations (hide)'!$D$15:$U$67,18,0)</f>
        <v>2.909216118881119</v>
      </c>
    </row>
    <row r="48" spans="1:31" x14ac:dyDescent="0.2">
      <c r="A48" s="87">
        <f t="shared" ca="1" si="3"/>
        <v>45096</v>
      </c>
      <c r="B48" s="67">
        <f t="shared" ca="1" si="0"/>
        <v>25</v>
      </c>
      <c r="C48" s="5">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14.261623907226106</v>
      </c>
      <c r="D48" s="5">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2.909216118881119</v>
      </c>
      <c r="E48" s="5">
        <f ca="1">VLOOKUP($B48,'Summary Calculations (hide)'!$D$15:$U$67,15,0)</f>
        <v>14.56425684888039</v>
      </c>
      <c r="F48" s="5">
        <f ca="1">VLOOKUP($B48,'Summary Calculations (hide)'!$D$15:$U$67,16,0)</f>
        <v>0</v>
      </c>
      <c r="G48" s="5">
        <f t="shared" ca="1" si="1"/>
        <v>14.56425684888039</v>
      </c>
      <c r="H48" s="5">
        <f t="shared" ca="1" si="2"/>
        <v>116.56425684888039</v>
      </c>
      <c r="I48" s="67">
        <f ca="1">IF(OFFSET(Planning!$E$25,0,ROW(A45),1,1)&lt;&gt;"",-'Planning (hide)'!$G48,0)</f>
        <v>0</v>
      </c>
      <c r="J48" s="67">
        <f ca="1">IF(OFFSET(Planning!$E$25,COLUMN(A45),ROW(A45),1,1)&lt;&gt;"",OFFSET(Planning!$D$25,COLUMN(A45),0,1,1),0)</f>
        <v>0</v>
      </c>
      <c r="K48" s="67">
        <f ca="1">IF(OFFSET(Planning!$E$25,COLUMN(B45),ROW(B45),1,1)&lt;&gt;"",OFFSET(Planning!$D$25,COLUMN(B45),0,1,1),0)</f>
        <v>102</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14.261623907226106</v>
      </c>
      <c r="AE48" s="67">
        <f ca="1">VLOOKUP($B48,'Summary Calculations (hide)'!$D$15:$U$67,18,0)</f>
        <v>2.909216118881119</v>
      </c>
    </row>
    <row r="49" spans="1:31" x14ac:dyDescent="0.2">
      <c r="A49" s="87">
        <f t="shared" ca="1" si="3"/>
        <v>45103</v>
      </c>
      <c r="B49" s="67">
        <f t="shared" ca="1" si="0"/>
        <v>26</v>
      </c>
      <c r="C49" s="5">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14.261623907226106</v>
      </c>
      <c r="D49" s="5">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2.909216118881119</v>
      </c>
      <c r="E49" s="5">
        <f ca="1">VLOOKUP($B49,'Summary Calculations (hide)'!$D$15:$U$67,15,0)</f>
        <v>14.56425684888039</v>
      </c>
      <c r="F49" s="5">
        <f ca="1">VLOOKUP($B49,'Summary Calculations (hide)'!$D$15:$U$67,16,0)</f>
        <v>3.6923076923076925</v>
      </c>
      <c r="G49" s="5">
        <f t="shared" ca="1" si="1"/>
        <v>18.256564541188084</v>
      </c>
      <c r="H49" s="5">
        <f t="shared" ca="1" si="2"/>
        <v>120.25656454118808</v>
      </c>
      <c r="I49" s="67">
        <f ca="1">IF(OFFSET(Planning!$E$25,0,ROW(A46),1,1)&lt;&gt;"",-'Planning (hide)'!$G49,0)</f>
        <v>0</v>
      </c>
      <c r="J49" s="67">
        <f ca="1">IF(OFFSET(Planning!$E$25,COLUMN(A46),ROW(A46),1,1)&lt;&gt;"",OFFSET(Planning!$D$25,COLUMN(A46),0,1,1),0)</f>
        <v>0</v>
      </c>
      <c r="K49" s="67">
        <f ca="1">IF(OFFSET(Planning!$E$25,COLUMN(B46),ROW(B46),1,1)&lt;&gt;"",OFFSET(Planning!$D$25,COLUMN(B46),0,1,1),0)</f>
        <v>102</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14.261623907226106</v>
      </c>
      <c r="AE49" s="67">
        <f ca="1">VLOOKUP($B49,'Summary Calculations (hide)'!$D$15:$U$67,18,0)</f>
        <v>2.909216118881119</v>
      </c>
    </row>
    <row r="50" spans="1:31" x14ac:dyDescent="0.2">
      <c r="A50" s="87">
        <f t="shared" ca="1" si="3"/>
        <v>45110</v>
      </c>
      <c r="B50" s="67">
        <f t="shared" ca="1" si="0"/>
        <v>27</v>
      </c>
      <c r="C50" s="5">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14.261623907226106</v>
      </c>
      <c r="D50" s="5">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2.909216118881119</v>
      </c>
      <c r="E50" s="5">
        <f ca="1">VLOOKUP($B50,'Summary Calculations (hide)'!$D$15:$U$67,15,0)</f>
        <v>14.56425684888039</v>
      </c>
      <c r="F50" s="5">
        <f ca="1">VLOOKUP($B50,'Summary Calculations (hide)'!$D$15:$U$67,16,0)</f>
        <v>7.6923076923076925</v>
      </c>
      <c r="G50" s="5">
        <f t="shared" ca="1" si="1"/>
        <v>22.256564541188084</v>
      </c>
      <c r="H50" s="5">
        <f t="shared" ca="1" si="2"/>
        <v>22.256564541188084</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14.261623907226106</v>
      </c>
      <c r="AE50" s="67">
        <f ca="1">VLOOKUP($B50,'Summary Calculations (hide)'!$D$15:$U$67,18,0)</f>
        <v>2.909216118881119</v>
      </c>
    </row>
    <row r="51" spans="1:31" x14ac:dyDescent="0.2">
      <c r="A51" s="87">
        <f t="shared" ca="1" si="3"/>
        <v>45117</v>
      </c>
      <c r="B51" s="67">
        <f t="shared" ca="1" si="0"/>
        <v>28</v>
      </c>
      <c r="C51" s="5">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14.261623907226106</v>
      </c>
      <c r="D51" s="5">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2.909216118881119</v>
      </c>
      <c r="E51" s="5">
        <f ca="1">VLOOKUP($B51,'Summary Calculations (hide)'!$D$15:$U$67,15,0)</f>
        <v>14.56425684888039</v>
      </c>
      <c r="F51" s="5">
        <f ca="1">VLOOKUP($B51,'Summary Calculations (hide)'!$D$15:$U$67,16,0)</f>
        <v>4</v>
      </c>
      <c r="G51" s="5">
        <f t="shared" ca="1" si="1"/>
        <v>18.56425684888039</v>
      </c>
      <c r="H51" s="5">
        <f t="shared" ca="1" si="2"/>
        <v>18.56425684888039</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14.261623907226106</v>
      </c>
      <c r="AE51" s="67">
        <f ca="1">VLOOKUP($B51,'Summary Calculations (hide)'!$D$15:$U$67,18,0)</f>
        <v>2.909216118881119</v>
      </c>
    </row>
    <row r="52" spans="1:31" x14ac:dyDescent="0.2">
      <c r="A52" s="87">
        <f t="shared" ca="1" si="3"/>
        <v>45124</v>
      </c>
      <c r="B52" s="67">
        <f t="shared" ca="1" si="0"/>
        <v>29</v>
      </c>
      <c r="C52" s="5">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14.261623907226106</v>
      </c>
      <c r="D52" s="5">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2.909216118881119</v>
      </c>
      <c r="E52" s="5">
        <f ca="1">VLOOKUP($B52,'Summary Calculations (hide)'!$D$15:$U$67,15,0)</f>
        <v>14.56425684888039</v>
      </c>
      <c r="F52" s="5">
        <f ca="1">VLOOKUP($B52,'Summary Calculations (hide)'!$D$15:$U$67,16,0)</f>
        <v>0</v>
      </c>
      <c r="G52" s="5">
        <f t="shared" ca="1" si="1"/>
        <v>14.56425684888039</v>
      </c>
      <c r="H52" s="5">
        <f t="shared" ca="1" si="2"/>
        <v>14.56425684888039</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14.261623907226106</v>
      </c>
      <c r="AE52" s="67">
        <f ca="1">VLOOKUP($B52,'Summary Calculations (hide)'!$D$15:$U$67,18,0)</f>
        <v>2.909216118881119</v>
      </c>
    </row>
    <row r="53" spans="1:31" x14ac:dyDescent="0.2">
      <c r="A53" s="87">
        <f t="shared" ca="1" si="3"/>
        <v>45131</v>
      </c>
      <c r="B53" s="67">
        <f t="shared" ca="1" si="0"/>
        <v>30</v>
      </c>
      <c r="C53" s="5">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14.261623907226106</v>
      </c>
      <c r="D53" s="5">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2.909216118881119</v>
      </c>
      <c r="E53" s="5">
        <f ca="1">VLOOKUP($B53,'Summary Calculations (hide)'!$D$15:$U$67,15,0)</f>
        <v>14.56425684888039</v>
      </c>
      <c r="F53" s="5">
        <f ca="1">VLOOKUP($B53,'Summary Calculations (hide)'!$D$15:$U$67,16,0)</f>
        <v>0</v>
      </c>
      <c r="G53" s="5">
        <f t="shared" ca="1" si="1"/>
        <v>14.56425684888039</v>
      </c>
      <c r="H53" s="5">
        <f t="shared" ca="1" si="2"/>
        <v>14.56425684888039</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14.261623907226106</v>
      </c>
      <c r="AE53" s="67">
        <f ca="1">VLOOKUP($B53,'Summary Calculations (hide)'!$D$15:$U$67,18,0)</f>
        <v>2.909216118881119</v>
      </c>
    </row>
    <row r="54" spans="1:31" x14ac:dyDescent="0.2">
      <c r="A54" s="87">
        <f t="shared" ca="1" si="3"/>
        <v>45138</v>
      </c>
      <c r="B54" s="67">
        <f t="shared" ca="1" si="0"/>
        <v>31</v>
      </c>
      <c r="C54" s="5">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14.261623907226106</v>
      </c>
      <c r="D54" s="5">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2.909216118881119</v>
      </c>
      <c r="E54" s="5">
        <f ca="1">VLOOKUP($B54,'Summary Calculations (hide)'!$D$15:$U$67,15,0)</f>
        <v>14.56425684888039</v>
      </c>
      <c r="F54" s="5">
        <f ca="1">VLOOKUP($B54,'Summary Calculations (hide)'!$D$15:$U$67,16,0)</f>
        <v>7.6923076923076925</v>
      </c>
      <c r="G54" s="5">
        <f t="shared" ca="1" si="1"/>
        <v>22.256564541188084</v>
      </c>
      <c r="H54" s="5">
        <f t="shared" ca="1" si="2"/>
        <v>22.256564541188084</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14.261623907226106</v>
      </c>
      <c r="AE54" s="67">
        <f ca="1">VLOOKUP($B54,'Summary Calculations (hide)'!$D$15:$U$67,18,0)</f>
        <v>2.909216118881119</v>
      </c>
    </row>
    <row r="55" spans="1:31" x14ac:dyDescent="0.2">
      <c r="A55" s="87">
        <f t="shared" ca="1" si="3"/>
        <v>45145</v>
      </c>
      <c r="B55" s="67">
        <f t="shared" ca="1" si="0"/>
        <v>32</v>
      </c>
      <c r="C55" s="5">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14.261623907226106</v>
      </c>
      <c r="D55" s="5">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2.909216118881119</v>
      </c>
      <c r="E55" s="5">
        <f ca="1">VLOOKUP($B55,'Summary Calculations (hide)'!$D$15:$U$67,15,0)</f>
        <v>9.9258687258687246</v>
      </c>
      <c r="F55" s="5">
        <f ca="1">VLOOKUP($B55,'Summary Calculations (hide)'!$D$15:$U$67,16,0)</f>
        <v>0</v>
      </c>
      <c r="G55" s="5">
        <f t="shared" ca="1" si="1"/>
        <v>9.9258687258687246</v>
      </c>
      <c r="H55" s="5">
        <f t="shared" ca="1" si="2"/>
        <v>9.9258687258687246</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14.261623907226106</v>
      </c>
      <c r="AE55" s="67">
        <f ca="1">VLOOKUP($B55,'Summary Calculations (hide)'!$D$15:$U$67,18,0)</f>
        <v>2.909216118881119</v>
      </c>
    </row>
    <row r="62" spans="1:31" x14ac:dyDescent="0.2">
      <c r="C62" s="5"/>
    </row>
    <row r="63" spans="1:31" x14ac:dyDescent="0.2">
      <c r="C63" s="5"/>
    </row>
    <row r="64" spans="1:31" x14ac:dyDescent="0.2">
      <c r="C64" s="5"/>
    </row>
    <row r="65" spans="3:3" x14ac:dyDescent="0.2">
      <c r="C65" s="5"/>
    </row>
    <row r="66" spans="3:3" x14ac:dyDescent="0.2">
      <c r="C66" s="5"/>
    </row>
    <row r="67" spans="3:3" x14ac:dyDescent="0.2">
      <c r="C67" s="5"/>
    </row>
    <row r="68" spans="3:3" x14ac:dyDescent="0.2">
      <c r="C68" s="5"/>
    </row>
    <row r="69" spans="3:3" x14ac:dyDescent="0.2">
      <c r="C69" s="5"/>
    </row>
    <row r="70" spans="3:3" x14ac:dyDescent="0.2">
      <c r="C70" s="5"/>
    </row>
    <row r="71" spans="3:3" x14ac:dyDescent="0.2">
      <c r="C71" s="5"/>
    </row>
    <row r="72" spans="3:3" x14ac:dyDescent="0.2">
      <c r="C72" s="5"/>
    </row>
    <row r="73" spans="3:3" x14ac:dyDescent="0.2">
      <c r="C73" s="5"/>
    </row>
    <row r="74" spans="3:3" x14ac:dyDescent="0.2">
      <c r="C74" s="5"/>
    </row>
    <row r="75" spans="3:3" x14ac:dyDescent="0.2">
      <c r="C75" s="5"/>
    </row>
    <row r="76" spans="3:3" x14ac:dyDescent="0.2">
      <c r="C76" s="5"/>
    </row>
    <row r="77" spans="3:3" x14ac:dyDescent="0.2">
      <c r="C77" s="5"/>
    </row>
    <row r="78" spans="3:3" x14ac:dyDescent="0.2">
      <c r="C78" s="5"/>
    </row>
    <row r="79" spans="3:3" x14ac:dyDescent="0.2">
      <c r="C79" s="5"/>
    </row>
    <row r="80" spans="3:3" x14ac:dyDescent="0.2">
      <c r="C80" s="5"/>
    </row>
    <row r="81" spans="3:3" x14ac:dyDescent="0.2">
      <c r="C81" s="5"/>
    </row>
    <row r="82" spans="3:3" x14ac:dyDescent="0.2">
      <c r="C82" s="5"/>
    </row>
    <row r="83" spans="3:3" x14ac:dyDescent="0.2">
      <c r="C83" s="5"/>
    </row>
    <row r="84" spans="3:3" x14ac:dyDescent="0.2">
      <c r="C84" s="5"/>
    </row>
    <row r="85" spans="3:3" x14ac:dyDescent="0.2">
      <c r="C85" s="5"/>
    </row>
    <row r="86" spans="3:3" x14ac:dyDescent="0.2">
      <c r="C86" s="5"/>
    </row>
    <row r="87" spans="3:3" x14ac:dyDescent="0.2">
      <c r="C87" s="5"/>
    </row>
    <row r="88" spans="3:3" x14ac:dyDescent="0.2">
      <c r="C88" s="5"/>
    </row>
    <row r="89" spans="3:3" x14ac:dyDescent="0.2">
      <c r="C89" s="5"/>
    </row>
    <row r="90" spans="3:3" x14ac:dyDescent="0.2">
      <c r="C90" s="5"/>
    </row>
    <row r="91" spans="3:3" x14ac:dyDescent="0.2">
      <c r="C91" s="5"/>
    </row>
    <row r="92" spans="3:3" x14ac:dyDescent="0.2">
      <c r="C92" s="5"/>
    </row>
    <row r="93" spans="3:3" x14ac:dyDescent="0.2">
      <c r="C93" s="5"/>
    </row>
    <row r="94" spans="3:3" x14ac:dyDescent="0.2">
      <c r="C94" s="5"/>
    </row>
    <row r="95" spans="3:3" x14ac:dyDescent="0.2">
      <c r="C95" s="5"/>
    </row>
    <row r="96" spans="3:3" x14ac:dyDescent="0.2">
      <c r="C96" s="5"/>
    </row>
    <row r="97" spans="3:3" x14ac:dyDescent="0.2">
      <c r="C97" s="5"/>
    </row>
    <row r="98" spans="3:3" x14ac:dyDescent="0.2">
      <c r="C98" s="5"/>
    </row>
    <row r="99" spans="3:3" x14ac:dyDescent="0.2">
      <c r="C99" s="5"/>
    </row>
    <row r="100" spans="3:3" x14ac:dyDescent="0.2">
      <c r="C100" s="5"/>
    </row>
    <row r="101" spans="3:3" x14ac:dyDescent="0.2">
      <c r="C101" s="5"/>
    </row>
    <row r="102" spans="3:3" x14ac:dyDescent="0.2">
      <c r="C102" s="5"/>
    </row>
    <row r="103" spans="3:3" x14ac:dyDescent="0.2">
      <c r="C103" s="5"/>
    </row>
    <row r="104" spans="3:3" x14ac:dyDescent="0.2">
      <c r="C104" s="5"/>
    </row>
    <row r="105" spans="3:3" x14ac:dyDescent="0.2">
      <c r="C105" s="5"/>
    </row>
    <row r="106" spans="3:3" x14ac:dyDescent="0.2">
      <c r="C106" s="5"/>
    </row>
    <row r="107" spans="3:3" x14ac:dyDescent="0.2">
      <c r="C107" s="5"/>
    </row>
    <row r="108" spans="3:3" x14ac:dyDescent="0.2">
      <c r="C108" s="5"/>
    </row>
    <row r="109" spans="3:3" x14ac:dyDescent="0.2">
      <c r="C109" s="5"/>
    </row>
    <row r="110" spans="3:3" x14ac:dyDescent="0.2">
      <c r="C110" s="5"/>
    </row>
    <row r="111" spans="3:3" x14ac:dyDescent="0.2">
      <c r="C111" s="5"/>
    </row>
    <row r="112" spans="3:3" x14ac:dyDescent="0.2">
      <c r="C112" s="5"/>
    </row>
    <row r="113" spans="3:3" x14ac:dyDescent="0.2">
      <c r="C113" s="5"/>
    </row>
    <row r="114" spans="3:3" x14ac:dyDescent="0.2">
      <c r="C114" s="5"/>
    </row>
    <row r="115" spans="3:3" x14ac:dyDescent="0.2">
      <c r="C115" s="5"/>
    </row>
    <row r="116" spans="3:3" x14ac:dyDescent="0.2">
      <c r="C116" s="5"/>
    </row>
    <row r="117" spans="3:3" x14ac:dyDescent="0.2">
      <c r="C117" s="5"/>
    </row>
    <row r="118" spans="3:3" x14ac:dyDescent="0.2">
      <c r="C118" s="5"/>
    </row>
    <row r="119" spans="3:3" x14ac:dyDescent="0.2">
      <c r="C119" s="5"/>
    </row>
    <row r="120" spans="3:3" x14ac:dyDescent="0.2">
      <c r="C120" s="5"/>
    </row>
    <row r="121" spans="3:3" x14ac:dyDescent="0.2">
      <c r="C121" s="5"/>
    </row>
    <row r="122" spans="3:3" x14ac:dyDescent="0.2">
      <c r="C122" s="5"/>
    </row>
    <row r="123" spans="3:3" x14ac:dyDescent="0.2">
      <c r="C123" s="5"/>
    </row>
    <row r="124" spans="3:3" x14ac:dyDescent="0.2">
      <c r="C124" s="5"/>
    </row>
    <row r="125" spans="3:3" x14ac:dyDescent="0.2">
      <c r="C125" s="5"/>
    </row>
    <row r="126" spans="3:3" x14ac:dyDescent="0.2">
      <c r="C126" s="5"/>
    </row>
    <row r="127" spans="3:3" x14ac:dyDescent="0.2">
      <c r="C127" s="5"/>
    </row>
    <row r="128" spans="3:3" x14ac:dyDescent="0.2">
      <c r="C128" s="5"/>
    </row>
    <row r="129" spans="3:3" x14ac:dyDescent="0.2">
      <c r="C129" s="5"/>
    </row>
    <row r="130" spans="3:3" x14ac:dyDescent="0.2">
      <c r="C130" s="5"/>
    </row>
    <row r="131" spans="3:3" x14ac:dyDescent="0.2">
      <c r="C131" s="5"/>
    </row>
    <row r="132" spans="3:3" x14ac:dyDescent="0.2">
      <c r="C132" s="5"/>
    </row>
    <row r="133" spans="3:3" x14ac:dyDescent="0.2">
      <c r="C133" s="5"/>
    </row>
    <row r="134" spans="3:3" x14ac:dyDescent="0.2">
      <c r="C134" s="5"/>
    </row>
    <row r="135" spans="3:3" x14ac:dyDescent="0.2">
      <c r="C135" s="5"/>
    </row>
    <row r="136" spans="3:3" x14ac:dyDescent="0.2">
      <c r="C136" s="5"/>
    </row>
    <row r="137" spans="3:3" x14ac:dyDescent="0.2">
      <c r="C137" s="5"/>
    </row>
    <row r="138" spans="3:3" x14ac:dyDescent="0.2">
      <c r="C138" s="5"/>
    </row>
    <row r="139" spans="3:3" x14ac:dyDescent="0.2">
      <c r="C139" s="5"/>
    </row>
    <row r="140" spans="3:3" x14ac:dyDescent="0.2">
      <c r="C140" s="5"/>
    </row>
    <row r="141" spans="3:3" x14ac:dyDescent="0.2">
      <c r="C141" s="5"/>
    </row>
    <row r="142" spans="3:3" x14ac:dyDescent="0.2">
      <c r="C142" s="5"/>
    </row>
    <row r="143" spans="3:3" x14ac:dyDescent="0.2">
      <c r="C143" s="5"/>
    </row>
    <row r="144" spans="3:3" x14ac:dyDescent="0.2">
      <c r="C144" s="5"/>
    </row>
    <row r="145" spans="3:3" x14ac:dyDescent="0.2">
      <c r="C145" s="5"/>
    </row>
    <row r="146" spans="3:3" x14ac:dyDescent="0.2">
      <c r="C146" s="5"/>
    </row>
    <row r="147" spans="3:3" x14ac:dyDescent="0.2">
      <c r="C147" s="5"/>
    </row>
    <row r="148" spans="3:3" x14ac:dyDescent="0.2">
      <c r="C148" s="5"/>
    </row>
    <row r="149" spans="3:3" x14ac:dyDescent="0.2">
      <c r="C149" s="5"/>
    </row>
    <row r="150" spans="3:3" x14ac:dyDescent="0.2">
      <c r="C150" s="5"/>
    </row>
    <row r="151" spans="3:3" x14ac:dyDescent="0.2">
      <c r="C151" s="5"/>
    </row>
    <row r="152" spans="3:3" x14ac:dyDescent="0.2">
      <c r="C152" s="5"/>
    </row>
    <row r="153" spans="3:3" x14ac:dyDescent="0.2">
      <c r="C153" s="5"/>
    </row>
    <row r="154" spans="3:3" x14ac:dyDescent="0.2">
      <c r="C154" s="5"/>
    </row>
    <row r="155" spans="3:3" x14ac:dyDescent="0.2">
      <c r="C155" s="5"/>
    </row>
    <row r="156" spans="3:3" x14ac:dyDescent="0.2">
      <c r="C156" s="5"/>
    </row>
    <row r="157" spans="3:3" x14ac:dyDescent="0.2">
      <c r="C157" s="5"/>
    </row>
    <row r="158" spans="3:3" x14ac:dyDescent="0.2">
      <c r="C158" s="5"/>
    </row>
    <row r="159" spans="3:3" x14ac:dyDescent="0.2">
      <c r="C159" s="5"/>
    </row>
    <row r="160" spans="3:3" x14ac:dyDescent="0.2">
      <c r="C160" s="5"/>
    </row>
    <row r="161" spans="3:3" x14ac:dyDescent="0.2">
      <c r="C161" s="5"/>
    </row>
    <row r="162" spans="3:3" x14ac:dyDescent="0.2">
      <c r="C162" s="5"/>
    </row>
    <row r="163" spans="3:3" x14ac:dyDescent="0.2">
      <c r="C163" s="5"/>
    </row>
    <row r="164" spans="3:3" x14ac:dyDescent="0.2">
      <c r="C164" s="5"/>
    </row>
    <row r="165" spans="3:3" x14ac:dyDescent="0.2">
      <c r="C165" s="5"/>
    </row>
    <row r="166" spans="3:3" x14ac:dyDescent="0.2">
      <c r="C166" s="5"/>
    </row>
    <row r="167" spans="3:3" x14ac:dyDescent="0.2">
      <c r="C167" s="5"/>
    </row>
    <row r="168" spans="3:3" x14ac:dyDescent="0.2">
      <c r="C168" s="5"/>
    </row>
    <row r="169" spans="3:3" x14ac:dyDescent="0.2">
      <c r="C169" s="5"/>
    </row>
    <row r="170" spans="3:3" x14ac:dyDescent="0.2">
      <c r="C170" s="5"/>
    </row>
    <row r="171" spans="3:3" x14ac:dyDescent="0.2">
      <c r="C171" s="5"/>
    </row>
    <row r="172" spans="3:3" x14ac:dyDescent="0.2">
      <c r="C172" s="5"/>
    </row>
    <row r="173" spans="3:3" x14ac:dyDescent="0.2">
      <c r="C173" s="5"/>
    </row>
    <row r="174" spans="3:3" x14ac:dyDescent="0.2">
      <c r="C174" s="5"/>
    </row>
    <row r="175" spans="3:3" x14ac:dyDescent="0.2">
      <c r="C175" s="5"/>
    </row>
    <row r="176" spans="3:3" x14ac:dyDescent="0.2">
      <c r="C176" s="5"/>
    </row>
    <row r="177" spans="3:3" x14ac:dyDescent="0.2">
      <c r="C177" s="5"/>
    </row>
    <row r="178" spans="3:3" x14ac:dyDescent="0.2">
      <c r="C178" s="5"/>
    </row>
    <row r="179" spans="3:3" x14ac:dyDescent="0.2">
      <c r="C179" s="5"/>
    </row>
    <row r="180" spans="3:3" x14ac:dyDescent="0.2">
      <c r="C180" s="5"/>
    </row>
    <row r="181" spans="3:3" x14ac:dyDescent="0.2">
      <c r="C181" s="5"/>
    </row>
    <row r="182" spans="3:3" x14ac:dyDescent="0.2">
      <c r="C182" s="5"/>
    </row>
    <row r="183" spans="3:3" x14ac:dyDescent="0.2">
      <c r="C183" s="5"/>
    </row>
    <row r="184" spans="3:3" x14ac:dyDescent="0.2">
      <c r="C184" s="5"/>
    </row>
    <row r="185" spans="3:3" x14ac:dyDescent="0.2">
      <c r="C185" s="5"/>
    </row>
    <row r="186" spans="3:3" x14ac:dyDescent="0.2">
      <c r="C186" s="5"/>
    </row>
    <row r="187" spans="3:3" x14ac:dyDescent="0.2">
      <c r="C187" s="5"/>
    </row>
    <row r="188" spans="3:3" x14ac:dyDescent="0.2">
      <c r="C188" s="5"/>
    </row>
    <row r="189" spans="3:3" x14ac:dyDescent="0.2">
      <c r="C189" s="5"/>
    </row>
    <row r="190" spans="3:3" x14ac:dyDescent="0.2">
      <c r="C190" s="5"/>
    </row>
    <row r="191" spans="3:3" x14ac:dyDescent="0.2">
      <c r="C191" s="5"/>
    </row>
    <row r="192" spans="3:3" x14ac:dyDescent="0.2">
      <c r="C192" s="5"/>
    </row>
    <row r="193" spans="3:3" x14ac:dyDescent="0.2">
      <c r="C193" s="5"/>
    </row>
    <row r="194" spans="3:3" x14ac:dyDescent="0.2">
      <c r="C194" s="5"/>
    </row>
    <row r="195" spans="3:3" x14ac:dyDescent="0.2">
      <c r="C195" s="5"/>
    </row>
    <row r="196" spans="3:3" x14ac:dyDescent="0.2">
      <c r="C196" s="5"/>
    </row>
    <row r="197" spans="3:3" x14ac:dyDescent="0.2">
      <c r="C197" s="5"/>
    </row>
    <row r="198" spans="3:3" x14ac:dyDescent="0.2">
      <c r="C198" s="5"/>
    </row>
    <row r="199" spans="3:3" x14ac:dyDescent="0.2">
      <c r="C199" s="5"/>
    </row>
    <row r="200" spans="3:3" x14ac:dyDescent="0.2">
      <c r="C200" s="5"/>
    </row>
    <row r="201" spans="3:3" x14ac:dyDescent="0.2">
      <c r="C201" s="5"/>
    </row>
    <row r="202" spans="3:3" x14ac:dyDescent="0.2">
      <c r="C202" s="5"/>
    </row>
    <row r="203" spans="3:3" x14ac:dyDescent="0.2">
      <c r="C203" s="5"/>
    </row>
    <row r="204" spans="3:3" x14ac:dyDescent="0.2">
      <c r="C204" s="5"/>
    </row>
    <row r="205" spans="3:3" x14ac:dyDescent="0.2">
      <c r="C205" s="5"/>
    </row>
    <row r="206" spans="3:3" x14ac:dyDescent="0.2">
      <c r="C206" s="5"/>
    </row>
    <row r="207" spans="3:3" x14ac:dyDescent="0.2">
      <c r="C207" s="5"/>
    </row>
    <row r="208" spans="3:3" x14ac:dyDescent="0.2">
      <c r="C208" s="5"/>
    </row>
    <row r="209" spans="3:3" x14ac:dyDescent="0.2">
      <c r="C209" s="5"/>
    </row>
    <row r="210" spans="3:3" x14ac:dyDescent="0.2">
      <c r="C210" s="5"/>
    </row>
    <row r="211" spans="3:3" x14ac:dyDescent="0.2">
      <c r="C211" s="5"/>
    </row>
    <row r="212" spans="3:3" x14ac:dyDescent="0.2">
      <c r="C212" s="5"/>
    </row>
    <row r="213" spans="3:3" x14ac:dyDescent="0.2">
      <c r="C213" s="5"/>
    </row>
    <row r="214" spans="3:3" x14ac:dyDescent="0.2">
      <c r="C214" s="5"/>
    </row>
    <row r="215" spans="3:3" x14ac:dyDescent="0.2">
      <c r="C215" s="5"/>
    </row>
    <row r="216" spans="3:3" x14ac:dyDescent="0.2">
      <c r="C216" s="5"/>
    </row>
    <row r="217" spans="3:3" x14ac:dyDescent="0.2">
      <c r="C217" s="5"/>
    </row>
    <row r="218" spans="3:3" x14ac:dyDescent="0.2">
      <c r="C218" s="5"/>
    </row>
    <row r="219" spans="3:3" x14ac:dyDescent="0.2">
      <c r="C219" s="5"/>
    </row>
    <row r="220" spans="3:3" x14ac:dyDescent="0.2">
      <c r="C220" s="5"/>
    </row>
    <row r="221" spans="3:3" x14ac:dyDescent="0.2">
      <c r="C221" s="5"/>
    </row>
    <row r="222" spans="3:3" x14ac:dyDescent="0.2">
      <c r="C222" s="5"/>
    </row>
    <row r="223" spans="3:3" x14ac:dyDescent="0.2">
      <c r="C223" s="5"/>
    </row>
    <row r="224" spans="3:3" x14ac:dyDescent="0.2">
      <c r="C224" s="5"/>
    </row>
    <row r="225" spans="3:3" x14ac:dyDescent="0.2">
      <c r="C225" s="5"/>
    </row>
    <row r="226" spans="3:3" x14ac:dyDescent="0.2">
      <c r="C226" s="5"/>
    </row>
    <row r="227" spans="3:3" x14ac:dyDescent="0.2">
      <c r="C227" s="5"/>
    </row>
    <row r="228" spans="3:3" x14ac:dyDescent="0.2">
      <c r="C228" s="5"/>
    </row>
    <row r="229" spans="3:3" x14ac:dyDescent="0.2">
      <c r="C229" s="5"/>
    </row>
    <row r="230" spans="3:3" x14ac:dyDescent="0.2">
      <c r="C230" s="5"/>
    </row>
    <row r="231" spans="3:3" x14ac:dyDescent="0.2">
      <c r="C231" s="5"/>
    </row>
    <row r="232" spans="3:3" x14ac:dyDescent="0.2">
      <c r="C232" s="5"/>
    </row>
    <row r="233" spans="3:3" x14ac:dyDescent="0.2">
      <c r="C233" s="5"/>
    </row>
    <row r="234" spans="3:3" x14ac:dyDescent="0.2">
      <c r="C234" s="5"/>
    </row>
    <row r="235" spans="3:3" x14ac:dyDescent="0.2">
      <c r="C235" s="5"/>
    </row>
    <row r="236" spans="3:3" x14ac:dyDescent="0.2">
      <c r="C236" s="5"/>
    </row>
    <row r="237" spans="3:3" x14ac:dyDescent="0.2">
      <c r="C237" s="5"/>
    </row>
    <row r="238" spans="3:3" x14ac:dyDescent="0.2">
      <c r="C238" s="5"/>
    </row>
    <row r="239" spans="3:3" x14ac:dyDescent="0.2">
      <c r="C239" s="5"/>
    </row>
    <row r="240" spans="3:3" x14ac:dyDescent="0.2">
      <c r="C240" s="5"/>
    </row>
    <row r="241" spans="3:3" x14ac:dyDescent="0.2">
      <c r="C241" s="5"/>
    </row>
    <row r="242" spans="3:3" x14ac:dyDescent="0.2">
      <c r="C242" s="5"/>
    </row>
    <row r="243" spans="3:3" x14ac:dyDescent="0.2">
      <c r="C243" s="5"/>
    </row>
    <row r="244" spans="3:3" x14ac:dyDescent="0.2">
      <c r="C244" s="5"/>
    </row>
    <row r="245" spans="3:3" x14ac:dyDescent="0.2">
      <c r="C245" s="5"/>
    </row>
    <row r="246" spans="3:3" x14ac:dyDescent="0.2">
      <c r="C246" s="5"/>
    </row>
    <row r="247" spans="3:3" x14ac:dyDescent="0.2">
      <c r="C247" s="5"/>
    </row>
    <row r="248" spans="3:3" x14ac:dyDescent="0.2">
      <c r="C248" s="5"/>
    </row>
    <row r="249" spans="3:3" x14ac:dyDescent="0.2">
      <c r="C249" s="5"/>
    </row>
    <row r="250" spans="3:3" x14ac:dyDescent="0.2">
      <c r="C250" s="5"/>
    </row>
    <row r="251" spans="3:3" x14ac:dyDescent="0.2">
      <c r="C251" s="5"/>
    </row>
    <row r="252" spans="3:3" x14ac:dyDescent="0.2">
      <c r="C252" s="5"/>
    </row>
    <row r="253" spans="3:3" x14ac:dyDescent="0.2">
      <c r="C253" s="5"/>
    </row>
    <row r="254" spans="3:3" x14ac:dyDescent="0.2">
      <c r="C254" s="5"/>
    </row>
    <row r="255" spans="3:3" x14ac:dyDescent="0.2">
      <c r="C255" s="5"/>
    </row>
    <row r="256" spans="3:3" x14ac:dyDescent="0.2">
      <c r="C256" s="5"/>
    </row>
    <row r="257" spans="3:3" x14ac:dyDescent="0.2">
      <c r="C257" s="5"/>
    </row>
    <row r="258" spans="3:3" x14ac:dyDescent="0.2">
      <c r="C258" s="5"/>
    </row>
    <row r="259" spans="3:3" x14ac:dyDescent="0.2">
      <c r="C259" s="5"/>
    </row>
    <row r="260" spans="3:3" x14ac:dyDescent="0.2">
      <c r="C260" s="5"/>
    </row>
    <row r="261" spans="3:3" x14ac:dyDescent="0.2">
      <c r="C261" s="5"/>
    </row>
    <row r="262" spans="3:3" x14ac:dyDescent="0.2">
      <c r="C262" s="5"/>
    </row>
    <row r="263" spans="3:3" x14ac:dyDescent="0.2">
      <c r="C263" s="5"/>
    </row>
    <row r="264" spans="3:3" x14ac:dyDescent="0.2">
      <c r="C264" s="5"/>
    </row>
    <row r="265" spans="3:3" x14ac:dyDescent="0.2">
      <c r="C265" s="5"/>
    </row>
    <row r="266" spans="3:3" x14ac:dyDescent="0.2">
      <c r="C266" s="5"/>
    </row>
    <row r="267" spans="3:3" x14ac:dyDescent="0.2">
      <c r="C267" s="5"/>
    </row>
    <row r="268" spans="3:3" x14ac:dyDescent="0.2">
      <c r="C268" s="5"/>
    </row>
    <row r="269" spans="3:3" x14ac:dyDescent="0.2">
      <c r="C269" s="5"/>
    </row>
    <row r="270" spans="3:3" x14ac:dyDescent="0.2">
      <c r="C270" s="5"/>
    </row>
    <row r="271" spans="3:3" x14ac:dyDescent="0.2">
      <c r="C271" s="5"/>
    </row>
    <row r="272" spans="3:3" x14ac:dyDescent="0.2">
      <c r="C272" s="5"/>
    </row>
    <row r="273" spans="3:3" x14ac:dyDescent="0.2">
      <c r="C273" s="5"/>
    </row>
    <row r="274" spans="3:3" x14ac:dyDescent="0.2">
      <c r="C274" s="5"/>
    </row>
    <row r="275" spans="3:3" x14ac:dyDescent="0.2">
      <c r="C275" s="5"/>
    </row>
    <row r="276" spans="3:3" x14ac:dyDescent="0.2">
      <c r="C276" s="5"/>
    </row>
    <row r="277" spans="3:3" x14ac:dyDescent="0.2">
      <c r="C277" s="5"/>
    </row>
    <row r="278" spans="3:3" x14ac:dyDescent="0.2">
      <c r="C278" s="5"/>
    </row>
    <row r="279" spans="3:3" x14ac:dyDescent="0.2">
      <c r="C279" s="5"/>
    </row>
    <row r="280" spans="3:3" x14ac:dyDescent="0.2">
      <c r="C280" s="5"/>
    </row>
    <row r="281" spans="3:3" x14ac:dyDescent="0.2">
      <c r="C281" s="5"/>
    </row>
    <row r="282" spans="3:3" x14ac:dyDescent="0.2">
      <c r="C282" s="5"/>
    </row>
    <row r="283" spans="3:3" x14ac:dyDescent="0.2">
      <c r="C283" s="5"/>
    </row>
    <row r="284" spans="3:3" x14ac:dyDescent="0.2">
      <c r="C284" s="5"/>
    </row>
    <row r="285" spans="3:3" x14ac:dyDescent="0.2">
      <c r="C285" s="5"/>
    </row>
    <row r="286" spans="3:3" x14ac:dyDescent="0.2">
      <c r="C286" s="5"/>
    </row>
    <row r="287" spans="3:3" x14ac:dyDescent="0.2">
      <c r="C287" s="5"/>
    </row>
    <row r="288" spans="3:3" x14ac:dyDescent="0.2">
      <c r="C288" s="5"/>
    </row>
    <row r="289" spans="3:3" x14ac:dyDescent="0.2">
      <c r="C289" s="5"/>
    </row>
    <row r="290" spans="3:3" x14ac:dyDescent="0.2">
      <c r="C290" s="5"/>
    </row>
    <row r="291" spans="3:3" x14ac:dyDescent="0.2">
      <c r="C291" s="5"/>
    </row>
    <row r="292" spans="3:3" x14ac:dyDescent="0.2">
      <c r="C292" s="5"/>
    </row>
    <row r="293" spans="3:3" x14ac:dyDescent="0.2">
      <c r="C293" s="5"/>
    </row>
    <row r="294" spans="3:3" x14ac:dyDescent="0.2">
      <c r="C294" s="5"/>
    </row>
    <row r="295" spans="3:3" x14ac:dyDescent="0.2">
      <c r="C295" s="5"/>
    </row>
    <row r="296" spans="3:3" x14ac:dyDescent="0.2">
      <c r="C296" s="5"/>
    </row>
    <row r="297" spans="3:3" x14ac:dyDescent="0.2">
      <c r="C297" s="5"/>
    </row>
    <row r="298" spans="3:3" x14ac:dyDescent="0.2">
      <c r="C298" s="5"/>
    </row>
    <row r="299" spans="3:3" x14ac:dyDescent="0.2">
      <c r="C299" s="5"/>
    </row>
    <row r="300" spans="3:3" x14ac:dyDescent="0.2">
      <c r="C300" s="5"/>
    </row>
    <row r="301" spans="3:3" x14ac:dyDescent="0.2">
      <c r="C301" s="5"/>
    </row>
    <row r="302" spans="3:3" x14ac:dyDescent="0.2">
      <c r="C302" s="5"/>
    </row>
    <row r="303" spans="3:3" x14ac:dyDescent="0.2">
      <c r="C303" s="5"/>
    </row>
    <row r="304" spans="3:3" x14ac:dyDescent="0.2">
      <c r="C304" s="5"/>
    </row>
    <row r="305" spans="3:3" x14ac:dyDescent="0.2">
      <c r="C305" s="5"/>
    </row>
    <row r="306" spans="3:3" x14ac:dyDescent="0.2">
      <c r="C306" s="5"/>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4.25" x14ac:dyDescent="0.2"/>
  <cols>
    <col min="1" max="1" width="36.25" customWidth="1"/>
    <col min="2" max="2" width="38.125" customWidth="1"/>
  </cols>
  <sheetData>
    <row r="3" spans="1:3" ht="15" x14ac:dyDescent="0.25">
      <c r="A3" s="165" t="s">
        <v>528</v>
      </c>
      <c r="B3" s="165" t="s">
        <v>11</v>
      </c>
    </row>
    <row r="4" spans="1:3" x14ac:dyDescent="0.2">
      <c r="A4" s="166" t="s">
        <v>529</v>
      </c>
      <c r="B4" s="166" t="s">
        <v>530</v>
      </c>
      <c r="C4" s="5">
        <f ca="1">'Summary Calculations (hide)'!X72</f>
        <v>12.800550923076914</v>
      </c>
    </row>
    <row r="5" spans="1:3" x14ac:dyDescent="0.2">
      <c r="A5" s="166" t="s">
        <v>531</v>
      </c>
      <c r="B5" s="166" t="s">
        <v>532</v>
      </c>
      <c r="C5" s="5">
        <f ca="1">'Summary Calculations (hide)'!M70</f>
        <v>14.261623907226118</v>
      </c>
    </row>
    <row r="6" spans="1:3" x14ac:dyDescent="0.2">
      <c r="A6" s="166" t="s">
        <v>533</v>
      </c>
      <c r="B6" s="166" t="s">
        <v>534</v>
      </c>
      <c r="C6" s="5">
        <f ca="1">'Summary Calculations (hide)'!N70</f>
        <v>17.170840026107236</v>
      </c>
    </row>
    <row r="7" spans="1:3" ht="42.75" x14ac:dyDescent="0.2">
      <c r="A7" s="166" t="s">
        <v>99</v>
      </c>
      <c r="B7" s="166" t="s">
        <v>535</v>
      </c>
      <c r="C7">
        <f ca="1">'Parameters calculator (hide)'!B45</f>
        <v>9.9999999999999992E-2</v>
      </c>
    </row>
    <row r="8" spans="1:3" ht="28.5" x14ac:dyDescent="0.2">
      <c r="A8" s="166" t="s">
        <v>536</v>
      </c>
      <c r="B8" s="166" t="s">
        <v>537</v>
      </c>
      <c r="C8">
        <f ca="1">'Parameters calculator (hide)'!B46</f>
        <v>0.2</v>
      </c>
    </row>
    <row r="9" spans="1:3" ht="42.75" x14ac:dyDescent="0.2">
      <c r="A9" s="166" t="s">
        <v>538</v>
      </c>
      <c r="B9" s="166" t="s">
        <v>539</v>
      </c>
      <c r="C9">
        <v>0</v>
      </c>
    </row>
    <row r="10" spans="1:3" ht="28.5" x14ac:dyDescent="0.2">
      <c r="A10" s="166" t="s">
        <v>540</v>
      </c>
      <c r="B10" s="166" t="s">
        <v>541</v>
      </c>
      <c r="C10">
        <v>0</v>
      </c>
    </row>
    <row r="11" spans="1:3" ht="57" x14ac:dyDescent="0.2">
      <c r="A11" s="166" t="s">
        <v>542</v>
      </c>
      <c r="B11" s="166" t="s">
        <v>543</v>
      </c>
      <c r="C11">
        <f ca="1">'Parameters calculator (hide)'!B47</f>
        <v>0.8</v>
      </c>
    </row>
    <row r="12" spans="1:3" x14ac:dyDescent="0.2">
      <c r="A12" s="166" t="s">
        <v>494</v>
      </c>
      <c r="B12" s="166" t="s">
        <v>544</v>
      </c>
      <c r="C12" s="5">
        <f ca="1">SUM('Summary Calculations (hide)'!R70:S70)</f>
        <v>11.9133526850508</v>
      </c>
    </row>
    <row r="13" spans="1:3" x14ac:dyDescent="0.2">
      <c r="A13" s="166" t="s">
        <v>545</v>
      </c>
      <c r="B13" s="166" t="s">
        <v>546</v>
      </c>
      <c r="C13" s="5">
        <f ca="1">'Parameters calculator (hide)'!F63</f>
        <v>44.802582033351257</v>
      </c>
    </row>
    <row r="14" spans="1:3" x14ac:dyDescent="0.2">
      <c r="A14" s="166" t="s">
        <v>547</v>
      </c>
      <c r="B14" s="166" t="s">
        <v>548</v>
      </c>
      <c r="C14" s="5">
        <f ca="1">'Parameters calculator (hide)'!B79</f>
        <v>60</v>
      </c>
    </row>
    <row r="15" spans="1:3" x14ac:dyDescent="0.2">
      <c r="A15" s="166" t="s">
        <v>75</v>
      </c>
      <c r="B15" s="166" t="s">
        <v>549</v>
      </c>
      <c r="C15">
        <f ca="1">'Parameters calculator (hide)'!B43+'Parameters calculator (hide)'!B44</f>
        <v>0.12399999999999999</v>
      </c>
    </row>
    <row r="16" spans="1:3" x14ac:dyDescent="0.2">
      <c r="A16" s="166" t="s">
        <v>550</v>
      </c>
      <c r="B16" s="166" t="s">
        <v>551</v>
      </c>
      <c r="C16">
        <v>0</v>
      </c>
    </row>
    <row r="17" spans="1:3" x14ac:dyDescent="0.2">
      <c r="A17" s="166" t="s">
        <v>552</v>
      </c>
      <c r="B17" s="166" t="s">
        <v>553</v>
      </c>
      <c r="C17">
        <f>IF(Summary!$C$8="Patients",0,1)</f>
        <v>0</v>
      </c>
    </row>
    <row r="18" spans="1:3" ht="28.5" x14ac:dyDescent="0.2">
      <c r="A18" s="166" t="s">
        <v>554</v>
      </c>
      <c r="B18" s="166" t="s">
        <v>555</v>
      </c>
      <c r="C18">
        <f>IF(C17=0,1,'Summary Calculations (hide)'!$I$9)</f>
        <v>1</v>
      </c>
    </row>
  </sheetData>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B6228694CFF094BAF2319550995D0A6" ma:contentTypeVersion="55" ma:contentTypeDescription="Create a new document." ma:contentTypeScope="" ma:versionID="d4b6bd64ec359eda23f8aa2f92353cf9">
  <xsd:schema xmlns:xsd="http://www.w3.org/2001/XMLSchema" xmlns:xs="http://www.w3.org/2001/XMLSchema" xmlns:p="http://schemas.microsoft.com/office/2006/metadata/properties" xmlns:ns1="http://schemas.microsoft.com/sharepoint/v3" xmlns:ns2="00405e2d-ab17-4d57-81f5-1ee9003f9ce6" xmlns:ns3="36e1300c-9968-4ef4-9456-fc51d76d31d2" xmlns:ns4="cccaf3ac-2de9-44d4-aa31-54302fceb5f7" targetNamespace="http://schemas.microsoft.com/office/2006/metadata/properties" ma:root="true" ma:fieldsID="b47c9b9e5620c53073d365704233df2c" ns1:_="" ns2:_="" ns3:_="" ns4:_="">
    <xsd:import namespace="http://schemas.microsoft.com/sharepoint/v3"/>
    <xsd:import namespace="00405e2d-ab17-4d57-81f5-1ee9003f9ce6"/>
    <xsd:import namespace="36e1300c-9968-4ef4-9456-fc51d76d31d2"/>
    <xsd:import namespace="cccaf3ac-2de9-44d4-aa31-54302fceb5f7"/>
    <xsd:element name="properties">
      <xsd:complexType>
        <xsd:sequence>
          <xsd:element name="documentManagement">
            <xsd:complexType>
              <xsd:all>
                <xsd:element ref="ns1:_ip_UnifiedCompliancePolicyProperties" minOccurs="0"/>
                <xsd:element ref="ns1:_ip_UnifiedCompliancePolicyUIAction" minOccurs="0"/>
                <xsd:element ref="ns2:SharedWithUsers" minOccurs="0"/>
                <xsd:element ref="ns2:SharedWithDetails" minOccurs="0"/>
                <xsd:element ref="ns3:Review_x0020_Date" minOccurs="0"/>
                <xsd:element ref="ns3: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0405e2d-ab17-4d57-81f5-1ee9003f9ce6"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6e1300c-9968-4ef4-9456-fc51d76d31d2" elementFormDefault="qualified">
    <xsd:import namespace="http://schemas.microsoft.com/office/2006/documentManagement/types"/>
    <xsd:import namespace="http://schemas.microsoft.com/office/infopath/2007/PartnerControls"/>
    <xsd:element name="Review_x0020_Date" ma:index="12" nillable="true" ma:displayName="Review date" ma:indexed="true" ma:internalName="Review_x0020_Dat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443b0bdb-28a8-4814-9fb9-624c17c095fc"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cccaf3ac-2de9-44d4-aa31-54302fceb5f7"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f1d7d862-90c4-479f-9c9e-a83ff5c9712d}" ma:internalName="TaxCatchAll" ma:showField="CatchAllData" ma:web="ebd64cbd-6cf5-435c-bd4a-b8fc9bc14ad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Review_x0020_Date xmlns="36e1300c-9968-4ef4-9456-fc51d76d31d2" xsi:nil="true"/>
    <_ip_UnifiedCompliancePolicyProperties xmlns="http://schemas.microsoft.com/sharepoint/v3" xsi:nil="true"/>
    <lcf76f155ced4ddcb4097134ff3c332f xmlns="36e1300c-9968-4ef4-9456-fc51d76d31d2">
      <Terms xmlns="http://schemas.microsoft.com/office/infopath/2007/PartnerControls"/>
    </lcf76f155ced4ddcb4097134ff3c332f>
    <TaxCatchAll xmlns="cccaf3ac-2de9-44d4-aa31-54302fceb5f7" xsi:nil="true"/>
  </documentManagement>
</p:properties>
</file>

<file path=customXml/itemProps1.xml><?xml version="1.0" encoding="utf-8"?>
<ds:datastoreItem xmlns:ds="http://schemas.openxmlformats.org/officeDocument/2006/customXml" ds:itemID="{7051936D-EB37-4146-BDD0-3E58960EA1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0405e2d-ab17-4d57-81f5-1ee9003f9ce6"/>
    <ds:schemaRef ds:uri="36e1300c-9968-4ef4-9456-fc51d76d31d2"/>
    <ds:schemaRef ds:uri="cccaf3ac-2de9-44d4-aa31-54302fceb5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15B947-227E-42E3-B195-145132777785}">
  <ds:schemaRefs>
    <ds:schemaRef ds:uri="http://schemas.microsoft.com/sharepoint/v3/contenttype/forms"/>
  </ds:schemaRefs>
</ds:datastoreItem>
</file>

<file path=customXml/itemProps3.xml><?xml version="1.0" encoding="utf-8"?>
<ds:datastoreItem xmlns:ds="http://schemas.openxmlformats.org/officeDocument/2006/customXml" ds:itemID="{D56AF031-E031-4D7B-8AB9-38B3DA0D3342}">
  <ds:schemaRefs>
    <ds:schemaRef ds:uri="http://schemas.microsoft.com/sharepoint/v3"/>
    <ds:schemaRef ds:uri="http://schemas.openxmlformats.org/package/2006/metadata/core-properties"/>
    <ds:schemaRef ds:uri="http://schemas.microsoft.com/office/infopath/2007/PartnerControls"/>
    <ds:schemaRef ds:uri="cccaf3ac-2de9-44d4-aa31-54302fceb5f7"/>
    <ds:schemaRef ds:uri="http://schemas.microsoft.com/office/2006/metadata/properties"/>
    <ds:schemaRef ds:uri="http://schemas.microsoft.com/office/2006/documentManagement/types"/>
    <ds:schemaRef ds:uri="http://purl.org/dc/terms/"/>
    <ds:schemaRef ds:uri="http://purl.org/dc/elements/1.1/"/>
    <ds:schemaRef ds:uri="36e1300c-9968-4ef4-9456-fc51d76d31d2"/>
    <ds:schemaRef ds:uri="00405e2d-ab17-4d57-81f5-1ee9003f9ce6"/>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Parameters</vt:lpstr>
      <vt:lpstr>Parameters calculator</vt:lpstr>
      <vt:lpstr>Parameters calculator (hide)</vt:lpstr>
      <vt:lpstr>Capacity Scenario (hide)</vt:lpstr>
      <vt:lpstr>Pathway</vt:lpstr>
      <vt:lpstr>Summary</vt:lpstr>
      <vt:lpstr>Lock (hide)</vt:lpstr>
      <vt:lpstr>Capacity calculation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Bytheway, Mark</cp:lastModifiedBy>
  <dcterms:created xsi:type="dcterms:W3CDTF">2018-01-30T12:52:20Z</dcterms:created>
  <dcterms:modified xsi:type="dcterms:W3CDTF">2022-08-09T08:45:40Z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0x010100CB6228694CFF094BAF2319550995D0A6</vt:lpwstr>
  </property>
  <property fmtid="{D5CDD505-2E9C-101B-9397-08002B2CF9AE}" pid="3" name="MediaServiceImageTags">
    <vt:lpwstr/>
  </property>
</Properties>
</file>