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Code_Projekte\Datenbankzugriff\"/>
    </mc:Choice>
  </mc:AlternateContent>
  <xr:revisionPtr revIDLastSave="0" documentId="13_ncr:1_{81155C9A-7C05-46A2-BC81-2E61F41D1847}" xr6:coauthVersionLast="45" xr6:coauthVersionMax="45" xr10:uidLastSave="{00000000-0000-0000-0000-000000000000}"/>
  <bookViews>
    <workbookView xWindow="-108" yWindow="-108" windowWidth="23256" windowHeight="12576" tabRatio="808" firstSheet="1" activeTab="4" xr2:uid="{D9854E34-249D-408C-AF18-914491AD8BC6}"/>
  </bookViews>
  <sheets>
    <sheet name="Namen WZ" sheetId="5" r:id="rId1"/>
    <sheet name="Endenergieverbrauch Strom" sheetId="1" r:id="rId2"/>
    <sheet name="Endenergieverbrauch Strom Test" sheetId="6" r:id="rId3"/>
    <sheet name="Endenergieverbrauch Gas" sheetId="2" r:id="rId4"/>
    <sheet name="Endenergieverbrauch Gas Test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7" l="1"/>
  <c r="D10" i="7"/>
  <c r="D11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8" i="7"/>
  <c r="D40" i="7"/>
  <c r="D41" i="7"/>
  <c r="D42" i="7"/>
  <c r="D43" i="7"/>
  <c r="D45" i="7"/>
  <c r="D46" i="7"/>
  <c r="D47" i="7"/>
  <c r="D49" i="7"/>
  <c r="D50" i="7"/>
  <c r="D51" i="7"/>
  <c r="D53" i="7"/>
  <c r="D54" i="7"/>
  <c r="D55" i="7"/>
  <c r="D56" i="7"/>
  <c r="D57" i="7"/>
  <c r="D59" i="7"/>
  <c r="D60" i="7"/>
  <c r="D62" i="7"/>
  <c r="D63" i="7"/>
  <c r="D64" i="7"/>
  <c r="D65" i="7"/>
  <c r="D66" i="7"/>
  <c r="D67" i="7"/>
  <c r="D69" i="7"/>
  <c r="D70" i="7"/>
  <c r="D71" i="7"/>
  <c r="D73" i="7"/>
  <c r="D75" i="7"/>
  <c r="D76" i="7"/>
  <c r="D77" i="7"/>
  <c r="D78" i="7"/>
  <c r="D79" i="7"/>
  <c r="D80" i="7"/>
  <c r="D81" i="7"/>
  <c r="D83" i="7"/>
  <c r="D84" i="7"/>
  <c r="D85" i="7"/>
  <c r="D86" i="7"/>
  <c r="D87" i="7"/>
  <c r="D88" i="7"/>
  <c r="D90" i="7"/>
  <c r="D92" i="7"/>
  <c r="D94" i="7"/>
  <c r="D95" i="7"/>
  <c r="D96" i="7"/>
  <c r="D98" i="7"/>
  <c r="D99" i="7"/>
  <c r="D100" i="7"/>
  <c r="D101" i="7"/>
  <c r="D103" i="7"/>
  <c r="D104" i="7"/>
  <c r="D105" i="7"/>
  <c r="D107" i="7"/>
  <c r="D108" i="7"/>
  <c r="D110" i="7"/>
  <c r="D3" i="7"/>
  <c r="C8" i="7"/>
  <c r="C10" i="7"/>
  <c r="C11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8" i="7"/>
  <c r="C40" i="7"/>
  <c r="C41" i="7"/>
  <c r="C42" i="7"/>
  <c r="C43" i="7"/>
  <c r="C45" i="7"/>
  <c r="C46" i="7"/>
  <c r="C47" i="7"/>
  <c r="C49" i="7"/>
  <c r="C50" i="7"/>
  <c r="C51" i="7"/>
  <c r="C53" i="7"/>
  <c r="C54" i="7"/>
  <c r="C55" i="7"/>
  <c r="C56" i="7"/>
  <c r="C57" i="7"/>
  <c r="C59" i="7"/>
  <c r="C60" i="7"/>
  <c r="C62" i="7"/>
  <c r="C63" i="7"/>
  <c r="C64" i="7"/>
  <c r="C65" i="7"/>
  <c r="C66" i="7"/>
  <c r="C67" i="7"/>
  <c r="C69" i="7"/>
  <c r="C70" i="7"/>
  <c r="C71" i="7"/>
  <c r="C73" i="7"/>
  <c r="C75" i="7"/>
  <c r="C76" i="7"/>
  <c r="C77" i="7"/>
  <c r="C78" i="7"/>
  <c r="C79" i="7"/>
  <c r="C80" i="7"/>
  <c r="C81" i="7"/>
  <c r="C83" i="7"/>
  <c r="C84" i="7"/>
  <c r="C85" i="7"/>
  <c r="C86" i="7"/>
  <c r="C87" i="7"/>
  <c r="C88" i="7"/>
  <c r="C90" i="7"/>
  <c r="C92" i="7"/>
  <c r="C94" i="7"/>
  <c r="C95" i="7"/>
  <c r="C96" i="7"/>
  <c r="C98" i="7"/>
  <c r="C99" i="7"/>
  <c r="C100" i="7"/>
  <c r="C101" i="7"/>
  <c r="C103" i="7"/>
  <c r="C104" i="7"/>
  <c r="C105" i="7"/>
  <c r="C107" i="7"/>
  <c r="C108" i="7"/>
  <c r="C110" i="7"/>
  <c r="C3" i="7"/>
  <c r="B8" i="7" l="1"/>
  <c r="E8" i="7"/>
  <c r="B10" i="7"/>
  <c r="E10" i="7"/>
  <c r="B11" i="7"/>
  <c r="E11" i="7"/>
  <c r="B13" i="7"/>
  <c r="E13" i="7"/>
  <c r="B14" i="7"/>
  <c r="E14" i="7"/>
  <c r="B15" i="7"/>
  <c r="E15" i="7"/>
  <c r="B16" i="7"/>
  <c r="E16" i="7"/>
  <c r="B17" i="7"/>
  <c r="E17" i="7"/>
  <c r="B18" i="7"/>
  <c r="E18" i="7"/>
  <c r="B19" i="7"/>
  <c r="E19" i="7"/>
  <c r="B20" i="7"/>
  <c r="E20" i="7"/>
  <c r="B21" i="7"/>
  <c r="E21" i="7"/>
  <c r="B22" i="7"/>
  <c r="E22" i="7"/>
  <c r="B23" i="7"/>
  <c r="E23" i="7"/>
  <c r="B24" i="7"/>
  <c r="E24" i="7"/>
  <c r="B25" i="7"/>
  <c r="E25" i="7"/>
  <c r="B26" i="7"/>
  <c r="E26" i="7"/>
  <c r="B27" i="7"/>
  <c r="E27" i="7"/>
  <c r="B28" i="7"/>
  <c r="E28" i="7"/>
  <c r="B29" i="7"/>
  <c r="E29" i="7"/>
  <c r="B30" i="7"/>
  <c r="E30" i="7"/>
  <c r="B31" i="7"/>
  <c r="E31" i="7"/>
  <c r="B32" i="7"/>
  <c r="E32" i="7"/>
  <c r="B33" i="7"/>
  <c r="E33" i="7"/>
  <c r="B34" i="7"/>
  <c r="E34" i="7"/>
  <c r="B35" i="7"/>
  <c r="E35" i="7"/>
  <c r="B36" i="7"/>
  <c r="E36" i="7"/>
  <c r="B38" i="7"/>
  <c r="E38" i="7"/>
  <c r="B40" i="7"/>
  <c r="E40" i="7"/>
  <c r="B41" i="7"/>
  <c r="E41" i="7"/>
  <c r="B42" i="7"/>
  <c r="E42" i="7"/>
  <c r="B43" i="7"/>
  <c r="E43" i="7"/>
  <c r="B45" i="7"/>
  <c r="E45" i="7"/>
  <c r="B46" i="7"/>
  <c r="E46" i="7"/>
  <c r="B47" i="7"/>
  <c r="E47" i="7"/>
  <c r="B49" i="7"/>
  <c r="E49" i="7"/>
  <c r="B50" i="7"/>
  <c r="E50" i="7"/>
  <c r="B51" i="7"/>
  <c r="E51" i="7"/>
  <c r="B53" i="7"/>
  <c r="E53" i="7"/>
  <c r="B54" i="7"/>
  <c r="E54" i="7"/>
  <c r="B55" i="7"/>
  <c r="E55" i="7"/>
  <c r="B56" i="7"/>
  <c r="E56" i="7"/>
  <c r="B57" i="7"/>
  <c r="E57" i="7"/>
  <c r="B59" i="7"/>
  <c r="E59" i="7"/>
  <c r="B60" i="7"/>
  <c r="E60" i="7"/>
  <c r="B62" i="7"/>
  <c r="E62" i="7"/>
  <c r="B63" i="7"/>
  <c r="E63" i="7"/>
  <c r="B64" i="7"/>
  <c r="E64" i="7"/>
  <c r="B65" i="7"/>
  <c r="E65" i="7"/>
  <c r="B66" i="7"/>
  <c r="E66" i="7"/>
  <c r="B67" i="7"/>
  <c r="E67" i="7"/>
  <c r="B69" i="7"/>
  <c r="E69" i="7"/>
  <c r="B70" i="7"/>
  <c r="E70" i="7"/>
  <c r="B71" i="7"/>
  <c r="E71" i="7"/>
  <c r="B73" i="7"/>
  <c r="E73" i="7"/>
  <c r="B75" i="7"/>
  <c r="E75" i="7"/>
  <c r="B76" i="7"/>
  <c r="E76" i="7"/>
  <c r="B77" i="7"/>
  <c r="E77" i="7"/>
  <c r="B78" i="7"/>
  <c r="E78" i="7"/>
  <c r="B79" i="7"/>
  <c r="E79" i="7"/>
  <c r="B80" i="7"/>
  <c r="E80" i="7"/>
  <c r="B81" i="7"/>
  <c r="E81" i="7"/>
  <c r="B83" i="7"/>
  <c r="E83" i="7"/>
  <c r="B84" i="7"/>
  <c r="E84" i="7"/>
  <c r="B85" i="7"/>
  <c r="E85" i="7"/>
  <c r="B86" i="7"/>
  <c r="E86" i="7"/>
  <c r="B87" i="7"/>
  <c r="E87" i="7"/>
  <c r="B88" i="7"/>
  <c r="E88" i="7"/>
  <c r="B90" i="7"/>
  <c r="E90" i="7"/>
  <c r="B92" i="7"/>
  <c r="E92" i="7"/>
  <c r="B94" i="7"/>
  <c r="E94" i="7"/>
  <c r="B95" i="7"/>
  <c r="E95" i="7"/>
  <c r="B96" i="7"/>
  <c r="E96" i="7"/>
  <c r="B98" i="7"/>
  <c r="E98" i="7"/>
  <c r="B99" i="7"/>
  <c r="E99" i="7"/>
  <c r="B100" i="7"/>
  <c r="E100" i="7"/>
  <c r="B101" i="7"/>
  <c r="E101" i="7"/>
  <c r="B103" i="7"/>
  <c r="E103" i="7"/>
  <c r="B104" i="7"/>
  <c r="E104" i="7"/>
  <c r="B105" i="7"/>
  <c r="E105" i="7"/>
  <c r="B107" i="7"/>
  <c r="E107" i="7"/>
  <c r="B108" i="7"/>
  <c r="E108" i="7"/>
  <c r="B110" i="7"/>
  <c r="E110" i="7"/>
  <c r="E3" i="7"/>
  <c r="B3" i="7"/>
  <c r="F20" i="6"/>
  <c r="F10" i="6"/>
  <c r="B4" i="6"/>
  <c r="F4" i="6" s="1"/>
  <c r="C4" i="6"/>
  <c r="D4" i="6"/>
  <c r="E4" i="6"/>
  <c r="G4" i="6"/>
  <c r="H4" i="6"/>
  <c r="I4" i="6"/>
  <c r="B5" i="6"/>
  <c r="F5" i="6" s="1"/>
  <c r="C5" i="6"/>
  <c r="D5" i="6"/>
  <c r="E5" i="6"/>
  <c r="G5" i="6"/>
  <c r="H5" i="6"/>
  <c r="I5" i="6"/>
  <c r="B7" i="6"/>
  <c r="F7" i="6" s="1"/>
  <c r="C7" i="6"/>
  <c r="D7" i="6"/>
  <c r="E7" i="6"/>
  <c r="G7" i="6"/>
  <c r="H7" i="6"/>
  <c r="I7" i="6"/>
  <c r="B8" i="6"/>
  <c r="C8" i="6"/>
  <c r="D8" i="6"/>
  <c r="F8" i="6" s="1"/>
  <c r="E8" i="6"/>
  <c r="G8" i="6"/>
  <c r="H8" i="6"/>
  <c r="I8" i="6"/>
  <c r="B9" i="6"/>
  <c r="C9" i="6"/>
  <c r="F9" i="6" s="1"/>
  <c r="D9" i="6"/>
  <c r="E9" i="6"/>
  <c r="G9" i="6"/>
  <c r="H9" i="6"/>
  <c r="I9" i="6"/>
  <c r="B10" i="6"/>
  <c r="C10" i="6"/>
  <c r="D10" i="6"/>
  <c r="E10" i="6"/>
  <c r="G10" i="6"/>
  <c r="H10" i="6"/>
  <c r="I10" i="6"/>
  <c r="B11" i="6"/>
  <c r="F11" i="6" s="1"/>
  <c r="C11" i="6"/>
  <c r="D11" i="6"/>
  <c r="E11" i="6"/>
  <c r="G11" i="6"/>
  <c r="H11" i="6"/>
  <c r="I11" i="6"/>
  <c r="B13" i="6"/>
  <c r="F13" i="6" s="1"/>
  <c r="C13" i="6"/>
  <c r="D13" i="6"/>
  <c r="E13" i="6"/>
  <c r="G13" i="6"/>
  <c r="H13" i="6"/>
  <c r="I13" i="6"/>
  <c r="B14" i="6"/>
  <c r="F14" i="6" s="1"/>
  <c r="C14" i="6"/>
  <c r="D14" i="6"/>
  <c r="E14" i="6"/>
  <c r="G14" i="6"/>
  <c r="H14" i="6"/>
  <c r="I14" i="6"/>
  <c r="B15" i="6"/>
  <c r="F15" i="6" s="1"/>
  <c r="C15" i="6"/>
  <c r="D15" i="6"/>
  <c r="E15" i="6"/>
  <c r="G15" i="6"/>
  <c r="H15" i="6"/>
  <c r="I15" i="6"/>
  <c r="B16" i="6"/>
  <c r="F16" i="6" s="1"/>
  <c r="C16" i="6"/>
  <c r="D16" i="6"/>
  <c r="E16" i="6"/>
  <c r="G16" i="6"/>
  <c r="H16" i="6"/>
  <c r="I16" i="6"/>
  <c r="B17" i="6"/>
  <c r="F17" i="6" s="1"/>
  <c r="C17" i="6"/>
  <c r="D17" i="6"/>
  <c r="E17" i="6"/>
  <c r="G17" i="6"/>
  <c r="H17" i="6"/>
  <c r="I17" i="6"/>
  <c r="B18" i="6"/>
  <c r="C18" i="6"/>
  <c r="D18" i="6"/>
  <c r="E18" i="6"/>
  <c r="F18" i="6" s="1"/>
  <c r="G18" i="6"/>
  <c r="H18" i="6"/>
  <c r="I18" i="6"/>
  <c r="B19" i="6"/>
  <c r="C19" i="6"/>
  <c r="D19" i="6"/>
  <c r="F19" i="6" s="1"/>
  <c r="E19" i="6"/>
  <c r="G19" i="6"/>
  <c r="H19" i="6"/>
  <c r="I19" i="6"/>
  <c r="B20" i="6"/>
  <c r="C20" i="6"/>
  <c r="D20" i="6"/>
  <c r="E20" i="6"/>
  <c r="G20" i="6"/>
  <c r="H20" i="6"/>
  <c r="I20" i="6"/>
  <c r="B21" i="6"/>
  <c r="F21" i="6" s="1"/>
  <c r="C21" i="6"/>
  <c r="D21" i="6"/>
  <c r="E21" i="6"/>
  <c r="G21" i="6"/>
  <c r="H21" i="6"/>
  <c r="I21" i="6"/>
  <c r="B22" i="6"/>
  <c r="F22" i="6" s="1"/>
  <c r="C22" i="6"/>
  <c r="D22" i="6"/>
  <c r="E22" i="6"/>
  <c r="G22" i="6"/>
  <c r="H22" i="6"/>
  <c r="I22" i="6"/>
  <c r="B23" i="6"/>
  <c r="F23" i="6" s="1"/>
  <c r="C23" i="6"/>
  <c r="D23" i="6"/>
  <c r="E23" i="6"/>
  <c r="G23" i="6"/>
  <c r="H23" i="6"/>
  <c r="I23" i="6"/>
  <c r="B24" i="6"/>
  <c r="F24" i="6" s="1"/>
  <c r="C24" i="6"/>
  <c r="D24" i="6"/>
  <c r="E24" i="6"/>
  <c r="G24" i="6"/>
  <c r="H24" i="6"/>
  <c r="I24" i="6"/>
  <c r="B25" i="6"/>
  <c r="F25" i="6" s="1"/>
  <c r="C25" i="6"/>
  <c r="D25" i="6"/>
  <c r="E25" i="6"/>
  <c r="G25" i="6"/>
  <c r="H25" i="6"/>
  <c r="I25" i="6"/>
  <c r="B26" i="6"/>
  <c r="F26" i="6" s="1"/>
  <c r="C26" i="6"/>
  <c r="D26" i="6"/>
  <c r="E26" i="6"/>
  <c r="G26" i="6"/>
  <c r="H26" i="6"/>
  <c r="I26" i="6"/>
  <c r="B27" i="6"/>
  <c r="C27" i="6"/>
  <c r="D27" i="6"/>
  <c r="E27" i="6"/>
  <c r="G27" i="6"/>
  <c r="F27" i="6" s="1"/>
  <c r="H27" i="6"/>
  <c r="I27" i="6"/>
  <c r="B28" i="6"/>
  <c r="F28" i="6" s="1"/>
  <c r="C28" i="6"/>
  <c r="D28" i="6"/>
  <c r="E28" i="6"/>
  <c r="G28" i="6"/>
  <c r="H28" i="6"/>
  <c r="I28" i="6"/>
  <c r="B29" i="6"/>
  <c r="F29" i="6" s="1"/>
  <c r="C29" i="6"/>
  <c r="D29" i="6"/>
  <c r="E29" i="6"/>
  <c r="G29" i="6"/>
  <c r="H29" i="6"/>
  <c r="I29" i="6"/>
  <c r="B30" i="6"/>
  <c r="C30" i="6"/>
  <c r="F30" i="6" s="1"/>
  <c r="D30" i="6"/>
  <c r="E30" i="6"/>
  <c r="G30" i="6"/>
  <c r="H30" i="6"/>
  <c r="I30" i="6"/>
  <c r="B31" i="6"/>
  <c r="F31" i="6" s="1"/>
  <c r="C31" i="6"/>
  <c r="D31" i="6"/>
  <c r="E31" i="6"/>
  <c r="G31" i="6"/>
  <c r="H31" i="6"/>
  <c r="I31" i="6"/>
  <c r="B32" i="6"/>
  <c r="F32" i="6" s="1"/>
  <c r="C32" i="6"/>
  <c r="D32" i="6"/>
  <c r="E32" i="6"/>
  <c r="G32" i="6"/>
  <c r="H32" i="6"/>
  <c r="I32" i="6"/>
  <c r="B33" i="6"/>
  <c r="F33" i="6" s="1"/>
  <c r="C33" i="6"/>
  <c r="D33" i="6"/>
  <c r="E33" i="6"/>
  <c r="G33" i="6"/>
  <c r="H33" i="6"/>
  <c r="I33" i="6"/>
  <c r="B34" i="6"/>
  <c r="C34" i="6"/>
  <c r="F34" i="6" s="1"/>
  <c r="D34" i="6"/>
  <c r="E34" i="6"/>
  <c r="G34" i="6"/>
  <c r="H34" i="6"/>
  <c r="I34" i="6"/>
  <c r="B35" i="6"/>
  <c r="C35" i="6"/>
  <c r="D35" i="6"/>
  <c r="E35" i="6"/>
  <c r="G35" i="6"/>
  <c r="H35" i="6"/>
  <c r="I35" i="6"/>
  <c r="F35" i="6" s="1"/>
  <c r="B36" i="6"/>
  <c r="F36" i="6" s="1"/>
  <c r="C36" i="6"/>
  <c r="D36" i="6"/>
  <c r="E36" i="6"/>
  <c r="G36" i="6"/>
  <c r="H36" i="6"/>
  <c r="I36" i="6"/>
  <c r="B38" i="6"/>
  <c r="F38" i="6" s="1"/>
  <c r="C38" i="6"/>
  <c r="D38" i="6"/>
  <c r="E38" i="6"/>
  <c r="G38" i="6"/>
  <c r="H38" i="6"/>
  <c r="I38" i="6"/>
  <c r="B40" i="6"/>
  <c r="F40" i="6" s="1"/>
  <c r="C40" i="6"/>
  <c r="D40" i="6"/>
  <c r="E40" i="6"/>
  <c r="G40" i="6"/>
  <c r="H40" i="6"/>
  <c r="I40" i="6"/>
  <c r="B41" i="6"/>
  <c r="F41" i="6" s="1"/>
  <c r="C41" i="6"/>
  <c r="D41" i="6"/>
  <c r="E41" i="6"/>
  <c r="G41" i="6"/>
  <c r="H41" i="6"/>
  <c r="I41" i="6"/>
  <c r="B42" i="6"/>
  <c r="F42" i="6" s="1"/>
  <c r="C42" i="6"/>
  <c r="D42" i="6"/>
  <c r="E42" i="6"/>
  <c r="G42" i="6"/>
  <c r="H42" i="6"/>
  <c r="I42" i="6"/>
  <c r="B43" i="6"/>
  <c r="C43" i="6"/>
  <c r="D43" i="6"/>
  <c r="F43" i="6" s="1"/>
  <c r="E43" i="6"/>
  <c r="G43" i="6"/>
  <c r="H43" i="6"/>
  <c r="I43" i="6"/>
  <c r="B45" i="6"/>
  <c r="C45" i="6"/>
  <c r="F45" i="6" s="1"/>
  <c r="D45" i="6"/>
  <c r="E45" i="6"/>
  <c r="G45" i="6"/>
  <c r="H45" i="6"/>
  <c r="I45" i="6"/>
  <c r="B46" i="6"/>
  <c r="C46" i="6"/>
  <c r="D46" i="6"/>
  <c r="E46" i="6"/>
  <c r="G46" i="6"/>
  <c r="H46" i="6"/>
  <c r="I46" i="6"/>
  <c r="F46" i="6" s="1"/>
  <c r="B47" i="6"/>
  <c r="F47" i="6" s="1"/>
  <c r="C47" i="6"/>
  <c r="D47" i="6"/>
  <c r="E47" i="6"/>
  <c r="G47" i="6"/>
  <c r="H47" i="6"/>
  <c r="I47" i="6"/>
  <c r="B49" i="6"/>
  <c r="F49" i="6" s="1"/>
  <c r="C49" i="6"/>
  <c r="D49" i="6"/>
  <c r="E49" i="6"/>
  <c r="G49" i="6"/>
  <c r="H49" i="6"/>
  <c r="I49" i="6"/>
  <c r="B50" i="6"/>
  <c r="F50" i="6" s="1"/>
  <c r="C50" i="6"/>
  <c r="D50" i="6"/>
  <c r="E50" i="6"/>
  <c r="G50" i="6"/>
  <c r="H50" i="6"/>
  <c r="I50" i="6"/>
  <c r="B51" i="6"/>
  <c r="F51" i="6" s="1"/>
  <c r="C51" i="6"/>
  <c r="D51" i="6"/>
  <c r="E51" i="6"/>
  <c r="G51" i="6"/>
  <c r="H51" i="6"/>
  <c r="I51" i="6"/>
  <c r="B53" i="6"/>
  <c r="F53" i="6" s="1"/>
  <c r="C53" i="6"/>
  <c r="D53" i="6"/>
  <c r="E53" i="6"/>
  <c r="G53" i="6"/>
  <c r="H53" i="6"/>
  <c r="I53" i="6"/>
  <c r="B54" i="6"/>
  <c r="C54" i="6"/>
  <c r="D54" i="6"/>
  <c r="F54" i="6" s="1"/>
  <c r="E54" i="6"/>
  <c r="G54" i="6"/>
  <c r="H54" i="6"/>
  <c r="I54" i="6"/>
  <c r="B55" i="6"/>
  <c r="F55" i="6" s="1"/>
  <c r="C55" i="6"/>
  <c r="D55" i="6"/>
  <c r="E55" i="6"/>
  <c r="G55" i="6"/>
  <c r="H55" i="6"/>
  <c r="I55" i="6"/>
  <c r="B56" i="6"/>
  <c r="C56" i="6"/>
  <c r="D56" i="6"/>
  <c r="E56" i="6"/>
  <c r="G56" i="6"/>
  <c r="H56" i="6"/>
  <c r="I56" i="6"/>
  <c r="F56" i="6" s="1"/>
  <c r="B57" i="6"/>
  <c r="F57" i="6" s="1"/>
  <c r="C57" i="6"/>
  <c r="D57" i="6"/>
  <c r="E57" i="6"/>
  <c r="G57" i="6"/>
  <c r="H57" i="6"/>
  <c r="I57" i="6"/>
  <c r="B59" i="6"/>
  <c r="F59" i="6" s="1"/>
  <c r="C59" i="6"/>
  <c r="D59" i="6"/>
  <c r="E59" i="6"/>
  <c r="G59" i="6"/>
  <c r="H59" i="6"/>
  <c r="I59" i="6"/>
  <c r="B60" i="6"/>
  <c r="F60" i="6" s="1"/>
  <c r="C60" i="6"/>
  <c r="D60" i="6"/>
  <c r="E60" i="6"/>
  <c r="G60" i="6"/>
  <c r="H60" i="6"/>
  <c r="I60" i="6"/>
  <c r="B62" i="6"/>
  <c r="F62" i="6" s="1"/>
  <c r="C62" i="6"/>
  <c r="D62" i="6"/>
  <c r="E62" i="6"/>
  <c r="G62" i="6"/>
  <c r="H62" i="6"/>
  <c r="I62" i="6"/>
  <c r="B63" i="6"/>
  <c r="F63" i="6" s="1"/>
  <c r="C63" i="6"/>
  <c r="D63" i="6"/>
  <c r="E63" i="6"/>
  <c r="G63" i="6"/>
  <c r="H63" i="6"/>
  <c r="I63" i="6"/>
  <c r="B64" i="6"/>
  <c r="C64" i="6"/>
  <c r="D64" i="6"/>
  <c r="F64" i="6" s="1"/>
  <c r="E64" i="6"/>
  <c r="G64" i="6"/>
  <c r="H64" i="6"/>
  <c r="I64" i="6"/>
  <c r="B65" i="6"/>
  <c r="F65" i="6" s="1"/>
  <c r="C65" i="6"/>
  <c r="D65" i="6"/>
  <c r="E65" i="6"/>
  <c r="G65" i="6"/>
  <c r="H65" i="6"/>
  <c r="I65" i="6"/>
  <c r="B66" i="6"/>
  <c r="C66" i="6"/>
  <c r="D66" i="6"/>
  <c r="E66" i="6"/>
  <c r="G66" i="6"/>
  <c r="H66" i="6"/>
  <c r="I66" i="6"/>
  <c r="F66" i="6" s="1"/>
  <c r="B67" i="6"/>
  <c r="F67" i="6" s="1"/>
  <c r="C67" i="6"/>
  <c r="D67" i="6"/>
  <c r="E67" i="6"/>
  <c r="G67" i="6"/>
  <c r="H67" i="6"/>
  <c r="I67" i="6"/>
  <c r="B69" i="6"/>
  <c r="F69" i="6" s="1"/>
  <c r="C69" i="6"/>
  <c r="D69" i="6"/>
  <c r="E69" i="6"/>
  <c r="G69" i="6"/>
  <c r="H69" i="6"/>
  <c r="I69" i="6"/>
  <c r="B70" i="6"/>
  <c r="F70" i="6" s="1"/>
  <c r="C70" i="6"/>
  <c r="D70" i="6"/>
  <c r="E70" i="6"/>
  <c r="G70" i="6"/>
  <c r="H70" i="6"/>
  <c r="I70" i="6"/>
  <c r="B71" i="6"/>
  <c r="F71" i="6" s="1"/>
  <c r="C71" i="6"/>
  <c r="D71" i="6"/>
  <c r="E71" i="6"/>
  <c r="G71" i="6"/>
  <c r="H71" i="6"/>
  <c r="I71" i="6"/>
  <c r="B73" i="6"/>
  <c r="F73" i="6" s="1"/>
  <c r="C73" i="6"/>
  <c r="D73" i="6"/>
  <c r="E73" i="6"/>
  <c r="G73" i="6"/>
  <c r="H73" i="6"/>
  <c r="I73" i="6"/>
  <c r="B75" i="6"/>
  <c r="C75" i="6"/>
  <c r="D75" i="6"/>
  <c r="F75" i="6" s="1"/>
  <c r="E75" i="6"/>
  <c r="G75" i="6"/>
  <c r="H75" i="6"/>
  <c r="I75" i="6"/>
  <c r="B76" i="6"/>
  <c r="F76" i="6" s="1"/>
  <c r="C76" i="6"/>
  <c r="D76" i="6"/>
  <c r="E76" i="6"/>
  <c r="G76" i="6"/>
  <c r="H76" i="6"/>
  <c r="I76" i="6"/>
  <c r="B77" i="6"/>
  <c r="C77" i="6"/>
  <c r="D77" i="6"/>
  <c r="E77" i="6"/>
  <c r="G77" i="6"/>
  <c r="H77" i="6"/>
  <c r="I77" i="6"/>
  <c r="F77" i="6" s="1"/>
  <c r="B78" i="6"/>
  <c r="F78" i="6" s="1"/>
  <c r="C78" i="6"/>
  <c r="D78" i="6"/>
  <c r="E78" i="6"/>
  <c r="G78" i="6"/>
  <c r="H78" i="6"/>
  <c r="I78" i="6"/>
  <c r="B79" i="6"/>
  <c r="F79" i="6" s="1"/>
  <c r="C79" i="6"/>
  <c r="D79" i="6"/>
  <c r="E79" i="6"/>
  <c r="G79" i="6"/>
  <c r="H79" i="6"/>
  <c r="I79" i="6"/>
  <c r="B80" i="6"/>
  <c r="F80" i="6" s="1"/>
  <c r="C80" i="6"/>
  <c r="D80" i="6"/>
  <c r="E80" i="6"/>
  <c r="G80" i="6"/>
  <c r="H80" i="6"/>
  <c r="I80" i="6"/>
  <c r="B81" i="6"/>
  <c r="F81" i="6" s="1"/>
  <c r="C81" i="6"/>
  <c r="D81" i="6"/>
  <c r="E81" i="6"/>
  <c r="G81" i="6"/>
  <c r="H81" i="6"/>
  <c r="I81" i="6"/>
  <c r="B83" i="6"/>
  <c r="F83" i="6" s="1"/>
  <c r="C83" i="6"/>
  <c r="D83" i="6"/>
  <c r="E83" i="6"/>
  <c r="G83" i="6"/>
  <c r="H83" i="6"/>
  <c r="I83" i="6"/>
  <c r="B84" i="6"/>
  <c r="C84" i="6"/>
  <c r="D84" i="6"/>
  <c r="F84" i="6" s="1"/>
  <c r="E84" i="6"/>
  <c r="G84" i="6"/>
  <c r="H84" i="6"/>
  <c r="I84" i="6"/>
  <c r="B85" i="6"/>
  <c r="F85" i="6" s="1"/>
  <c r="C85" i="6"/>
  <c r="D85" i="6"/>
  <c r="E85" i="6"/>
  <c r="G85" i="6"/>
  <c r="H85" i="6"/>
  <c r="I85" i="6"/>
  <c r="B86" i="6"/>
  <c r="C86" i="6"/>
  <c r="D86" i="6"/>
  <c r="E86" i="6"/>
  <c r="G86" i="6"/>
  <c r="H86" i="6"/>
  <c r="I86" i="6"/>
  <c r="F86" i="6" s="1"/>
  <c r="B87" i="6"/>
  <c r="F87" i="6" s="1"/>
  <c r="C87" i="6"/>
  <c r="D87" i="6"/>
  <c r="E87" i="6"/>
  <c r="G87" i="6"/>
  <c r="H87" i="6"/>
  <c r="I87" i="6"/>
  <c r="B88" i="6"/>
  <c r="F88" i="6" s="1"/>
  <c r="C88" i="6"/>
  <c r="D88" i="6"/>
  <c r="E88" i="6"/>
  <c r="G88" i="6"/>
  <c r="H88" i="6"/>
  <c r="I88" i="6"/>
  <c r="B90" i="6"/>
  <c r="F90" i="6" s="1"/>
  <c r="C90" i="6"/>
  <c r="D90" i="6"/>
  <c r="E90" i="6"/>
  <c r="G90" i="6"/>
  <c r="H90" i="6"/>
  <c r="I90" i="6"/>
  <c r="B92" i="6"/>
  <c r="F92" i="6" s="1"/>
  <c r="C92" i="6"/>
  <c r="D92" i="6"/>
  <c r="E92" i="6"/>
  <c r="G92" i="6"/>
  <c r="H92" i="6"/>
  <c r="I92" i="6"/>
  <c r="B94" i="6"/>
  <c r="F94" i="6" s="1"/>
  <c r="C94" i="6"/>
  <c r="D94" i="6"/>
  <c r="E94" i="6"/>
  <c r="G94" i="6"/>
  <c r="H94" i="6"/>
  <c r="I94" i="6"/>
  <c r="B95" i="6"/>
  <c r="C95" i="6"/>
  <c r="D95" i="6"/>
  <c r="F95" i="6" s="1"/>
  <c r="E95" i="6"/>
  <c r="G95" i="6"/>
  <c r="H95" i="6"/>
  <c r="I95" i="6"/>
  <c r="B96" i="6"/>
  <c r="F96" i="6" s="1"/>
  <c r="C96" i="6"/>
  <c r="D96" i="6"/>
  <c r="E96" i="6"/>
  <c r="G96" i="6"/>
  <c r="H96" i="6"/>
  <c r="I96" i="6"/>
  <c r="B98" i="6"/>
  <c r="C98" i="6"/>
  <c r="D98" i="6"/>
  <c r="E98" i="6"/>
  <c r="G98" i="6"/>
  <c r="H98" i="6"/>
  <c r="I98" i="6"/>
  <c r="F98" i="6" s="1"/>
  <c r="B99" i="6"/>
  <c r="F99" i="6" s="1"/>
  <c r="C99" i="6"/>
  <c r="D99" i="6"/>
  <c r="E99" i="6"/>
  <c r="G99" i="6"/>
  <c r="H99" i="6"/>
  <c r="I99" i="6"/>
  <c r="B100" i="6"/>
  <c r="F100" i="6" s="1"/>
  <c r="C100" i="6"/>
  <c r="D100" i="6"/>
  <c r="E100" i="6"/>
  <c r="G100" i="6"/>
  <c r="H100" i="6"/>
  <c r="I100" i="6"/>
  <c r="B101" i="6"/>
  <c r="F101" i="6" s="1"/>
  <c r="C101" i="6"/>
  <c r="D101" i="6"/>
  <c r="E101" i="6"/>
  <c r="G101" i="6"/>
  <c r="H101" i="6"/>
  <c r="I101" i="6"/>
  <c r="B103" i="6"/>
  <c r="F103" i="6" s="1"/>
  <c r="C103" i="6"/>
  <c r="D103" i="6"/>
  <c r="E103" i="6"/>
  <c r="G103" i="6"/>
  <c r="H103" i="6"/>
  <c r="I103" i="6"/>
  <c r="B104" i="6"/>
  <c r="F104" i="6" s="1"/>
  <c r="C104" i="6"/>
  <c r="D104" i="6"/>
  <c r="E104" i="6"/>
  <c r="G104" i="6"/>
  <c r="H104" i="6"/>
  <c r="I104" i="6"/>
  <c r="B105" i="6"/>
  <c r="C105" i="6"/>
  <c r="D105" i="6"/>
  <c r="F105" i="6" s="1"/>
  <c r="E105" i="6"/>
  <c r="G105" i="6"/>
  <c r="H105" i="6"/>
  <c r="I105" i="6"/>
  <c r="B107" i="6"/>
  <c r="F107" i="6" s="1"/>
  <c r="C107" i="6"/>
  <c r="D107" i="6"/>
  <c r="E107" i="6"/>
  <c r="G107" i="6"/>
  <c r="H107" i="6"/>
  <c r="I107" i="6"/>
  <c r="B108" i="6"/>
  <c r="C108" i="6"/>
  <c r="D108" i="6"/>
  <c r="E108" i="6"/>
  <c r="G108" i="6"/>
  <c r="H108" i="6"/>
  <c r="I108" i="6"/>
  <c r="F108" i="6" s="1"/>
  <c r="B110" i="6"/>
  <c r="F110" i="6" s="1"/>
  <c r="C110" i="6"/>
  <c r="D110" i="6"/>
  <c r="E110" i="6"/>
  <c r="G110" i="6"/>
  <c r="H110" i="6"/>
  <c r="I110" i="6"/>
  <c r="C3" i="6"/>
  <c r="D3" i="6"/>
  <c r="E3" i="6"/>
  <c r="G3" i="6"/>
  <c r="H3" i="6"/>
  <c r="I3" i="6"/>
  <c r="B3" i="6"/>
  <c r="F3" i="6" s="1"/>
  <c r="M4" i="2" l="1"/>
  <c r="O4" i="2" s="1"/>
  <c r="M5" i="2"/>
  <c r="O5" i="2" s="1"/>
  <c r="M7" i="2"/>
  <c r="O7" i="2" s="1"/>
  <c r="M8" i="2"/>
  <c r="N8" i="2" s="1"/>
  <c r="O8" i="2" s="1"/>
  <c r="M9" i="2"/>
  <c r="O9" i="2" s="1"/>
  <c r="M10" i="2"/>
  <c r="N10" i="2"/>
  <c r="O10" i="2" s="1"/>
  <c r="M11" i="2"/>
  <c r="N11" i="2"/>
  <c r="O11" i="2"/>
  <c r="M13" i="2"/>
  <c r="N13" i="2" s="1"/>
  <c r="O13" i="2" s="1"/>
  <c r="M14" i="2"/>
  <c r="N14" i="2"/>
  <c r="O14" i="2" s="1"/>
  <c r="M15" i="2"/>
  <c r="N15" i="2"/>
  <c r="O15" i="2"/>
  <c r="M16" i="2"/>
  <c r="N16" i="2" s="1"/>
  <c r="O16" i="2" s="1"/>
  <c r="M17" i="2"/>
  <c r="N17" i="2" s="1"/>
  <c r="O17" i="2" s="1"/>
  <c r="M18" i="2"/>
  <c r="N18" i="2"/>
  <c r="O18" i="2" s="1"/>
  <c r="M19" i="2"/>
  <c r="N19" i="2"/>
  <c r="O19" i="2"/>
  <c r="M20" i="2"/>
  <c r="N20" i="2" s="1"/>
  <c r="O20" i="2" s="1"/>
  <c r="M21" i="2"/>
  <c r="N21" i="2" s="1"/>
  <c r="O21" i="2" s="1"/>
  <c r="M22" i="2"/>
  <c r="N22" i="2"/>
  <c r="O22" i="2" s="1"/>
  <c r="M23" i="2"/>
  <c r="N23" i="2"/>
  <c r="O23" i="2"/>
  <c r="M24" i="2"/>
  <c r="N24" i="2" s="1"/>
  <c r="O24" i="2" s="1"/>
  <c r="M25" i="2"/>
  <c r="N25" i="2" s="1"/>
  <c r="O25" i="2" s="1"/>
  <c r="M26" i="2"/>
  <c r="N26" i="2"/>
  <c r="O26" i="2" s="1"/>
  <c r="M27" i="2"/>
  <c r="N27" i="2"/>
  <c r="O27" i="2"/>
  <c r="M28" i="2"/>
  <c r="N28" i="2" s="1"/>
  <c r="O28" i="2" s="1"/>
  <c r="M29" i="2"/>
  <c r="N29" i="2" s="1"/>
  <c r="O29" i="2" s="1"/>
  <c r="M30" i="2"/>
  <c r="N30" i="2"/>
  <c r="O30" i="2" s="1"/>
  <c r="M31" i="2"/>
  <c r="N31" i="2"/>
  <c r="O31" i="2"/>
  <c r="M32" i="2"/>
  <c r="N32" i="2" s="1"/>
  <c r="O32" i="2" s="1"/>
  <c r="M33" i="2"/>
  <c r="N33" i="2" s="1"/>
  <c r="O33" i="2" s="1"/>
  <c r="M34" i="2"/>
  <c r="N34" i="2"/>
  <c r="O34" i="2" s="1"/>
  <c r="M35" i="2"/>
  <c r="N35" i="2"/>
  <c r="O35" i="2"/>
  <c r="M36" i="2"/>
  <c r="N36" i="2" s="1"/>
  <c r="O36" i="2" s="1"/>
  <c r="M38" i="2"/>
  <c r="N38" i="2"/>
  <c r="O38" i="2" s="1"/>
  <c r="M40" i="2"/>
  <c r="N40" i="2"/>
  <c r="O40" i="2"/>
  <c r="M41" i="2"/>
  <c r="N41" i="2" s="1"/>
  <c r="O41" i="2" s="1"/>
  <c r="M42" i="2"/>
  <c r="N42" i="2"/>
  <c r="O42" i="2" s="1"/>
  <c r="M43" i="2"/>
  <c r="N43" i="2"/>
  <c r="O43" i="2"/>
  <c r="M45" i="2"/>
  <c r="N45" i="2" s="1"/>
  <c r="O45" i="2" s="1"/>
  <c r="M46" i="2"/>
  <c r="N46" i="2"/>
  <c r="O46" i="2" s="1"/>
  <c r="M47" i="2"/>
  <c r="N47" i="2" s="1"/>
  <c r="O47" i="2" s="1"/>
  <c r="M49" i="2"/>
  <c r="N49" i="2" s="1"/>
  <c r="O49" i="2" s="1"/>
  <c r="M50" i="2"/>
  <c r="N50" i="2"/>
  <c r="O50" i="2" s="1"/>
  <c r="M51" i="2"/>
  <c r="N51" i="2" s="1"/>
  <c r="O51" i="2" s="1"/>
  <c r="M53" i="2"/>
  <c r="N53" i="2" s="1"/>
  <c r="O53" i="2" s="1"/>
  <c r="M54" i="2"/>
  <c r="N54" i="2"/>
  <c r="O54" i="2" s="1"/>
  <c r="M55" i="2"/>
  <c r="N55" i="2" s="1"/>
  <c r="O55" i="2" s="1"/>
  <c r="M56" i="2"/>
  <c r="N56" i="2"/>
  <c r="O56" i="2" s="1"/>
  <c r="M57" i="2"/>
  <c r="N57" i="2" s="1"/>
  <c r="O57" i="2" s="1"/>
  <c r="M59" i="2"/>
  <c r="N59" i="2" s="1"/>
  <c r="O59" i="2" s="1"/>
  <c r="M60" i="2"/>
  <c r="N60" i="2"/>
  <c r="O60" i="2" s="1"/>
  <c r="M62" i="2"/>
  <c r="N62" i="2"/>
  <c r="O62" i="2" s="1"/>
  <c r="M63" i="2"/>
  <c r="N63" i="2" s="1"/>
  <c r="O63" i="2" s="1"/>
  <c r="M64" i="2"/>
  <c r="N64" i="2"/>
  <c r="O64" i="2" s="1"/>
  <c r="M65" i="2"/>
  <c r="N65" i="2" s="1"/>
  <c r="O65" i="2" s="1"/>
  <c r="M66" i="2"/>
  <c r="N66" i="2"/>
  <c r="O66" i="2" s="1"/>
  <c r="M67" i="2"/>
  <c r="N67" i="2" s="1"/>
  <c r="O67" i="2" s="1"/>
  <c r="M69" i="2"/>
  <c r="N69" i="2" s="1"/>
  <c r="O69" i="2" s="1"/>
  <c r="M70" i="2"/>
  <c r="N70" i="2"/>
  <c r="O70" i="2" s="1"/>
  <c r="M71" i="2"/>
  <c r="N71" i="2" s="1"/>
  <c r="O71" i="2" s="1"/>
  <c r="M73" i="2"/>
  <c r="N73" i="2" s="1"/>
  <c r="O73" i="2" s="1"/>
  <c r="M75" i="2"/>
  <c r="N75" i="2" s="1"/>
  <c r="O75" i="2" s="1"/>
  <c r="M76" i="2"/>
  <c r="N76" i="2"/>
  <c r="O76" i="2" s="1"/>
  <c r="M77" i="2"/>
  <c r="N77" i="2" s="1"/>
  <c r="O77" i="2" s="1"/>
  <c r="M78" i="2"/>
  <c r="N78" i="2"/>
  <c r="O78" i="2" s="1"/>
  <c r="M79" i="2"/>
  <c r="N79" i="2" s="1"/>
  <c r="O79" i="2" s="1"/>
  <c r="M80" i="2"/>
  <c r="N80" i="2"/>
  <c r="O80" i="2" s="1"/>
  <c r="M81" i="2"/>
  <c r="N81" i="2" s="1"/>
  <c r="O81" i="2" s="1"/>
  <c r="M83" i="2"/>
  <c r="N83" i="2" s="1"/>
  <c r="O83" i="2" s="1"/>
  <c r="M84" i="2"/>
  <c r="N84" i="2"/>
  <c r="O84" i="2" s="1"/>
  <c r="M85" i="2"/>
  <c r="N85" i="2" s="1"/>
  <c r="O85" i="2" s="1"/>
  <c r="M86" i="2"/>
  <c r="N86" i="2"/>
  <c r="O86" i="2" s="1"/>
  <c r="M87" i="2"/>
  <c r="N87" i="2" s="1"/>
  <c r="O87" i="2" s="1"/>
  <c r="M88" i="2"/>
  <c r="N88" i="2"/>
  <c r="O88" i="2" s="1"/>
  <c r="M90" i="2"/>
  <c r="N90" i="2"/>
  <c r="O90" i="2" s="1"/>
  <c r="M92" i="2"/>
  <c r="N92" i="2"/>
  <c r="O92" i="2" s="1"/>
  <c r="M94" i="2"/>
  <c r="N94" i="2"/>
  <c r="O94" i="2" s="1"/>
  <c r="M95" i="2"/>
  <c r="N95" i="2" s="1"/>
  <c r="O95" i="2" s="1"/>
  <c r="M96" i="2"/>
  <c r="N96" i="2"/>
  <c r="O96" i="2" s="1"/>
  <c r="M98" i="2"/>
  <c r="N98" i="2"/>
  <c r="O98" i="2" s="1"/>
  <c r="M99" i="2"/>
  <c r="N99" i="2" s="1"/>
  <c r="O99" i="2" s="1"/>
  <c r="M100" i="2"/>
  <c r="N100" i="2"/>
  <c r="O100" i="2" s="1"/>
  <c r="M101" i="2"/>
  <c r="N101" i="2" s="1"/>
  <c r="O101" i="2" s="1"/>
  <c r="M103" i="2"/>
  <c r="N103" i="2" s="1"/>
  <c r="O103" i="2" s="1"/>
  <c r="M104" i="2"/>
  <c r="N104" i="2"/>
  <c r="O104" i="2" s="1"/>
  <c r="M105" i="2"/>
  <c r="N105" i="2" s="1"/>
  <c r="O105" i="2" s="1"/>
  <c r="M107" i="2"/>
  <c r="N107" i="2" s="1"/>
  <c r="O107" i="2" s="1"/>
  <c r="M108" i="2"/>
  <c r="N108" i="2"/>
  <c r="O108" i="2" s="1"/>
  <c r="M110" i="2"/>
  <c r="N110" i="2"/>
  <c r="O110" i="2" s="1"/>
  <c r="O3" i="2"/>
  <c r="N3" i="2"/>
  <c r="M3" i="2"/>
  <c r="H8" i="2"/>
  <c r="I8" i="2"/>
  <c r="J8" i="2"/>
  <c r="K8" i="2"/>
  <c r="H10" i="2"/>
  <c r="I10" i="2"/>
  <c r="J10" i="2"/>
  <c r="K10" i="2"/>
  <c r="H11" i="2"/>
  <c r="I11" i="2"/>
  <c r="J11" i="2"/>
  <c r="K11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8" i="2"/>
  <c r="I38" i="2"/>
  <c r="J38" i="2"/>
  <c r="K38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5" i="2"/>
  <c r="I45" i="2"/>
  <c r="J45" i="2"/>
  <c r="K45" i="2"/>
  <c r="H46" i="2"/>
  <c r="I46" i="2"/>
  <c r="J46" i="2"/>
  <c r="K46" i="2"/>
  <c r="H47" i="2"/>
  <c r="I47" i="2"/>
  <c r="J47" i="2"/>
  <c r="K47" i="2"/>
  <c r="H49" i="2"/>
  <c r="I49" i="2"/>
  <c r="J49" i="2"/>
  <c r="K49" i="2"/>
  <c r="H50" i="2"/>
  <c r="I50" i="2"/>
  <c r="J50" i="2"/>
  <c r="K50" i="2"/>
  <c r="H51" i="2"/>
  <c r="I51" i="2"/>
  <c r="J51" i="2"/>
  <c r="K51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9" i="2"/>
  <c r="I59" i="2"/>
  <c r="J59" i="2"/>
  <c r="K59" i="2"/>
  <c r="H60" i="2"/>
  <c r="I60" i="2"/>
  <c r="J60" i="2"/>
  <c r="K60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9" i="2"/>
  <c r="I69" i="2"/>
  <c r="J69" i="2"/>
  <c r="K69" i="2"/>
  <c r="H70" i="2"/>
  <c r="I70" i="2"/>
  <c r="J70" i="2"/>
  <c r="K70" i="2"/>
  <c r="H71" i="2"/>
  <c r="I71" i="2"/>
  <c r="J71" i="2"/>
  <c r="K71" i="2"/>
  <c r="H73" i="2"/>
  <c r="I73" i="2"/>
  <c r="J73" i="2"/>
  <c r="K73" i="2"/>
  <c r="H75" i="2"/>
  <c r="I75" i="2"/>
  <c r="J75" i="2"/>
  <c r="K75" i="2"/>
  <c r="H76" i="2"/>
  <c r="I76" i="2"/>
  <c r="J76" i="2"/>
  <c r="K76" i="2"/>
  <c r="H77" i="2"/>
  <c r="I77" i="2"/>
  <c r="J77" i="2"/>
  <c r="K77" i="2"/>
  <c r="H78" i="2"/>
  <c r="I78" i="2"/>
  <c r="J78" i="2"/>
  <c r="K78" i="2"/>
  <c r="H79" i="2"/>
  <c r="I79" i="2"/>
  <c r="J79" i="2"/>
  <c r="K79" i="2"/>
  <c r="H80" i="2"/>
  <c r="I80" i="2"/>
  <c r="J80" i="2"/>
  <c r="K80" i="2"/>
  <c r="H81" i="2"/>
  <c r="I81" i="2"/>
  <c r="J81" i="2"/>
  <c r="K81" i="2"/>
  <c r="H83" i="2"/>
  <c r="I83" i="2"/>
  <c r="J83" i="2"/>
  <c r="K83" i="2"/>
  <c r="H84" i="2"/>
  <c r="I84" i="2"/>
  <c r="J84" i="2"/>
  <c r="K84" i="2"/>
  <c r="H85" i="2"/>
  <c r="I85" i="2"/>
  <c r="J85" i="2"/>
  <c r="K85" i="2"/>
  <c r="H86" i="2"/>
  <c r="I86" i="2"/>
  <c r="J86" i="2"/>
  <c r="K86" i="2"/>
  <c r="H87" i="2"/>
  <c r="I87" i="2"/>
  <c r="J87" i="2"/>
  <c r="K87" i="2"/>
  <c r="H88" i="2"/>
  <c r="I88" i="2"/>
  <c r="J88" i="2"/>
  <c r="K88" i="2"/>
  <c r="H90" i="2"/>
  <c r="I90" i="2"/>
  <c r="J90" i="2"/>
  <c r="K90" i="2"/>
  <c r="H92" i="2"/>
  <c r="I92" i="2"/>
  <c r="J92" i="2"/>
  <c r="K92" i="2"/>
  <c r="H94" i="2"/>
  <c r="I94" i="2"/>
  <c r="J94" i="2"/>
  <c r="K94" i="2"/>
  <c r="H95" i="2"/>
  <c r="I95" i="2"/>
  <c r="J95" i="2"/>
  <c r="K95" i="2"/>
  <c r="H96" i="2"/>
  <c r="I96" i="2"/>
  <c r="J96" i="2"/>
  <c r="K96" i="2"/>
  <c r="H98" i="2"/>
  <c r="I98" i="2"/>
  <c r="J98" i="2"/>
  <c r="K98" i="2"/>
  <c r="H99" i="2"/>
  <c r="I99" i="2"/>
  <c r="J99" i="2"/>
  <c r="K99" i="2"/>
  <c r="H100" i="2"/>
  <c r="I100" i="2"/>
  <c r="J100" i="2"/>
  <c r="K100" i="2"/>
  <c r="H101" i="2"/>
  <c r="I101" i="2"/>
  <c r="J101" i="2"/>
  <c r="K101" i="2"/>
  <c r="H103" i="2"/>
  <c r="I103" i="2"/>
  <c r="J103" i="2"/>
  <c r="K103" i="2"/>
  <c r="H104" i="2"/>
  <c r="I104" i="2"/>
  <c r="J104" i="2"/>
  <c r="K104" i="2"/>
  <c r="H105" i="2"/>
  <c r="I105" i="2"/>
  <c r="J105" i="2"/>
  <c r="K105" i="2"/>
  <c r="H107" i="2"/>
  <c r="I107" i="2"/>
  <c r="J107" i="2"/>
  <c r="K107" i="2"/>
  <c r="H108" i="2"/>
  <c r="I108" i="2"/>
  <c r="J108" i="2"/>
  <c r="K108" i="2"/>
  <c r="H110" i="2"/>
  <c r="I110" i="2"/>
  <c r="J110" i="2"/>
  <c r="K110" i="2"/>
  <c r="I3" i="2"/>
  <c r="J3" i="2"/>
  <c r="K3" i="2"/>
  <c r="H3" i="2"/>
  <c r="X4" i="1"/>
  <c r="X5" i="1"/>
  <c r="X7" i="1"/>
  <c r="X8" i="1"/>
  <c r="X9" i="1"/>
  <c r="X10" i="1"/>
  <c r="X11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40" i="1"/>
  <c r="X41" i="1"/>
  <c r="X42" i="1"/>
  <c r="X43" i="1"/>
  <c r="X45" i="1"/>
  <c r="X46" i="1"/>
  <c r="X47" i="1"/>
  <c r="X49" i="1"/>
  <c r="X50" i="1"/>
  <c r="X51" i="1"/>
  <c r="X53" i="1"/>
  <c r="X54" i="1"/>
  <c r="X55" i="1"/>
  <c r="X56" i="1"/>
  <c r="X57" i="1"/>
  <c r="X59" i="1"/>
  <c r="X60" i="1"/>
  <c r="X62" i="1"/>
  <c r="X63" i="1"/>
  <c r="X64" i="1"/>
  <c r="X65" i="1"/>
  <c r="X66" i="1"/>
  <c r="X67" i="1"/>
  <c r="X69" i="1"/>
  <c r="X70" i="1"/>
  <c r="X71" i="1"/>
  <c r="X73" i="1"/>
  <c r="X75" i="1"/>
  <c r="X76" i="1"/>
  <c r="X77" i="1"/>
  <c r="X78" i="1"/>
  <c r="X79" i="1"/>
  <c r="X80" i="1"/>
  <c r="X81" i="1"/>
  <c r="X83" i="1"/>
  <c r="X84" i="1"/>
  <c r="X85" i="1"/>
  <c r="X86" i="1"/>
  <c r="X87" i="1"/>
  <c r="X88" i="1"/>
  <c r="X90" i="1"/>
  <c r="X92" i="1"/>
  <c r="X94" i="1"/>
  <c r="X95" i="1"/>
  <c r="X96" i="1"/>
  <c r="X98" i="1"/>
  <c r="X99" i="1"/>
  <c r="X100" i="1"/>
  <c r="X101" i="1"/>
  <c r="X103" i="1"/>
  <c r="X104" i="1"/>
  <c r="X105" i="1"/>
  <c r="X107" i="1"/>
  <c r="X108" i="1"/>
  <c r="X110" i="1"/>
  <c r="X3" i="1"/>
  <c r="W4" i="1"/>
  <c r="W5" i="1"/>
  <c r="W7" i="1"/>
  <c r="W8" i="1"/>
  <c r="W9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40" i="1"/>
  <c r="W41" i="1"/>
  <c r="W42" i="1"/>
  <c r="W43" i="1"/>
  <c r="W45" i="1"/>
  <c r="W46" i="1"/>
  <c r="W47" i="1"/>
  <c r="W49" i="1"/>
  <c r="W50" i="1"/>
  <c r="W51" i="1"/>
  <c r="W53" i="1"/>
  <c r="W54" i="1"/>
  <c r="W55" i="1"/>
  <c r="W56" i="1"/>
  <c r="W57" i="1"/>
  <c r="W59" i="1"/>
  <c r="W60" i="1"/>
  <c r="W62" i="1"/>
  <c r="W63" i="1"/>
  <c r="W64" i="1"/>
  <c r="W65" i="1"/>
  <c r="W66" i="1"/>
  <c r="W67" i="1"/>
  <c r="W69" i="1"/>
  <c r="W70" i="1"/>
  <c r="W71" i="1"/>
  <c r="W73" i="1"/>
  <c r="W75" i="1"/>
  <c r="W76" i="1"/>
  <c r="W77" i="1"/>
  <c r="W78" i="1"/>
  <c r="W79" i="1"/>
  <c r="W80" i="1"/>
  <c r="W81" i="1"/>
  <c r="W83" i="1"/>
  <c r="W84" i="1"/>
  <c r="W85" i="1"/>
  <c r="W86" i="1"/>
  <c r="W87" i="1"/>
  <c r="W88" i="1"/>
  <c r="W90" i="1"/>
  <c r="W92" i="1"/>
  <c r="W94" i="1"/>
  <c r="W95" i="1"/>
  <c r="W96" i="1"/>
  <c r="W98" i="1"/>
  <c r="W99" i="1"/>
  <c r="W100" i="1"/>
  <c r="W101" i="1"/>
  <c r="W103" i="1"/>
  <c r="W104" i="1"/>
  <c r="W105" i="1"/>
  <c r="W107" i="1"/>
  <c r="W108" i="1"/>
  <c r="W110" i="1"/>
  <c r="W3" i="1"/>
  <c r="U4" i="1"/>
  <c r="U5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8" i="1"/>
  <c r="U40" i="1"/>
  <c r="U41" i="1"/>
  <c r="U42" i="1"/>
  <c r="U43" i="1"/>
  <c r="U45" i="1"/>
  <c r="U46" i="1"/>
  <c r="U47" i="1"/>
  <c r="U49" i="1"/>
  <c r="U50" i="1"/>
  <c r="U51" i="1"/>
  <c r="U52" i="1"/>
  <c r="U53" i="1"/>
  <c r="U54" i="1"/>
  <c r="U55" i="1"/>
  <c r="U56" i="1"/>
  <c r="U57" i="1"/>
  <c r="U59" i="1"/>
  <c r="U60" i="1"/>
  <c r="U62" i="1"/>
  <c r="U63" i="1"/>
  <c r="U64" i="1"/>
  <c r="U65" i="1"/>
  <c r="U66" i="1"/>
  <c r="U67" i="1"/>
  <c r="U69" i="1"/>
  <c r="U70" i="1"/>
  <c r="U71" i="1"/>
  <c r="U73" i="1"/>
  <c r="U75" i="1"/>
  <c r="U76" i="1"/>
  <c r="U77" i="1"/>
  <c r="U78" i="1"/>
  <c r="U79" i="1"/>
  <c r="U80" i="1"/>
  <c r="U81" i="1"/>
  <c r="U83" i="1"/>
  <c r="U84" i="1"/>
  <c r="U85" i="1"/>
  <c r="U86" i="1"/>
  <c r="U87" i="1"/>
  <c r="U88" i="1"/>
  <c r="U90" i="1"/>
  <c r="U92" i="1"/>
  <c r="U93" i="1"/>
  <c r="U94" i="1"/>
  <c r="U95" i="1"/>
  <c r="U96" i="1"/>
  <c r="U98" i="1"/>
  <c r="U99" i="1"/>
  <c r="U100" i="1"/>
  <c r="U101" i="1"/>
  <c r="U103" i="1"/>
  <c r="U104" i="1"/>
  <c r="U105" i="1"/>
  <c r="U107" i="1"/>
  <c r="U108" i="1"/>
  <c r="U110" i="1"/>
  <c r="U3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8" i="1"/>
  <c r="M38" i="1"/>
  <c r="N38" i="1"/>
  <c r="O38" i="1"/>
  <c r="P38" i="1"/>
  <c r="Q38" i="1"/>
  <c r="R38" i="1"/>
  <c r="S38" i="1"/>
  <c r="L40" i="1"/>
  <c r="M40" i="1"/>
  <c r="N40" i="1"/>
  <c r="O40" i="1"/>
  <c r="P40" i="1"/>
  <c r="Q40" i="1"/>
  <c r="R40" i="1"/>
  <c r="S40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43" i="1"/>
  <c r="M43" i="1"/>
  <c r="N43" i="1"/>
  <c r="O43" i="1"/>
  <c r="P43" i="1"/>
  <c r="Q43" i="1"/>
  <c r="R43" i="1"/>
  <c r="S43" i="1"/>
  <c r="L45" i="1"/>
  <c r="M45" i="1"/>
  <c r="N45" i="1"/>
  <c r="O45" i="1"/>
  <c r="P45" i="1"/>
  <c r="Q45" i="1"/>
  <c r="R45" i="1"/>
  <c r="S4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3" i="1"/>
  <c r="M53" i="1"/>
  <c r="N53" i="1"/>
  <c r="O53" i="1"/>
  <c r="P53" i="1"/>
  <c r="Q53" i="1"/>
  <c r="R53" i="1"/>
  <c r="S53" i="1"/>
  <c r="L54" i="1"/>
  <c r="M54" i="1"/>
  <c r="N54" i="1"/>
  <c r="O54" i="1"/>
  <c r="P54" i="1"/>
  <c r="Q54" i="1"/>
  <c r="R54" i="1"/>
  <c r="S54" i="1"/>
  <c r="L55" i="1"/>
  <c r="M55" i="1"/>
  <c r="N55" i="1"/>
  <c r="O55" i="1"/>
  <c r="P55" i="1"/>
  <c r="Q55" i="1"/>
  <c r="R55" i="1"/>
  <c r="S55" i="1"/>
  <c r="L56" i="1"/>
  <c r="M56" i="1"/>
  <c r="N56" i="1"/>
  <c r="O56" i="1"/>
  <c r="P56" i="1"/>
  <c r="Q56" i="1"/>
  <c r="R56" i="1"/>
  <c r="S56" i="1"/>
  <c r="L57" i="1"/>
  <c r="M57" i="1"/>
  <c r="N57" i="1"/>
  <c r="O57" i="1"/>
  <c r="P57" i="1"/>
  <c r="Q57" i="1"/>
  <c r="R57" i="1"/>
  <c r="S57" i="1"/>
  <c r="L59" i="1"/>
  <c r="M59" i="1"/>
  <c r="N59" i="1"/>
  <c r="O59" i="1"/>
  <c r="P59" i="1"/>
  <c r="Q59" i="1"/>
  <c r="R59" i="1"/>
  <c r="S59" i="1"/>
  <c r="L60" i="1"/>
  <c r="M60" i="1"/>
  <c r="N60" i="1"/>
  <c r="O60" i="1"/>
  <c r="P60" i="1"/>
  <c r="Q60" i="1"/>
  <c r="R60" i="1"/>
  <c r="S60" i="1"/>
  <c r="L62" i="1"/>
  <c r="M62" i="1"/>
  <c r="N62" i="1"/>
  <c r="O62" i="1"/>
  <c r="P62" i="1"/>
  <c r="Q62" i="1"/>
  <c r="R62" i="1"/>
  <c r="S62" i="1"/>
  <c r="L63" i="1"/>
  <c r="M63" i="1"/>
  <c r="N63" i="1"/>
  <c r="O63" i="1"/>
  <c r="P63" i="1"/>
  <c r="Q63" i="1"/>
  <c r="R63" i="1"/>
  <c r="S63" i="1"/>
  <c r="L64" i="1"/>
  <c r="M64" i="1"/>
  <c r="N64" i="1"/>
  <c r="O64" i="1"/>
  <c r="P64" i="1"/>
  <c r="Q64" i="1"/>
  <c r="R64" i="1"/>
  <c r="S64" i="1"/>
  <c r="L65" i="1"/>
  <c r="M65" i="1"/>
  <c r="N65" i="1"/>
  <c r="O65" i="1"/>
  <c r="P65" i="1"/>
  <c r="Q65" i="1"/>
  <c r="R65" i="1"/>
  <c r="S65" i="1"/>
  <c r="L66" i="1"/>
  <c r="M66" i="1"/>
  <c r="N66" i="1"/>
  <c r="O66" i="1"/>
  <c r="P66" i="1"/>
  <c r="Q66" i="1"/>
  <c r="R66" i="1"/>
  <c r="S66" i="1"/>
  <c r="L67" i="1"/>
  <c r="M67" i="1"/>
  <c r="N67" i="1"/>
  <c r="O67" i="1"/>
  <c r="P67" i="1"/>
  <c r="Q67" i="1"/>
  <c r="R67" i="1"/>
  <c r="S67" i="1"/>
  <c r="L69" i="1"/>
  <c r="M69" i="1"/>
  <c r="N69" i="1"/>
  <c r="O69" i="1"/>
  <c r="P69" i="1"/>
  <c r="Q69" i="1"/>
  <c r="R69" i="1"/>
  <c r="S69" i="1"/>
  <c r="L70" i="1"/>
  <c r="M70" i="1"/>
  <c r="N70" i="1"/>
  <c r="O70" i="1"/>
  <c r="P70" i="1"/>
  <c r="Q70" i="1"/>
  <c r="R70" i="1"/>
  <c r="S70" i="1"/>
  <c r="L71" i="1"/>
  <c r="M71" i="1"/>
  <c r="N71" i="1"/>
  <c r="O71" i="1"/>
  <c r="P71" i="1"/>
  <c r="Q71" i="1"/>
  <c r="R71" i="1"/>
  <c r="S71" i="1"/>
  <c r="L73" i="1"/>
  <c r="M73" i="1"/>
  <c r="N73" i="1"/>
  <c r="O73" i="1"/>
  <c r="P73" i="1"/>
  <c r="Q73" i="1"/>
  <c r="R73" i="1"/>
  <c r="S73" i="1"/>
  <c r="L75" i="1"/>
  <c r="M75" i="1"/>
  <c r="N75" i="1"/>
  <c r="O75" i="1"/>
  <c r="P75" i="1"/>
  <c r="Q75" i="1"/>
  <c r="R75" i="1"/>
  <c r="S75" i="1"/>
  <c r="L76" i="1"/>
  <c r="M76" i="1"/>
  <c r="N76" i="1"/>
  <c r="O76" i="1"/>
  <c r="P76" i="1"/>
  <c r="Q76" i="1"/>
  <c r="R76" i="1"/>
  <c r="S76" i="1"/>
  <c r="L77" i="1"/>
  <c r="M77" i="1"/>
  <c r="N77" i="1"/>
  <c r="O77" i="1"/>
  <c r="P77" i="1"/>
  <c r="Q77" i="1"/>
  <c r="R77" i="1"/>
  <c r="S77" i="1"/>
  <c r="L78" i="1"/>
  <c r="M78" i="1"/>
  <c r="N78" i="1"/>
  <c r="O78" i="1"/>
  <c r="P78" i="1"/>
  <c r="Q78" i="1"/>
  <c r="R78" i="1"/>
  <c r="S78" i="1"/>
  <c r="L79" i="1"/>
  <c r="M79" i="1"/>
  <c r="N79" i="1"/>
  <c r="O79" i="1"/>
  <c r="P79" i="1"/>
  <c r="Q79" i="1"/>
  <c r="R79" i="1"/>
  <c r="S79" i="1"/>
  <c r="L80" i="1"/>
  <c r="M80" i="1"/>
  <c r="N80" i="1"/>
  <c r="O80" i="1"/>
  <c r="P80" i="1"/>
  <c r="Q80" i="1"/>
  <c r="R80" i="1"/>
  <c r="S80" i="1"/>
  <c r="L81" i="1"/>
  <c r="M81" i="1"/>
  <c r="N81" i="1"/>
  <c r="O81" i="1"/>
  <c r="P81" i="1"/>
  <c r="Q81" i="1"/>
  <c r="R81" i="1"/>
  <c r="S81" i="1"/>
  <c r="L83" i="1"/>
  <c r="M83" i="1"/>
  <c r="N83" i="1"/>
  <c r="O83" i="1"/>
  <c r="P83" i="1"/>
  <c r="Q83" i="1"/>
  <c r="R83" i="1"/>
  <c r="S83" i="1"/>
  <c r="L84" i="1"/>
  <c r="M84" i="1"/>
  <c r="N84" i="1"/>
  <c r="O84" i="1"/>
  <c r="P84" i="1"/>
  <c r="Q84" i="1"/>
  <c r="R84" i="1"/>
  <c r="S84" i="1"/>
  <c r="L85" i="1"/>
  <c r="M85" i="1"/>
  <c r="N85" i="1"/>
  <c r="O85" i="1"/>
  <c r="P85" i="1"/>
  <c r="Q85" i="1"/>
  <c r="R85" i="1"/>
  <c r="S85" i="1"/>
  <c r="L86" i="1"/>
  <c r="M86" i="1"/>
  <c r="N86" i="1"/>
  <c r="O86" i="1"/>
  <c r="P86" i="1"/>
  <c r="Q86" i="1"/>
  <c r="R86" i="1"/>
  <c r="S86" i="1"/>
  <c r="L87" i="1"/>
  <c r="M87" i="1"/>
  <c r="N87" i="1"/>
  <c r="O87" i="1"/>
  <c r="P87" i="1"/>
  <c r="Q87" i="1"/>
  <c r="R87" i="1"/>
  <c r="S87" i="1"/>
  <c r="L88" i="1"/>
  <c r="M88" i="1"/>
  <c r="N88" i="1"/>
  <c r="O88" i="1"/>
  <c r="P88" i="1"/>
  <c r="Q88" i="1"/>
  <c r="R88" i="1"/>
  <c r="S88" i="1"/>
  <c r="L90" i="1"/>
  <c r="M90" i="1"/>
  <c r="N90" i="1"/>
  <c r="O90" i="1"/>
  <c r="P90" i="1"/>
  <c r="Q90" i="1"/>
  <c r="R90" i="1"/>
  <c r="S90" i="1"/>
  <c r="L92" i="1"/>
  <c r="M92" i="1"/>
  <c r="N92" i="1"/>
  <c r="O92" i="1"/>
  <c r="P92" i="1"/>
  <c r="Q92" i="1"/>
  <c r="R92" i="1"/>
  <c r="S92" i="1"/>
  <c r="L94" i="1"/>
  <c r="M94" i="1"/>
  <c r="N94" i="1"/>
  <c r="O94" i="1"/>
  <c r="P94" i="1"/>
  <c r="Q94" i="1"/>
  <c r="R94" i="1"/>
  <c r="S94" i="1"/>
  <c r="L95" i="1"/>
  <c r="M95" i="1"/>
  <c r="N95" i="1"/>
  <c r="O95" i="1"/>
  <c r="P95" i="1"/>
  <c r="Q95" i="1"/>
  <c r="R95" i="1"/>
  <c r="S95" i="1"/>
  <c r="L96" i="1"/>
  <c r="M96" i="1"/>
  <c r="N96" i="1"/>
  <c r="O96" i="1"/>
  <c r="P96" i="1"/>
  <c r="Q96" i="1"/>
  <c r="R96" i="1"/>
  <c r="S96" i="1"/>
  <c r="L98" i="1"/>
  <c r="M98" i="1"/>
  <c r="N98" i="1"/>
  <c r="O98" i="1"/>
  <c r="P98" i="1"/>
  <c r="Q98" i="1"/>
  <c r="R98" i="1"/>
  <c r="S98" i="1"/>
  <c r="L99" i="1"/>
  <c r="M99" i="1"/>
  <c r="N99" i="1"/>
  <c r="O99" i="1"/>
  <c r="P99" i="1"/>
  <c r="Q99" i="1"/>
  <c r="R99" i="1"/>
  <c r="S99" i="1"/>
  <c r="L100" i="1"/>
  <c r="M100" i="1"/>
  <c r="N100" i="1"/>
  <c r="O100" i="1"/>
  <c r="P100" i="1"/>
  <c r="Q100" i="1"/>
  <c r="R100" i="1"/>
  <c r="S100" i="1"/>
  <c r="L101" i="1"/>
  <c r="M101" i="1"/>
  <c r="N101" i="1"/>
  <c r="O101" i="1"/>
  <c r="P101" i="1"/>
  <c r="Q101" i="1"/>
  <c r="R101" i="1"/>
  <c r="S101" i="1"/>
  <c r="L103" i="1"/>
  <c r="M103" i="1"/>
  <c r="N103" i="1"/>
  <c r="O103" i="1"/>
  <c r="P103" i="1"/>
  <c r="Q103" i="1"/>
  <c r="R103" i="1"/>
  <c r="S103" i="1"/>
  <c r="L104" i="1"/>
  <c r="M104" i="1"/>
  <c r="N104" i="1"/>
  <c r="O104" i="1"/>
  <c r="P104" i="1"/>
  <c r="Q104" i="1"/>
  <c r="R104" i="1"/>
  <c r="S104" i="1"/>
  <c r="L105" i="1"/>
  <c r="M105" i="1"/>
  <c r="N105" i="1"/>
  <c r="O105" i="1"/>
  <c r="P105" i="1"/>
  <c r="Q105" i="1"/>
  <c r="R105" i="1"/>
  <c r="S105" i="1"/>
  <c r="L107" i="1"/>
  <c r="M107" i="1"/>
  <c r="N107" i="1"/>
  <c r="O107" i="1"/>
  <c r="P107" i="1"/>
  <c r="Q107" i="1"/>
  <c r="R107" i="1"/>
  <c r="S107" i="1"/>
  <c r="L108" i="1"/>
  <c r="M108" i="1"/>
  <c r="N108" i="1"/>
  <c r="O108" i="1"/>
  <c r="P108" i="1"/>
  <c r="Q108" i="1"/>
  <c r="R108" i="1"/>
  <c r="S108" i="1"/>
  <c r="L110" i="1"/>
  <c r="M110" i="1"/>
  <c r="N110" i="1"/>
  <c r="O110" i="1"/>
  <c r="P110" i="1"/>
  <c r="Q110" i="1"/>
  <c r="R110" i="1"/>
  <c r="S110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M3" i="1"/>
  <c r="N3" i="1"/>
  <c r="O3" i="1"/>
  <c r="P3" i="1"/>
  <c r="Q3" i="1"/>
  <c r="R3" i="1"/>
  <c r="S3" i="1"/>
  <c r="L3" i="1"/>
  <c r="F38" i="2" l="1"/>
  <c r="D38" i="2" s="1"/>
  <c r="E38" i="2" l="1"/>
  <c r="B38" i="2"/>
  <c r="C38" i="2"/>
  <c r="J5" i="1" l="1"/>
  <c r="J4" i="1"/>
  <c r="B4" i="1" l="1"/>
  <c r="F4" i="1"/>
  <c r="C4" i="1"/>
  <c r="G4" i="1"/>
  <c r="D4" i="1"/>
  <c r="E4" i="1"/>
  <c r="H4" i="1"/>
  <c r="I4" i="1"/>
  <c r="B5" i="1"/>
  <c r="F5" i="1"/>
  <c r="C5" i="1"/>
  <c r="G5" i="1"/>
  <c r="D5" i="1"/>
  <c r="H5" i="1"/>
  <c r="E5" i="1"/>
  <c r="I5" i="1"/>
  <c r="E26" i="2"/>
  <c r="D26" i="2"/>
  <c r="C26" i="2"/>
  <c r="B26" i="2"/>
  <c r="B87" i="2" l="1"/>
  <c r="B67" i="2"/>
  <c r="F110" i="2"/>
  <c r="B110" i="2" s="1"/>
  <c r="F108" i="2"/>
  <c r="F107" i="2"/>
  <c r="F105" i="2"/>
  <c r="B105" i="2" s="1"/>
  <c r="F104" i="2"/>
  <c r="B104" i="2" s="1"/>
  <c r="F103" i="2"/>
  <c r="B103" i="2" s="1"/>
  <c r="F101" i="2"/>
  <c r="B101" i="2" s="1"/>
  <c r="F100" i="2"/>
  <c r="B100" i="2" s="1"/>
  <c r="F99" i="2"/>
  <c r="B99" i="2" s="1"/>
  <c r="F98" i="2"/>
  <c r="B98" i="2" s="1"/>
  <c r="F96" i="2"/>
  <c r="B96" i="2" s="1"/>
  <c r="F95" i="2"/>
  <c r="B95" i="2" s="1"/>
  <c r="F94" i="2"/>
  <c r="B94" i="2" s="1"/>
  <c r="F92" i="2"/>
  <c r="B92" i="2" s="1"/>
  <c r="F90" i="2"/>
  <c r="B90" i="2" s="1"/>
  <c r="F88" i="2"/>
  <c r="B88" i="2" s="1"/>
  <c r="F87" i="2"/>
  <c r="F86" i="2"/>
  <c r="B86" i="2" s="1"/>
  <c r="F85" i="2"/>
  <c r="B85" i="2" s="1"/>
  <c r="F84" i="2"/>
  <c r="B84" i="2" s="1"/>
  <c r="F83" i="2"/>
  <c r="B83" i="2" s="1"/>
  <c r="F81" i="2"/>
  <c r="B81" i="2" s="1"/>
  <c r="F80" i="2"/>
  <c r="B80" i="2" s="1"/>
  <c r="F79" i="2"/>
  <c r="B79" i="2" s="1"/>
  <c r="F78" i="2"/>
  <c r="B78" i="2" s="1"/>
  <c r="F77" i="2"/>
  <c r="B77" i="2" s="1"/>
  <c r="F76" i="2"/>
  <c r="B76" i="2" s="1"/>
  <c r="F75" i="2"/>
  <c r="B75" i="2" s="1"/>
  <c r="F73" i="2"/>
  <c r="B73" i="2" s="1"/>
  <c r="F71" i="2"/>
  <c r="B71" i="2" s="1"/>
  <c r="F70" i="2"/>
  <c r="B70" i="2" s="1"/>
  <c r="F69" i="2"/>
  <c r="B69" i="2" s="1"/>
  <c r="F67" i="2"/>
  <c r="F66" i="2"/>
  <c r="B66" i="2" s="1"/>
  <c r="F65" i="2"/>
  <c r="B65" i="2" s="1"/>
  <c r="F64" i="2"/>
  <c r="B64" i="2" s="1"/>
  <c r="F63" i="2"/>
  <c r="B63" i="2" s="1"/>
  <c r="F62" i="2"/>
  <c r="B62" i="2" s="1"/>
  <c r="F60" i="2"/>
  <c r="F59" i="2"/>
  <c r="F57" i="2"/>
  <c r="F56" i="2"/>
  <c r="F55" i="2"/>
  <c r="F54" i="2"/>
  <c r="F53" i="2"/>
  <c r="F51" i="2"/>
  <c r="B51" i="2" s="1"/>
  <c r="F50" i="2"/>
  <c r="B50" i="2" s="1"/>
  <c r="F49" i="2"/>
  <c r="B49" i="2" s="1"/>
  <c r="F47" i="2"/>
  <c r="B47" i="2" s="1"/>
  <c r="F46" i="2"/>
  <c r="B46" i="2" s="1"/>
  <c r="F45" i="2"/>
  <c r="B45" i="2" s="1"/>
  <c r="F43" i="2"/>
  <c r="B43" i="2" s="1"/>
  <c r="F42" i="2"/>
  <c r="B42" i="2" s="1"/>
  <c r="F41" i="2"/>
  <c r="B41" i="2" s="1"/>
  <c r="F40" i="2"/>
  <c r="B40" i="2" s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E23" i="2" s="1"/>
  <c r="F23" i="2"/>
  <c r="F22" i="2"/>
  <c r="F21" i="2"/>
  <c r="F20" i="2"/>
  <c r="F19" i="2"/>
  <c r="F18" i="2"/>
  <c r="F17" i="2"/>
  <c r="F16" i="2"/>
  <c r="F15" i="2"/>
  <c r="F14" i="2"/>
  <c r="F13" i="2"/>
  <c r="F11" i="2"/>
  <c r="F10" i="2"/>
  <c r="F8" i="2"/>
  <c r="F3" i="2"/>
  <c r="F111" i="2" l="1"/>
  <c r="E3" i="2"/>
  <c r="B3" i="2"/>
  <c r="D3" i="2"/>
  <c r="C3" i="2"/>
  <c r="B23" i="2"/>
  <c r="C23" i="2"/>
  <c r="D23" i="2"/>
  <c r="E27" i="2"/>
  <c r="D27" i="2"/>
  <c r="C27" i="2"/>
  <c r="B27" i="2"/>
  <c r="E27" i="1" l="1"/>
  <c r="I26" i="1"/>
  <c r="H26" i="1"/>
  <c r="G26" i="1"/>
  <c r="F26" i="1"/>
  <c r="E26" i="1"/>
  <c r="D26" i="1"/>
  <c r="C26" i="1"/>
  <c r="B26" i="1"/>
  <c r="J110" i="1"/>
  <c r="J108" i="1"/>
  <c r="J107" i="1"/>
  <c r="J105" i="1"/>
  <c r="J104" i="1"/>
  <c r="J103" i="1"/>
  <c r="J101" i="1"/>
  <c r="J100" i="1"/>
  <c r="J99" i="1"/>
  <c r="J98" i="1"/>
  <c r="J96" i="1"/>
  <c r="J95" i="1"/>
  <c r="J94" i="1"/>
  <c r="J92" i="1"/>
  <c r="J90" i="1"/>
  <c r="J88" i="1"/>
  <c r="J87" i="1"/>
  <c r="J86" i="1"/>
  <c r="J85" i="1"/>
  <c r="J84" i="1"/>
  <c r="J83" i="1"/>
  <c r="J81" i="1"/>
  <c r="J80" i="1"/>
  <c r="J79" i="1"/>
  <c r="J78" i="1"/>
  <c r="J77" i="1"/>
  <c r="J76" i="1"/>
  <c r="J75" i="1"/>
  <c r="J73" i="1"/>
  <c r="J71" i="1"/>
  <c r="J70" i="1"/>
  <c r="J69" i="1"/>
  <c r="J67" i="1"/>
  <c r="J66" i="1"/>
  <c r="J65" i="1"/>
  <c r="J64" i="1"/>
  <c r="J63" i="1"/>
  <c r="J62" i="1"/>
  <c r="J60" i="1"/>
  <c r="J59" i="1"/>
  <c r="J57" i="1"/>
  <c r="J56" i="1"/>
  <c r="J55" i="1"/>
  <c r="J54" i="1"/>
  <c r="J53" i="1"/>
  <c r="J51" i="1"/>
  <c r="J50" i="1"/>
  <c r="J49" i="1"/>
  <c r="J47" i="1"/>
  <c r="J46" i="1"/>
  <c r="J45" i="1"/>
  <c r="J43" i="1"/>
  <c r="J42" i="1"/>
  <c r="J41" i="1"/>
  <c r="J40" i="1"/>
  <c r="J38" i="1" s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1" i="1"/>
  <c r="J10" i="1"/>
  <c r="J9" i="1"/>
  <c r="J8" i="1"/>
  <c r="J7" i="1"/>
  <c r="J3" i="1"/>
  <c r="C53" i="1" l="1"/>
  <c r="B53" i="1"/>
  <c r="D53" i="1"/>
  <c r="F38" i="1"/>
  <c r="B38" i="1"/>
  <c r="H38" i="1"/>
  <c r="D38" i="1"/>
  <c r="C38" i="1"/>
  <c r="I38" i="1"/>
  <c r="E38" i="1"/>
  <c r="G38" i="1"/>
  <c r="D55" i="1"/>
  <c r="B55" i="1"/>
  <c r="C55" i="1"/>
  <c r="J111" i="1"/>
  <c r="I3" i="1"/>
  <c r="E3" i="1"/>
  <c r="H3" i="1"/>
  <c r="D3" i="1"/>
  <c r="G3" i="1"/>
  <c r="B3" i="1"/>
  <c r="C3" i="1"/>
  <c r="F3" i="1"/>
  <c r="I23" i="1"/>
  <c r="E23" i="1"/>
  <c r="C23" i="1"/>
  <c r="F23" i="1"/>
  <c r="H23" i="1"/>
  <c r="D23" i="1"/>
  <c r="G23" i="1"/>
  <c r="B23" i="1"/>
  <c r="F27" i="1"/>
  <c r="C27" i="1"/>
  <c r="I27" i="1"/>
  <c r="D27" i="1"/>
  <c r="H27" i="1"/>
  <c r="G27" i="1"/>
  <c r="B27" i="1"/>
  <c r="D54" i="1"/>
  <c r="C54" i="1"/>
  <c r="B54" i="1"/>
  <c r="B108" i="1"/>
  <c r="C108" i="1"/>
  <c r="D108" i="1"/>
  <c r="E108" i="1"/>
  <c r="F108" i="1"/>
  <c r="G108" i="1"/>
  <c r="H108" i="1"/>
  <c r="I108" i="1"/>
  <c r="I107" i="1"/>
  <c r="H107" i="1"/>
  <c r="G107" i="1"/>
  <c r="F107" i="1"/>
  <c r="E107" i="1"/>
  <c r="D107" i="1"/>
  <c r="C107" i="1"/>
  <c r="B107" i="1"/>
  <c r="B108" i="2"/>
  <c r="C108" i="2"/>
  <c r="D108" i="2"/>
  <c r="E108" i="2"/>
  <c r="E107" i="2"/>
  <c r="C107" i="2"/>
  <c r="B107" i="2"/>
  <c r="D107" i="2"/>
  <c r="G110" i="1" l="1"/>
  <c r="E110" i="2"/>
  <c r="D110" i="2"/>
  <c r="C110" i="2"/>
  <c r="I110" i="1"/>
  <c r="H110" i="1"/>
  <c r="F110" i="1"/>
  <c r="E110" i="1"/>
  <c r="D110" i="1"/>
  <c r="B110" i="1"/>
  <c r="C40" i="2"/>
  <c r="D40" i="2"/>
  <c r="E40" i="2"/>
  <c r="C41" i="2"/>
  <c r="D41" i="2"/>
  <c r="E41" i="2"/>
  <c r="B103" i="1"/>
  <c r="C110" i="1" l="1"/>
  <c r="E22" i="2" l="1"/>
  <c r="D22" i="2"/>
  <c r="C22" i="2"/>
  <c r="B22" i="2"/>
  <c r="E11" i="2"/>
  <c r="D11" i="2"/>
  <c r="C11" i="2"/>
  <c r="B11" i="2"/>
  <c r="E8" i="2"/>
  <c r="D8" i="2"/>
  <c r="C8" i="2"/>
  <c r="B8" i="2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I22" i="1"/>
  <c r="H22" i="1"/>
  <c r="G22" i="1"/>
  <c r="F22" i="1"/>
  <c r="E22" i="1"/>
  <c r="D22" i="1"/>
  <c r="C22" i="1"/>
  <c r="B22" i="1"/>
  <c r="B8" i="1"/>
  <c r="C8" i="1"/>
  <c r="D8" i="1"/>
  <c r="E8" i="1"/>
  <c r="F8" i="1"/>
  <c r="G8" i="1"/>
  <c r="H8" i="1"/>
  <c r="I8" i="1"/>
  <c r="I7" i="1"/>
  <c r="H7" i="1"/>
  <c r="G7" i="1"/>
  <c r="F7" i="1"/>
  <c r="E7" i="1"/>
  <c r="D7" i="1"/>
  <c r="C7" i="1"/>
  <c r="B7" i="1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E83" i="2"/>
  <c r="D83" i="2"/>
  <c r="C83" i="2"/>
  <c r="C104" i="2"/>
  <c r="D104" i="2"/>
  <c r="E104" i="2"/>
  <c r="C105" i="2"/>
  <c r="D105" i="2"/>
  <c r="E105" i="2"/>
  <c r="E103" i="2"/>
  <c r="D103" i="2"/>
  <c r="C103" i="2"/>
  <c r="C99" i="2"/>
  <c r="D99" i="2"/>
  <c r="E99" i="2"/>
  <c r="C100" i="2"/>
  <c r="D100" i="2"/>
  <c r="E100" i="2"/>
  <c r="C101" i="2"/>
  <c r="D101" i="2"/>
  <c r="E101" i="2"/>
  <c r="E98" i="2"/>
  <c r="D98" i="2"/>
  <c r="C98" i="2"/>
  <c r="E96" i="2"/>
  <c r="D96" i="2"/>
  <c r="C96" i="2"/>
  <c r="E95" i="2"/>
  <c r="D95" i="2"/>
  <c r="C95" i="2"/>
  <c r="E94" i="2"/>
  <c r="D94" i="2"/>
  <c r="C94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E75" i="2"/>
  <c r="D75" i="2"/>
  <c r="C75" i="2"/>
  <c r="E73" i="2"/>
  <c r="D73" i="2"/>
  <c r="C73" i="2"/>
  <c r="E67" i="2"/>
  <c r="D67" i="2"/>
  <c r="C67" i="2"/>
  <c r="E66" i="2"/>
  <c r="D66" i="2"/>
  <c r="C66" i="2"/>
  <c r="E63" i="2"/>
  <c r="D63" i="2"/>
  <c r="C63" i="2"/>
  <c r="E49" i="2"/>
  <c r="D49" i="2"/>
  <c r="C49" i="2"/>
  <c r="E43" i="2"/>
  <c r="D43" i="2"/>
  <c r="C43" i="2"/>
  <c r="E42" i="2"/>
  <c r="D42" i="2"/>
  <c r="C42" i="2"/>
  <c r="H104" i="1" l="1"/>
  <c r="D105" i="1"/>
  <c r="H105" i="1"/>
  <c r="D99" i="1"/>
  <c r="H99" i="1"/>
  <c r="D100" i="1"/>
  <c r="H100" i="1"/>
  <c r="D101" i="1"/>
  <c r="H101" i="1"/>
  <c r="D95" i="1"/>
  <c r="H95" i="1"/>
  <c r="D96" i="1"/>
  <c r="H96" i="1"/>
  <c r="G94" i="1"/>
  <c r="C94" i="1"/>
  <c r="D85" i="1"/>
  <c r="H85" i="1"/>
  <c r="D86" i="1"/>
  <c r="H86" i="1"/>
  <c r="D87" i="1"/>
  <c r="H87" i="1"/>
  <c r="G83" i="1"/>
  <c r="C83" i="1"/>
  <c r="D76" i="1"/>
  <c r="H76" i="1"/>
  <c r="D77" i="1"/>
  <c r="H77" i="1"/>
  <c r="D78" i="1"/>
  <c r="H78" i="1"/>
  <c r="D80" i="1"/>
  <c r="H80" i="1"/>
  <c r="D81" i="1"/>
  <c r="H81" i="1"/>
  <c r="G73" i="1"/>
  <c r="C73" i="1"/>
  <c r="G67" i="1"/>
  <c r="C67" i="1"/>
  <c r="G66" i="1"/>
  <c r="C66" i="1"/>
  <c r="G49" i="1"/>
  <c r="C49" i="1"/>
  <c r="G43" i="1"/>
  <c r="C43" i="1"/>
  <c r="G42" i="1"/>
  <c r="C42" i="1"/>
  <c r="E105" i="1"/>
  <c r="D104" i="1"/>
  <c r="F103" i="1"/>
  <c r="E101" i="1"/>
  <c r="E100" i="1"/>
  <c r="E99" i="1"/>
  <c r="F98" i="1"/>
  <c r="E96" i="1"/>
  <c r="E95" i="1"/>
  <c r="F94" i="1"/>
  <c r="E88" i="1"/>
  <c r="E87" i="1"/>
  <c r="E86" i="1"/>
  <c r="E85" i="1"/>
  <c r="E84" i="1"/>
  <c r="F83" i="1"/>
  <c r="E81" i="1"/>
  <c r="E80" i="1"/>
  <c r="E79" i="1"/>
  <c r="E78" i="1"/>
  <c r="E77" i="1"/>
  <c r="E76" i="1"/>
  <c r="F75" i="1"/>
  <c r="F73" i="1"/>
  <c r="F67" i="1"/>
  <c r="F66" i="1"/>
  <c r="F63" i="1"/>
  <c r="F49" i="1"/>
  <c r="F43" i="1"/>
  <c r="F42" i="1"/>
  <c r="I40" i="1"/>
  <c r="E40" i="1"/>
  <c r="H41" i="1"/>
  <c r="H40" i="1"/>
  <c r="G63" i="1" l="1"/>
  <c r="G75" i="1"/>
  <c r="H79" i="1"/>
  <c r="H88" i="1"/>
  <c r="H84" i="1"/>
  <c r="C98" i="1"/>
  <c r="C103" i="1"/>
  <c r="G103" i="1"/>
  <c r="B40" i="1"/>
  <c r="F40" i="1"/>
  <c r="B41" i="1"/>
  <c r="F41" i="1"/>
  <c r="D42" i="1"/>
  <c r="H42" i="1"/>
  <c r="D43" i="1"/>
  <c r="H43" i="1"/>
  <c r="D49" i="1"/>
  <c r="H49" i="1"/>
  <c r="D63" i="1"/>
  <c r="H63" i="1"/>
  <c r="D66" i="1"/>
  <c r="H66" i="1"/>
  <c r="D67" i="1"/>
  <c r="H67" i="1"/>
  <c r="D73" i="1"/>
  <c r="H73" i="1"/>
  <c r="D75" i="1"/>
  <c r="H75" i="1"/>
  <c r="G81" i="1"/>
  <c r="C81" i="1"/>
  <c r="G80" i="1"/>
  <c r="C80" i="1"/>
  <c r="G79" i="1"/>
  <c r="C79" i="1"/>
  <c r="G78" i="1"/>
  <c r="C78" i="1"/>
  <c r="G77" i="1"/>
  <c r="C77" i="1"/>
  <c r="G76" i="1"/>
  <c r="C76" i="1"/>
  <c r="D83" i="1"/>
  <c r="H83" i="1"/>
  <c r="G88" i="1"/>
  <c r="C88" i="1"/>
  <c r="G87" i="1"/>
  <c r="C87" i="1"/>
  <c r="G86" i="1"/>
  <c r="C86" i="1"/>
  <c r="G85" i="1"/>
  <c r="C85" i="1"/>
  <c r="G84" i="1"/>
  <c r="C84" i="1"/>
  <c r="D94" i="1"/>
  <c r="H94" i="1"/>
  <c r="G96" i="1"/>
  <c r="C96" i="1"/>
  <c r="G95" i="1"/>
  <c r="C95" i="1"/>
  <c r="D98" i="1"/>
  <c r="H98" i="1"/>
  <c r="G101" i="1"/>
  <c r="C101" i="1"/>
  <c r="G100" i="1"/>
  <c r="C100" i="1"/>
  <c r="G99" i="1"/>
  <c r="C99" i="1"/>
  <c r="D103" i="1"/>
  <c r="H103" i="1"/>
  <c r="G105" i="1"/>
  <c r="C105" i="1"/>
  <c r="G104" i="1"/>
  <c r="C104" i="1"/>
  <c r="I41" i="1"/>
  <c r="C63" i="1"/>
  <c r="C75" i="1"/>
  <c r="D79" i="1"/>
  <c r="D88" i="1"/>
  <c r="D84" i="1"/>
  <c r="G98" i="1"/>
  <c r="C40" i="1"/>
  <c r="G40" i="1"/>
  <c r="C41" i="1"/>
  <c r="G41" i="1"/>
  <c r="E42" i="1"/>
  <c r="I42" i="1"/>
  <c r="E43" i="1"/>
  <c r="I43" i="1"/>
  <c r="E49" i="1"/>
  <c r="I49" i="1"/>
  <c r="E63" i="1"/>
  <c r="I63" i="1"/>
  <c r="E66" i="1"/>
  <c r="I66" i="1"/>
  <c r="E67" i="1"/>
  <c r="I67" i="1"/>
  <c r="E73" i="1"/>
  <c r="I73" i="1"/>
  <c r="E75" i="1"/>
  <c r="I75" i="1"/>
  <c r="F81" i="1"/>
  <c r="B81" i="1"/>
  <c r="F80" i="1"/>
  <c r="B80" i="1"/>
  <c r="F79" i="1"/>
  <c r="B79" i="1"/>
  <c r="F78" i="1"/>
  <c r="B78" i="1"/>
  <c r="F77" i="1"/>
  <c r="B77" i="1"/>
  <c r="F76" i="1"/>
  <c r="B76" i="1"/>
  <c r="E83" i="1"/>
  <c r="I83" i="1"/>
  <c r="F88" i="1"/>
  <c r="B88" i="1"/>
  <c r="F87" i="1"/>
  <c r="B87" i="1"/>
  <c r="F86" i="1"/>
  <c r="B86" i="1"/>
  <c r="F85" i="1"/>
  <c r="B85" i="1"/>
  <c r="F84" i="1"/>
  <c r="B84" i="1"/>
  <c r="E94" i="1"/>
  <c r="I94" i="1"/>
  <c r="F96" i="1"/>
  <c r="B96" i="1"/>
  <c r="F95" i="1"/>
  <c r="B95" i="1"/>
  <c r="E98" i="1"/>
  <c r="I98" i="1"/>
  <c r="F101" i="1"/>
  <c r="B101" i="1"/>
  <c r="F100" i="1"/>
  <c r="B100" i="1"/>
  <c r="F99" i="1"/>
  <c r="B99" i="1"/>
  <c r="E103" i="1"/>
  <c r="I103" i="1"/>
  <c r="F105" i="1"/>
  <c r="B105" i="1"/>
  <c r="F104" i="1"/>
  <c r="B104" i="1"/>
  <c r="E41" i="1"/>
  <c r="D40" i="1"/>
  <c r="D41" i="1"/>
  <c r="B42" i="1"/>
  <c r="B43" i="1"/>
  <c r="B49" i="1"/>
  <c r="B63" i="1"/>
  <c r="B66" i="1"/>
  <c r="B67" i="1"/>
  <c r="B73" i="1"/>
  <c r="B75" i="1"/>
  <c r="I81" i="1"/>
  <c r="I80" i="1"/>
  <c r="I79" i="1"/>
  <c r="I78" i="1"/>
  <c r="I77" i="1"/>
  <c r="I76" i="1"/>
  <c r="B83" i="1"/>
  <c r="I88" i="1"/>
  <c r="I87" i="1"/>
  <c r="I86" i="1"/>
  <c r="I85" i="1"/>
  <c r="I84" i="1"/>
  <c r="B94" i="1"/>
  <c r="I96" i="1"/>
  <c r="I95" i="1"/>
  <c r="B98" i="1"/>
  <c r="I101" i="1"/>
  <c r="I100" i="1"/>
  <c r="I99" i="1"/>
  <c r="I105" i="1"/>
  <c r="I104" i="1"/>
  <c r="E104" i="1"/>
  <c r="B54" i="2" l="1"/>
  <c r="C54" i="2"/>
  <c r="D54" i="2"/>
  <c r="E54" i="2"/>
  <c r="B55" i="2"/>
  <c r="C55" i="2"/>
  <c r="D55" i="2"/>
  <c r="E55" i="2"/>
  <c r="E53" i="2"/>
  <c r="D53" i="2"/>
  <c r="C53" i="2"/>
  <c r="B53" i="2"/>
  <c r="E54" i="1"/>
  <c r="F54" i="1"/>
  <c r="G54" i="1"/>
  <c r="H54" i="1"/>
  <c r="I54" i="1"/>
  <c r="E55" i="1"/>
  <c r="F55" i="1"/>
  <c r="G55" i="1"/>
  <c r="H55" i="1"/>
  <c r="I55" i="1"/>
  <c r="F53" i="1"/>
  <c r="I53" i="1"/>
  <c r="H53" i="1"/>
  <c r="G53" i="1"/>
  <c r="E53" i="1"/>
  <c r="E92" i="2" l="1"/>
  <c r="D92" i="2"/>
  <c r="C92" i="2"/>
  <c r="E90" i="2"/>
  <c r="D90" i="2"/>
  <c r="C90" i="2"/>
  <c r="E71" i="2"/>
  <c r="D71" i="2"/>
  <c r="C71" i="2"/>
  <c r="E70" i="2"/>
  <c r="D70" i="2"/>
  <c r="C70" i="2"/>
  <c r="E69" i="2"/>
  <c r="D69" i="2"/>
  <c r="C69" i="2"/>
  <c r="E65" i="2"/>
  <c r="D65" i="2"/>
  <c r="C65" i="2"/>
  <c r="E64" i="2"/>
  <c r="D64" i="2"/>
  <c r="C64" i="2"/>
  <c r="E62" i="2"/>
  <c r="D62" i="2"/>
  <c r="C62" i="2"/>
  <c r="E60" i="2"/>
  <c r="D60" i="2"/>
  <c r="C60" i="2"/>
  <c r="B60" i="2"/>
  <c r="E59" i="2"/>
  <c r="D59" i="2"/>
  <c r="C59" i="2"/>
  <c r="B59" i="2"/>
  <c r="E57" i="2"/>
  <c r="D57" i="2"/>
  <c r="C57" i="2"/>
  <c r="B57" i="2"/>
  <c r="E56" i="2"/>
  <c r="D56" i="2"/>
  <c r="C56" i="2"/>
  <c r="B56" i="2"/>
  <c r="E51" i="2"/>
  <c r="D51" i="2"/>
  <c r="C51" i="2"/>
  <c r="E50" i="2"/>
  <c r="D50" i="2"/>
  <c r="C50" i="2"/>
  <c r="E47" i="2"/>
  <c r="D47" i="2"/>
  <c r="C47" i="2"/>
  <c r="E46" i="2"/>
  <c r="D46" i="2"/>
  <c r="C46" i="2"/>
  <c r="E45" i="2"/>
  <c r="D45" i="2"/>
  <c r="C45" i="2"/>
  <c r="I50" i="1" l="1"/>
  <c r="E50" i="1"/>
  <c r="H50" i="1"/>
  <c r="D50" i="1"/>
  <c r="G50" i="1"/>
  <c r="C50" i="1"/>
  <c r="F50" i="1"/>
  <c r="B50" i="1"/>
  <c r="I62" i="1"/>
  <c r="E62" i="1"/>
  <c r="H62" i="1"/>
  <c r="G62" i="1"/>
  <c r="C62" i="1"/>
  <c r="D62" i="1"/>
  <c r="F62" i="1"/>
  <c r="B62" i="1"/>
  <c r="I46" i="1"/>
  <c r="E46" i="1"/>
  <c r="H46" i="1"/>
  <c r="D46" i="1"/>
  <c r="G46" i="1"/>
  <c r="C46" i="1"/>
  <c r="F46" i="1"/>
  <c r="B46" i="1"/>
  <c r="I69" i="1"/>
  <c r="E69" i="1"/>
  <c r="G69" i="1"/>
  <c r="C69" i="1"/>
  <c r="D69" i="1"/>
  <c r="F69" i="1"/>
  <c r="B69" i="1"/>
  <c r="H69" i="1"/>
  <c r="I47" i="1"/>
  <c r="E47" i="1"/>
  <c r="G47" i="1"/>
  <c r="C47" i="1"/>
  <c r="H47" i="1"/>
  <c r="F47" i="1"/>
  <c r="B47" i="1"/>
  <c r="D47" i="1"/>
  <c r="I56" i="1"/>
  <c r="E56" i="1"/>
  <c r="H56" i="1"/>
  <c r="G56" i="1"/>
  <c r="C56" i="1"/>
  <c r="F56" i="1"/>
  <c r="B56" i="1"/>
  <c r="D56" i="1"/>
  <c r="I70" i="1"/>
  <c r="E70" i="1"/>
  <c r="G70" i="1"/>
  <c r="C70" i="1"/>
  <c r="H70" i="1"/>
  <c r="D70" i="1"/>
  <c r="F70" i="1"/>
  <c r="B70" i="1"/>
  <c r="I65" i="1"/>
  <c r="E65" i="1"/>
  <c r="D65" i="1"/>
  <c r="G65" i="1"/>
  <c r="C65" i="1"/>
  <c r="F65" i="1"/>
  <c r="B65" i="1"/>
  <c r="H65" i="1"/>
  <c r="I45" i="1"/>
  <c r="E45" i="1"/>
  <c r="D45" i="1"/>
  <c r="G45" i="1"/>
  <c r="C45" i="1"/>
  <c r="H45" i="1"/>
  <c r="F45" i="1"/>
  <c r="B45" i="1"/>
  <c r="I92" i="1"/>
  <c r="E92" i="1"/>
  <c r="D92" i="1"/>
  <c r="H92" i="1"/>
  <c r="G92" i="1"/>
  <c r="C92" i="1"/>
  <c r="F92" i="1"/>
  <c r="B92" i="1"/>
  <c r="I60" i="1"/>
  <c r="E60" i="1"/>
  <c r="D60" i="1"/>
  <c r="G60" i="1"/>
  <c r="C60" i="1"/>
  <c r="F60" i="1"/>
  <c r="B60" i="1"/>
  <c r="H60" i="1"/>
  <c r="I57" i="1"/>
  <c r="E57" i="1"/>
  <c r="H57" i="1"/>
  <c r="G57" i="1"/>
  <c r="C57" i="1"/>
  <c r="D57" i="1"/>
  <c r="F57" i="1"/>
  <c r="B57" i="1"/>
  <c r="I64" i="1"/>
  <c r="E64" i="1"/>
  <c r="G64" i="1"/>
  <c r="C64" i="1"/>
  <c r="H64" i="1"/>
  <c r="F64" i="1"/>
  <c r="B64" i="1"/>
  <c r="D64" i="1"/>
  <c r="I51" i="1"/>
  <c r="E51" i="1"/>
  <c r="H51" i="1"/>
  <c r="G51" i="1"/>
  <c r="C51" i="1"/>
  <c r="D51" i="1"/>
  <c r="F51" i="1"/>
  <c r="B51" i="1"/>
  <c r="I90" i="1"/>
  <c r="E90" i="1"/>
  <c r="G90" i="1"/>
  <c r="C90" i="1"/>
  <c r="D90" i="1"/>
  <c r="F90" i="1"/>
  <c r="B90" i="1"/>
  <c r="H90" i="1"/>
  <c r="I71" i="1"/>
  <c r="E71" i="1"/>
  <c r="G71" i="1"/>
  <c r="C71" i="1"/>
  <c r="H71" i="1"/>
  <c r="D71" i="1"/>
  <c r="F71" i="1"/>
  <c r="B71" i="1"/>
  <c r="I59" i="1"/>
  <c r="E59" i="1"/>
  <c r="G59" i="1"/>
  <c r="C59" i="1"/>
  <c r="H59" i="1"/>
  <c r="F59" i="1"/>
  <c r="B59" i="1"/>
  <c r="D59" i="1"/>
  <c r="E24" i="2"/>
  <c r="D24" i="2"/>
  <c r="C24" i="2"/>
  <c r="B24" i="2"/>
  <c r="E28" i="2" l="1"/>
  <c r="D28" i="2"/>
  <c r="C28" i="2"/>
  <c r="B28" i="2"/>
  <c r="B35" i="2"/>
  <c r="C35" i="2"/>
  <c r="D35" i="2"/>
  <c r="E35" i="2"/>
  <c r="B36" i="2"/>
  <c r="C36" i="2"/>
  <c r="D36" i="2"/>
  <c r="E36" i="2"/>
  <c r="E34" i="2"/>
  <c r="D34" i="2"/>
  <c r="C34" i="2"/>
  <c r="B34" i="2"/>
  <c r="B30" i="2"/>
  <c r="C30" i="2"/>
  <c r="D30" i="2"/>
  <c r="E30" i="2"/>
  <c r="E29" i="2"/>
  <c r="D29" i="2"/>
  <c r="C29" i="2"/>
  <c r="B29" i="2"/>
  <c r="E21" i="2"/>
  <c r="D21" i="2"/>
  <c r="C21" i="2"/>
  <c r="B21" i="2"/>
  <c r="B17" i="2"/>
  <c r="C17" i="2"/>
  <c r="D17" i="2"/>
  <c r="E17" i="2"/>
  <c r="B18" i="2"/>
  <c r="C18" i="2"/>
  <c r="D18" i="2"/>
  <c r="E18" i="2"/>
  <c r="B19" i="2"/>
  <c r="C19" i="2"/>
  <c r="D19" i="2"/>
  <c r="E19" i="2"/>
  <c r="E16" i="2"/>
  <c r="D16" i="2"/>
  <c r="C16" i="2"/>
  <c r="B16" i="2"/>
  <c r="E20" i="2"/>
  <c r="D20" i="2"/>
  <c r="C20" i="2"/>
  <c r="B20" i="2"/>
  <c r="E31" i="2"/>
  <c r="D31" i="2"/>
  <c r="C31" i="2"/>
  <c r="B31" i="2"/>
  <c r="E25" i="2"/>
  <c r="D25" i="2"/>
  <c r="C25" i="2"/>
  <c r="B25" i="2"/>
  <c r="E10" i="2"/>
  <c r="D10" i="2"/>
  <c r="C10" i="2"/>
  <c r="B10" i="2"/>
  <c r="B33" i="2"/>
  <c r="C33" i="2"/>
  <c r="D33" i="2"/>
  <c r="E33" i="2"/>
  <c r="E32" i="2"/>
  <c r="D32" i="2"/>
  <c r="C32" i="2"/>
  <c r="B32" i="2"/>
  <c r="B14" i="2"/>
  <c r="C14" i="2"/>
  <c r="D14" i="2"/>
  <c r="E14" i="2"/>
  <c r="B15" i="2"/>
  <c r="C15" i="2"/>
  <c r="D15" i="2"/>
  <c r="E15" i="2"/>
  <c r="E13" i="2"/>
  <c r="D13" i="2"/>
  <c r="C13" i="2"/>
  <c r="B13" i="2"/>
  <c r="F21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I34" i="1"/>
  <c r="H34" i="1"/>
  <c r="G34" i="1"/>
  <c r="F34" i="1"/>
  <c r="E34" i="1"/>
  <c r="D34" i="1"/>
  <c r="C34" i="1"/>
  <c r="B34" i="1"/>
  <c r="B30" i="1"/>
  <c r="C30" i="1"/>
  <c r="D30" i="1"/>
  <c r="E30" i="1"/>
  <c r="F30" i="1"/>
  <c r="G30" i="1"/>
  <c r="H30" i="1"/>
  <c r="I30" i="1"/>
  <c r="I29" i="1"/>
  <c r="H29" i="1"/>
  <c r="G29" i="1"/>
  <c r="F29" i="1"/>
  <c r="E29" i="1"/>
  <c r="D29" i="1"/>
  <c r="C29" i="1"/>
  <c r="B29" i="1"/>
  <c r="G21" i="1"/>
  <c r="C21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H20" i="1"/>
  <c r="B20" i="1"/>
  <c r="C20" i="1"/>
  <c r="D20" i="1"/>
  <c r="E20" i="1"/>
  <c r="F20" i="1"/>
  <c r="G20" i="1"/>
  <c r="I20" i="1"/>
  <c r="I16" i="1"/>
  <c r="H16" i="1"/>
  <c r="G16" i="1"/>
  <c r="F16" i="1"/>
  <c r="E16" i="1"/>
  <c r="D16" i="1"/>
  <c r="C16" i="1"/>
  <c r="B16" i="1"/>
  <c r="I33" i="1"/>
  <c r="H33" i="1"/>
  <c r="I32" i="1"/>
  <c r="H32" i="1"/>
  <c r="G33" i="1"/>
  <c r="G32" i="1"/>
  <c r="F33" i="1"/>
  <c r="F32" i="1"/>
  <c r="E33" i="1"/>
  <c r="E32" i="1"/>
  <c r="D33" i="1"/>
  <c r="D32" i="1"/>
  <c r="C33" i="1"/>
  <c r="C32" i="1"/>
  <c r="B33" i="1"/>
  <c r="B32" i="1"/>
  <c r="I31" i="1"/>
  <c r="H31" i="1"/>
  <c r="G31" i="1"/>
  <c r="F31" i="1"/>
  <c r="E31" i="1"/>
  <c r="D31" i="1"/>
  <c r="C31" i="1"/>
  <c r="B31" i="1"/>
  <c r="I28" i="1"/>
  <c r="H28" i="1"/>
  <c r="G28" i="1"/>
  <c r="F28" i="1"/>
  <c r="E28" i="1"/>
  <c r="D28" i="1"/>
  <c r="C28" i="1"/>
  <c r="B28" i="1"/>
  <c r="I24" i="1"/>
  <c r="H24" i="1"/>
  <c r="G24" i="1"/>
  <c r="F24" i="1"/>
  <c r="E24" i="1"/>
  <c r="D24" i="1"/>
  <c r="C24" i="1"/>
  <c r="B24" i="1"/>
  <c r="I14" i="1"/>
  <c r="I15" i="1"/>
  <c r="I13" i="1"/>
  <c r="H14" i="1"/>
  <c r="H15" i="1"/>
  <c r="H13" i="1"/>
  <c r="G14" i="1"/>
  <c r="G15" i="1"/>
  <c r="G13" i="1"/>
  <c r="F14" i="1"/>
  <c r="F15" i="1"/>
  <c r="F13" i="1"/>
  <c r="E14" i="1"/>
  <c r="E15" i="1"/>
  <c r="E13" i="1"/>
  <c r="B14" i="1"/>
  <c r="C14" i="1"/>
  <c r="D14" i="1"/>
  <c r="B15" i="1"/>
  <c r="C15" i="1"/>
  <c r="D15" i="1"/>
  <c r="D13" i="1"/>
  <c r="C13" i="1"/>
  <c r="B13" i="1"/>
  <c r="I25" i="1"/>
  <c r="H25" i="1"/>
  <c r="G25" i="1"/>
  <c r="F25" i="1"/>
  <c r="E25" i="1"/>
  <c r="D25" i="1"/>
  <c r="C25" i="1"/>
  <c r="B25" i="1"/>
  <c r="G111" i="1" l="1"/>
  <c r="F111" i="1"/>
  <c r="H111" i="1"/>
  <c r="C111" i="1"/>
  <c r="D111" i="2"/>
  <c r="B111" i="2"/>
  <c r="C111" i="2"/>
  <c r="E111" i="2"/>
  <c r="D21" i="1"/>
  <c r="D111" i="1" s="1"/>
  <c r="H21" i="1"/>
  <c r="E21" i="1"/>
  <c r="E111" i="1" s="1"/>
  <c r="I21" i="1"/>
  <c r="I111" i="1" s="1"/>
  <c r="B21" i="1"/>
  <c r="B111" i="1" s="1"/>
  <c r="F112" i="2" l="1"/>
</calcChain>
</file>

<file path=xl/sharedStrings.xml><?xml version="1.0" encoding="utf-8"?>
<sst xmlns="http://schemas.openxmlformats.org/spreadsheetml/2006/main" count="225" uniqueCount="129">
  <si>
    <t>Landwirtschaft, Jagd und damit verbundene Tätigkeiten</t>
  </si>
  <si>
    <t>Forstwirtschaft und Holzeinschlag</t>
  </si>
  <si>
    <t>Fischerei und Aquakultur</t>
  </si>
  <si>
    <t>Kohlenbergbau</t>
  </si>
  <si>
    <t>Gewinnung von Erdöl und Erdgas</t>
  </si>
  <si>
    <t>Erzbergbau</t>
  </si>
  <si>
    <t>Gewinnung von Steinen und Erden, sonstiger Bergbau</t>
  </si>
  <si>
    <t>Erbringung von Dienstleistungen für den Bergbau und für die Gewinnung von Steinen und Erden</t>
  </si>
  <si>
    <t>Herstellung von Nahrungs- und Futtermitteln</t>
  </si>
  <si>
    <t>Getränkeherstellung</t>
  </si>
  <si>
    <t>Tabakverarbeitung</t>
  </si>
  <si>
    <t>Herstellung von Textilien</t>
  </si>
  <si>
    <t>Herstellung von Bekleidung</t>
  </si>
  <si>
    <t>Herstellung von Leder, Lederwaren und Schuhen</t>
  </si>
  <si>
    <t>Beleuchtung</t>
  </si>
  <si>
    <t>Klimakälte</t>
  </si>
  <si>
    <t>IKT</t>
  </si>
  <si>
    <t>Prozesskälte</t>
  </si>
  <si>
    <t>Prozesswärme</t>
  </si>
  <si>
    <t>Raumwärme</t>
  </si>
  <si>
    <t>Herstellung von Holz-, Flecht-, Korb- und Korkwaren (ohne Möbel)</t>
  </si>
  <si>
    <t>Herstellung von Papier, Pappe und Waren daraus</t>
  </si>
  <si>
    <t>Herstellung von Druckerzeugnissen; Vervielfältigung von bespielten Ton-, Bild- und Datenträgern</t>
  </si>
  <si>
    <t>Kokerei und Mineralölverarbeitung</t>
  </si>
  <si>
    <t>Herstellung von chemischen Erzeugnissen</t>
  </si>
  <si>
    <t>Herstellung von pharmazeutischen Erzeugnissen</t>
  </si>
  <si>
    <t>Herstellung von Gummi- und Kunststoffwaren</t>
  </si>
  <si>
    <t>Herstellung von Glas und Glaswaren, Keramik, Verarbeitung von Steinen und Erden</t>
  </si>
  <si>
    <t>Metallerzeugung und -bearbeitung</t>
  </si>
  <si>
    <t>Herstellung von Metallerzeugnissen</t>
  </si>
  <si>
    <t>Herstellung von Datenverarbeitungsgeräten, elektronischen und optischen Erzeugnissen</t>
  </si>
  <si>
    <t>Herstellung von elektrischen Ausrüstungen</t>
  </si>
  <si>
    <t>Maschinenbau</t>
  </si>
  <si>
    <t>Herstellung von Kraftwagen und Kraftwagenteilen</t>
  </si>
  <si>
    <t>Sonstiger Fahrzeugbau</t>
  </si>
  <si>
    <t>Herstellung von Möbeln</t>
  </si>
  <si>
    <t>Herstellung von sonstigen Waren</t>
  </si>
  <si>
    <t>Reparatur und Installation von Maschinen und Ausrüstungen</t>
  </si>
  <si>
    <t>Energieversorgung</t>
  </si>
  <si>
    <t>Wasserversorgung</t>
  </si>
  <si>
    <t>Abwasserentsorgung</t>
  </si>
  <si>
    <t>Sammlung, Behandlung und Beseitigung von Abfällen; Rückgewinnung</t>
  </si>
  <si>
    <t>Beseitigung von Umweltverschmutzungen und sonstige Entsorgung</t>
  </si>
  <si>
    <t>Hochbau</t>
  </si>
  <si>
    <t>Tiefbau</t>
  </si>
  <si>
    <t>Vorbereitende Baustellenarbeiten, Bauinstallation und sonstiges Ausbaugewerbe</t>
  </si>
  <si>
    <t>Handel mit Kraftfahrzeugen; Instandhaltung und Reparatur von Kraftfahrzeugen</t>
  </si>
  <si>
    <t>Großhandel (ohne Handel mit Kraftfahrzeugen)</t>
  </si>
  <si>
    <t>Einzelhandel (ohne Handel mit Kraftfahrzeugen)</t>
  </si>
  <si>
    <t>Landverkehr und Transport in Rohrfernleitungen</t>
  </si>
  <si>
    <t>Schifffahrt</t>
  </si>
  <si>
    <t>Lagerei sowie Erbringung von sonstigen Dienstleistungen für den Verkehr</t>
  </si>
  <si>
    <t>Luftfahrt</t>
  </si>
  <si>
    <t>Post-, Kurier- und Expressdienste</t>
  </si>
  <si>
    <t>Beherbergung</t>
  </si>
  <si>
    <t>Gastronomie</t>
  </si>
  <si>
    <t>Verlagswesen</t>
  </si>
  <si>
    <t>Herstellung, Verleih und Vertrieb von Filmen und Fernsehprogrammen; Kinos; Tonstudios und Verlegen von Musik</t>
  </si>
  <si>
    <t>Rundfunkveranstalter</t>
  </si>
  <si>
    <t>Telekommunikation</t>
  </si>
  <si>
    <t>Erbringung von Dienstleistungen der Informationstechnologie</t>
  </si>
  <si>
    <t>Informationsdienstleistungen</t>
  </si>
  <si>
    <t>Erbringung von Finanzdienstleistungen</t>
  </si>
  <si>
    <t>Versicherungen, Rückversicherungen und Pensionskassen (ohne Sozialversicherung)</t>
  </si>
  <si>
    <t>Mit Finanz- und Versicherungsdienstleistungen verbundene Tätigkeiten</t>
  </si>
  <si>
    <t>Grundstücks- und Wohnungswesen</t>
  </si>
  <si>
    <t>Rechts- und Steuerberatung, Wirtschaftsprüfung</t>
  </si>
  <si>
    <t>Verwaltung und Führung von Unternehmen und Betrieben; Unternehmensberatung</t>
  </si>
  <si>
    <t>Architektur- und Ingenieurbüros; technische, physikalische und chemische Untersuchung</t>
  </si>
  <si>
    <t>Forschung und Entwicklung</t>
  </si>
  <si>
    <t>Werbung und Marktforschung</t>
  </si>
  <si>
    <t>Veterinärwesen</t>
  </si>
  <si>
    <t>Sonstige freiberufliche, wissenschaftliche und technische Tätigkeiten</t>
  </si>
  <si>
    <t>Vermietung von beweglichen Sachen</t>
  </si>
  <si>
    <t>Vermittlung und Überlassung von Arbeitskräften</t>
  </si>
  <si>
    <t>Reisebüros, Reiseveranstalter und Erbringung sonstiger Reservierungsdienstleistungen</t>
  </si>
  <si>
    <t>Wach- und Sicherheitsdienste sowie Detekteien</t>
  </si>
  <si>
    <t>Gebäudebetreuung; Garten- und Landschaftsbau</t>
  </si>
  <si>
    <t>Erbringung von wirtschaftlichen Dienstleistungen für Unternehmen und Privatpersonen a. n. g.</t>
  </si>
  <si>
    <t>Öffentliche Verwaltung, Verteidigung; Sozialversicherung</t>
  </si>
  <si>
    <t>Erziehung und Unterricht</t>
  </si>
  <si>
    <t>Gesundheitswesen</t>
  </si>
  <si>
    <t>Heime (ohne Erholungs- und Ferienheime)</t>
  </si>
  <si>
    <t>Sozialwesen (ohne Heime)</t>
  </si>
  <si>
    <t>Kreative, künstlerische und unterhaltende Tätigkeiten</t>
  </si>
  <si>
    <t>Bibliotheken, Archive, Museen, botanische und zoologische Gärten</t>
  </si>
  <si>
    <t>Spiel-, Wett- und Lotteriewesen</t>
  </si>
  <si>
    <t>Erbringung von Dienstleistungen des Sports, der Unterhaltung und der Erholung</t>
  </si>
  <si>
    <t>Interessenvertretungen sowie kirchliche und sonstige religiöse Vereinigungen (ohne Sozialwesen und Sport)</t>
  </si>
  <si>
    <t>Reparatur von Datenverarbeitungsgeräten und Gebrauchsgütern</t>
  </si>
  <si>
    <t>Erbringung von sonstigen überwiegend persönlichen Dienstleistungen</t>
  </si>
  <si>
    <t>Private Haushalte mit Hauspersonal</t>
  </si>
  <si>
    <t>Herstellung von Waren und Erbringung von Dienstleistungen durch private Haushalte für den Eigenbedarf ohne ausgeprägten Schwerpunkt</t>
  </si>
  <si>
    <t>Exterritoriale Organisationen und Körperschaften</t>
  </si>
  <si>
    <t>Summe</t>
  </si>
  <si>
    <t>Mechanische 
Energie</t>
  </si>
  <si>
    <t>WZ</t>
  </si>
  <si>
    <t>A Land- und Forstwirtschaft, Fischerei</t>
  </si>
  <si>
    <t>B Bergbau und Gewinnung von Steinen und Erden</t>
  </si>
  <si>
    <t>C Verarbeitendes Gewerbe</t>
  </si>
  <si>
    <t>D Energieversorgung</t>
  </si>
  <si>
    <t>F Baugewerbe</t>
  </si>
  <si>
    <t>G Handel; Instandhaltung und Reparatur von Kraftfahrzeugen</t>
  </si>
  <si>
    <t>H Verkehr und Lagerei</t>
  </si>
  <si>
    <t>I Gastgewerbe</t>
  </si>
  <si>
    <t>J Information und Kommunikation</t>
  </si>
  <si>
    <t>K Erbringung von Finanz- und Versicherungsdienstleistungen</t>
  </si>
  <si>
    <t>L Grundstücks- und Wohnungswesen</t>
  </si>
  <si>
    <t>M Erbringung von freiberuflichen, wissenschaftlichen und technischen Dienstleistungen</t>
  </si>
  <si>
    <t>N Erbringung von sonstigen wirtschaftlichen Dienstleistungen</t>
  </si>
  <si>
    <t>O Öffentliche Verwaltung, Verteidigung; Sozialversicherung</t>
  </si>
  <si>
    <t>P Erziehung und Unterricht</t>
  </si>
  <si>
    <t>Q Gesundheits- und Sozialwesen</t>
  </si>
  <si>
    <t>R Kunst, Unterhaltung und Erholung</t>
  </si>
  <si>
    <t>S Erbringung von sonstigen Dienstleistungen</t>
  </si>
  <si>
    <t>U Exterritoriale Organisationen und Körperschaften</t>
  </si>
  <si>
    <t>T Private Haushalte mit Hauspersonal; Herstellung von Waren und Erbringung von Dienstleistungen durch …</t>
  </si>
  <si>
    <t>E Wasserversorgung; Abwasser- und Abfallentsorgung und Beseitigung …</t>
  </si>
  <si>
    <t>M Erbringung von freiberuflichen, wissenschaftlichen und technischen …</t>
  </si>
  <si>
    <t>T Private Haushalte mit Hauspersonal; Herstellung von Waren und Erbringung von …</t>
  </si>
  <si>
    <t>E Wasserversorgung</t>
  </si>
  <si>
    <t>Warmwasser</t>
  </si>
  <si>
    <t>alle Angaben in GWh/a</t>
  </si>
  <si>
    <t>Summe 
[TWh/a]</t>
  </si>
  <si>
    <t>Summe ohne nichtenergetischen Verbrauch</t>
  </si>
  <si>
    <t>Summe Prozent</t>
  </si>
  <si>
    <t>Differenz zu 1</t>
  </si>
  <si>
    <t>Mech. Korregiert</t>
  </si>
  <si>
    <t>Prozess Korregiert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</si>
</sst>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3" fillId="0" borderId="0" xfId="0" applyFont="1" applyAlignment="1">
      <alignment vertical="top" wrapText="1"/>
    </xf>
    <xf numFmtId="0" fontId="2" fillId="0" borderId="1" xfId="0" applyFont="1" applyBorder="1"/>
    <xf numFmtId="49" fontId="4" fillId="0" borderId="8" xfId="0" applyNumberFormat="1" applyFont="1" applyBorder="1" applyAlignment="1">
      <alignment horizontal="center" textRotation="135"/>
    </xf>
    <xf numFmtId="0" fontId="4" fillId="0" borderId="8" xfId="0" applyFont="1" applyBorder="1" applyAlignment="1">
      <alignment horizontal="center" textRotation="135" wrapText="1"/>
    </xf>
    <xf numFmtId="49" fontId="4" fillId="0" borderId="9" xfId="0" applyNumberFormat="1" applyFont="1" applyBorder="1" applyAlignment="1">
      <alignment horizontal="center" textRotation="135" wrapText="1"/>
    </xf>
    <xf numFmtId="49" fontId="2" fillId="0" borderId="1" xfId="0" applyNumberFormat="1" applyFont="1" applyFill="1" applyBorder="1" applyAlignment="1">
      <alignment horizontal="center" textRotation="135"/>
    </xf>
    <xf numFmtId="0" fontId="2" fillId="0" borderId="5" xfId="0" applyFont="1" applyBorder="1" applyAlignment="1">
      <alignment horizontal="left" indent="2"/>
    </xf>
    <xf numFmtId="0" fontId="2" fillId="0" borderId="7" xfId="0" applyFont="1" applyBorder="1" applyAlignment="1">
      <alignment horizontal="left" indent="2"/>
    </xf>
    <xf numFmtId="0" fontId="5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64" fontId="0" fillId="0" borderId="0" xfId="0" applyNumberFormat="1"/>
    <xf numFmtId="0" fontId="2" fillId="0" borderId="16" xfId="0" applyFont="1" applyFill="1" applyBorder="1" applyAlignment="1">
      <alignment horizontal="left" indent="2"/>
    </xf>
    <xf numFmtId="0" fontId="0" fillId="0" borderId="0" xfId="0" applyFill="1"/>
    <xf numFmtId="0" fontId="2" fillId="0" borderId="1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2" xfId="0" applyFont="1" applyBorder="1" applyAlignment="1"/>
    <xf numFmtId="164" fontId="0" fillId="0" borderId="0" xfId="0" applyNumberFormat="1" applyFill="1"/>
    <xf numFmtId="0" fontId="2" fillId="0" borderId="17" xfId="0" applyFont="1" applyBorder="1"/>
    <xf numFmtId="49" fontId="4" fillId="0" borderId="18" xfId="0" applyNumberFormat="1" applyFont="1" applyBorder="1" applyAlignment="1">
      <alignment horizontal="center" textRotation="135"/>
    </xf>
    <xf numFmtId="0" fontId="4" fillId="0" borderId="19" xfId="0" applyFont="1" applyBorder="1" applyAlignment="1">
      <alignment horizontal="center" textRotation="135"/>
    </xf>
    <xf numFmtId="49" fontId="4" fillId="0" borderId="19" xfId="0" applyNumberFormat="1" applyFont="1" applyBorder="1" applyAlignment="1">
      <alignment horizontal="center" textRotation="135"/>
    </xf>
    <xf numFmtId="0" fontId="4" fillId="0" borderId="19" xfId="0" applyFont="1" applyBorder="1" applyAlignment="1">
      <alignment horizontal="center" textRotation="135" wrapText="1"/>
    </xf>
    <xf numFmtId="49" fontId="4" fillId="0" borderId="20" xfId="0" applyNumberFormat="1" applyFont="1" applyBorder="1" applyAlignment="1">
      <alignment horizontal="center" textRotation="135" wrapText="1"/>
    </xf>
    <xf numFmtId="49" fontId="2" fillId="0" borderId="17" xfId="0" applyNumberFormat="1" applyFont="1" applyFill="1" applyBorder="1" applyAlignment="1">
      <alignment horizontal="center" textRotation="135"/>
    </xf>
    <xf numFmtId="165" fontId="2" fillId="0" borderId="5" xfId="0" applyNumberFormat="1" applyFont="1" applyBorder="1" applyAlignment="1">
      <alignment horizontal="right"/>
    </xf>
    <xf numFmtId="165" fontId="4" fillId="0" borderId="15" xfId="0" applyNumberFormat="1" applyFont="1" applyBorder="1"/>
    <xf numFmtId="165" fontId="2" fillId="0" borderId="15" xfId="0" applyNumberFormat="1" applyFont="1" applyBorder="1" applyAlignment="1">
      <alignment horizontal="left"/>
    </xf>
    <xf numFmtId="165" fontId="2" fillId="0" borderId="12" xfId="0" applyNumberFormat="1" applyFont="1" applyBorder="1" applyAlignment="1"/>
    <xf numFmtId="165" fontId="2" fillId="0" borderId="15" xfId="0" applyNumberFormat="1" applyFont="1" applyBorder="1" applyAlignment="1"/>
    <xf numFmtId="166" fontId="2" fillId="0" borderId="15" xfId="0" applyNumberFormat="1" applyFont="1" applyBorder="1" applyAlignment="1">
      <alignment horizontal="left"/>
    </xf>
    <xf numFmtId="4" fontId="2" fillId="0" borderId="6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4" fontId="4" fillId="0" borderId="10" xfId="0" applyNumberFormat="1" applyFont="1" applyBorder="1"/>
    <xf numFmtId="4" fontId="4" fillId="0" borderId="3" xfId="0" applyNumberFormat="1" applyFont="1" applyBorder="1"/>
    <xf numFmtId="4" fontId="4" fillId="0" borderId="4" xfId="0" applyNumberFormat="1" applyFont="1" applyBorder="1"/>
    <xf numFmtId="4" fontId="0" fillId="0" borderId="0" xfId="0" applyNumberFormat="1"/>
    <xf numFmtId="4" fontId="2" fillId="0" borderId="11" xfId="0" applyNumberFormat="1" applyFont="1" applyBorder="1"/>
    <xf numFmtId="4" fontId="4" fillId="0" borderId="15" xfId="0" applyNumberFormat="1" applyFont="1" applyBorder="1"/>
    <xf numFmtId="0" fontId="2" fillId="0" borderId="21" xfId="0" applyFont="1" applyBorder="1" applyAlignment="1">
      <alignment horizontal="left"/>
    </xf>
    <xf numFmtId="165" fontId="2" fillId="0" borderId="5" xfId="0" applyNumberFormat="1" applyFont="1" applyBorder="1" applyAlignment="1">
      <alignment horizontal="left"/>
    </xf>
    <xf numFmtId="166" fontId="2" fillId="0" borderId="5" xfId="0" applyNumberFormat="1" applyFont="1" applyBorder="1" applyAlignment="1">
      <alignment horizontal="left"/>
    </xf>
    <xf numFmtId="165" fontId="2" fillId="0" borderId="5" xfId="0" applyNumberFormat="1" applyFont="1" applyBorder="1" applyAlignment="1"/>
    <xf numFmtId="4" fontId="2" fillId="0" borderId="7" xfId="0" applyNumberFormat="1" applyFont="1" applyBorder="1" applyAlignment="1">
      <alignment horizontal="right"/>
    </xf>
    <xf numFmtId="4" fontId="2" fillId="0" borderId="6" xfId="0" applyNumberFormat="1" applyFont="1" applyBorder="1"/>
    <xf numFmtId="4" fontId="2" fillId="0" borderId="5" xfId="0" applyNumberFormat="1" applyFont="1" applyBorder="1"/>
    <xf numFmtId="4" fontId="2" fillId="0" borderId="1" xfId="0" applyNumberFormat="1" applyFont="1" applyBorder="1"/>
    <xf numFmtId="4" fontId="2" fillId="0" borderId="22" xfId="0" applyNumberFormat="1" applyFont="1" applyBorder="1"/>
    <xf numFmtId="4" fontId="2" fillId="0" borderId="8" xfId="0" applyNumberFormat="1" applyFont="1" applyBorder="1"/>
    <xf numFmtId="0" fontId="2" fillId="0" borderId="5" xfId="0" applyFont="1" applyFill="1" applyBorder="1" applyAlignment="1">
      <alignment horizontal="left" indent="2"/>
    </xf>
    <xf numFmtId="0" fontId="2" fillId="0" borderId="1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4" fontId="2" fillId="0" borderId="23" xfId="0" applyNumberFormat="1" applyFont="1" applyBorder="1"/>
    <xf numFmtId="16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A579-C0CD-488B-8034-46714F6E2598}">
  <sheetPr>
    <tabColor rgb="FF7030A0"/>
  </sheetPr>
  <dimension ref="A1:D95"/>
  <sheetViews>
    <sheetView topLeftCell="A61" workbookViewId="0">
      <selection activeCell="B77" sqref="B77"/>
    </sheetView>
  </sheetViews>
  <sheetFormatPr baseColWidth="10" defaultRowHeight="14.4" x14ac:dyDescent="0.3"/>
  <cols>
    <col min="2" max="2" width="114.88671875" customWidth="1"/>
  </cols>
  <sheetData>
    <row r="1" spans="1:2" x14ac:dyDescent="0.3">
      <c r="A1" s="10">
        <v>1</v>
      </c>
      <c r="B1" s="4" t="s">
        <v>0</v>
      </c>
    </row>
    <row r="2" spans="1:2" x14ac:dyDescent="0.3">
      <c r="A2" s="10">
        <v>2</v>
      </c>
      <c r="B2" s="4" t="s">
        <v>1</v>
      </c>
    </row>
    <row r="3" spans="1:2" x14ac:dyDescent="0.3">
      <c r="A3" s="10">
        <v>3</v>
      </c>
      <c r="B3" s="4" t="s">
        <v>2</v>
      </c>
    </row>
    <row r="4" spans="1:2" x14ac:dyDescent="0.3">
      <c r="A4" s="10">
        <v>5</v>
      </c>
      <c r="B4" s="4" t="s">
        <v>3</v>
      </c>
    </row>
    <row r="5" spans="1:2" x14ac:dyDescent="0.3">
      <c r="A5" s="10">
        <v>6</v>
      </c>
      <c r="B5" s="4" t="s">
        <v>4</v>
      </c>
    </row>
    <row r="6" spans="1:2" x14ac:dyDescent="0.3">
      <c r="A6" s="10">
        <v>7</v>
      </c>
      <c r="B6" s="4" t="s">
        <v>5</v>
      </c>
    </row>
    <row r="7" spans="1:2" x14ac:dyDescent="0.3">
      <c r="A7" s="10">
        <v>8</v>
      </c>
      <c r="B7" s="4" t="s">
        <v>6</v>
      </c>
    </row>
    <row r="8" spans="1:2" x14ac:dyDescent="0.3">
      <c r="A8" s="10">
        <v>9</v>
      </c>
      <c r="B8" s="4" t="s">
        <v>7</v>
      </c>
    </row>
    <row r="9" spans="1:2" x14ac:dyDescent="0.3">
      <c r="A9" s="10">
        <v>10</v>
      </c>
      <c r="B9" s="4" t="s">
        <v>8</v>
      </c>
    </row>
    <row r="10" spans="1:2" x14ac:dyDescent="0.3">
      <c r="A10" s="10">
        <v>11</v>
      </c>
      <c r="B10" s="4" t="s">
        <v>9</v>
      </c>
    </row>
    <row r="11" spans="1:2" x14ac:dyDescent="0.3">
      <c r="A11" s="10">
        <v>12</v>
      </c>
      <c r="B11" s="4" t="s">
        <v>10</v>
      </c>
    </row>
    <row r="12" spans="1:2" x14ac:dyDescent="0.3">
      <c r="A12" s="10">
        <v>13</v>
      </c>
      <c r="B12" s="4" t="s">
        <v>11</v>
      </c>
    </row>
    <row r="13" spans="1:2" x14ac:dyDescent="0.3">
      <c r="A13" s="10">
        <v>14</v>
      </c>
      <c r="B13" s="4" t="s">
        <v>12</v>
      </c>
    </row>
    <row r="14" spans="1:2" x14ac:dyDescent="0.3">
      <c r="A14" s="10">
        <v>15</v>
      </c>
      <c r="B14" s="4" t="s">
        <v>13</v>
      </c>
    </row>
    <row r="15" spans="1:2" x14ac:dyDescent="0.3">
      <c r="A15" s="10">
        <v>16</v>
      </c>
      <c r="B15" s="4" t="s">
        <v>20</v>
      </c>
    </row>
    <row r="16" spans="1:2" x14ac:dyDescent="0.3">
      <c r="A16" s="10">
        <v>17</v>
      </c>
      <c r="B16" s="4" t="s">
        <v>21</v>
      </c>
    </row>
    <row r="17" spans="1:2" x14ac:dyDescent="0.3">
      <c r="A17" s="10">
        <v>18</v>
      </c>
      <c r="B17" s="4" t="s">
        <v>22</v>
      </c>
    </row>
    <row r="18" spans="1:2" x14ac:dyDescent="0.3">
      <c r="A18" s="10">
        <v>19</v>
      </c>
      <c r="B18" s="4" t="s">
        <v>23</v>
      </c>
    </row>
    <row r="19" spans="1:2" x14ac:dyDescent="0.3">
      <c r="A19" s="10">
        <v>20</v>
      </c>
      <c r="B19" s="4" t="s">
        <v>24</v>
      </c>
    </row>
    <row r="20" spans="1:2" x14ac:dyDescent="0.3">
      <c r="A20" s="10">
        <v>21</v>
      </c>
      <c r="B20" s="4" t="s">
        <v>25</v>
      </c>
    </row>
    <row r="21" spans="1:2" x14ac:dyDescent="0.3">
      <c r="A21" s="10">
        <v>22</v>
      </c>
      <c r="B21" s="4" t="s">
        <v>26</v>
      </c>
    </row>
    <row r="22" spans="1:2" x14ac:dyDescent="0.3">
      <c r="A22" s="10">
        <v>23</v>
      </c>
      <c r="B22" s="4" t="s">
        <v>27</v>
      </c>
    </row>
    <row r="23" spans="1:2" x14ac:dyDescent="0.3">
      <c r="A23" s="10">
        <v>24</v>
      </c>
      <c r="B23" s="4" t="s">
        <v>28</v>
      </c>
    </row>
    <row r="24" spans="1:2" x14ac:dyDescent="0.3">
      <c r="A24" s="10">
        <v>25</v>
      </c>
      <c r="B24" s="4" t="s">
        <v>29</v>
      </c>
    </row>
    <row r="25" spans="1:2" x14ac:dyDescent="0.3">
      <c r="A25" s="10">
        <v>26</v>
      </c>
      <c r="B25" s="4" t="s">
        <v>30</v>
      </c>
    </row>
    <row r="26" spans="1:2" x14ac:dyDescent="0.3">
      <c r="A26" s="10">
        <v>27</v>
      </c>
      <c r="B26" s="4" t="s">
        <v>31</v>
      </c>
    </row>
    <row r="27" spans="1:2" x14ac:dyDescent="0.3">
      <c r="A27" s="10">
        <v>28</v>
      </c>
      <c r="B27" s="4" t="s">
        <v>32</v>
      </c>
    </row>
    <row r="28" spans="1:2" x14ac:dyDescent="0.3">
      <c r="A28" s="10">
        <v>29</v>
      </c>
      <c r="B28" s="4" t="s">
        <v>33</v>
      </c>
    </row>
    <row r="29" spans="1:2" x14ac:dyDescent="0.3">
      <c r="A29" s="10">
        <v>30</v>
      </c>
      <c r="B29" s="4" t="s">
        <v>34</v>
      </c>
    </row>
    <row r="30" spans="1:2" x14ac:dyDescent="0.3">
      <c r="A30" s="10">
        <v>31</v>
      </c>
      <c r="B30" s="4" t="s">
        <v>35</v>
      </c>
    </row>
    <row r="31" spans="1:2" x14ac:dyDescent="0.3">
      <c r="A31" s="10">
        <v>32</v>
      </c>
      <c r="B31" s="4" t="s">
        <v>36</v>
      </c>
    </row>
    <row r="32" spans="1:2" x14ac:dyDescent="0.3">
      <c r="A32" s="10">
        <v>33</v>
      </c>
      <c r="B32" s="4" t="s">
        <v>37</v>
      </c>
    </row>
    <row r="33" spans="1:2" x14ac:dyDescent="0.3">
      <c r="A33" s="10">
        <v>35</v>
      </c>
      <c r="B33" s="4" t="s">
        <v>38</v>
      </c>
    </row>
    <row r="34" spans="1:2" x14ac:dyDescent="0.3">
      <c r="A34" s="10">
        <v>36</v>
      </c>
      <c r="B34" s="4" t="s">
        <v>39</v>
      </c>
    </row>
    <row r="35" spans="1:2" x14ac:dyDescent="0.3">
      <c r="A35" s="10">
        <v>37</v>
      </c>
      <c r="B35" s="4" t="s">
        <v>40</v>
      </c>
    </row>
    <row r="36" spans="1:2" x14ac:dyDescent="0.3">
      <c r="A36" s="10">
        <v>38</v>
      </c>
      <c r="B36" s="4" t="s">
        <v>41</v>
      </c>
    </row>
    <row r="37" spans="1:2" x14ac:dyDescent="0.3">
      <c r="A37" s="10">
        <v>39</v>
      </c>
      <c r="B37" s="4" t="s">
        <v>42</v>
      </c>
    </row>
    <row r="38" spans="1:2" x14ac:dyDescent="0.3">
      <c r="A38" s="10">
        <v>41</v>
      </c>
      <c r="B38" s="4" t="s">
        <v>43</v>
      </c>
    </row>
    <row r="39" spans="1:2" x14ac:dyDescent="0.3">
      <c r="A39" s="10">
        <v>42</v>
      </c>
      <c r="B39" s="4" t="s">
        <v>44</v>
      </c>
    </row>
    <row r="40" spans="1:2" x14ac:dyDescent="0.3">
      <c r="A40" s="10">
        <v>43</v>
      </c>
      <c r="B40" s="4" t="s">
        <v>45</v>
      </c>
    </row>
    <row r="41" spans="1:2" x14ac:dyDescent="0.3">
      <c r="A41" s="10">
        <v>45</v>
      </c>
      <c r="B41" s="4" t="s">
        <v>46</v>
      </c>
    </row>
    <row r="42" spans="1:2" x14ac:dyDescent="0.3">
      <c r="A42" s="10">
        <v>46</v>
      </c>
      <c r="B42" s="4" t="s">
        <v>47</v>
      </c>
    </row>
    <row r="43" spans="1:2" x14ac:dyDescent="0.3">
      <c r="A43" s="10">
        <v>47</v>
      </c>
      <c r="B43" s="4" t="s">
        <v>48</v>
      </c>
    </row>
    <row r="44" spans="1:2" x14ac:dyDescent="0.3">
      <c r="A44" s="10">
        <v>49</v>
      </c>
      <c r="B44" s="4" t="s">
        <v>49</v>
      </c>
    </row>
    <row r="45" spans="1:2" x14ac:dyDescent="0.3">
      <c r="A45" s="10">
        <v>50</v>
      </c>
      <c r="B45" s="4" t="s">
        <v>50</v>
      </c>
    </row>
    <row r="46" spans="1:2" x14ac:dyDescent="0.3">
      <c r="A46" s="10">
        <v>51</v>
      </c>
      <c r="B46" s="4" t="s">
        <v>52</v>
      </c>
    </row>
    <row r="47" spans="1:2" x14ac:dyDescent="0.3">
      <c r="A47" s="10">
        <v>52</v>
      </c>
      <c r="B47" s="4" t="s">
        <v>51</v>
      </c>
    </row>
    <row r="48" spans="1:2" x14ac:dyDescent="0.3">
      <c r="A48" s="10">
        <v>53</v>
      </c>
      <c r="B48" s="4" t="s">
        <v>53</v>
      </c>
    </row>
    <row r="49" spans="1:4" x14ac:dyDescent="0.3">
      <c r="A49" s="10">
        <v>55</v>
      </c>
      <c r="B49" s="4" t="s">
        <v>54</v>
      </c>
    </row>
    <row r="50" spans="1:4" x14ac:dyDescent="0.3">
      <c r="A50" s="10">
        <v>56</v>
      </c>
      <c r="B50" s="4" t="s">
        <v>55</v>
      </c>
    </row>
    <row r="51" spans="1:4" x14ac:dyDescent="0.3">
      <c r="A51" s="10">
        <v>58</v>
      </c>
      <c r="B51" s="4" t="s">
        <v>56</v>
      </c>
    </row>
    <row r="52" spans="1:4" x14ac:dyDescent="0.3">
      <c r="A52" s="10">
        <v>59</v>
      </c>
      <c r="B52" s="4" t="s">
        <v>57</v>
      </c>
    </row>
    <row r="53" spans="1:4" x14ac:dyDescent="0.3">
      <c r="A53" s="10">
        <v>60</v>
      </c>
      <c r="B53" s="4" t="s">
        <v>58</v>
      </c>
    </row>
    <row r="54" spans="1:4" x14ac:dyDescent="0.3">
      <c r="A54" s="10">
        <v>61</v>
      </c>
      <c r="B54" s="4" t="s">
        <v>59</v>
      </c>
      <c r="C54" s="16"/>
      <c r="D54" s="16"/>
    </row>
    <row r="55" spans="1:4" x14ac:dyDescent="0.3">
      <c r="A55" s="10">
        <v>62</v>
      </c>
      <c r="B55" s="4" t="s">
        <v>60</v>
      </c>
      <c r="C55" s="16"/>
      <c r="D55" s="16"/>
    </row>
    <row r="56" spans="1:4" x14ac:dyDescent="0.3">
      <c r="A56" s="10">
        <v>63</v>
      </c>
      <c r="B56" s="4" t="s">
        <v>61</v>
      </c>
      <c r="C56" s="16"/>
      <c r="D56" s="16"/>
    </row>
    <row r="57" spans="1:4" x14ac:dyDescent="0.3">
      <c r="A57" s="10">
        <v>64</v>
      </c>
      <c r="B57" s="4" t="s">
        <v>62</v>
      </c>
      <c r="C57" s="16"/>
      <c r="D57" s="16"/>
    </row>
    <row r="58" spans="1:4" x14ac:dyDescent="0.3">
      <c r="A58" s="10">
        <v>65</v>
      </c>
      <c r="B58" s="4" t="s">
        <v>63</v>
      </c>
      <c r="C58" s="16"/>
      <c r="D58" s="16"/>
    </row>
    <row r="59" spans="1:4" x14ac:dyDescent="0.3">
      <c r="A59" s="10">
        <v>66</v>
      </c>
      <c r="B59" s="4" t="s">
        <v>64</v>
      </c>
      <c r="C59" s="16"/>
      <c r="D59" s="16"/>
    </row>
    <row r="60" spans="1:4" x14ac:dyDescent="0.3">
      <c r="A60" s="15">
        <v>68</v>
      </c>
      <c r="B60" s="4" t="s">
        <v>65</v>
      </c>
      <c r="C60" s="16"/>
      <c r="D60" s="16"/>
    </row>
    <row r="61" spans="1:4" x14ac:dyDescent="0.3">
      <c r="A61" s="10">
        <v>69</v>
      </c>
      <c r="B61" s="4" t="s">
        <v>66</v>
      </c>
      <c r="C61" s="16"/>
      <c r="D61" s="16"/>
    </row>
    <row r="62" spans="1:4" x14ac:dyDescent="0.3">
      <c r="A62" s="10">
        <v>70</v>
      </c>
      <c r="B62" s="4" t="s">
        <v>67</v>
      </c>
      <c r="C62" s="16"/>
      <c r="D62" s="16"/>
    </row>
    <row r="63" spans="1:4" x14ac:dyDescent="0.3">
      <c r="A63" s="10">
        <v>71</v>
      </c>
      <c r="B63" s="4" t="s">
        <v>68</v>
      </c>
      <c r="C63" s="16"/>
      <c r="D63" s="16"/>
    </row>
    <row r="64" spans="1:4" x14ac:dyDescent="0.3">
      <c r="A64" s="10">
        <v>72</v>
      </c>
      <c r="B64" s="4" t="s">
        <v>69</v>
      </c>
      <c r="C64" s="16"/>
      <c r="D64" s="16"/>
    </row>
    <row r="65" spans="1:4" x14ac:dyDescent="0.3">
      <c r="A65" s="10">
        <v>73</v>
      </c>
      <c r="B65" s="4" t="s">
        <v>70</v>
      </c>
      <c r="C65" s="16"/>
      <c r="D65" s="16"/>
    </row>
    <row r="66" spans="1:4" x14ac:dyDescent="0.3">
      <c r="A66" s="10">
        <v>74</v>
      </c>
      <c r="B66" s="4" t="s">
        <v>72</v>
      </c>
      <c r="C66" s="16"/>
      <c r="D66" s="16"/>
    </row>
    <row r="67" spans="1:4" x14ac:dyDescent="0.3">
      <c r="A67" s="10">
        <v>75</v>
      </c>
      <c r="B67" s="4" t="s">
        <v>71</v>
      </c>
      <c r="C67" s="16"/>
      <c r="D67" s="16"/>
    </row>
    <row r="68" spans="1:4" x14ac:dyDescent="0.3">
      <c r="A68" s="10">
        <v>77</v>
      </c>
      <c r="B68" s="4" t="s">
        <v>73</v>
      </c>
      <c r="C68" s="16"/>
      <c r="D68" s="16"/>
    </row>
    <row r="69" spans="1:4" x14ac:dyDescent="0.3">
      <c r="A69" s="10">
        <v>78</v>
      </c>
      <c r="B69" s="4" t="s">
        <v>74</v>
      </c>
      <c r="C69" s="16"/>
      <c r="D69" s="16"/>
    </row>
    <row r="70" spans="1:4" x14ac:dyDescent="0.3">
      <c r="A70" s="10">
        <v>79</v>
      </c>
      <c r="B70" s="4" t="s">
        <v>75</v>
      </c>
      <c r="C70" s="16"/>
      <c r="D70" s="16"/>
    </row>
    <row r="71" spans="1:4" x14ac:dyDescent="0.3">
      <c r="A71" s="10">
        <v>80</v>
      </c>
      <c r="B71" s="4" t="s">
        <v>76</v>
      </c>
      <c r="C71" s="16"/>
      <c r="D71" s="16"/>
    </row>
    <row r="72" spans="1:4" x14ac:dyDescent="0.3">
      <c r="A72" s="10">
        <v>81</v>
      </c>
      <c r="B72" s="4" t="s">
        <v>77</v>
      </c>
      <c r="C72" s="16"/>
      <c r="D72" s="16"/>
    </row>
    <row r="73" spans="1:4" x14ac:dyDescent="0.3">
      <c r="A73" s="10">
        <v>82</v>
      </c>
      <c r="B73" s="4" t="s">
        <v>78</v>
      </c>
      <c r="C73" s="16"/>
      <c r="D73" s="16"/>
    </row>
    <row r="74" spans="1:4" x14ac:dyDescent="0.3">
      <c r="A74" s="54">
        <v>84</v>
      </c>
      <c r="B74" s="4" t="s">
        <v>79</v>
      </c>
      <c r="C74" s="16"/>
      <c r="D74" s="16"/>
    </row>
    <row r="75" spans="1:4" x14ac:dyDescent="0.3">
      <c r="A75" s="15">
        <v>85</v>
      </c>
      <c r="B75" s="4" t="s">
        <v>80</v>
      </c>
      <c r="C75" s="16"/>
      <c r="D75" s="16"/>
    </row>
    <row r="76" spans="1:4" x14ac:dyDescent="0.3">
      <c r="A76" s="10">
        <v>86</v>
      </c>
      <c r="B76" s="4" t="s">
        <v>81</v>
      </c>
      <c r="C76" s="16"/>
      <c r="D76" s="16"/>
    </row>
    <row r="77" spans="1:4" x14ac:dyDescent="0.3">
      <c r="A77" s="10">
        <v>87</v>
      </c>
      <c r="B77" s="4" t="s">
        <v>82</v>
      </c>
      <c r="C77" s="16"/>
      <c r="D77" s="16"/>
    </row>
    <row r="78" spans="1:4" x14ac:dyDescent="0.3">
      <c r="A78" s="10">
        <v>88</v>
      </c>
      <c r="B78" s="4" t="s">
        <v>83</v>
      </c>
    </row>
    <row r="79" spans="1:4" x14ac:dyDescent="0.3">
      <c r="A79" s="10">
        <v>90</v>
      </c>
      <c r="B79" s="4" t="s">
        <v>84</v>
      </c>
    </row>
    <row r="80" spans="1:4" x14ac:dyDescent="0.3">
      <c r="A80" s="10">
        <v>91</v>
      </c>
      <c r="B80" s="4" t="s">
        <v>85</v>
      </c>
    </row>
    <row r="81" spans="1:2" x14ac:dyDescent="0.3">
      <c r="A81" s="10">
        <v>92</v>
      </c>
      <c r="B81" s="4" t="s">
        <v>86</v>
      </c>
    </row>
    <row r="82" spans="1:2" x14ac:dyDescent="0.3">
      <c r="A82" s="10">
        <v>93</v>
      </c>
      <c r="B82" s="4" t="s">
        <v>87</v>
      </c>
    </row>
    <row r="83" spans="1:2" x14ac:dyDescent="0.3">
      <c r="A83" s="10">
        <v>94</v>
      </c>
      <c r="B83" s="4" t="s">
        <v>88</v>
      </c>
    </row>
    <row r="84" spans="1:2" x14ac:dyDescent="0.3">
      <c r="A84" s="10">
        <v>95</v>
      </c>
      <c r="B84" s="4" t="s">
        <v>89</v>
      </c>
    </row>
    <row r="85" spans="1:2" x14ac:dyDescent="0.3">
      <c r="A85" s="10">
        <v>96</v>
      </c>
      <c r="B85" s="4" t="s">
        <v>90</v>
      </c>
    </row>
    <row r="86" spans="1:2" x14ac:dyDescent="0.3">
      <c r="A86" s="10">
        <v>97</v>
      </c>
      <c r="B86" s="4" t="s">
        <v>91</v>
      </c>
    </row>
    <row r="87" spans="1:2" x14ac:dyDescent="0.3">
      <c r="A87" s="10">
        <v>98</v>
      </c>
      <c r="B87" s="4" t="s">
        <v>92</v>
      </c>
    </row>
    <row r="88" spans="1:2" x14ac:dyDescent="0.3">
      <c r="A88" s="10">
        <v>99</v>
      </c>
      <c r="B88" s="4" t="s">
        <v>93</v>
      </c>
    </row>
    <row r="89" spans="1:2" x14ac:dyDescent="0.3">
      <c r="B89" s="1"/>
    </row>
    <row r="90" spans="1:2" x14ac:dyDescent="0.3">
      <c r="B90" s="1"/>
    </row>
    <row r="91" spans="1:2" x14ac:dyDescent="0.3">
      <c r="B91" s="1"/>
    </row>
    <row r="92" spans="1:2" x14ac:dyDescent="0.3">
      <c r="B92" s="2"/>
    </row>
    <row r="93" spans="1:2" x14ac:dyDescent="0.3">
      <c r="B93" s="2"/>
    </row>
    <row r="94" spans="1:2" x14ac:dyDescent="0.3">
      <c r="B94" s="3"/>
    </row>
    <row r="95" spans="1:2" x14ac:dyDescent="0.3">
      <c r="B95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D15F0-253F-42B4-B7D6-DAF8423364F4}">
  <sheetPr>
    <tabColor rgb="FFFF0000"/>
  </sheetPr>
  <dimension ref="A1:X113"/>
  <sheetViews>
    <sheetView topLeftCell="A94" zoomScaleNormal="100" workbookViewId="0">
      <selection sqref="A1:A110"/>
    </sheetView>
  </sheetViews>
  <sheetFormatPr baseColWidth="10" defaultRowHeight="14.4" x14ac:dyDescent="0.3"/>
  <cols>
    <col min="1" max="1" width="11" customWidth="1"/>
    <col min="2" max="3" width="8.88671875" bestFit="1" customWidth="1"/>
    <col min="4" max="4" width="7.88671875" bestFit="1" customWidth="1"/>
    <col min="5" max="5" width="8.88671875" bestFit="1" customWidth="1"/>
    <col min="6" max="6" width="11.33203125" bestFit="1" customWidth="1"/>
    <col min="7" max="7" width="8.88671875" bestFit="1" customWidth="1"/>
    <col min="8" max="9" width="7.88671875" bestFit="1" customWidth="1"/>
    <col min="10" max="10" width="10.33203125" customWidth="1"/>
    <col min="12" max="12" width="11.88671875" bestFit="1" customWidth="1"/>
  </cols>
  <sheetData>
    <row r="1" spans="1:24" ht="55.2" thickBot="1" x14ac:dyDescent="0.35">
      <c r="A1" s="23" t="s">
        <v>96</v>
      </c>
      <c r="B1" s="24" t="s">
        <v>14</v>
      </c>
      <c r="C1" s="25" t="s">
        <v>16</v>
      </c>
      <c r="D1" s="26" t="s">
        <v>15</v>
      </c>
      <c r="E1" s="26" t="s">
        <v>17</v>
      </c>
      <c r="F1" s="27" t="s">
        <v>95</v>
      </c>
      <c r="G1" s="26" t="s">
        <v>18</v>
      </c>
      <c r="H1" s="26" t="s">
        <v>19</v>
      </c>
      <c r="I1" s="28" t="s">
        <v>121</v>
      </c>
      <c r="J1" s="29" t="s">
        <v>94</v>
      </c>
      <c r="L1" s="24" t="s">
        <v>14</v>
      </c>
      <c r="M1" s="25" t="s">
        <v>16</v>
      </c>
      <c r="N1" s="26" t="s">
        <v>15</v>
      </c>
      <c r="O1" s="26" t="s">
        <v>17</v>
      </c>
      <c r="P1" s="27" t="s">
        <v>95</v>
      </c>
      <c r="Q1" s="26" t="s">
        <v>18</v>
      </c>
      <c r="R1" s="26" t="s">
        <v>19</v>
      </c>
      <c r="S1" s="28" t="s">
        <v>121</v>
      </c>
    </row>
    <row r="2" spans="1:24" ht="18" customHeight="1" x14ac:dyDescent="0.3">
      <c r="A2" s="19" t="s">
        <v>97</v>
      </c>
      <c r="B2" s="20"/>
      <c r="C2" s="20"/>
      <c r="D2" s="20"/>
      <c r="E2" s="20"/>
      <c r="F2" s="20"/>
      <c r="G2" s="20"/>
      <c r="H2" s="20"/>
      <c r="I2" s="20"/>
      <c r="J2" s="44"/>
      <c r="U2" t="s">
        <v>125</v>
      </c>
      <c r="W2" t="s">
        <v>126</v>
      </c>
      <c r="X2" t="s">
        <v>127</v>
      </c>
    </row>
    <row r="3" spans="1:24" ht="18" customHeight="1" x14ac:dyDescent="0.3">
      <c r="A3" s="10">
        <v>1</v>
      </c>
      <c r="B3" s="38">
        <f>0.045*$J3</f>
        <v>66.661394669999993</v>
      </c>
      <c r="C3" s="38">
        <f>0.041*$J3</f>
        <v>60.735937365999995</v>
      </c>
      <c r="D3" s="38">
        <f>0.021*$J3</f>
        <v>31.108650846</v>
      </c>
      <c r="E3" s="38">
        <f>0.021*$J3</f>
        <v>31.108650846</v>
      </c>
      <c r="F3" s="38">
        <f>0.696*$J3</f>
        <v>1031.0295708959998</v>
      </c>
      <c r="G3" s="38">
        <f>0.17*$J3</f>
        <v>251.83193542000001</v>
      </c>
      <c r="H3" s="38">
        <f>0.003*$J3</f>
        <v>4.4440929779999996</v>
      </c>
      <c r="I3" s="43">
        <f>0.002*$J3</f>
        <v>2.962728652</v>
      </c>
      <c r="J3" s="36">
        <f>6851*216226/10^6</f>
        <v>1481.3643259999999</v>
      </c>
      <c r="K3" s="14"/>
      <c r="L3" s="58">
        <f>B3/$J3</f>
        <v>4.4999999999999998E-2</v>
      </c>
      <c r="M3" s="58">
        <f t="shared" ref="M3:S3" si="0">C3/$J3</f>
        <v>4.1000000000000002E-2</v>
      </c>
      <c r="N3" s="58">
        <f t="shared" si="0"/>
        <v>2.1000000000000001E-2</v>
      </c>
      <c r="O3" s="58">
        <f t="shared" si="0"/>
        <v>2.1000000000000001E-2</v>
      </c>
      <c r="P3" s="58">
        <f t="shared" si="0"/>
        <v>0.69599999999999984</v>
      </c>
      <c r="Q3" s="58">
        <f t="shared" si="0"/>
        <v>0.17</v>
      </c>
      <c r="R3" s="58">
        <f t="shared" si="0"/>
        <v>3.0000000000000001E-3</v>
      </c>
      <c r="S3" s="58">
        <f t="shared" si="0"/>
        <v>2E-3</v>
      </c>
      <c r="T3" s="58"/>
      <c r="U3" s="58">
        <f>SUM(L3:S3)</f>
        <v>0.99899999999999989</v>
      </c>
      <c r="V3" s="58"/>
      <c r="W3" s="58">
        <f>1-U3</f>
        <v>1.0000000000001119E-3</v>
      </c>
      <c r="X3" s="58">
        <f>P3+W3</f>
        <v>0.69699999999999995</v>
      </c>
    </row>
    <row r="4" spans="1:24" ht="18" customHeight="1" x14ac:dyDescent="0.3">
      <c r="A4" s="10">
        <v>2</v>
      </c>
      <c r="B4" s="38">
        <f t="shared" ref="B4:B5" si="1">0.045*$J4</f>
        <v>13.586242499999999</v>
      </c>
      <c r="C4" s="38">
        <f t="shared" ref="C4:C5" si="2">0.041*$J4</f>
        <v>12.378576499999999</v>
      </c>
      <c r="D4" s="38">
        <f t="shared" ref="D4:E5" si="3">0.021*$J4</f>
        <v>6.3402465000000001</v>
      </c>
      <c r="E4" s="38">
        <f t="shared" si="3"/>
        <v>6.3402465000000001</v>
      </c>
      <c r="F4" s="38">
        <f t="shared" ref="F4:F5" si="4">0.696*$J4</f>
        <v>210.13388399999997</v>
      </c>
      <c r="G4" s="38">
        <f t="shared" ref="G4:G5" si="5">0.17*$J4</f>
        <v>51.325805000000003</v>
      </c>
      <c r="H4" s="38">
        <f t="shared" ref="H4:H5" si="6">0.003*$J4</f>
        <v>0.90574949999999999</v>
      </c>
      <c r="I4" s="43">
        <f t="shared" ref="I4:I5" si="7">0.002*$J4</f>
        <v>0.60383299999999995</v>
      </c>
      <c r="J4" s="37">
        <f>6038.33*0.05</f>
        <v>301.91649999999998</v>
      </c>
      <c r="L4" s="58">
        <f t="shared" ref="L4:L18" si="8">B4/$J4</f>
        <v>4.4999999999999998E-2</v>
      </c>
      <c r="M4" s="58">
        <f t="shared" ref="M4:M18" si="9">C4/$J4</f>
        <v>4.1000000000000002E-2</v>
      </c>
      <c r="N4" s="58">
        <f t="shared" ref="N4:N18" si="10">D4/$J4</f>
        <v>2.1000000000000001E-2</v>
      </c>
      <c r="O4" s="58">
        <f t="shared" ref="O4:O18" si="11">E4/$J4</f>
        <v>2.1000000000000001E-2</v>
      </c>
      <c r="P4" s="58">
        <f t="shared" ref="P4:P18" si="12">F4/$J4</f>
        <v>0.69599999999999995</v>
      </c>
      <c r="Q4" s="58">
        <f t="shared" ref="Q4:Q18" si="13">G4/$J4</f>
        <v>0.17</v>
      </c>
      <c r="R4" s="58">
        <f t="shared" ref="R4:R18" si="14">H4/$J4</f>
        <v>3.0000000000000001E-3</v>
      </c>
      <c r="S4" s="58">
        <f t="shared" ref="S4:S18" si="15">I4/$J4</f>
        <v>2E-3</v>
      </c>
      <c r="U4" s="58">
        <f t="shared" ref="U4:U67" si="16">SUM(L4:S4)</f>
        <v>0.999</v>
      </c>
      <c r="W4" s="58">
        <f t="shared" ref="W4:W67" si="17">1-U4</f>
        <v>1.0000000000000009E-3</v>
      </c>
      <c r="X4" s="58">
        <f t="shared" ref="X4:X67" si="18">P4+W4</f>
        <v>0.69699999999999995</v>
      </c>
    </row>
    <row r="5" spans="1:24" ht="18" customHeight="1" x14ac:dyDescent="0.3">
      <c r="A5" s="10">
        <v>3</v>
      </c>
      <c r="B5" s="38">
        <f t="shared" si="1"/>
        <v>1.6249950000000002</v>
      </c>
      <c r="C5" s="38">
        <f t="shared" si="2"/>
        <v>1.4805510000000002</v>
      </c>
      <c r="D5" s="38">
        <f t="shared" si="3"/>
        <v>0.75833100000000009</v>
      </c>
      <c r="E5" s="38">
        <f t="shared" si="3"/>
        <v>0.75833100000000009</v>
      </c>
      <c r="F5" s="38">
        <f t="shared" si="4"/>
        <v>25.133256000000003</v>
      </c>
      <c r="G5" s="38">
        <f t="shared" si="5"/>
        <v>6.1388700000000007</v>
      </c>
      <c r="H5" s="38">
        <f t="shared" si="6"/>
        <v>0.10833300000000001</v>
      </c>
      <c r="I5" s="43">
        <f t="shared" si="7"/>
        <v>7.2222000000000008E-2</v>
      </c>
      <c r="J5" s="37">
        <f>722.22*0.05</f>
        <v>36.111000000000004</v>
      </c>
      <c r="L5" s="58">
        <f t="shared" si="8"/>
        <v>4.4999999999999998E-2</v>
      </c>
      <c r="M5" s="58">
        <f t="shared" si="9"/>
        <v>4.1000000000000002E-2</v>
      </c>
      <c r="N5" s="58">
        <f t="shared" si="10"/>
        <v>2.1000000000000001E-2</v>
      </c>
      <c r="O5" s="58">
        <f t="shared" si="11"/>
        <v>2.1000000000000001E-2</v>
      </c>
      <c r="P5" s="58">
        <f t="shared" si="12"/>
        <v>0.69599999999999995</v>
      </c>
      <c r="Q5" s="58">
        <f t="shared" si="13"/>
        <v>0.17</v>
      </c>
      <c r="R5" s="58">
        <f t="shared" si="14"/>
        <v>3.0000000000000001E-3</v>
      </c>
      <c r="S5" s="58">
        <f t="shared" si="15"/>
        <v>2E-3</v>
      </c>
      <c r="U5" s="58">
        <f t="shared" si="16"/>
        <v>0.999</v>
      </c>
      <c r="W5" s="58">
        <f t="shared" si="17"/>
        <v>1.0000000000000009E-3</v>
      </c>
      <c r="X5" s="58">
        <f t="shared" si="18"/>
        <v>0.69699999999999995</v>
      </c>
    </row>
    <row r="6" spans="1:24" ht="18" customHeight="1" x14ac:dyDescent="0.3">
      <c r="A6" s="17" t="s">
        <v>98</v>
      </c>
      <c r="B6" s="18"/>
      <c r="C6" s="18"/>
      <c r="D6" s="18"/>
      <c r="E6" s="18"/>
      <c r="F6" s="18"/>
      <c r="G6" s="18"/>
      <c r="H6" s="18"/>
      <c r="I6" s="18"/>
      <c r="J6" s="13"/>
      <c r="L6" s="58"/>
      <c r="M6" s="58"/>
      <c r="N6" s="58"/>
      <c r="O6" s="58"/>
      <c r="P6" s="58"/>
      <c r="Q6" s="58"/>
      <c r="R6" s="58"/>
      <c r="S6" s="58"/>
      <c r="U6" s="58"/>
      <c r="W6" s="58"/>
      <c r="X6" s="58"/>
    </row>
    <row r="7" spans="1:24" ht="18" customHeight="1" x14ac:dyDescent="0.3">
      <c r="A7" s="10">
        <v>5</v>
      </c>
      <c r="B7" s="38">
        <f>0.045*$J7</f>
        <v>288.99621973749998</v>
      </c>
      <c r="C7" s="38">
        <f>0.041*$J7</f>
        <v>263.30766687194449</v>
      </c>
      <c r="D7" s="38">
        <f>0.021*$J7</f>
        <v>134.86490254416668</v>
      </c>
      <c r="E7" s="38">
        <f>0.021*$J7</f>
        <v>134.86490254416668</v>
      </c>
      <c r="F7" s="38">
        <f>0.696*$J7</f>
        <v>4469.8081986066663</v>
      </c>
      <c r="G7" s="38">
        <f>0.17*$J7</f>
        <v>1091.7634967861113</v>
      </c>
      <c r="H7" s="38">
        <f>0.003*$J7</f>
        <v>19.26641464916667</v>
      </c>
      <c r="I7" s="43">
        <f>0.002*$J7</f>
        <v>12.844276432777779</v>
      </c>
      <c r="J7" s="36">
        <f>0.319*72475541/3600</f>
        <v>6422.1382163888893</v>
      </c>
      <c r="K7" s="14"/>
      <c r="L7" s="58">
        <f t="shared" si="8"/>
        <v>4.4999999999999991E-2</v>
      </c>
      <c r="M7" s="58">
        <f t="shared" si="9"/>
        <v>4.1000000000000002E-2</v>
      </c>
      <c r="N7" s="58">
        <f t="shared" si="10"/>
        <v>2.1000000000000001E-2</v>
      </c>
      <c r="O7" s="58">
        <f t="shared" si="11"/>
        <v>2.1000000000000001E-2</v>
      </c>
      <c r="P7" s="58">
        <f t="shared" si="12"/>
        <v>0.69599999999999995</v>
      </c>
      <c r="Q7" s="58">
        <f t="shared" si="13"/>
        <v>0.17</v>
      </c>
      <c r="R7" s="58">
        <f t="shared" si="14"/>
        <v>3.0000000000000005E-3</v>
      </c>
      <c r="S7" s="58">
        <f t="shared" si="15"/>
        <v>2E-3</v>
      </c>
      <c r="U7" s="58">
        <f t="shared" si="16"/>
        <v>0.999</v>
      </c>
      <c r="W7" s="58">
        <f t="shared" si="17"/>
        <v>1.0000000000000009E-3</v>
      </c>
      <c r="X7" s="58">
        <f t="shared" si="18"/>
        <v>0.69699999999999995</v>
      </c>
    </row>
    <row r="8" spans="1:24" ht="18" customHeight="1" x14ac:dyDescent="0.3">
      <c r="A8" s="10">
        <v>6</v>
      </c>
      <c r="B8" s="38">
        <f>0.045*$J8</f>
        <v>28.215796529999999</v>
      </c>
      <c r="C8" s="38">
        <f>0.041*$J8</f>
        <v>25.707725727333333</v>
      </c>
      <c r="D8" s="38">
        <f>0.021*$J8</f>
        <v>13.167371714</v>
      </c>
      <c r="E8" s="38">
        <f>0.021*$J8</f>
        <v>13.167371714</v>
      </c>
      <c r="F8" s="38">
        <f>0.696*$J8</f>
        <v>436.40431966399996</v>
      </c>
      <c r="G8" s="38">
        <f>0.17*$J8</f>
        <v>106.59300911333334</v>
      </c>
      <c r="H8" s="38">
        <f>0.003*$J8</f>
        <v>1.8810531020000001</v>
      </c>
      <c r="I8" s="43">
        <f>0.002*$J8</f>
        <v>1.2540354013333332</v>
      </c>
      <c r="J8" s="37">
        <f>0.1857*12155432/3600</f>
        <v>627.01770066666666</v>
      </c>
      <c r="K8" s="14"/>
      <c r="L8" s="58">
        <f t="shared" si="8"/>
        <v>4.4999999999999998E-2</v>
      </c>
      <c r="M8" s="58">
        <f t="shared" si="9"/>
        <v>4.1000000000000002E-2</v>
      </c>
      <c r="N8" s="58">
        <f t="shared" si="10"/>
        <v>2.1000000000000001E-2</v>
      </c>
      <c r="O8" s="58">
        <f t="shared" si="11"/>
        <v>2.1000000000000001E-2</v>
      </c>
      <c r="P8" s="58">
        <f t="shared" si="12"/>
        <v>0.69599999999999995</v>
      </c>
      <c r="Q8" s="58">
        <f t="shared" si="13"/>
        <v>0.17</v>
      </c>
      <c r="R8" s="58">
        <f t="shared" si="14"/>
        <v>3.0000000000000001E-3</v>
      </c>
      <c r="S8" s="58">
        <f t="shared" si="15"/>
        <v>2E-3</v>
      </c>
      <c r="U8" s="58">
        <f t="shared" si="16"/>
        <v>0.999</v>
      </c>
      <c r="W8" s="58">
        <f t="shared" si="17"/>
        <v>1.0000000000000009E-3</v>
      </c>
      <c r="X8" s="58">
        <f t="shared" si="18"/>
        <v>0.69699999999999995</v>
      </c>
    </row>
    <row r="9" spans="1:24" ht="18" customHeight="1" x14ac:dyDescent="0.3">
      <c r="A9" s="10">
        <v>7</v>
      </c>
      <c r="B9" s="38">
        <f t="shared" ref="B9:B11" si="19">0.045*$J9</f>
        <v>8.7559708554999993</v>
      </c>
      <c r="C9" s="38">
        <f t="shared" ref="C9:C11" si="20">0.041*$J9</f>
        <v>7.9776623350111109</v>
      </c>
      <c r="D9" s="38">
        <f t="shared" ref="D9:E11" si="21">0.021*$J9</f>
        <v>4.0861197325666661</v>
      </c>
      <c r="E9" s="38">
        <f t="shared" si="21"/>
        <v>4.0861197325666661</v>
      </c>
      <c r="F9" s="38">
        <f t="shared" ref="F9:F11" si="22">0.696*$J9</f>
        <v>135.42568256506664</v>
      </c>
      <c r="G9" s="38">
        <f t="shared" ref="G9:G11" si="23">0.17*$J9</f>
        <v>33.078112120777774</v>
      </c>
      <c r="H9" s="38">
        <f t="shared" ref="H9:H11" si="24">0.003*$J9</f>
        <v>0.58373139036666666</v>
      </c>
      <c r="I9" s="43">
        <f t="shared" ref="I9:I11" si="25">0.002*$J9</f>
        <v>0.38915426024444438</v>
      </c>
      <c r="J9" s="37">
        <f>0.319*3054.04*719/3600</f>
        <v>194.5771301222222</v>
      </c>
      <c r="L9" s="58">
        <f t="shared" si="8"/>
        <v>4.4999999999999998E-2</v>
      </c>
      <c r="M9" s="58">
        <f t="shared" si="9"/>
        <v>4.1000000000000002E-2</v>
      </c>
      <c r="N9" s="58">
        <f t="shared" si="10"/>
        <v>2.0999999999999998E-2</v>
      </c>
      <c r="O9" s="58">
        <f t="shared" si="11"/>
        <v>2.0999999999999998E-2</v>
      </c>
      <c r="P9" s="58">
        <f t="shared" si="12"/>
        <v>0.69599999999999995</v>
      </c>
      <c r="Q9" s="58">
        <f t="shared" si="13"/>
        <v>0.17</v>
      </c>
      <c r="R9" s="58">
        <f t="shared" si="14"/>
        <v>3.0000000000000005E-3</v>
      </c>
      <c r="S9" s="58">
        <f t="shared" si="15"/>
        <v>2E-3</v>
      </c>
      <c r="U9" s="58">
        <f t="shared" si="16"/>
        <v>0.999</v>
      </c>
      <c r="W9" s="58">
        <f t="shared" si="17"/>
        <v>1.0000000000000009E-3</v>
      </c>
      <c r="X9" s="58">
        <f t="shared" si="18"/>
        <v>0.69699999999999995</v>
      </c>
    </row>
    <row r="10" spans="1:24" ht="18" customHeight="1" x14ac:dyDescent="0.3">
      <c r="A10" s="10">
        <v>8</v>
      </c>
      <c r="B10" s="38">
        <f t="shared" si="19"/>
        <v>78.177974843749993</v>
      </c>
      <c r="C10" s="38">
        <f t="shared" si="20"/>
        <v>71.228821524305559</v>
      </c>
      <c r="D10" s="38">
        <f t="shared" si="21"/>
        <v>36.483054927083337</v>
      </c>
      <c r="E10" s="38">
        <f t="shared" si="21"/>
        <v>36.483054927083337</v>
      </c>
      <c r="F10" s="38">
        <f t="shared" si="22"/>
        <v>1209.1526775833333</v>
      </c>
      <c r="G10" s="38">
        <f t="shared" si="23"/>
        <v>295.33901607638893</v>
      </c>
      <c r="H10" s="38">
        <f t="shared" si="24"/>
        <v>5.2118649895833338</v>
      </c>
      <c r="I10" s="43">
        <f t="shared" si="25"/>
        <v>3.4745766597222225</v>
      </c>
      <c r="J10" s="36">
        <f>0.3875*16139969/3600</f>
        <v>1737.2883298611112</v>
      </c>
      <c r="L10" s="58">
        <f t="shared" si="8"/>
        <v>4.4999999999999998E-2</v>
      </c>
      <c r="M10" s="58">
        <f t="shared" si="9"/>
        <v>4.1000000000000002E-2</v>
      </c>
      <c r="N10" s="58">
        <f t="shared" si="10"/>
        <v>2.1000000000000001E-2</v>
      </c>
      <c r="O10" s="58">
        <f t="shared" si="11"/>
        <v>2.1000000000000001E-2</v>
      </c>
      <c r="P10" s="58">
        <f t="shared" si="12"/>
        <v>0.69599999999999995</v>
      </c>
      <c r="Q10" s="58">
        <f t="shared" si="13"/>
        <v>0.17</v>
      </c>
      <c r="R10" s="58">
        <f t="shared" si="14"/>
        <v>3.0000000000000001E-3</v>
      </c>
      <c r="S10" s="58">
        <f t="shared" si="15"/>
        <v>2E-3</v>
      </c>
      <c r="T10" s="14"/>
      <c r="U10" s="58">
        <f t="shared" si="16"/>
        <v>0.999</v>
      </c>
      <c r="V10" s="14"/>
      <c r="W10" s="58">
        <f t="shared" si="17"/>
        <v>1.0000000000000009E-3</v>
      </c>
      <c r="X10" s="58">
        <f t="shared" si="18"/>
        <v>0.69699999999999995</v>
      </c>
    </row>
    <row r="11" spans="1:24" ht="18" customHeight="1" x14ac:dyDescent="0.3">
      <c r="A11" s="10">
        <v>9</v>
      </c>
      <c r="B11" s="38">
        <f t="shared" si="19"/>
        <v>1.54290748815</v>
      </c>
      <c r="C11" s="38">
        <f t="shared" si="20"/>
        <v>1.4057601558700001</v>
      </c>
      <c r="D11" s="38">
        <f t="shared" si="21"/>
        <v>0.72002349447000003</v>
      </c>
      <c r="E11" s="38">
        <f t="shared" si="21"/>
        <v>0.72002349447000003</v>
      </c>
      <c r="F11" s="38">
        <f t="shared" si="22"/>
        <v>23.863635816719999</v>
      </c>
      <c r="G11" s="38">
        <f t="shared" si="23"/>
        <v>5.8287616219</v>
      </c>
      <c r="H11" s="38">
        <f t="shared" si="24"/>
        <v>0.10286049921</v>
      </c>
      <c r="I11" s="43">
        <f t="shared" si="25"/>
        <v>6.8573666140000003E-2</v>
      </c>
      <c r="J11" s="37">
        <f>0.4194*20.63*14266/3600</f>
        <v>34.28683307</v>
      </c>
      <c r="L11" s="58">
        <f t="shared" si="8"/>
        <v>4.4999999999999998E-2</v>
      </c>
      <c r="M11" s="58">
        <f t="shared" si="9"/>
        <v>4.1000000000000002E-2</v>
      </c>
      <c r="N11" s="58">
        <f t="shared" si="10"/>
        <v>2.1000000000000001E-2</v>
      </c>
      <c r="O11" s="58">
        <f t="shared" si="11"/>
        <v>2.1000000000000001E-2</v>
      </c>
      <c r="P11" s="58">
        <f t="shared" si="12"/>
        <v>0.69599999999999995</v>
      </c>
      <c r="Q11" s="58">
        <f t="shared" si="13"/>
        <v>0.17</v>
      </c>
      <c r="R11" s="58">
        <f t="shared" si="14"/>
        <v>3.0000000000000001E-3</v>
      </c>
      <c r="S11" s="58">
        <f t="shared" si="15"/>
        <v>2E-3</v>
      </c>
      <c r="U11" s="58">
        <f t="shared" si="16"/>
        <v>0.999</v>
      </c>
      <c r="W11" s="58">
        <f t="shared" si="17"/>
        <v>1.0000000000000009E-3</v>
      </c>
      <c r="X11" s="58">
        <f t="shared" si="18"/>
        <v>0.69699999999999995</v>
      </c>
    </row>
    <row r="12" spans="1:24" ht="18" customHeight="1" x14ac:dyDescent="0.3">
      <c r="A12" s="17" t="s">
        <v>99</v>
      </c>
      <c r="B12" s="18"/>
      <c r="C12" s="18"/>
      <c r="D12" s="18"/>
      <c r="E12" s="18"/>
      <c r="F12" s="18"/>
      <c r="G12" s="18"/>
      <c r="H12" s="18"/>
      <c r="I12" s="18"/>
      <c r="J12" s="13"/>
      <c r="L12" s="58"/>
      <c r="M12" s="58"/>
      <c r="N12" s="58"/>
      <c r="O12" s="58"/>
      <c r="P12" s="58"/>
      <c r="Q12" s="58"/>
      <c r="R12" s="58"/>
      <c r="S12" s="58"/>
      <c r="U12" s="58"/>
      <c r="W12" s="58"/>
      <c r="X12" s="58"/>
    </row>
    <row r="13" spans="1:24" ht="18" customHeight="1" x14ac:dyDescent="0.3">
      <c r="A13" s="10">
        <v>10</v>
      </c>
      <c r="B13" s="38">
        <f>J13*2.8/65.5</f>
        <v>675.7903815462256</v>
      </c>
      <c r="C13" s="39">
        <f>J13*2.2/65.5</f>
        <v>530.97815692917732</v>
      </c>
      <c r="D13" s="39">
        <f>J13*2.6/65.6</f>
        <v>626.5630551901254</v>
      </c>
      <c r="E13" s="39">
        <f>J13*11.9/65.5</f>
        <v>2872.1091215714591</v>
      </c>
      <c r="F13" s="39">
        <f>J13*37.1/65.5</f>
        <v>8954.2225554874894</v>
      </c>
      <c r="G13" s="39">
        <f>J13*8.6/65.5</f>
        <v>2075.6418861776929</v>
      </c>
      <c r="H13" s="39">
        <f>J13*0.18/65.5</f>
        <v>43.443667385114502</v>
      </c>
      <c r="I13" s="40">
        <f>J13*0.12/65.5</f>
        <v>28.96244492340967</v>
      </c>
      <c r="J13" s="36">
        <f>0.2855*199338719/3600</f>
        <v>15808.667854027777</v>
      </c>
      <c r="K13" s="16"/>
      <c r="L13" s="58">
        <f t="shared" si="8"/>
        <v>4.2748091603053436E-2</v>
      </c>
      <c r="M13" s="58">
        <f t="shared" si="9"/>
        <v>3.3587786259541987E-2</v>
      </c>
      <c r="N13" s="58">
        <f t="shared" si="10"/>
        <v>3.9634146341463422E-2</v>
      </c>
      <c r="O13" s="58">
        <f t="shared" si="11"/>
        <v>0.18167938931297711</v>
      </c>
      <c r="P13" s="58">
        <f t="shared" si="12"/>
        <v>0.56641221374045803</v>
      </c>
      <c r="Q13" s="58">
        <f t="shared" si="13"/>
        <v>0.13129770992366413</v>
      </c>
      <c r="R13" s="58">
        <f t="shared" si="14"/>
        <v>2.7480916030534351E-3</v>
      </c>
      <c r="S13" s="58">
        <f t="shared" si="15"/>
        <v>1.8320610687022902E-3</v>
      </c>
      <c r="T13" s="14"/>
      <c r="U13" s="58">
        <f t="shared" si="16"/>
        <v>0.9999394898529137</v>
      </c>
      <c r="V13" s="14"/>
      <c r="W13" s="58">
        <f t="shared" si="17"/>
        <v>6.0510147086301203E-5</v>
      </c>
      <c r="X13" s="58">
        <f t="shared" si="18"/>
        <v>0.56647272388754433</v>
      </c>
    </row>
    <row r="14" spans="1:24" ht="18" customHeight="1" x14ac:dyDescent="0.3">
      <c r="A14" s="10">
        <v>11</v>
      </c>
      <c r="B14" s="38">
        <f t="shared" ref="B14:B15" si="26">J14*2.8/65.5</f>
        <v>90.571865560644611</v>
      </c>
      <c r="C14" s="39">
        <f t="shared" ref="C14:C15" si="27">J14*2.2/65.5</f>
        <v>71.163608654792213</v>
      </c>
      <c r="D14" s="39">
        <f t="shared" ref="D14:D15" si="28">J14*2.6/65.6</f>
        <v>83.974241642953942</v>
      </c>
      <c r="E14" s="39">
        <f t="shared" ref="E14:E15" si="29">J14*11.9/65.5</f>
        <v>384.93042863273962</v>
      </c>
      <c r="F14" s="39">
        <f t="shared" ref="F14:F15" si="30">J14*37.1/65.5</f>
        <v>1200.0772186785414</v>
      </c>
      <c r="G14" s="39">
        <f t="shared" ref="G14:G15" si="31">J14*8.6/65.5</f>
        <v>278.18501565055129</v>
      </c>
      <c r="H14" s="39">
        <f t="shared" ref="H14:H15" si="32">J14*0.18/65.5</f>
        <v>5.822477071755725</v>
      </c>
      <c r="I14" s="40">
        <f t="shared" ref="I14:I15" si="33">J14*0.12/65.5</f>
        <v>3.8816513811704834</v>
      </c>
      <c r="J14" s="37">
        <f>0.314*24291226/3600</f>
        <v>2118.7347122222222</v>
      </c>
      <c r="K14" s="16"/>
      <c r="L14" s="58">
        <f t="shared" si="8"/>
        <v>4.2748091603053436E-2</v>
      </c>
      <c r="M14" s="58">
        <f t="shared" si="9"/>
        <v>3.3587786259541993E-2</v>
      </c>
      <c r="N14" s="58">
        <f t="shared" si="10"/>
        <v>3.9634146341463422E-2</v>
      </c>
      <c r="O14" s="58">
        <f t="shared" si="11"/>
        <v>0.18167938931297711</v>
      </c>
      <c r="P14" s="58">
        <f t="shared" si="12"/>
        <v>0.56641221374045814</v>
      </c>
      <c r="Q14" s="58">
        <f t="shared" si="13"/>
        <v>0.1312977099236641</v>
      </c>
      <c r="R14" s="58">
        <f t="shared" si="14"/>
        <v>2.7480916030534351E-3</v>
      </c>
      <c r="S14" s="58">
        <f t="shared" si="15"/>
        <v>1.83206106870229E-3</v>
      </c>
      <c r="T14" s="14"/>
      <c r="U14" s="58">
        <f t="shared" si="16"/>
        <v>0.99993948985291392</v>
      </c>
      <c r="V14" s="14"/>
      <c r="W14" s="58">
        <f t="shared" si="17"/>
        <v>6.0510147086079158E-5</v>
      </c>
      <c r="X14" s="58">
        <f t="shared" si="18"/>
        <v>0.56647272388754422</v>
      </c>
    </row>
    <row r="15" spans="1:24" ht="18" customHeight="1" x14ac:dyDescent="0.3">
      <c r="A15" s="10">
        <v>12</v>
      </c>
      <c r="B15" s="38">
        <f t="shared" si="26"/>
        <v>11.400966087362169</v>
      </c>
      <c r="C15" s="39">
        <f t="shared" si="27"/>
        <v>8.9579019257845633</v>
      </c>
      <c r="D15" s="39">
        <f t="shared" si="28"/>
        <v>10.57047323975271</v>
      </c>
      <c r="E15" s="39">
        <f t="shared" si="29"/>
        <v>48.454105871289222</v>
      </c>
      <c r="F15" s="39">
        <f t="shared" si="30"/>
        <v>151.06280065754876</v>
      </c>
      <c r="G15" s="39">
        <f t="shared" si="31"/>
        <v>35.017252982612384</v>
      </c>
      <c r="H15" s="39">
        <f t="shared" si="32"/>
        <v>0.73291924847328238</v>
      </c>
      <c r="I15" s="40">
        <f t="shared" si="33"/>
        <v>0.48861283231552161</v>
      </c>
      <c r="J15" s="37">
        <f>0.4441*2161955/3600</f>
        <v>266.7011709722222</v>
      </c>
      <c r="K15" s="16"/>
      <c r="L15" s="58">
        <f t="shared" si="8"/>
        <v>4.2748091603053429E-2</v>
      </c>
      <c r="M15" s="58">
        <f t="shared" si="9"/>
        <v>3.3587786259541987E-2</v>
      </c>
      <c r="N15" s="58">
        <f t="shared" si="10"/>
        <v>3.9634146341463415E-2</v>
      </c>
      <c r="O15" s="58">
        <f t="shared" si="11"/>
        <v>0.18167938931297709</v>
      </c>
      <c r="P15" s="58">
        <f t="shared" si="12"/>
        <v>0.56641221374045803</v>
      </c>
      <c r="Q15" s="58">
        <f t="shared" si="13"/>
        <v>0.13129770992366413</v>
      </c>
      <c r="R15" s="58">
        <f t="shared" si="14"/>
        <v>2.7480916030534351E-3</v>
      </c>
      <c r="S15" s="58">
        <f t="shared" si="15"/>
        <v>1.8320610687022902E-3</v>
      </c>
      <c r="T15" s="14"/>
      <c r="U15" s="58">
        <f t="shared" si="16"/>
        <v>0.9999394898529137</v>
      </c>
      <c r="V15" s="14"/>
      <c r="W15" s="58">
        <f t="shared" si="17"/>
        <v>6.0510147086301203E-5</v>
      </c>
      <c r="X15" s="58">
        <f t="shared" si="18"/>
        <v>0.56647272388754433</v>
      </c>
    </row>
    <row r="16" spans="1:24" ht="18" customHeight="1" x14ac:dyDescent="0.3">
      <c r="A16" s="10">
        <v>13</v>
      </c>
      <c r="B16" s="38">
        <f>7.5*$J16/78.7</f>
        <v>188.10949423972892</v>
      </c>
      <c r="C16" s="38">
        <f>9.8*$J16/78.7</f>
        <v>245.79640580657917</v>
      </c>
      <c r="D16" s="38">
        <f>2.3*$J16/78.7</f>
        <v>57.686911566850199</v>
      </c>
      <c r="E16" s="38">
        <f>0.7*$J16/78.7</f>
        <v>17.556886129041366</v>
      </c>
      <c r="F16" s="38">
        <f>49.8*$J16/78.7</f>
        <v>1249.0470417518</v>
      </c>
      <c r="G16" s="38">
        <f>7.6*$J16/78.7</f>
        <v>190.61762082959197</v>
      </c>
      <c r="H16" s="38">
        <f>1*0.6*$J16/78.7</f>
        <v>15.048759539178315</v>
      </c>
      <c r="I16" s="43">
        <f>1*0.4*$J16/78.7</f>
        <v>10.03250635945221</v>
      </c>
      <c r="J16" s="36">
        <f>0.3664*19394171/3600</f>
        <v>1973.8956262222223</v>
      </c>
      <c r="K16" s="16"/>
      <c r="L16" s="58">
        <f t="shared" si="8"/>
        <v>9.529860228716644E-2</v>
      </c>
      <c r="M16" s="58">
        <f t="shared" si="9"/>
        <v>0.12452350698856418</v>
      </c>
      <c r="N16" s="58">
        <f t="shared" si="10"/>
        <v>2.922490470139771E-2</v>
      </c>
      <c r="O16" s="58">
        <f t="shared" si="11"/>
        <v>8.8945362134688691E-3</v>
      </c>
      <c r="P16" s="58">
        <f t="shared" si="12"/>
        <v>0.63278271918678519</v>
      </c>
      <c r="Q16" s="58">
        <f t="shared" si="13"/>
        <v>9.6569250317662003E-2</v>
      </c>
      <c r="R16" s="58">
        <f t="shared" si="14"/>
        <v>7.6238881829733167E-3</v>
      </c>
      <c r="S16" s="58">
        <f t="shared" si="15"/>
        <v>5.0825921219822112E-3</v>
      </c>
      <c r="U16" s="58">
        <f t="shared" si="16"/>
        <v>1</v>
      </c>
      <c r="W16" s="58">
        <f t="shared" si="17"/>
        <v>0</v>
      </c>
      <c r="X16" s="58">
        <f t="shared" si="18"/>
        <v>0.63278271918678519</v>
      </c>
    </row>
    <row r="17" spans="1:24" ht="18" customHeight="1" x14ac:dyDescent="0.3">
      <c r="A17" s="10">
        <v>14</v>
      </c>
      <c r="B17" s="38">
        <f t="shared" ref="B17:B19" si="34">7.5*$J17/78.7</f>
        <v>14.071185133418041</v>
      </c>
      <c r="C17" s="38">
        <f t="shared" ref="C17:C19" si="35">9.8*$J17/78.7</f>
        <v>18.386348574332906</v>
      </c>
      <c r="D17" s="38">
        <f t="shared" ref="D17:D19" si="36">2.3*$J17/78.7</f>
        <v>4.3151634409148656</v>
      </c>
      <c r="E17" s="38">
        <f t="shared" ref="E17:E19" si="37">0.7*$J17/78.7</f>
        <v>1.3133106124523504</v>
      </c>
      <c r="F17" s="38">
        <f t="shared" ref="F17:F19" si="38">49.8*$J17/78.7</f>
        <v>93.432669285895784</v>
      </c>
      <c r="G17" s="38">
        <f t="shared" ref="G17:G19" si="39">7.6*$J17/78.7</f>
        <v>14.258800935196948</v>
      </c>
      <c r="H17" s="38">
        <f t="shared" ref="H17:H19" si="40">1*0.6*$J17/78.7</f>
        <v>1.1256948106734432</v>
      </c>
      <c r="I17" s="43">
        <f t="shared" ref="I17:I19" si="41">1*0.4*$J17/78.7</f>
        <v>0.75046320711562886</v>
      </c>
      <c r="J17" s="37">
        <f>0.3978*1336232/3600</f>
        <v>147.65363599999998</v>
      </c>
      <c r="K17" s="16"/>
      <c r="L17" s="58">
        <f t="shared" si="8"/>
        <v>9.5298602287166453E-2</v>
      </c>
      <c r="M17" s="58">
        <f t="shared" si="9"/>
        <v>0.12452350698856417</v>
      </c>
      <c r="N17" s="58">
        <f t="shared" si="10"/>
        <v>2.922490470139771E-2</v>
      </c>
      <c r="O17" s="58">
        <f t="shared" si="11"/>
        <v>8.8945362134688691E-3</v>
      </c>
      <c r="P17" s="58">
        <f t="shared" si="12"/>
        <v>0.63278271918678519</v>
      </c>
      <c r="Q17" s="58">
        <f t="shared" si="13"/>
        <v>9.6569250317662003E-2</v>
      </c>
      <c r="R17" s="58">
        <f t="shared" si="14"/>
        <v>7.6238881829733159E-3</v>
      </c>
      <c r="S17" s="58">
        <f t="shared" si="15"/>
        <v>5.0825921219822112E-3</v>
      </c>
      <c r="U17" s="58">
        <f t="shared" si="16"/>
        <v>1</v>
      </c>
      <c r="W17" s="58">
        <f t="shared" si="17"/>
        <v>0</v>
      </c>
      <c r="X17" s="58">
        <f t="shared" si="18"/>
        <v>0.63278271918678519</v>
      </c>
    </row>
    <row r="18" spans="1:24" ht="18" customHeight="1" x14ac:dyDescent="0.3">
      <c r="A18" s="10">
        <v>15</v>
      </c>
      <c r="B18" s="38">
        <f t="shared" si="34"/>
        <v>13.098793003494281</v>
      </c>
      <c r="C18" s="38">
        <f t="shared" si="35"/>
        <v>17.115756191232531</v>
      </c>
      <c r="D18" s="38">
        <f t="shared" si="36"/>
        <v>4.0169631877382459</v>
      </c>
      <c r="E18" s="38">
        <f t="shared" si="37"/>
        <v>1.2225540136594664</v>
      </c>
      <c r="F18" s="38">
        <f t="shared" si="38"/>
        <v>86.975985543202029</v>
      </c>
      <c r="G18" s="38">
        <f t="shared" si="39"/>
        <v>13.273443576874207</v>
      </c>
      <c r="H18" s="38">
        <f t="shared" si="40"/>
        <v>1.0479034402795426</v>
      </c>
      <c r="I18" s="43">
        <f t="shared" si="41"/>
        <v>0.69860229351969516</v>
      </c>
      <c r="J18" s="36">
        <f>0.4197*1178985/3600</f>
        <v>137.45000125000001</v>
      </c>
      <c r="K18" s="16"/>
      <c r="L18" s="58">
        <f t="shared" si="8"/>
        <v>9.529860228716644E-2</v>
      </c>
      <c r="M18" s="58">
        <f t="shared" si="9"/>
        <v>0.12452350698856418</v>
      </c>
      <c r="N18" s="58">
        <f t="shared" si="10"/>
        <v>2.9224904701397707E-2</v>
      </c>
      <c r="O18" s="58">
        <f t="shared" si="11"/>
        <v>8.8945362134688691E-3</v>
      </c>
      <c r="P18" s="58">
        <f t="shared" si="12"/>
        <v>0.63278271918678519</v>
      </c>
      <c r="Q18" s="58">
        <f t="shared" si="13"/>
        <v>9.6569250317662003E-2</v>
      </c>
      <c r="R18" s="58">
        <f t="shared" si="14"/>
        <v>7.6238881829733159E-3</v>
      </c>
      <c r="S18" s="58">
        <f t="shared" si="15"/>
        <v>5.0825921219822112E-3</v>
      </c>
      <c r="U18" s="58">
        <f t="shared" si="16"/>
        <v>1</v>
      </c>
      <c r="W18" s="58">
        <f t="shared" si="17"/>
        <v>0</v>
      </c>
      <c r="X18" s="58">
        <f t="shared" si="18"/>
        <v>0.63278271918678519</v>
      </c>
    </row>
    <row r="19" spans="1:24" ht="18" customHeight="1" x14ac:dyDescent="0.3">
      <c r="A19" s="10">
        <v>16</v>
      </c>
      <c r="B19" s="38">
        <f t="shared" si="34"/>
        <v>428.07017858958073</v>
      </c>
      <c r="C19" s="38">
        <f t="shared" si="35"/>
        <v>559.3450333570521</v>
      </c>
      <c r="D19" s="38">
        <f t="shared" si="36"/>
        <v>131.2748547674714</v>
      </c>
      <c r="E19" s="38">
        <f t="shared" si="37"/>
        <v>39.953216668360866</v>
      </c>
      <c r="F19" s="38">
        <f t="shared" si="38"/>
        <v>2842.385985834816</v>
      </c>
      <c r="G19" s="38">
        <f t="shared" si="39"/>
        <v>433.7777809707751</v>
      </c>
      <c r="H19" s="38">
        <f t="shared" si="40"/>
        <v>34.245614287166454</v>
      </c>
      <c r="I19" s="43">
        <f t="shared" si="41"/>
        <v>22.83040952477764</v>
      </c>
      <c r="J19" s="37">
        <f>0.1736*93149649/3600</f>
        <v>4491.8830740000003</v>
      </c>
      <c r="K19" s="16"/>
      <c r="L19" s="58">
        <f t="shared" ref="L19:L81" si="42">B19/$J19</f>
        <v>9.5298602287166453E-2</v>
      </c>
      <c r="M19" s="58">
        <f t="shared" ref="M19:M81" si="43">C19/$J19</f>
        <v>0.12452350698856417</v>
      </c>
      <c r="N19" s="58">
        <f t="shared" ref="N19:N81" si="44">D19/$J19</f>
        <v>2.9224904701397707E-2</v>
      </c>
      <c r="O19" s="58">
        <f t="shared" ref="O19:O81" si="45">E19/$J19</f>
        <v>8.8945362134688691E-3</v>
      </c>
      <c r="P19" s="58">
        <f t="shared" ref="P19:P81" si="46">F19/$J19</f>
        <v>0.6327827191867853</v>
      </c>
      <c r="Q19" s="58">
        <f t="shared" ref="Q19:Q81" si="47">G19/$J19</f>
        <v>9.6569250317662003E-2</v>
      </c>
      <c r="R19" s="58">
        <f t="shared" ref="R19:R81" si="48">H19/$J19</f>
        <v>7.6238881829733159E-3</v>
      </c>
      <c r="S19" s="58">
        <f t="shared" ref="S19:S81" si="49">I19/$J19</f>
        <v>5.0825921219822112E-3</v>
      </c>
      <c r="U19" s="58">
        <f t="shared" si="16"/>
        <v>1</v>
      </c>
      <c r="W19" s="58">
        <f t="shared" si="17"/>
        <v>0</v>
      </c>
      <c r="X19" s="58">
        <f t="shared" si="18"/>
        <v>0.6327827191867853</v>
      </c>
    </row>
    <row r="20" spans="1:24" ht="18" customHeight="1" x14ac:dyDescent="0.3">
      <c r="A20" s="10">
        <v>17</v>
      </c>
      <c r="B20" s="38">
        <f>J20*0.8/68.4</f>
        <v>222.0901058271605</v>
      </c>
      <c r="C20" s="41">
        <f>J20*0.6/68.4</f>
        <v>166.56757937037037</v>
      </c>
      <c r="D20" s="39">
        <f>J20*1.1/68.4</f>
        <v>305.37389551234565</v>
      </c>
      <c r="E20" s="39">
        <f>J20*0.7/68.4</f>
        <v>194.32884259876539</v>
      </c>
      <c r="F20" s="39">
        <f>J20*65.1/68.4</f>
        <v>18072.582361685185</v>
      </c>
      <c r="G20" s="39">
        <f>J20*0/68.4</f>
        <v>0</v>
      </c>
      <c r="H20" s="39">
        <f>J20*0.06/68.4</f>
        <v>16.656757937037032</v>
      </c>
      <c r="I20" s="40">
        <f>J20*0.04/68.4</f>
        <v>11.104505291358024</v>
      </c>
      <c r="J20" s="37">
        <f>0.2527*270515768/3600</f>
        <v>18988.704048222222</v>
      </c>
      <c r="K20" s="16"/>
      <c r="L20" s="58">
        <f t="shared" si="42"/>
        <v>1.1695906432748539E-2</v>
      </c>
      <c r="M20" s="58">
        <f t="shared" si="43"/>
        <v>8.771929824561403E-3</v>
      </c>
      <c r="N20" s="58">
        <f t="shared" si="44"/>
        <v>1.6081871345029239E-2</v>
      </c>
      <c r="O20" s="58">
        <f t="shared" si="45"/>
        <v>1.0233918128654968E-2</v>
      </c>
      <c r="P20" s="58">
        <f t="shared" si="46"/>
        <v>0.95175438596491224</v>
      </c>
      <c r="Q20" s="58">
        <f t="shared" si="47"/>
        <v>0</v>
      </c>
      <c r="R20" s="58">
        <f t="shared" si="48"/>
        <v>8.7719298245614004E-4</v>
      </c>
      <c r="S20" s="58">
        <f t="shared" si="49"/>
        <v>5.847953216374268E-4</v>
      </c>
      <c r="U20" s="58">
        <f t="shared" si="16"/>
        <v>1</v>
      </c>
      <c r="W20" s="58">
        <f t="shared" si="17"/>
        <v>0</v>
      </c>
      <c r="X20" s="58">
        <f t="shared" si="18"/>
        <v>0.95175438596491224</v>
      </c>
    </row>
    <row r="21" spans="1:24" ht="18" customHeight="1" x14ac:dyDescent="0.3">
      <c r="A21" s="10">
        <v>18</v>
      </c>
      <c r="B21" s="38">
        <f>7.5*$J21/78.7</f>
        <v>222.53721601016517</v>
      </c>
      <c r="C21" s="38">
        <f>9.8*$J21/78.7</f>
        <v>290.78196225328247</v>
      </c>
      <c r="D21" s="38">
        <f>2.3*$J21/78.7</f>
        <v>68.244746243117305</v>
      </c>
      <c r="E21" s="38">
        <f>0.7*$J21/78.7</f>
        <v>20.770140160948745</v>
      </c>
      <c r="F21" s="38">
        <f>49.8*$J21/78.7</f>
        <v>1477.6471143074964</v>
      </c>
      <c r="G21" s="38">
        <f>7.6*$J21/78.7</f>
        <v>225.5043788903007</v>
      </c>
      <c r="H21" s="38">
        <f>1*0.6*$J21/78.7</f>
        <v>17.802977280813209</v>
      </c>
      <c r="I21" s="43">
        <f>1*0.4*$J21/78.7</f>
        <v>11.868651520542143</v>
      </c>
      <c r="J21" s="36">
        <f>0.492*17086516/3600</f>
        <v>2335.1571866666663</v>
      </c>
      <c r="K21" s="16"/>
      <c r="L21" s="58">
        <f t="shared" si="42"/>
        <v>9.5298602287166467E-2</v>
      </c>
      <c r="M21" s="58">
        <f t="shared" si="43"/>
        <v>0.12452350698856417</v>
      </c>
      <c r="N21" s="58">
        <f t="shared" si="44"/>
        <v>2.922490470139771E-2</v>
      </c>
      <c r="O21" s="58">
        <f t="shared" si="45"/>
        <v>8.8945362134688673E-3</v>
      </c>
      <c r="P21" s="58">
        <f t="shared" si="46"/>
        <v>0.63278271918678519</v>
      </c>
      <c r="Q21" s="58">
        <f t="shared" si="47"/>
        <v>9.6569250317662017E-2</v>
      </c>
      <c r="R21" s="58">
        <f t="shared" si="48"/>
        <v>7.623888182973315E-3</v>
      </c>
      <c r="S21" s="58">
        <f t="shared" si="49"/>
        <v>5.0825921219822112E-3</v>
      </c>
      <c r="U21" s="58">
        <f t="shared" si="16"/>
        <v>1</v>
      </c>
      <c r="W21" s="58">
        <f t="shared" si="17"/>
        <v>0</v>
      </c>
      <c r="X21" s="58">
        <f t="shared" si="18"/>
        <v>0.63278271918678519</v>
      </c>
    </row>
    <row r="22" spans="1:24" ht="18" customHeight="1" x14ac:dyDescent="0.3">
      <c r="A22" s="10">
        <v>19</v>
      </c>
      <c r="B22" s="38">
        <f>0.045*$J22</f>
        <v>285.73825212124996</v>
      </c>
      <c r="C22" s="38">
        <f>0.041*$J22</f>
        <v>260.33929637713891</v>
      </c>
      <c r="D22" s="38">
        <f>0.021*$J22</f>
        <v>133.34451765658335</v>
      </c>
      <c r="E22" s="38">
        <f>0.021*$J22</f>
        <v>133.34451765658335</v>
      </c>
      <c r="F22" s="38">
        <f>0.696*$J22</f>
        <v>4419.4182994753328</v>
      </c>
      <c r="G22" s="38">
        <f>0.17*$J22</f>
        <v>1079.4556191247223</v>
      </c>
      <c r="H22" s="38">
        <f>0.003*$J22</f>
        <v>19.049216808083333</v>
      </c>
      <c r="I22" s="43">
        <f>0.002*$J22</f>
        <v>12.699477872055555</v>
      </c>
      <c r="J22" s="37">
        <f>0.0643*355506379/3600</f>
        <v>6349.7389360277775</v>
      </c>
      <c r="K22" s="16"/>
      <c r="L22" s="58">
        <f t="shared" si="42"/>
        <v>4.4999999999999998E-2</v>
      </c>
      <c r="M22" s="58">
        <f t="shared" si="43"/>
        <v>4.1000000000000002E-2</v>
      </c>
      <c r="N22" s="58">
        <f t="shared" si="44"/>
        <v>2.1000000000000005E-2</v>
      </c>
      <c r="O22" s="58">
        <f t="shared" si="45"/>
        <v>2.1000000000000005E-2</v>
      </c>
      <c r="P22" s="58">
        <f t="shared" si="46"/>
        <v>0.69599999999999995</v>
      </c>
      <c r="Q22" s="58">
        <f t="shared" si="47"/>
        <v>0.17</v>
      </c>
      <c r="R22" s="58">
        <f t="shared" si="48"/>
        <v>3.0000000000000001E-3</v>
      </c>
      <c r="S22" s="58">
        <f t="shared" si="49"/>
        <v>2E-3</v>
      </c>
      <c r="U22" s="58">
        <f t="shared" si="16"/>
        <v>0.999</v>
      </c>
      <c r="W22" s="58">
        <f t="shared" si="17"/>
        <v>1.0000000000000009E-3</v>
      </c>
      <c r="X22" s="58">
        <f t="shared" si="18"/>
        <v>0.69699999999999995</v>
      </c>
    </row>
    <row r="23" spans="1:24" ht="18" customHeight="1" x14ac:dyDescent="0.3">
      <c r="A23" s="10">
        <v>20</v>
      </c>
      <c r="B23" s="38">
        <f>(0.8+(1-$J$24*3600/10^6/24.4)*1.2)/3600*10^6</f>
        <v>454.48000063752272</v>
      </c>
      <c r="C23" s="38">
        <f>(1.1+(1-$J$24*3600/10^6/24.4)*2.1)/3600*10^6</f>
        <v>712.00666778233153</v>
      </c>
      <c r="D23" s="38">
        <f>(1+(1-$J$24*3600/10^6/24.4)*1.4)/3600*10^6</f>
        <v>548.74518592896163</v>
      </c>
      <c r="E23" s="38">
        <f>(21.1+(1-$J$24*3600/10^6/24.4)*1.2)/3600*10^6</f>
        <v>6093.3688895264122</v>
      </c>
      <c r="F23" s="38">
        <f>(103.2+(1-$J$24*3600/10^6/24.4)*18.1)/3600*10^6</f>
        <v>32169.888157764115</v>
      </c>
      <c r="G23" s="38">
        <f>(40.7+(1-$J$24*3600/10^6/24.4)*0.2)/3600*10^6</f>
        <v>11344.265185291441</v>
      </c>
      <c r="H23" s="38">
        <f>(0.1+(1-$J$24*3600/10^6/24.4)*0.2)*0.6/3600*10^6</f>
        <v>39.892444508196711</v>
      </c>
      <c r="I23" s="38">
        <f>(0.1+(1-$J$24*3600/10^6/24.4)*0.2)*0.4/3600*10^6</f>
        <v>26.594963005464482</v>
      </c>
      <c r="J23" s="36">
        <f>0.1486*1246868926/3600</f>
        <v>51467.978445444445</v>
      </c>
      <c r="K23" s="16"/>
      <c r="L23" s="58">
        <f t="shared" si="42"/>
        <v>8.8303448933644644E-3</v>
      </c>
      <c r="M23" s="58">
        <f t="shared" si="43"/>
        <v>1.383397384719611E-2</v>
      </c>
      <c r="N23" s="58">
        <f t="shared" si="44"/>
        <v>1.0661875645856699E-2</v>
      </c>
      <c r="O23" s="58">
        <f t="shared" si="45"/>
        <v>0.11839145568900329</v>
      </c>
      <c r="P23" s="58">
        <f t="shared" si="46"/>
        <v>0.62504666259359465</v>
      </c>
      <c r="Q23" s="58">
        <f t="shared" si="47"/>
        <v>0.22041404243837265</v>
      </c>
      <c r="R23" s="58">
        <f t="shared" si="48"/>
        <v>7.7509250825699932E-4</v>
      </c>
      <c r="S23" s="58">
        <f t="shared" si="49"/>
        <v>5.1672833883799969E-4</v>
      </c>
      <c r="T23" s="14"/>
      <c r="U23" s="58">
        <f t="shared" si="16"/>
        <v>0.99847017595448284</v>
      </c>
      <c r="V23" s="14"/>
      <c r="W23" s="58">
        <f t="shared" si="17"/>
        <v>1.5298240455171586E-3</v>
      </c>
      <c r="X23" s="58">
        <f t="shared" si="18"/>
        <v>0.62657648663911181</v>
      </c>
    </row>
    <row r="24" spans="1:24" ht="18" customHeight="1" x14ac:dyDescent="0.3">
      <c r="A24" s="10">
        <v>21</v>
      </c>
      <c r="B24" s="38">
        <f>$J$24/24.4*1.2</f>
        <v>101.07555491803279</v>
      </c>
      <c r="C24" s="38">
        <f>$J$24/24.4*2.1</f>
        <v>176.88222110655741</v>
      </c>
      <c r="D24" s="38">
        <f>$J$24/24.4*1.4</f>
        <v>117.92148073770491</v>
      </c>
      <c r="E24" s="38">
        <f>$J$24/24.4*1.2</f>
        <v>101.07555491803279</v>
      </c>
      <c r="F24" s="38">
        <f>$J$24/24.4*18.1</f>
        <v>1524.5562866803282</v>
      </c>
      <c r="G24" s="38">
        <f>$J$24/24.4*0.2</f>
        <v>16.845925819672132</v>
      </c>
      <c r="H24" s="38">
        <f>$J$24/24.4*0.12</f>
        <v>10.107555491803279</v>
      </c>
      <c r="I24" s="43">
        <f>$J$24/24.4*0.08</f>
        <v>6.7383703278688527</v>
      </c>
      <c r="J24" s="37">
        <f>0.3105*23828440/3600</f>
        <v>2055.2029499999999</v>
      </c>
      <c r="K24" s="16"/>
      <c r="L24" s="58">
        <f t="shared" si="42"/>
        <v>4.9180327868852465E-2</v>
      </c>
      <c r="M24" s="58">
        <f t="shared" si="43"/>
        <v>8.6065573770491829E-2</v>
      </c>
      <c r="N24" s="58">
        <f t="shared" si="44"/>
        <v>5.737704918032787E-2</v>
      </c>
      <c r="O24" s="58">
        <f t="shared" si="45"/>
        <v>4.9180327868852465E-2</v>
      </c>
      <c r="P24" s="58">
        <f t="shared" si="46"/>
        <v>0.7418032786885248</v>
      </c>
      <c r="Q24" s="58">
        <f t="shared" si="47"/>
        <v>8.1967213114754103E-3</v>
      </c>
      <c r="R24" s="58">
        <f t="shared" si="48"/>
        <v>4.9180327868852463E-3</v>
      </c>
      <c r="S24" s="58">
        <f t="shared" si="49"/>
        <v>3.2786885245901644E-3</v>
      </c>
      <c r="T24" s="14"/>
      <c r="U24" s="58">
        <f t="shared" si="16"/>
        <v>1.0000000000000002</v>
      </c>
      <c r="V24" s="14"/>
      <c r="W24" s="58">
        <f t="shared" si="17"/>
        <v>0</v>
      </c>
      <c r="X24" s="58">
        <f t="shared" si="18"/>
        <v>0.7418032786885248</v>
      </c>
    </row>
    <row r="25" spans="1:24" ht="18" customHeight="1" x14ac:dyDescent="0.3">
      <c r="A25" s="10">
        <v>22</v>
      </c>
      <c r="B25" s="38">
        <f>J25*2.5/50.4</f>
        <v>688.63800698991417</v>
      </c>
      <c r="C25" s="39">
        <f>J25*1.5/50.4</f>
        <v>413.18280419394847</v>
      </c>
      <c r="D25" s="39">
        <f>J25*1.9/50.4</f>
        <v>523.36488531233476</v>
      </c>
      <c r="E25" s="39">
        <f>J25*0.4/50.4</f>
        <v>110.18208111838626</v>
      </c>
      <c r="F25" s="39">
        <f>J25*41.3/50.4</f>
        <v>11376.299875473378</v>
      </c>
      <c r="G25" s="39">
        <f>J25*2.4/50.4</f>
        <v>661.09248671031742</v>
      </c>
      <c r="H25" s="39">
        <f>J25*0.18/50.4</f>
        <v>49.581936503273816</v>
      </c>
      <c r="I25" s="40">
        <f>J25*0.12/50.4</f>
        <v>33.054624335515875</v>
      </c>
      <c r="J25" s="37">
        <f>0.5853*85389701/3600</f>
        <v>13882.942220916668</v>
      </c>
      <c r="K25" s="16"/>
      <c r="L25" s="58">
        <f t="shared" si="42"/>
        <v>4.9603174603174607E-2</v>
      </c>
      <c r="M25" s="58">
        <f t="shared" si="43"/>
        <v>2.9761904761904764E-2</v>
      </c>
      <c r="N25" s="58">
        <f t="shared" si="44"/>
        <v>3.7698412698412703E-2</v>
      </c>
      <c r="O25" s="58">
        <f t="shared" si="45"/>
        <v>7.9365079365079378E-3</v>
      </c>
      <c r="P25" s="58">
        <f t="shared" si="46"/>
        <v>0.81944444444444431</v>
      </c>
      <c r="Q25" s="58">
        <f t="shared" si="47"/>
        <v>4.7619047619047609E-2</v>
      </c>
      <c r="R25" s="58">
        <f t="shared" si="48"/>
        <v>3.5714285714285718E-3</v>
      </c>
      <c r="S25" s="58">
        <f t="shared" si="49"/>
        <v>2.3809523809523807E-3</v>
      </c>
      <c r="T25" s="14"/>
      <c r="U25" s="58">
        <f t="shared" si="16"/>
        <v>0.9980158730158728</v>
      </c>
      <c r="V25" s="14"/>
      <c r="W25" s="58">
        <f t="shared" si="17"/>
        <v>1.9841269841271991E-3</v>
      </c>
      <c r="X25" s="58">
        <f t="shared" si="18"/>
        <v>0.82142857142857151</v>
      </c>
    </row>
    <row r="26" spans="1:24" ht="18" customHeight="1" x14ac:dyDescent="0.3">
      <c r="A26" s="10">
        <v>23</v>
      </c>
      <c r="B26" s="38">
        <f>1.1/3600*10^6</f>
        <v>305.5555555555556</v>
      </c>
      <c r="C26" s="39">
        <f>1/3600*10^6</f>
        <v>277.77777777777777</v>
      </c>
      <c r="D26" s="39">
        <f>0.5/3600*10^6</f>
        <v>138.88888888888889</v>
      </c>
      <c r="E26" s="39">
        <f>0.3/3600*10^6</f>
        <v>83.333333333333329</v>
      </c>
      <c r="F26" s="39">
        <f>(15.8+25.4)/3600*10^6</f>
        <v>11444.444444444445</v>
      </c>
      <c r="G26" s="39">
        <f>0/3600*10^6</f>
        <v>0</v>
      </c>
      <c r="H26" s="39">
        <f>0.2*0.6/3600*10^6</f>
        <v>33.333333333333336</v>
      </c>
      <c r="I26" s="40">
        <f>0.2*0.4/3600*10^6</f>
        <v>22.222222222222225</v>
      </c>
      <c r="J26" s="36">
        <f>0.16*276644397/3600</f>
        <v>12295.306533333334</v>
      </c>
      <c r="K26" s="16"/>
      <c r="L26" s="58">
        <f t="shared" si="42"/>
        <v>2.485139794824762E-2</v>
      </c>
      <c r="M26" s="58">
        <f t="shared" si="43"/>
        <v>2.2592179952952381E-2</v>
      </c>
      <c r="N26" s="58">
        <f t="shared" si="44"/>
        <v>1.129608997647619E-2</v>
      </c>
      <c r="O26" s="58">
        <f t="shared" si="45"/>
        <v>6.777653985885714E-3</v>
      </c>
      <c r="P26" s="58">
        <f t="shared" si="46"/>
        <v>0.93079781406163808</v>
      </c>
      <c r="Q26" s="58">
        <f t="shared" si="47"/>
        <v>0</v>
      </c>
      <c r="R26" s="58">
        <f t="shared" si="48"/>
        <v>2.7110615943542857E-3</v>
      </c>
      <c r="S26" s="58">
        <f t="shared" si="49"/>
        <v>1.8073743962361906E-3</v>
      </c>
      <c r="T26" s="14"/>
      <c r="U26" s="58">
        <f t="shared" si="16"/>
        <v>1.0008335719157906</v>
      </c>
      <c r="V26" s="14"/>
      <c r="W26" s="58">
        <f t="shared" si="17"/>
        <v>-8.3357191579058743E-4</v>
      </c>
      <c r="X26" s="58">
        <f t="shared" si="18"/>
        <v>0.9299642421458475</v>
      </c>
    </row>
    <row r="27" spans="1:24" ht="18" customHeight="1" x14ac:dyDescent="0.3">
      <c r="A27" s="10">
        <v>24</v>
      </c>
      <c r="B27" s="38">
        <f>(0.5+0.9+(1-$J$28*3600/10^6/53.4)*4.4)/3600*10^6</f>
        <v>548.84058231460654</v>
      </c>
      <c r="C27" s="38">
        <f>(0.3+0.5+(1-$J$28*3600/10^6/53.4)*2.5)/3600*10^6</f>
        <v>313.10386621410726</v>
      </c>
      <c r="D27" s="38">
        <f>(0.2+0.4+(1-$J$28*3600/10^6/53.4)*2.1)/3600*10^6</f>
        <v>243.00724761985015</v>
      </c>
      <c r="E27" s="38">
        <f>0</f>
        <v>0</v>
      </c>
      <c r="F27" s="38">
        <f>(46.7+30.2+(1-$J$28*3600/10^6/53.4)*38.8)/3600*10^6</f>
        <v>22771.594225865167</v>
      </c>
      <c r="G27" s="38">
        <f>(24.3+39.8+(1-$J$28*3600/10^6/53.4)*5.1)/3600*10^6</f>
        <v>17990.954109299</v>
      </c>
      <c r="H27" s="38">
        <f>(0.1+0.1+(1-$J$28*3600/10^6/53.4)*0.5)*0.6/3600*10^6</f>
        <v>44.239130612359538</v>
      </c>
      <c r="I27" s="43">
        <f>(0.1+0.1+(1-$J$28*3600/10^6/53.4)*0.5)*0.4/3600*10^6</f>
        <v>29.492753741573026</v>
      </c>
      <c r="J27" s="37">
        <f>0.1646*917352394/3600</f>
        <v>41943.390014555553</v>
      </c>
      <c r="K27" s="22"/>
      <c r="L27" s="58">
        <f t="shared" si="42"/>
        <v>1.3085269982329593E-2</v>
      </c>
      <c r="M27" s="58">
        <f t="shared" si="43"/>
        <v>7.4649155946968351E-3</v>
      </c>
      <c r="N27" s="58">
        <f t="shared" si="44"/>
        <v>5.793695920513809E-3</v>
      </c>
      <c r="O27" s="58">
        <f t="shared" si="45"/>
        <v>0</v>
      </c>
      <c r="P27" s="58">
        <f t="shared" si="46"/>
        <v>0.54291258331676995</v>
      </c>
      <c r="Q27" s="58">
        <f t="shared" si="47"/>
        <v>0.4289341920873736</v>
      </c>
      <c r="R27" s="58">
        <f t="shared" si="48"/>
        <v>1.0547342643741314E-3</v>
      </c>
      <c r="S27" s="58">
        <f t="shared" si="49"/>
        <v>7.031561762494209E-4</v>
      </c>
      <c r="U27" s="58">
        <f t="shared" si="16"/>
        <v>0.9999485473423072</v>
      </c>
      <c r="W27" s="58">
        <f t="shared" si="17"/>
        <v>5.14526576927965E-5</v>
      </c>
      <c r="X27" s="58">
        <f t="shared" si="18"/>
        <v>0.54296403597446274</v>
      </c>
    </row>
    <row r="28" spans="1:24" ht="18" customHeight="1" x14ac:dyDescent="0.3">
      <c r="A28" s="10">
        <v>25</v>
      </c>
      <c r="B28" s="38">
        <f>4.4/53.4*$J$28</f>
        <v>1062.2705287965045</v>
      </c>
      <c r="C28" s="38">
        <f>2.5/53.4*$J$28</f>
        <v>603.56280045255937</v>
      </c>
      <c r="D28" s="38">
        <f>2.1/53.4*$J$28</f>
        <v>506.99275238014991</v>
      </c>
      <c r="E28" s="38">
        <f>0/53.4*$J$28</f>
        <v>0</v>
      </c>
      <c r="F28" s="38">
        <f>38.8/53.4*$J$28</f>
        <v>9367.2946630237202</v>
      </c>
      <c r="G28" s="38">
        <f>5.1/53.4*$J$28</f>
        <v>1231.268112923221</v>
      </c>
      <c r="H28" s="38">
        <f>0.5*0.6/53.4*$J$28</f>
        <v>72.427536054307112</v>
      </c>
      <c r="I28" s="43">
        <f>0.5*0.4/53.4*$J$28</f>
        <v>48.285024036204753</v>
      </c>
      <c r="J28" s="36">
        <f>0.5262*88201378/3600</f>
        <v>12892.101417666667</v>
      </c>
      <c r="K28" s="22"/>
      <c r="L28" s="58">
        <f t="shared" si="42"/>
        <v>8.2397003745318359E-2</v>
      </c>
      <c r="M28" s="58">
        <f t="shared" si="43"/>
        <v>4.6816479400749067E-2</v>
      </c>
      <c r="N28" s="58">
        <f t="shared" si="44"/>
        <v>3.9325842696629219E-2</v>
      </c>
      <c r="O28" s="58">
        <f t="shared" si="45"/>
        <v>0</v>
      </c>
      <c r="P28" s="58">
        <f t="shared" si="46"/>
        <v>0.72659176029962547</v>
      </c>
      <c r="Q28" s="58">
        <f t="shared" si="47"/>
        <v>9.5505617977528087E-2</v>
      </c>
      <c r="R28" s="58">
        <f t="shared" si="48"/>
        <v>5.6179775280898875E-3</v>
      </c>
      <c r="S28" s="58">
        <f t="shared" si="49"/>
        <v>3.7453183520599256E-3</v>
      </c>
      <c r="U28" s="58">
        <f t="shared" si="16"/>
        <v>1</v>
      </c>
      <c r="W28" s="58">
        <f t="shared" si="17"/>
        <v>0</v>
      </c>
      <c r="X28" s="58">
        <f t="shared" si="18"/>
        <v>0.72659176029962547</v>
      </c>
    </row>
    <row r="29" spans="1:24" ht="18" customHeight="1" x14ac:dyDescent="0.3">
      <c r="A29" s="10">
        <v>26</v>
      </c>
      <c r="B29" s="38">
        <f>7.5*$J29/78.7</f>
        <v>442.54716890088946</v>
      </c>
      <c r="C29" s="38">
        <f>9.8*$J29/78.7</f>
        <v>578.26163403049566</v>
      </c>
      <c r="D29" s="38">
        <f>2.3*$J29/78.7</f>
        <v>135.71446512960611</v>
      </c>
      <c r="E29" s="38">
        <f>0.7*$J29/78.7</f>
        <v>41.304402430749683</v>
      </c>
      <c r="F29" s="38">
        <f>49.8*$J29/78.7</f>
        <v>2938.5132015019062</v>
      </c>
      <c r="G29" s="38">
        <f>7.6*$J29/78.7</f>
        <v>448.447797819568</v>
      </c>
      <c r="H29" s="38">
        <f>1*0.6*$J29/78.7</f>
        <v>35.403773512071162</v>
      </c>
      <c r="I29" s="43">
        <f>1*0.4*$J29/78.7</f>
        <v>23.602515674714109</v>
      </c>
      <c r="J29" s="37">
        <f>0.6066*27559614/3600</f>
        <v>4643.7949590000007</v>
      </c>
      <c r="K29" s="16"/>
      <c r="L29" s="58">
        <f t="shared" si="42"/>
        <v>9.529860228716644E-2</v>
      </c>
      <c r="M29" s="58">
        <f t="shared" si="43"/>
        <v>0.12452350698856417</v>
      </c>
      <c r="N29" s="58">
        <f t="shared" si="44"/>
        <v>2.922490470139771E-2</v>
      </c>
      <c r="O29" s="58">
        <f t="shared" si="45"/>
        <v>8.8945362134688673E-3</v>
      </c>
      <c r="P29" s="58">
        <f t="shared" si="46"/>
        <v>0.63278271918678519</v>
      </c>
      <c r="Q29" s="58">
        <f t="shared" si="47"/>
        <v>9.6569250317661989E-2</v>
      </c>
      <c r="R29" s="58">
        <f t="shared" si="48"/>
        <v>7.6238881829733167E-3</v>
      </c>
      <c r="S29" s="58">
        <f t="shared" si="49"/>
        <v>5.0825921219822112E-3</v>
      </c>
      <c r="U29" s="58">
        <f t="shared" si="16"/>
        <v>0.99999999999999989</v>
      </c>
      <c r="W29" s="58">
        <f t="shared" si="17"/>
        <v>0</v>
      </c>
      <c r="X29" s="58">
        <f t="shared" si="18"/>
        <v>0.63278271918678519</v>
      </c>
    </row>
    <row r="30" spans="1:24" ht="18" customHeight="1" x14ac:dyDescent="0.3">
      <c r="A30" s="10">
        <v>27</v>
      </c>
      <c r="B30" s="38">
        <f>7.5*$J30/78.7</f>
        <v>450.15800689326562</v>
      </c>
      <c r="C30" s="38">
        <f>9.8*$J30/78.7</f>
        <v>588.20646234053379</v>
      </c>
      <c r="D30" s="38">
        <f>2.3*$J30/78.7</f>
        <v>138.04845544726808</v>
      </c>
      <c r="E30" s="38">
        <f>0.7*$J30/78.7</f>
        <v>42.014747310038118</v>
      </c>
      <c r="F30" s="38">
        <f>49.8*$J30/78.7</f>
        <v>2989.0491657712832</v>
      </c>
      <c r="G30" s="38">
        <f>7.6*$J30/78.7</f>
        <v>456.16011365184238</v>
      </c>
      <c r="H30" s="38">
        <f>1*0.6*$J30/78.7</f>
        <v>36.012640551461246</v>
      </c>
      <c r="I30" s="43">
        <f>1*0.4*$J30/78.7</f>
        <v>24.008427034307498</v>
      </c>
      <c r="J30" s="37">
        <f>0.5724*29708541/3600</f>
        <v>4723.6580190000004</v>
      </c>
      <c r="K30" s="16"/>
      <c r="L30" s="58">
        <f t="shared" si="42"/>
        <v>9.5298602287166453E-2</v>
      </c>
      <c r="M30" s="58">
        <f t="shared" si="43"/>
        <v>0.12452350698856418</v>
      </c>
      <c r="N30" s="58">
        <f t="shared" si="44"/>
        <v>2.9224904701397707E-2</v>
      </c>
      <c r="O30" s="58">
        <f t="shared" si="45"/>
        <v>8.8945362134688673E-3</v>
      </c>
      <c r="P30" s="58">
        <f t="shared" si="46"/>
        <v>0.63278271918678519</v>
      </c>
      <c r="Q30" s="58">
        <f t="shared" si="47"/>
        <v>9.6569250317661989E-2</v>
      </c>
      <c r="R30" s="58">
        <f t="shared" si="48"/>
        <v>7.6238881829733159E-3</v>
      </c>
      <c r="S30" s="58">
        <f t="shared" si="49"/>
        <v>5.0825921219822112E-3</v>
      </c>
      <c r="U30" s="58">
        <f t="shared" si="16"/>
        <v>1</v>
      </c>
      <c r="W30" s="58">
        <f t="shared" si="17"/>
        <v>0</v>
      </c>
      <c r="X30" s="58">
        <f t="shared" si="18"/>
        <v>0.63278271918678519</v>
      </c>
    </row>
    <row r="31" spans="1:24" ht="18" customHeight="1" x14ac:dyDescent="0.3">
      <c r="A31" s="10">
        <v>28</v>
      </c>
      <c r="B31" s="38">
        <f>5.6/41*$J$31</f>
        <v>1524.6081946097556</v>
      </c>
      <c r="C31" s="38">
        <f>6.3/41*$J$31</f>
        <v>1715.1842189359754</v>
      </c>
      <c r="D31" s="38">
        <f>1.7/41*$J$31</f>
        <v>462.82748764939021</v>
      </c>
      <c r="E31" s="38">
        <f>0.7/41*$J$31</f>
        <v>190.57602432621945</v>
      </c>
      <c r="F31" s="38">
        <f>22.1/41*$J$31</f>
        <v>6016.7573394420724</v>
      </c>
      <c r="G31" s="38">
        <f>3.9/41*$J$31</f>
        <v>1061.7807069603657</v>
      </c>
      <c r="H31" s="38">
        <f>0.7*0.6/41*$J$31</f>
        <v>114.34561459573169</v>
      </c>
      <c r="I31" s="43">
        <f>0.7*0.4/41*$J$31</f>
        <v>76.230409730487779</v>
      </c>
      <c r="J31" s="36">
        <f>0.5103*78746455/3600</f>
        <v>11162.309996249998</v>
      </c>
      <c r="K31" s="22"/>
      <c r="L31" s="58">
        <f t="shared" si="42"/>
        <v>0.13658536585365852</v>
      </c>
      <c r="M31" s="58">
        <f t="shared" si="43"/>
        <v>0.15365853658536585</v>
      </c>
      <c r="N31" s="58">
        <f t="shared" si="44"/>
        <v>4.1463414634146344E-2</v>
      </c>
      <c r="O31" s="58">
        <f t="shared" si="45"/>
        <v>1.7073170731707315E-2</v>
      </c>
      <c r="P31" s="58">
        <f t="shared" si="46"/>
        <v>0.53902439024390247</v>
      </c>
      <c r="Q31" s="58">
        <f t="shared" si="47"/>
        <v>9.5121951219512196E-2</v>
      </c>
      <c r="R31" s="58">
        <f t="shared" si="48"/>
        <v>1.0243902439024391E-2</v>
      </c>
      <c r="S31" s="58">
        <f t="shared" si="49"/>
        <v>6.829268292682926E-3</v>
      </c>
      <c r="U31" s="58">
        <f t="shared" si="16"/>
        <v>1</v>
      </c>
      <c r="W31" s="58">
        <f t="shared" si="17"/>
        <v>0</v>
      </c>
      <c r="X31" s="58">
        <f t="shared" si="18"/>
        <v>0.53902439024390247</v>
      </c>
    </row>
    <row r="32" spans="1:24" ht="18" customHeight="1" x14ac:dyDescent="0.3">
      <c r="A32" s="10">
        <v>29</v>
      </c>
      <c r="B32" s="38">
        <f>5.7/66.7*$J$32</f>
        <v>1457.9123721483008</v>
      </c>
      <c r="C32" s="38">
        <f>4.9/66.7*$J$32</f>
        <v>1253.293091846785</v>
      </c>
      <c r="D32" s="38">
        <f>1.7/66.7*$J$32</f>
        <v>434.81597064072128</v>
      </c>
      <c r="E32" s="38">
        <f>0/66.7*$J$32</f>
        <v>0</v>
      </c>
      <c r="F32" s="38">
        <f>47.3/66.7*$J$32</f>
        <v>12098.114947827127</v>
      </c>
      <c r="G32" s="38">
        <f>6.5/66.7*$J$32</f>
        <v>1662.5316524498166</v>
      </c>
      <c r="H32" s="38">
        <f>0.7*0.6/66.7*$J$32</f>
        <v>107.42512215829585</v>
      </c>
      <c r="I32" s="43">
        <f>0.7*0.4/66.7*$J$32</f>
        <v>71.616748105530561</v>
      </c>
      <c r="J32" s="37">
        <f>0.5245*117095285/3600</f>
        <v>17060.132495138889</v>
      </c>
      <c r="K32" s="16"/>
      <c r="L32" s="58">
        <f t="shared" si="42"/>
        <v>8.5457271364317841E-2</v>
      </c>
      <c r="M32" s="58">
        <f t="shared" si="43"/>
        <v>7.3463268365817097E-2</v>
      </c>
      <c r="N32" s="58">
        <f t="shared" si="44"/>
        <v>2.548725637181409E-2</v>
      </c>
      <c r="O32" s="58">
        <f t="shared" si="45"/>
        <v>0</v>
      </c>
      <c r="P32" s="58">
        <f t="shared" si="46"/>
        <v>0.70914542728635677</v>
      </c>
      <c r="Q32" s="58">
        <f t="shared" si="47"/>
        <v>9.7451274362818585E-2</v>
      </c>
      <c r="R32" s="58">
        <f t="shared" si="48"/>
        <v>6.2968515742128934E-3</v>
      </c>
      <c r="S32" s="58">
        <f t="shared" si="49"/>
        <v>4.197901049475262E-3</v>
      </c>
      <c r="U32" s="58">
        <f t="shared" si="16"/>
        <v>1.0014992503748126</v>
      </c>
      <c r="W32" s="58">
        <f t="shared" si="17"/>
        <v>-1.4992503748125774E-3</v>
      </c>
      <c r="X32" s="58">
        <f t="shared" si="18"/>
        <v>0.70764617691154419</v>
      </c>
    </row>
    <row r="33" spans="1:24" ht="18" customHeight="1" x14ac:dyDescent="0.3">
      <c r="A33" s="10">
        <v>30</v>
      </c>
      <c r="B33" s="38">
        <f>5.7/66.7*$J$33</f>
        <v>124.18677733283357</v>
      </c>
      <c r="C33" s="38">
        <f>4.9/66.7*$J$33</f>
        <v>106.75705419840079</v>
      </c>
      <c r="D33" s="38">
        <f>1.7/66.7*$J$33</f>
        <v>37.038161660669658</v>
      </c>
      <c r="E33" s="38">
        <f>0/66.7*$J$33</f>
        <v>0</v>
      </c>
      <c r="F33" s="38">
        <f>47.3/66.7*$J$33</f>
        <v>1030.5323803233382</v>
      </c>
      <c r="G33" s="38">
        <f>6.5/66.7*$J$33</f>
        <v>141.61650046726635</v>
      </c>
      <c r="H33" s="38">
        <f>0.7*0.6/66.7*$J$33</f>
        <v>9.1506046455772108</v>
      </c>
      <c r="I33" s="43">
        <f>0.7*0.4/66.7*$J$33</f>
        <v>6.1004030970514735</v>
      </c>
      <c r="J33" s="36">
        <f>0.4346*12037578/3600</f>
        <v>1453.2031663333332</v>
      </c>
      <c r="K33" s="16"/>
      <c r="L33" s="58">
        <f t="shared" si="42"/>
        <v>8.5457271364317841E-2</v>
      </c>
      <c r="M33" s="58">
        <f t="shared" si="43"/>
        <v>7.3463268365817097E-2</v>
      </c>
      <c r="N33" s="58">
        <f t="shared" si="44"/>
        <v>2.548725637181409E-2</v>
      </c>
      <c r="O33" s="58">
        <f t="shared" si="45"/>
        <v>0</v>
      </c>
      <c r="P33" s="58">
        <f t="shared" si="46"/>
        <v>0.70914542728635677</v>
      </c>
      <c r="Q33" s="58">
        <f t="shared" si="47"/>
        <v>9.7451274362818585E-2</v>
      </c>
      <c r="R33" s="58">
        <f t="shared" si="48"/>
        <v>6.2968515742128934E-3</v>
      </c>
      <c r="S33" s="58">
        <f t="shared" si="49"/>
        <v>4.197901049475262E-3</v>
      </c>
      <c r="U33" s="58">
        <f t="shared" si="16"/>
        <v>1.0014992503748126</v>
      </c>
      <c r="W33" s="58">
        <f t="shared" si="17"/>
        <v>-1.4992503748125774E-3</v>
      </c>
      <c r="X33" s="58">
        <f t="shared" si="18"/>
        <v>0.70764617691154419</v>
      </c>
    </row>
    <row r="34" spans="1:24" ht="18" customHeight="1" x14ac:dyDescent="0.3">
      <c r="A34" s="10">
        <v>31</v>
      </c>
      <c r="B34" s="38">
        <f>7.5*$J34/78.7</f>
        <v>112.06450543996186</v>
      </c>
      <c r="C34" s="38">
        <f>9.8*$J34/78.7</f>
        <v>146.43095377488351</v>
      </c>
      <c r="D34" s="38">
        <f>2.3*$J34/78.7</f>
        <v>34.366448334921635</v>
      </c>
      <c r="E34" s="38">
        <f>0.7*$J34/78.7</f>
        <v>10.459353841063107</v>
      </c>
      <c r="F34" s="38">
        <f>49.8*$J34/78.7</f>
        <v>744.10831612134677</v>
      </c>
      <c r="G34" s="38">
        <f>7.6*$J34/78.7</f>
        <v>113.55869884582802</v>
      </c>
      <c r="H34" s="38">
        <f>1*0.6*$J34/78.7</f>
        <v>8.9651604351969478</v>
      </c>
      <c r="I34" s="43">
        <f>1*0.4*$J34/78.7</f>
        <v>5.9767736234646334</v>
      </c>
      <c r="J34" s="37">
        <f>0.4155*10188565/3600</f>
        <v>1175.9302104166666</v>
      </c>
      <c r="K34" s="16"/>
      <c r="L34" s="58">
        <f t="shared" si="42"/>
        <v>9.5298602287166453E-2</v>
      </c>
      <c r="M34" s="58">
        <f t="shared" si="43"/>
        <v>0.12452350698856417</v>
      </c>
      <c r="N34" s="58">
        <f t="shared" si="44"/>
        <v>2.922490470139771E-2</v>
      </c>
      <c r="O34" s="58">
        <f t="shared" si="45"/>
        <v>8.8945362134688691E-3</v>
      </c>
      <c r="P34" s="58">
        <f t="shared" si="46"/>
        <v>0.63278271918678519</v>
      </c>
      <c r="Q34" s="58">
        <f t="shared" si="47"/>
        <v>9.6569250317662003E-2</v>
      </c>
      <c r="R34" s="58">
        <f t="shared" si="48"/>
        <v>7.623888182973315E-3</v>
      </c>
      <c r="S34" s="58">
        <f t="shared" si="49"/>
        <v>5.0825921219822112E-3</v>
      </c>
      <c r="U34" s="58">
        <f t="shared" si="16"/>
        <v>1</v>
      </c>
      <c r="W34" s="58">
        <f t="shared" si="17"/>
        <v>0</v>
      </c>
      <c r="X34" s="58">
        <f t="shared" si="18"/>
        <v>0.63278271918678519</v>
      </c>
    </row>
    <row r="35" spans="1:24" ht="18" customHeight="1" x14ac:dyDescent="0.3">
      <c r="A35" s="10">
        <v>32</v>
      </c>
      <c r="B35" s="38">
        <f t="shared" ref="B35:B36" si="50">7.5*$J35/78.7</f>
        <v>136.25025956162645</v>
      </c>
      <c r="C35" s="38">
        <f t="shared" ref="C35:C36" si="51">9.8*$J35/78.7</f>
        <v>178.03367249385855</v>
      </c>
      <c r="D35" s="38">
        <f t="shared" ref="D35:D36" si="52">2.3*$J35/78.7</f>
        <v>41.783412932232103</v>
      </c>
      <c r="E35" s="38">
        <f t="shared" ref="E35:E36" si="53">0.7*$J35/78.7</f>
        <v>12.716690892418466</v>
      </c>
      <c r="F35" s="38">
        <f t="shared" ref="F35:F36" si="54">49.8*$J35/78.7</f>
        <v>904.70172348919937</v>
      </c>
      <c r="G35" s="38">
        <f t="shared" ref="G35:G36" si="55">7.6*$J35/78.7</f>
        <v>138.06692968911477</v>
      </c>
      <c r="H35" s="38">
        <f t="shared" ref="H35:H36" si="56">1*0.6*$J35/78.7</f>
        <v>10.900020764930115</v>
      </c>
      <c r="I35" s="43">
        <f t="shared" ref="I35:I36" si="57">1*0.4*$J35/78.7</f>
        <v>7.2666805099534102</v>
      </c>
      <c r="J35" s="37">
        <f>0.4681*10995492/3600</f>
        <v>1429.7193903333334</v>
      </c>
      <c r="K35" s="16"/>
      <c r="L35" s="58">
        <f t="shared" si="42"/>
        <v>9.5298602287166467E-2</v>
      </c>
      <c r="M35" s="58">
        <f t="shared" si="43"/>
        <v>0.12452350698856417</v>
      </c>
      <c r="N35" s="58">
        <f t="shared" si="44"/>
        <v>2.922490470139771E-2</v>
      </c>
      <c r="O35" s="58">
        <f t="shared" si="45"/>
        <v>8.8945362134688673E-3</v>
      </c>
      <c r="P35" s="58">
        <f t="shared" si="46"/>
        <v>0.63278271918678508</v>
      </c>
      <c r="Q35" s="58">
        <f t="shared" si="47"/>
        <v>9.6569250317661989E-2</v>
      </c>
      <c r="R35" s="58">
        <f t="shared" si="48"/>
        <v>7.6238881829733167E-3</v>
      </c>
      <c r="S35" s="58">
        <f t="shared" si="49"/>
        <v>5.0825921219822112E-3</v>
      </c>
      <c r="U35" s="58">
        <f t="shared" si="16"/>
        <v>0.99999999999999978</v>
      </c>
      <c r="W35" s="58">
        <f t="shared" si="17"/>
        <v>0</v>
      </c>
      <c r="X35" s="58">
        <f t="shared" si="18"/>
        <v>0.63278271918678508</v>
      </c>
    </row>
    <row r="36" spans="1:24" ht="18" customHeight="1" x14ac:dyDescent="0.3">
      <c r="A36" s="10">
        <v>33</v>
      </c>
      <c r="B36" s="38">
        <f t="shared" si="50"/>
        <v>71.739129134900452</v>
      </c>
      <c r="C36" s="38">
        <f t="shared" si="51"/>
        <v>93.739128736269933</v>
      </c>
      <c r="D36" s="38">
        <f t="shared" si="52"/>
        <v>21.999999601369471</v>
      </c>
      <c r="E36" s="38">
        <f t="shared" si="53"/>
        <v>6.6956520525907086</v>
      </c>
      <c r="F36" s="38">
        <f t="shared" si="54"/>
        <v>476.347817455739</v>
      </c>
      <c r="G36" s="38">
        <f t="shared" si="55"/>
        <v>72.695650856699132</v>
      </c>
      <c r="H36" s="38">
        <f t="shared" si="56"/>
        <v>5.7391303307920358</v>
      </c>
      <c r="I36" s="43">
        <f t="shared" si="57"/>
        <v>3.8260868871946911</v>
      </c>
      <c r="J36" s="36">
        <f>0.3787*7156106/3600</f>
        <v>752.78259505555548</v>
      </c>
      <c r="K36" s="16"/>
      <c r="L36" s="58">
        <f t="shared" si="42"/>
        <v>9.529860228716644E-2</v>
      </c>
      <c r="M36" s="58">
        <f t="shared" si="43"/>
        <v>0.12452350698856417</v>
      </c>
      <c r="N36" s="58">
        <f t="shared" si="44"/>
        <v>2.9224904701397707E-2</v>
      </c>
      <c r="O36" s="58">
        <f t="shared" si="45"/>
        <v>8.8945362134688673E-3</v>
      </c>
      <c r="P36" s="58">
        <f t="shared" si="46"/>
        <v>0.63278271918678519</v>
      </c>
      <c r="Q36" s="58">
        <f t="shared" si="47"/>
        <v>9.6569250317662003E-2</v>
      </c>
      <c r="R36" s="58">
        <f t="shared" si="48"/>
        <v>7.623888182973315E-3</v>
      </c>
      <c r="S36" s="58">
        <f t="shared" si="49"/>
        <v>5.0825921219822112E-3</v>
      </c>
      <c r="U36" s="58">
        <f t="shared" si="16"/>
        <v>0.99999999999999989</v>
      </c>
      <c r="W36" s="58">
        <f t="shared" si="17"/>
        <v>0</v>
      </c>
      <c r="X36" s="58">
        <f t="shared" si="18"/>
        <v>0.63278271918678519</v>
      </c>
    </row>
    <row r="37" spans="1:24" ht="18" customHeight="1" x14ac:dyDescent="0.3">
      <c r="A37" s="21" t="s">
        <v>100</v>
      </c>
      <c r="B37" s="31"/>
      <c r="C37" s="31"/>
      <c r="D37" s="31"/>
      <c r="E37" s="31"/>
      <c r="F37" s="31"/>
      <c r="G37" s="31"/>
      <c r="H37" s="31"/>
      <c r="I37" s="31"/>
      <c r="J37" s="30"/>
      <c r="K37" s="16"/>
      <c r="L37" s="58"/>
      <c r="M37" s="58"/>
      <c r="N37" s="58"/>
      <c r="O37" s="58"/>
      <c r="P37" s="58"/>
      <c r="Q37" s="58"/>
      <c r="R37" s="58"/>
      <c r="S37" s="58"/>
      <c r="U37" s="58"/>
      <c r="W37" s="58"/>
      <c r="X37" s="58"/>
    </row>
    <row r="38" spans="1:24" ht="18" customHeight="1" x14ac:dyDescent="0.3">
      <c r="A38" s="10">
        <v>35</v>
      </c>
      <c r="B38" s="38">
        <f>0.36*$J38</f>
        <v>9232.3835595337205</v>
      </c>
      <c r="C38" s="38">
        <f>0.164*$J38</f>
        <v>4205.8636215653623</v>
      </c>
      <c r="D38" s="38">
        <f>0.02*$J38</f>
        <v>512.9101977518734</v>
      </c>
      <c r="E38" s="38">
        <f>0.085*$J38</f>
        <v>2179.8683404454623</v>
      </c>
      <c r="F38" s="38">
        <f>0.248*$J38</f>
        <v>6360.0864521232306</v>
      </c>
      <c r="G38" s="38">
        <f>0.048*$J38</f>
        <v>1230.9844746044962</v>
      </c>
      <c r="H38" s="38">
        <f>0.037*$J38</f>
        <v>948.88386584096577</v>
      </c>
      <c r="I38" s="43">
        <f>0.039*$J38</f>
        <v>1000.1748856161531</v>
      </c>
      <c r="J38" s="37">
        <f>J40*227939/37067</f>
        <v>25645.509887593671</v>
      </c>
      <c r="K38" s="16"/>
      <c r="L38" s="58">
        <f t="shared" si="42"/>
        <v>0.35999999999999993</v>
      </c>
      <c r="M38" s="58">
        <f t="shared" si="43"/>
        <v>0.16400000000000001</v>
      </c>
      <c r="N38" s="58">
        <f t="shared" si="44"/>
        <v>0.02</v>
      </c>
      <c r="O38" s="58">
        <f t="shared" si="45"/>
        <v>8.5000000000000006E-2</v>
      </c>
      <c r="P38" s="58">
        <f t="shared" si="46"/>
        <v>0.248</v>
      </c>
      <c r="Q38" s="58">
        <f t="shared" si="47"/>
        <v>4.8000000000000001E-2</v>
      </c>
      <c r="R38" s="58">
        <f t="shared" si="48"/>
        <v>3.6999999999999998E-2</v>
      </c>
      <c r="S38" s="58">
        <f t="shared" si="49"/>
        <v>3.9E-2</v>
      </c>
      <c r="U38" s="58">
        <f t="shared" si="16"/>
        <v>1.0009999999999999</v>
      </c>
      <c r="W38" s="58">
        <f t="shared" si="17"/>
        <v>-9.9999999999988987E-4</v>
      </c>
      <c r="X38" s="58">
        <f t="shared" si="18"/>
        <v>0.24700000000000011</v>
      </c>
    </row>
    <row r="39" spans="1:24" ht="18" customHeight="1" x14ac:dyDescent="0.3">
      <c r="A39" s="17" t="s">
        <v>120</v>
      </c>
      <c r="B39" s="32"/>
      <c r="C39" s="32"/>
      <c r="D39" s="32"/>
      <c r="E39" s="32"/>
      <c r="F39" s="32"/>
      <c r="G39" s="32"/>
      <c r="H39" s="32"/>
      <c r="I39" s="32"/>
      <c r="J39" s="45"/>
      <c r="L39" s="58"/>
      <c r="M39" s="58"/>
      <c r="N39" s="58"/>
      <c r="O39" s="58"/>
      <c r="P39" s="58"/>
      <c r="Q39" s="58"/>
      <c r="R39" s="58"/>
      <c r="S39" s="58"/>
      <c r="U39" s="58"/>
      <c r="W39" s="58"/>
      <c r="X39" s="58"/>
    </row>
    <row r="40" spans="1:24" ht="18" customHeight="1" x14ac:dyDescent="0.3">
      <c r="A40" s="10">
        <v>36</v>
      </c>
      <c r="B40" s="38">
        <f>0.36*$J40</f>
        <v>1501.3523855120732</v>
      </c>
      <c r="C40" s="38">
        <f>0.164*$J40</f>
        <v>683.94942006661108</v>
      </c>
      <c r="D40" s="38">
        <f>0.02*$J40</f>
        <v>83.408465861781849</v>
      </c>
      <c r="E40" s="38">
        <f>0.085*$J40</f>
        <v>354.48597991257287</v>
      </c>
      <c r="F40" s="38">
        <f>0.248*$J40</f>
        <v>1034.2649766860948</v>
      </c>
      <c r="G40" s="38">
        <f>0.048*$J40</f>
        <v>200.18031806827642</v>
      </c>
      <c r="H40" s="38">
        <f>0.037*$J40</f>
        <v>154.3056618442964</v>
      </c>
      <c r="I40" s="43">
        <f>0.039*$J40</f>
        <v>162.6465084304746</v>
      </c>
      <c r="J40" s="37">
        <f>7567*37067/(37067+30189)</f>
        <v>4170.4232930890921</v>
      </c>
      <c r="L40" s="58">
        <f t="shared" si="42"/>
        <v>0.36</v>
      </c>
      <c r="M40" s="58">
        <f t="shared" si="43"/>
        <v>0.16400000000000001</v>
      </c>
      <c r="N40" s="58">
        <f t="shared" si="44"/>
        <v>0.02</v>
      </c>
      <c r="O40" s="58">
        <f t="shared" si="45"/>
        <v>8.5000000000000006E-2</v>
      </c>
      <c r="P40" s="58">
        <f t="shared" si="46"/>
        <v>0.24799999999999997</v>
      </c>
      <c r="Q40" s="58">
        <f t="shared" si="47"/>
        <v>4.8000000000000001E-2</v>
      </c>
      <c r="R40" s="58">
        <f t="shared" si="48"/>
        <v>3.6999999999999998E-2</v>
      </c>
      <c r="S40" s="58">
        <f t="shared" si="49"/>
        <v>3.9E-2</v>
      </c>
      <c r="U40" s="58">
        <f t="shared" si="16"/>
        <v>1.0010000000000001</v>
      </c>
      <c r="W40" s="58">
        <f t="shared" si="17"/>
        <v>-1.0000000000001119E-3</v>
      </c>
      <c r="X40" s="58">
        <f t="shared" si="18"/>
        <v>0.24699999999999986</v>
      </c>
    </row>
    <row r="41" spans="1:24" ht="18" customHeight="1" x14ac:dyDescent="0.3">
      <c r="A41" s="10">
        <v>37</v>
      </c>
      <c r="B41" s="38">
        <f>0.36*$J41</f>
        <v>1222.7676144879267</v>
      </c>
      <c r="C41" s="38">
        <f>0.164*$J41</f>
        <v>557.03857993338886</v>
      </c>
      <c r="D41" s="38">
        <f>0.02*$J41</f>
        <v>67.931534138218154</v>
      </c>
      <c r="E41" s="38">
        <f>0.085*$J41</f>
        <v>288.70902008742718</v>
      </c>
      <c r="F41" s="38">
        <f>0.248*$J41</f>
        <v>842.35102331390499</v>
      </c>
      <c r="G41" s="38">
        <f>0.048*$J41</f>
        <v>163.03568193172356</v>
      </c>
      <c r="H41" s="38">
        <f>0.037*$J41</f>
        <v>125.67333815570358</v>
      </c>
      <c r="I41" s="43">
        <f>0.039*$J41</f>
        <v>132.4664915695254</v>
      </c>
      <c r="J41" s="36">
        <f>7567*30189/(37067+30189)</f>
        <v>3396.5767069109074</v>
      </c>
      <c r="L41" s="58">
        <f t="shared" si="42"/>
        <v>0.36</v>
      </c>
      <c r="M41" s="58">
        <f t="shared" si="43"/>
        <v>0.16400000000000001</v>
      </c>
      <c r="N41" s="58">
        <f t="shared" si="44"/>
        <v>0.02</v>
      </c>
      <c r="O41" s="58">
        <f t="shared" si="45"/>
        <v>8.500000000000002E-2</v>
      </c>
      <c r="P41" s="58">
        <f t="shared" si="46"/>
        <v>0.24799999999999997</v>
      </c>
      <c r="Q41" s="58">
        <f t="shared" si="47"/>
        <v>4.8000000000000001E-2</v>
      </c>
      <c r="R41" s="58">
        <f t="shared" si="48"/>
        <v>3.6999999999999998E-2</v>
      </c>
      <c r="S41" s="58">
        <f t="shared" si="49"/>
        <v>3.9000000000000007E-2</v>
      </c>
      <c r="U41" s="58">
        <f t="shared" si="16"/>
        <v>1.0010000000000001</v>
      </c>
      <c r="W41" s="58">
        <f t="shared" si="17"/>
        <v>-1.0000000000001119E-3</v>
      </c>
      <c r="X41" s="58">
        <f t="shared" si="18"/>
        <v>0.24699999999999986</v>
      </c>
    </row>
    <row r="42" spans="1:24" ht="18" customHeight="1" x14ac:dyDescent="0.3">
      <c r="A42" s="10">
        <v>38</v>
      </c>
      <c r="B42" s="38">
        <f>0.36*$J42</f>
        <v>99.889012079999986</v>
      </c>
      <c r="C42" s="38">
        <f>0.164*$J42</f>
        <v>45.504994392</v>
      </c>
      <c r="D42" s="38">
        <f>0.02*$J42</f>
        <v>5.5493895599999998</v>
      </c>
      <c r="E42" s="38">
        <f>0.085*$J42</f>
        <v>23.584905630000002</v>
      </c>
      <c r="F42" s="38">
        <f>0.248*$J42</f>
        <v>68.812430543999994</v>
      </c>
      <c r="G42" s="38">
        <f>0.048*$J42</f>
        <v>13.318534944</v>
      </c>
      <c r="H42" s="38">
        <f>0.037*$J42</f>
        <v>10.266370685999998</v>
      </c>
      <c r="I42" s="43">
        <f>0.039*$J42</f>
        <v>10.821309641999999</v>
      </c>
      <c r="J42" s="37">
        <f>1683/10^6*164866</f>
        <v>277.46947799999998</v>
      </c>
      <c r="L42" s="58">
        <f t="shared" si="42"/>
        <v>0.36</v>
      </c>
      <c r="M42" s="58">
        <f t="shared" si="43"/>
        <v>0.16400000000000001</v>
      </c>
      <c r="N42" s="58">
        <f t="shared" si="44"/>
        <v>0.02</v>
      </c>
      <c r="O42" s="58">
        <f t="shared" si="45"/>
        <v>8.5000000000000006E-2</v>
      </c>
      <c r="P42" s="58">
        <f t="shared" si="46"/>
        <v>0.248</v>
      </c>
      <c r="Q42" s="58">
        <f t="shared" si="47"/>
        <v>4.8000000000000001E-2</v>
      </c>
      <c r="R42" s="58">
        <f t="shared" si="48"/>
        <v>3.6999999999999998E-2</v>
      </c>
      <c r="S42" s="58">
        <f t="shared" si="49"/>
        <v>3.9E-2</v>
      </c>
      <c r="U42" s="58">
        <f t="shared" si="16"/>
        <v>1.0010000000000001</v>
      </c>
      <c r="W42" s="58">
        <f t="shared" si="17"/>
        <v>-1.0000000000001119E-3</v>
      </c>
      <c r="X42" s="58">
        <f t="shared" si="18"/>
        <v>0.24699999999999989</v>
      </c>
    </row>
    <row r="43" spans="1:24" ht="18" customHeight="1" x14ac:dyDescent="0.3">
      <c r="A43" s="10">
        <v>39</v>
      </c>
      <c r="B43" s="38">
        <f>0.36*$J43</f>
        <v>1.9569923999999999</v>
      </c>
      <c r="C43" s="38">
        <f>0.164*$J43</f>
        <v>0.89151876000000008</v>
      </c>
      <c r="D43" s="38">
        <f>0.02*$J43</f>
        <v>0.10872180000000001</v>
      </c>
      <c r="E43" s="38">
        <f>0.085*$J43</f>
        <v>0.46206765000000005</v>
      </c>
      <c r="F43" s="38">
        <f>0.248*$J43</f>
        <v>1.34815032</v>
      </c>
      <c r="G43" s="38">
        <f>0.048*$J43</f>
        <v>0.26093232</v>
      </c>
      <c r="H43" s="38">
        <f>0.037*$J43</f>
        <v>0.20113533</v>
      </c>
      <c r="I43" s="43">
        <f>0.039*$J43</f>
        <v>0.21200751000000001</v>
      </c>
      <c r="J43" s="37">
        <f>1683/10^6*3230</f>
        <v>5.4360900000000001</v>
      </c>
      <c r="L43" s="58">
        <f t="shared" si="42"/>
        <v>0.36</v>
      </c>
      <c r="M43" s="58">
        <f t="shared" si="43"/>
        <v>0.16400000000000001</v>
      </c>
      <c r="N43" s="58">
        <f t="shared" si="44"/>
        <v>0.02</v>
      </c>
      <c r="O43" s="58">
        <f t="shared" si="45"/>
        <v>8.5000000000000006E-2</v>
      </c>
      <c r="P43" s="58">
        <f t="shared" si="46"/>
        <v>0.248</v>
      </c>
      <c r="Q43" s="58">
        <f t="shared" si="47"/>
        <v>4.8000000000000001E-2</v>
      </c>
      <c r="R43" s="58">
        <f t="shared" si="48"/>
        <v>3.6999999999999998E-2</v>
      </c>
      <c r="S43" s="58">
        <f t="shared" si="49"/>
        <v>3.9E-2</v>
      </c>
      <c r="U43" s="58">
        <f t="shared" si="16"/>
        <v>1.0010000000000001</v>
      </c>
      <c r="W43" s="58">
        <f t="shared" si="17"/>
        <v>-1.0000000000001119E-3</v>
      </c>
      <c r="X43" s="58">
        <f t="shared" si="18"/>
        <v>0.24699999999999989</v>
      </c>
    </row>
    <row r="44" spans="1:24" ht="18" customHeight="1" x14ac:dyDescent="0.3">
      <c r="A44" s="17" t="s">
        <v>101</v>
      </c>
      <c r="B44" s="35"/>
      <c r="C44" s="35"/>
      <c r="D44" s="35"/>
      <c r="E44" s="35"/>
      <c r="F44" s="35"/>
      <c r="G44" s="35"/>
      <c r="H44" s="35"/>
      <c r="I44" s="35"/>
      <c r="J44" s="46"/>
      <c r="L44" s="58"/>
      <c r="M44" s="58"/>
      <c r="N44" s="58"/>
      <c r="O44" s="58"/>
      <c r="P44" s="58"/>
      <c r="Q44" s="58"/>
      <c r="R44" s="58"/>
      <c r="S44" s="58"/>
      <c r="U44" s="58"/>
      <c r="W44" s="58"/>
      <c r="X44" s="58"/>
    </row>
    <row r="45" spans="1:24" ht="18" customHeight="1" x14ac:dyDescent="0.3">
      <c r="A45" s="10">
        <v>41</v>
      </c>
      <c r="B45" s="38">
        <f>0.36*$J45</f>
        <v>150.69291264</v>
      </c>
      <c r="C45" s="38">
        <f>0.164*$J45</f>
        <v>68.648993536000006</v>
      </c>
      <c r="D45" s="38">
        <f>0.02*$J45</f>
        <v>8.3718284800000013</v>
      </c>
      <c r="E45" s="38">
        <f>0.085*$J45</f>
        <v>35.580271040000007</v>
      </c>
      <c r="F45" s="38">
        <f>0.248*$J45</f>
        <v>103.81067315200001</v>
      </c>
      <c r="G45" s="38">
        <f>0.048*$J45</f>
        <v>20.092388352</v>
      </c>
      <c r="H45" s="38">
        <f>0.037*$J45</f>
        <v>15.487882687999999</v>
      </c>
      <c r="I45" s="43">
        <f>0.039*$J45</f>
        <v>16.325065536</v>
      </c>
      <c r="J45" s="37">
        <f>1532*273232/10^6</f>
        <v>418.59142400000002</v>
      </c>
      <c r="L45" s="58">
        <f t="shared" si="42"/>
        <v>0.36</v>
      </c>
      <c r="M45" s="58">
        <f t="shared" si="43"/>
        <v>0.16400000000000001</v>
      </c>
      <c r="N45" s="58">
        <f t="shared" si="44"/>
        <v>2.0000000000000004E-2</v>
      </c>
      <c r="O45" s="58">
        <f t="shared" si="45"/>
        <v>8.5000000000000006E-2</v>
      </c>
      <c r="P45" s="58">
        <f t="shared" si="46"/>
        <v>0.248</v>
      </c>
      <c r="Q45" s="58">
        <f t="shared" si="47"/>
        <v>4.8000000000000001E-2</v>
      </c>
      <c r="R45" s="58">
        <f t="shared" si="48"/>
        <v>3.6999999999999998E-2</v>
      </c>
      <c r="S45" s="58">
        <f t="shared" si="49"/>
        <v>3.9E-2</v>
      </c>
      <c r="U45" s="58">
        <f t="shared" si="16"/>
        <v>1.0010000000000001</v>
      </c>
      <c r="W45" s="58">
        <f t="shared" si="17"/>
        <v>-1.0000000000001119E-3</v>
      </c>
      <c r="X45" s="58">
        <f t="shared" si="18"/>
        <v>0.24699999999999989</v>
      </c>
    </row>
    <row r="46" spans="1:24" ht="18" customHeight="1" x14ac:dyDescent="0.3">
      <c r="A46" s="10">
        <v>42</v>
      </c>
      <c r="B46" s="38">
        <f>0.36*$J46</f>
        <v>110.33543664</v>
      </c>
      <c r="C46" s="38">
        <f>0.164*$J46</f>
        <v>50.263921136</v>
      </c>
      <c r="D46" s="38">
        <f>0.02*$J46</f>
        <v>6.1297464800000006</v>
      </c>
      <c r="E46" s="38">
        <f>0.085*$J46</f>
        <v>26.051422540000001</v>
      </c>
      <c r="F46" s="38">
        <f>0.248*$J46</f>
        <v>76.008856351999995</v>
      </c>
      <c r="G46" s="38">
        <f>0.048*$J46</f>
        <v>14.711391552</v>
      </c>
      <c r="H46" s="38">
        <f>0.037*$J46</f>
        <v>11.340030987999999</v>
      </c>
      <c r="I46" s="43">
        <f>0.039*$J46</f>
        <v>11.953005636</v>
      </c>
      <c r="J46" s="36">
        <f>1532*200057/10^6</f>
        <v>306.487324</v>
      </c>
      <c r="L46" s="58">
        <f t="shared" si="42"/>
        <v>0.36</v>
      </c>
      <c r="M46" s="58">
        <f t="shared" si="43"/>
        <v>0.16400000000000001</v>
      </c>
      <c r="N46" s="58">
        <f t="shared" si="44"/>
        <v>0.02</v>
      </c>
      <c r="O46" s="58">
        <f t="shared" si="45"/>
        <v>8.5000000000000006E-2</v>
      </c>
      <c r="P46" s="58">
        <f t="shared" si="46"/>
        <v>0.24799999999999997</v>
      </c>
      <c r="Q46" s="58">
        <f t="shared" si="47"/>
        <v>4.8000000000000001E-2</v>
      </c>
      <c r="R46" s="58">
        <f t="shared" si="48"/>
        <v>3.6999999999999998E-2</v>
      </c>
      <c r="S46" s="58">
        <f t="shared" si="49"/>
        <v>3.9E-2</v>
      </c>
      <c r="U46" s="58">
        <f t="shared" si="16"/>
        <v>1.0010000000000001</v>
      </c>
      <c r="W46" s="58">
        <f t="shared" si="17"/>
        <v>-1.0000000000001119E-3</v>
      </c>
      <c r="X46" s="58">
        <f t="shared" si="18"/>
        <v>0.24699999999999986</v>
      </c>
    </row>
    <row r="47" spans="1:24" ht="18" customHeight="1" x14ac:dyDescent="0.3">
      <c r="A47" s="10">
        <v>43</v>
      </c>
      <c r="B47" s="38">
        <f>0.36*$J47</f>
        <v>680.45875775999991</v>
      </c>
      <c r="C47" s="38">
        <f>0.164*$J47</f>
        <v>309.98676742399999</v>
      </c>
      <c r="D47" s="38">
        <f>0.02*$J47</f>
        <v>37.803264319999997</v>
      </c>
      <c r="E47" s="38">
        <f>0.085*$J47</f>
        <v>160.66387336</v>
      </c>
      <c r="F47" s="38">
        <f>0.248*$J47</f>
        <v>468.760477568</v>
      </c>
      <c r="G47" s="38">
        <f>0.048*$J47</f>
        <v>90.727834368000003</v>
      </c>
      <c r="H47" s="38">
        <f>0.037*$J47</f>
        <v>69.936038991999993</v>
      </c>
      <c r="I47" s="43">
        <f>0.039*$J47</f>
        <v>73.716365424000003</v>
      </c>
      <c r="J47" s="37">
        <f>1532*1233788/10^6</f>
        <v>1890.1632159999999</v>
      </c>
      <c r="L47" s="58">
        <f t="shared" si="42"/>
        <v>0.36</v>
      </c>
      <c r="M47" s="58">
        <f t="shared" si="43"/>
        <v>0.16400000000000001</v>
      </c>
      <c r="N47" s="58">
        <f t="shared" si="44"/>
        <v>0.02</v>
      </c>
      <c r="O47" s="58">
        <f t="shared" si="45"/>
        <v>8.5000000000000006E-2</v>
      </c>
      <c r="P47" s="58">
        <f t="shared" si="46"/>
        <v>0.248</v>
      </c>
      <c r="Q47" s="58">
        <f t="shared" si="47"/>
        <v>4.8000000000000001E-2</v>
      </c>
      <c r="R47" s="58">
        <f t="shared" si="48"/>
        <v>3.6999999999999998E-2</v>
      </c>
      <c r="S47" s="58">
        <f t="shared" si="49"/>
        <v>3.9E-2</v>
      </c>
      <c r="U47" s="58">
        <f t="shared" si="16"/>
        <v>1.0010000000000001</v>
      </c>
      <c r="W47" s="58">
        <f t="shared" si="17"/>
        <v>-1.0000000000001119E-3</v>
      </c>
      <c r="X47" s="58">
        <f t="shared" si="18"/>
        <v>0.24699999999999989</v>
      </c>
    </row>
    <row r="48" spans="1:24" ht="18" customHeight="1" x14ac:dyDescent="0.3">
      <c r="A48" s="13" t="s">
        <v>102</v>
      </c>
      <c r="B48" s="33"/>
      <c r="C48" s="34"/>
      <c r="D48" s="34"/>
      <c r="E48" s="34"/>
      <c r="F48" s="34"/>
      <c r="G48" s="34"/>
      <c r="H48" s="34"/>
      <c r="I48" s="34"/>
      <c r="J48" s="47"/>
      <c r="L48" s="58"/>
      <c r="M48" s="58"/>
      <c r="N48" s="58"/>
      <c r="O48" s="58"/>
      <c r="P48" s="58"/>
      <c r="Q48" s="58"/>
      <c r="R48" s="58"/>
      <c r="S48" s="58"/>
      <c r="U48" s="58"/>
      <c r="W48" s="58"/>
      <c r="X48" s="58"/>
    </row>
    <row r="49" spans="1:24" ht="18" customHeight="1" x14ac:dyDescent="0.3">
      <c r="A49" s="10">
        <v>45</v>
      </c>
      <c r="B49" s="38">
        <f>0.36*$J49</f>
        <v>381.59473571999996</v>
      </c>
      <c r="C49" s="38">
        <f>0.164*$J49</f>
        <v>173.837601828</v>
      </c>
      <c r="D49" s="38">
        <f>0.02*$J49</f>
        <v>21.199707539999999</v>
      </c>
      <c r="E49" s="38">
        <f>0.085*$J49</f>
        <v>90.098757044999999</v>
      </c>
      <c r="F49" s="38">
        <f>0.248*$J49</f>
        <v>262.87637349599999</v>
      </c>
      <c r="G49" s="38">
        <f>0.048*$J49</f>
        <v>50.879298095999999</v>
      </c>
      <c r="H49" s="38">
        <f>0.037*$J49</f>
        <v>39.219458949</v>
      </c>
      <c r="I49" s="43">
        <f>0.039*$J49</f>
        <v>41.339429703</v>
      </c>
      <c r="J49" s="37">
        <f>1683/10^6*629819</f>
        <v>1059.985377</v>
      </c>
      <c r="L49" s="58">
        <f t="shared" si="42"/>
        <v>0.36</v>
      </c>
      <c r="M49" s="58">
        <f t="shared" si="43"/>
        <v>0.16400000000000001</v>
      </c>
      <c r="N49" s="58">
        <f t="shared" si="44"/>
        <v>0.02</v>
      </c>
      <c r="O49" s="58">
        <f t="shared" si="45"/>
        <v>8.5000000000000006E-2</v>
      </c>
      <c r="P49" s="58">
        <f t="shared" si="46"/>
        <v>0.248</v>
      </c>
      <c r="Q49" s="58">
        <f t="shared" si="47"/>
        <v>4.8000000000000001E-2</v>
      </c>
      <c r="R49" s="58">
        <f t="shared" si="48"/>
        <v>3.6999999999999998E-2</v>
      </c>
      <c r="S49" s="58">
        <f t="shared" si="49"/>
        <v>3.9E-2</v>
      </c>
      <c r="U49" s="58">
        <f t="shared" si="16"/>
        <v>1.0010000000000001</v>
      </c>
      <c r="W49" s="58">
        <f t="shared" si="17"/>
        <v>-1.0000000000001119E-3</v>
      </c>
      <c r="X49" s="58">
        <f t="shared" si="18"/>
        <v>0.24699999999999989</v>
      </c>
    </row>
    <row r="50" spans="1:24" ht="18" customHeight="1" x14ac:dyDescent="0.3">
      <c r="A50" s="10">
        <v>46</v>
      </c>
      <c r="B50" s="38">
        <f>0.36*$J50</f>
        <v>1813.3037879904002</v>
      </c>
      <c r="C50" s="38">
        <f>0.164*$J50</f>
        <v>826.06061452896017</v>
      </c>
      <c r="D50" s="38">
        <f>0.02*$J50</f>
        <v>100.73909933280002</v>
      </c>
      <c r="E50" s="38">
        <f>0.085*$J50</f>
        <v>428.14117216440007</v>
      </c>
      <c r="F50" s="38">
        <f>0.248*$J50</f>
        <v>1249.1648317267202</v>
      </c>
      <c r="G50" s="38">
        <f>0.048*$J50</f>
        <v>241.77383839872005</v>
      </c>
      <c r="H50" s="38">
        <f>0.037*$J50</f>
        <v>186.36733376568003</v>
      </c>
      <c r="I50" s="43">
        <f>0.039*$J50</f>
        <v>196.44124369896002</v>
      </c>
      <c r="J50" s="36">
        <f>(0.13*2946+0.87*3863)*1345416/10^6</f>
        <v>5036.9549666400007</v>
      </c>
      <c r="L50" s="58">
        <f t="shared" si="42"/>
        <v>0.36</v>
      </c>
      <c r="M50" s="58">
        <f t="shared" si="43"/>
        <v>0.16400000000000001</v>
      </c>
      <c r="N50" s="58">
        <f t="shared" si="44"/>
        <v>0.02</v>
      </c>
      <c r="O50" s="58">
        <f t="shared" si="45"/>
        <v>8.5000000000000006E-2</v>
      </c>
      <c r="P50" s="58">
        <f t="shared" si="46"/>
        <v>0.248</v>
      </c>
      <c r="Q50" s="58">
        <f t="shared" si="47"/>
        <v>4.8000000000000001E-2</v>
      </c>
      <c r="R50" s="58">
        <f t="shared" si="48"/>
        <v>3.6999999999999998E-2</v>
      </c>
      <c r="S50" s="58">
        <f t="shared" si="49"/>
        <v>3.9E-2</v>
      </c>
      <c r="U50" s="58">
        <f t="shared" si="16"/>
        <v>1.0010000000000001</v>
      </c>
      <c r="W50" s="58">
        <f t="shared" si="17"/>
        <v>-1.0000000000001119E-3</v>
      </c>
      <c r="X50" s="58">
        <f t="shared" si="18"/>
        <v>0.24699999999999989</v>
      </c>
    </row>
    <row r="51" spans="1:24" ht="18" customHeight="1" x14ac:dyDescent="0.3">
      <c r="A51" s="10">
        <v>47</v>
      </c>
      <c r="B51" s="38">
        <f>0.36*$J51</f>
        <v>5008.9711593312004</v>
      </c>
      <c r="C51" s="38">
        <f>0.164*$J51</f>
        <v>2281.8646392508804</v>
      </c>
      <c r="D51" s="38">
        <f>0.02*$J51</f>
        <v>278.27617551840001</v>
      </c>
      <c r="E51" s="38">
        <f>0.085*$J51</f>
        <v>1182.6737459532001</v>
      </c>
      <c r="F51" s="38">
        <f>0.248*$J51</f>
        <v>3450.6245764281603</v>
      </c>
      <c r="G51" s="38">
        <f>0.048*$J51</f>
        <v>667.86282124416005</v>
      </c>
      <c r="H51" s="38">
        <f>0.037*$J51</f>
        <v>514.81092470904002</v>
      </c>
      <c r="I51" s="43">
        <f>0.039*$J51</f>
        <v>542.63854226088006</v>
      </c>
      <c r="J51" s="37">
        <f>(0.13*3771+0.87*6335)*2318319/10^6</f>
        <v>13913.808775920001</v>
      </c>
      <c r="L51" s="58">
        <f t="shared" si="42"/>
        <v>0.36</v>
      </c>
      <c r="M51" s="58">
        <f t="shared" si="43"/>
        <v>0.16400000000000001</v>
      </c>
      <c r="N51" s="58">
        <f t="shared" si="44"/>
        <v>0.02</v>
      </c>
      <c r="O51" s="58">
        <f t="shared" si="45"/>
        <v>8.5000000000000006E-2</v>
      </c>
      <c r="P51" s="58">
        <f t="shared" si="46"/>
        <v>0.248</v>
      </c>
      <c r="Q51" s="58">
        <f t="shared" si="47"/>
        <v>4.8000000000000001E-2</v>
      </c>
      <c r="R51" s="58">
        <f t="shared" si="48"/>
        <v>3.6999999999999998E-2</v>
      </c>
      <c r="S51" s="58">
        <f t="shared" si="49"/>
        <v>3.9E-2</v>
      </c>
      <c r="U51" s="58">
        <f t="shared" si="16"/>
        <v>1.0010000000000001</v>
      </c>
      <c r="W51" s="58">
        <f t="shared" si="17"/>
        <v>-1.0000000000001119E-3</v>
      </c>
      <c r="X51" s="58">
        <f t="shared" si="18"/>
        <v>0.24699999999999989</v>
      </c>
    </row>
    <row r="52" spans="1:24" ht="18" customHeight="1" x14ac:dyDescent="0.3">
      <c r="A52" s="17" t="s">
        <v>103</v>
      </c>
      <c r="B52" s="32"/>
      <c r="C52" s="32"/>
      <c r="D52" s="32"/>
      <c r="E52" s="32"/>
      <c r="F52" s="32"/>
      <c r="G52" s="32"/>
      <c r="H52" s="32"/>
      <c r="I52" s="32"/>
      <c r="J52" s="45"/>
      <c r="L52" s="58"/>
      <c r="M52" s="58"/>
      <c r="N52" s="58"/>
      <c r="O52" s="58"/>
      <c r="P52" s="58"/>
      <c r="Q52" s="58"/>
      <c r="R52" s="58"/>
      <c r="S52" s="58"/>
      <c r="U52" s="58">
        <f t="shared" si="16"/>
        <v>0</v>
      </c>
      <c r="W52" s="58"/>
      <c r="X52" s="58"/>
    </row>
    <row r="53" spans="1:24" ht="18" customHeight="1" x14ac:dyDescent="0.3">
      <c r="A53" s="10">
        <v>49</v>
      </c>
      <c r="B53" s="38">
        <f>0.051*$J53</f>
        <v>521.23685189779201</v>
      </c>
      <c r="C53" s="38">
        <f>0.05*$J53</f>
        <v>511.01652146842355</v>
      </c>
      <c r="D53" s="38">
        <f>0.001*$J53</f>
        <v>10.22033042936847</v>
      </c>
      <c r="E53" s="38">
        <f>0*$J53</f>
        <v>0</v>
      </c>
      <c r="F53" s="38">
        <f>0.848*$J53</f>
        <v>8666.8402041044628</v>
      </c>
      <c r="G53" s="38">
        <f>0*$J53</f>
        <v>0</v>
      </c>
      <c r="H53" s="38">
        <f>0.05*$J53</f>
        <v>511.01652146842355</v>
      </c>
      <c r="I53" s="43">
        <f>0*$J53</f>
        <v>0</v>
      </c>
      <c r="J53" s="37">
        <f>42.1*598890/(598890+23374+63006)/3600*10^6</f>
        <v>10220.330429368471</v>
      </c>
      <c r="L53" s="58">
        <f t="shared" si="42"/>
        <v>5.1000000000000004E-2</v>
      </c>
      <c r="M53" s="58">
        <f t="shared" si="43"/>
        <v>0.05</v>
      </c>
      <c r="N53" s="58">
        <f t="shared" si="44"/>
        <v>1E-3</v>
      </c>
      <c r="O53" s="58">
        <f t="shared" si="45"/>
        <v>0</v>
      </c>
      <c r="P53" s="58">
        <f t="shared" si="46"/>
        <v>0.84799999999999998</v>
      </c>
      <c r="Q53" s="58">
        <f t="shared" si="47"/>
        <v>0</v>
      </c>
      <c r="R53" s="58">
        <f t="shared" si="48"/>
        <v>0.05</v>
      </c>
      <c r="S53" s="58">
        <f t="shared" si="49"/>
        <v>0</v>
      </c>
      <c r="U53" s="58">
        <f t="shared" si="16"/>
        <v>1</v>
      </c>
      <c r="W53" s="58">
        <f t="shared" si="17"/>
        <v>0</v>
      </c>
      <c r="X53" s="58">
        <f t="shared" si="18"/>
        <v>0.84799999999999998</v>
      </c>
    </row>
    <row r="54" spans="1:24" ht="18" customHeight="1" x14ac:dyDescent="0.3">
      <c r="A54" s="10">
        <v>50</v>
      </c>
      <c r="B54" s="38">
        <f t="shared" ref="B54:B55" si="58">0.051*$J54</f>
        <v>20.343285371702635</v>
      </c>
      <c r="C54" s="38">
        <f t="shared" ref="C54:C55" si="59">0.05*$J54</f>
        <v>19.944397423237881</v>
      </c>
      <c r="D54" s="38">
        <f t="shared" ref="D54:D55" si="60">0.001*$J54</f>
        <v>0.39888794846475761</v>
      </c>
      <c r="E54" s="38">
        <f t="shared" ref="E54:E55" si="61">0*$J54</f>
        <v>0</v>
      </c>
      <c r="F54" s="38">
        <f t="shared" ref="F54:F55" si="62">0.848*$J54</f>
        <v>338.2569802981144</v>
      </c>
      <c r="G54" s="38">
        <f t="shared" ref="G54:G55" si="63">0*$J54</f>
        <v>0</v>
      </c>
      <c r="H54" s="38">
        <f t="shared" ref="H54:H55" si="64">0.05*$J54</f>
        <v>19.944397423237881</v>
      </c>
      <c r="I54" s="43">
        <f t="shared" ref="I54:I55" si="65">0*$J54</f>
        <v>0</v>
      </c>
      <c r="J54" s="36">
        <f>42.1*23374/(598890+23374+63006)/3600*10^6</f>
        <v>398.88794846475759</v>
      </c>
      <c r="L54" s="58">
        <f t="shared" si="42"/>
        <v>5.0999999999999997E-2</v>
      </c>
      <c r="M54" s="58">
        <f t="shared" si="43"/>
        <v>0.05</v>
      </c>
      <c r="N54" s="58">
        <f t="shared" si="44"/>
        <v>1E-3</v>
      </c>
      <c r="O54" s="58">
        <f t="shared" si="45"/>
        <v>0</v>
      </c>
      <c r="P54" s="58">
        <f t="shared" si="46"/>
        <v>0.84799999999999986</v>
      </c>
      <c r="Q54" s="58">
        <f t="shared" si="47"/>
        <v>0</v>
      </c>
      <c r="R54" s="58">
        <f t="shared" si="48"/>
        <v>0.05</v>
      </c>
      <c r="S54" s="58">
        <f t="shared" si="49"/>
        <v>0</v>
      </c>
      <c r="U54" s="58">
        <f t="shared" si="16"/>
        <v>0.99999999999999989</v>
      </c>
      <c r="W54" s="58">
        <f t="shared" si="17"/>
        <v>0</v>
      </c>
      <c r="X54" s="58">
        <f t="shared" si="18"/>
        <v>0.84799999999999986</v>
      </c>
    </row>
    <row r="55" spans="1:24" ht="18" customHeight="1" x14ac:dyDescent="0.3">
      <c r="A55" s="10">
        <v>51</v>
      </c>
      <c r="B55" s="38">
        <f t="shared" si="58"/>
        <v>54.836529397171915</v>
      </c>
      <c r="C55" s="38">
        <f t="shared" si="59"/>
        <v>53.761303330560708</v>
      </c>
      <c r="D55" s="38">
        <f t="shared" si="60"/>
        <v>1.0752260666112141</v>
      </c>
      <c r="E55" s="38">
        <f t="shared" si="61"/>
        <v>0</v>
      </c>
      <c r="F55" s="38">
        <f t="shared" si="62"/>
        <v>911.79170448630953</v>
      </c>
      <c r="G55" s="38">
        <f t="shared" si="63"/>
        <v>0</v>
      </c>
      <c r="H55" s="38">
        <f t="shared" si="64"/>
        <v>53.761303330560708</v>
      </c>
      <c r="I55" s="43">
        <f t="shared" si="65"/>
        <v>0</v>
      </c>
      <c r="J55" s="37">
        <f>42.1*63006/(598890+23374+63006)/3600*10^6</f>
        <v>1075.226066611214</v>
      </c>
      <c r="L55" s="58">
        <f t="shared" si="42"/>
        <v>5.0999999999999997E-2</v>
      </c>
      <c r="M55" s="58">
        <f t="shared" si="43"/>
        <v>0.05</v>
      </c>
      <c r="N55" s="58">
        <f t="shared" si="44"/>
        <v>1E-3</v>
      </c>
      <c r="O55" s="58">
        <f t="shared" si="45"/>
        <v>0</v>
      </c>
      <c r="P55" s="58">
        <f t="shared" si="46"/>
        <v>0.84799999999999998</v>
      </c>
      <c r="Q55" s="58">
        <f t="shared" si="47"/>
        <v>0</v>
      </c>
      <c r="R55" s="58">
        <f t="shared" si="48"/>
        <v>0.05</v>
      </c>
      <c r="S55" s="58">
        <f t="shared" si="49"/>
        <v>0</v>
      </c>
      <c r="U55" s="58">
        <f t="shared" si="16"/>
        <v>1</v>
      </c>
      <c r="W55" s="58">
        <f t="shared" si="17"/>
        <v>0</v>
      </c>
      <c r="X55" s="58">
        <f t="shared" si="18"/>
        <v>0.84799999999999998</v>
      </c>
    </row>
    <row r="56" spans="1:24" ht="18" customHeight="1" x14ac:dyDescent="0.3">
      <c r="A56" s="10">
        <v>52</v>
      </c>
      <c r="B56" s="38">
        <f>0.36*$J56</f>
        <v>270.15218676000001</v>
      </c>
      <c r="C56" s="38">
        <f>0.164*$J56</f>
        <v>123.069329524</v>
      </c>
      <c r="D56" s="38">
        <f>0.02*$J56</f>
        <v>15.008454819999999</v>
      </c>
      <c r="E56" s="38">
        <f>0.085*$J56</f>
        <v>63.785932985000002</v>
      </c>
      <c r="F56" s="38">
        <f>0.248*$J56</f>
        <v>186.10483976800001</v>
      </c>
      <c r="G56" s="38">
        <f>0.048*$J56</f>
        <v>36.020291567999998</v>
      </c>
      <c r="H56" s="38">
        <f>0.037*$J56</f>
        <v>27.765641416999998</v>
      </c>
      <c r="I56" s="43">
        <f>0.039*$J56</f>
        <v>29.266486899</v>
      </c>
      <c r="J56" s="37">
        <f>1103*680347/10^6</f>
        <v>750.42274099999997</v>
      </c>
      <c r="L56" s="58">
        <f t="shared" si="42"/>
        <v>0.36000000000000004</v>
      </c>
      <c r="M56" s="58">
        <f t="shared" si="43"/>
        <v>0.16400000000000001</v>
      </c>
      <c r="N56" s="58">
        <f t="shared" si="44"/>
        <v>0.02</v>
      </c>
      <c r="O56" s="58">
        <f t="shared" si="45"/>
        <v>8.5000000000000006E-2</v>
      </c>
      <c r="P56" s="58">
        <f t="shared" si="46"/>
        <v>0.24800000000000003</v>
      </c>
      <c r="Q56" s="58">
        <f t="shared" si="47"/>
        <v>4.8000000000000001E-2</v>
      </c>
      <c r="R56" s="58">
        <f t="shared" si="48"/>
        <v>3.6999999999999998E-2</v>
      </c>
      <c r="S56" s="58">
        <f t="shared" si="49"/>
        <v>3.9E-2</v>
      </c>
      <c r="U56" s="58">
        <f t="shared" si="16"/>
        <v>1.0010000000000001</v>
      </c>
      <c r="W56" s="58">
        <f t="shared" si="17"/>
        <v>-1.0000000000001119E-3</v>
      </c>
      <c r="X56" s="58">
        <f t="shared" si="18"/>
        <v>0.24699999999999991</v>
      </c>
    </row>
    <row r="57" spans="1:24" ht="18" customHeight="1" x14ac:dyDescent="0.3">
      <c r="A57" s="10">
        <v>53</v>
      </c>
      <c r="B57" s="38">
        <f>0.36*$J57</f>
        <v>176.1551226</v>
      </c>
      <c r="C57" s="38">
        <f>0.164*$J57</f>
        <v>80.248444740000011</v>
      </c>
      <c r="D57" s="38">
        <f>0.02*$J57</f>
        <v>9.7863956999999999</v>
      </c>
      <c r="E57" s="38">
        <f>0.085*$J57</f>
        <v>41.592181725000003</v>
      </c>
      <c r="F57" s="38">
        <f>0.248*$J57</f>
        <v>121.35130668000001</v>
      </c>
      <c r="G57" s="38">
        <f>0.048*$J57</f>
        <v>23.487349680000001</v>
      </c>
      <c r="H57" s="38">
        <f>0.037*$J57</f>
        <v>18.104832044999998</v>
      </c>
      <c r="I57" s="43">
        <f>0.039*$J57</f>
        <v>19.083471615000001</v>
      </c>
      <c r="J57" s="36">
        <f>1929*253665/10^6</f>
        <v>489.31978500000002</v>
      </c>
      <c r="L57" s="58">
        <f t="shared" si="42"/>
        <v>0.36</v>
      </c>
      <c r="M57" s="58">
        <f t="shared" si="43"/>
        <v>0.16400000000000001</v>
      </c>
      <c r="N57" s="58">
        <f t="shared" si="44"/>
        <v>0.02</v>
      </c>
      <c r="O57" s="58">
        <f t="shared" si="45"/>
        <v>8.5000000000000006E-2</v>
      </c>
      <c r="P57" s="58">
        <f t="shared" si="46"/>
        <v>0.248</v>
      </c>
      <c r="Q57" s="58">
        <f t="shared" si="47"/>
        <v>4.8000000000000001E-2</v>
      </c>
      <c r="R57" s="58">
        <f t="shared" si="48"/>
        <v>3.6999999999999998E-2</v>
      </c>
      <c r="S57" s="58">
        <f t="shared" si="49"/>
        <v>3.9E-2</v>
      </c>
      <c r="U57" s="58">
        <f t="shared" si="16"/>
        <v>1.0010000000000001</v>
      </c>
      <c r="W57" s="58">
        <f t="shared" si="17"/>
        <v>-1.0000000000001119E-3</v>
      </c>
      <c r="X57" s="58">
        <f t="shared" si="18"/>
        <v>0.24699999999999989</v>
      </c>
    </row>
    <row r="58" spans="1:24" ht="18" customHeight="1" x14ac:dyDescent="0.3">
      <c r="A58" s="17" t="s">
        <v>104</v>
      </c>
      <c r="B58" s="32"/>
      <c r="C58" s="32"/>
      <c r="D58" s="32"/>
      <c r="E58" s="32"/>
      <c r="F58" s="32"/>
      <c r="G58" s="32"/>
      <c r="H58" s="32"/>
      <c r="I58" s="32"/>
      <c r="J58" s="45"/>
      <c r="L58" s="58"/>
      <c r="M58" s="58"/>
      <c r="N58" s="58"/>
      <c r="O58" s="58"/>
      <c r="P58" s="58"/>
      <c r="Q58" s="58"/>
      <c r="R58" s="58"/>
      <c r="S58" s="58"/>
      <c r="U58" s="58"/>
      <c r="W58" s="58"/>
      <c r="X58" s="58"/>
    </row>
    <row r="59" spans="1:24" ht="18" customHeight="1" x14ac:dyDescent="0.3">
      <c r="A59" s="10">
        <v>55</v>
      </c>
      <c r="B59" s="38">
        <f>0.36*$J59</f>
        <v>816.02144604</v>
      </c>
      <c r="C59" s="38">
        <f>0.164*$J59</f>
        <v>371.74310319600005</v>
      </c>
      <c r="D59" s="38">
        <f>0.02*$J59</f>
        <v>45.334524780000002</v>
      </c>
      <c r="E59" s="38">
        <f>0.085*$J59</f>
        <v>192.67173031500002</v>
      </c>
      <c r="F59" s="38">
        <f>0.248*$J59</f>
        <v>562.14810727200006</v>
      </c>
      <c r="G59" s="38">
        <f>0.048*$J59</f>
        <v>108.80285947200001</v>
      </c>
      <c r="H59" s="38">
        <f>0.037*$J59</f>
        <v>83.868870842999996</v>
      </c>
      <c r="I59" s="43">
        <f>0.039*$J59</f>
        <v>88.402323320999997</v>
      </c>
      <c r="J59" s="37">
        <f>7809*290271/10^6</f>
        <v>2266.7262390000001</v>
      </c>
      <c r="L59" s="58">
        <f t="shared" si="42"/>
        <v>0.36</v>
      </c>
      <c r="M59" s="58">
        <f t="shared" si="43"/>
        <v>0.16400000000000001</v>
      </c>
      <c r="N59" s="58">
        <f t="shared" si="44"/>
        <v>0.02</v>
      </c>
      <c r="O59" s="58">
        <f t="shared" si="45"/>
        <v>8.5000000000000006E-2</v>
      </c>
      <c r="P59" s="58">
        <f t="shared" si="46"/>
        <v>0.24800000000000003</v>
      </c>
      <c r="Q59" s="58">
        <f t="shared" si="47"/>
        <v>4.8000000000000001E-2</v>
      </c>
      <c r="R59" s="58">
        <f t="shared" si="48"/>
        <v>3.6999999999999998E-2</v>
      </c>
      <c r="S59" s="58">
        <f t="shared" si="49"/>
        <v>3.9E-2</v>
      </c>
      <c r="U59" s="58">
        <f t="shared" si="16"/>
        <v>1.0010000000000001</v>
      </c>
      <c r="W59" s="58">
        <f t="shared" si="17"/>
        <v>-1.0000000000001119E-3</v>
      </c>
      <c r="X59" s="58">
        <f t="shared" si="18"/>
        <v>0.24699999999999991</v>
      </c>
    </row>
    <row r="60" spans="1:24" ht="18" customHeight="1" x14ac:dyDescent="0.3">
      <c r="A60" s="10">
        <v>56</v>
      </c>
      <c r="B60" s="38">
        <f>0.36*$J60</f>
        <v>1332.3726964800001</v>
      </c>
      <c r="C60" s="38">
        <f>0.164*$J60</f>
        <v>606.96978395200006</v>
      </c>
      <c r="D60" s="38">
        <f>0.02*$J60</f>
        <v>74.020705360000008</v>
      </c>
      <c r="E60" s="38">
        <f>0.085*$J60</f>
        <v>314.58799778000002</v>
      </c>
      <c r="F60" s="38">
        <f>0.248*$J60</f>
        <v>917.85674646400003</v>
      </c>
      <c r="G60" s="38">
        <f>0.048*$J60</f>
        <v>177.649692864</v>
      </c>
      <c r="H60" s="38">
        <f>0.037*$J60</f>
        <v>136.93830491599999</v>
      </c>
      <c r="I60" s="43">
        <f>0.039*$J60</f>
        <v>144.34037545199999</v>
      </c>
      <c r="J60" s="36">
        <f>5348*692041/10^6</f>
        <v>3701.0352680000001</v>
      </c>
      <c r="L60" s="58">
        <f t="shared" si="42"/>
        <v>0.36</v>
      </c>
      <c r="M60" s="58">
        <f t="shared" si="43"/>
        <v>0.16400000000000001</v>
      </c>
      <c r="N60" s="58">
        <f t="shared" si="44"/>
        <v>0.02</v>
      </c>
      <c r="O60" s="58">
        <f t="shared" si="45"/>
        <v>8.5000000000000006E-2</v>
      </c>
      <c r="P60" s="58">
        <f t="shared" si="46"/>
        <v>0.248</v>
      </c>
      <c r="Q60" s="58">
        <f t="shared" si="47"/>
        <v>4.8000000000000001E-2</v>
      </c>
      <c r="R60" s="58">
        <f t="shared" si="48"/>
        <v>3.6999999999999998E-2</v>
      </c>
      <c r="S60" s="58">
        <f t="shared" si="49"/>
        <v>3.8999999999999993E-2</v>
      </c>
      <c r="U60" s="58">
        <f t="shared" si="16"/>
        <v>1.0010000000000001</v>
      </c>
      <c r="W60" s="58">
        <f t="shared" si="17"/>
        <v>-1.0000000000001119E-3</v>
      </c>
      <c r="X60" s="58">
        <f t="shared" si="18"/>
        <v>0.24699999999999989</v>
      </c>
    </row>
    <row r="61" spans="1:24" ht="18" customHeight="1" x14ac:dyDescent="0.3">
      <c r="A61" s="17" t="s">
        <v>105</v>
      </c>
      <c r="B61" s="32"/>
      <c r="C61" s="32"/>
      <c r="D61" s="32"/>
      <c r="E61" s="32"/>
      <c r="F61" s="32"/>
      <c r="G61" s="32"/>
      <c r="H61" s="32"/>
      <c r="I61" s="32"/>
      <c r="J61" s="45"/>
      <c r="L61" s="58"/>
      <c r="M61" s="58"/>
      <c r="N61" s="58"/>
      <c r="O61" s="58"/>
      <c r="P61" s="58"/>
      <c r="Q61" s="58"/>
      <c r="R61" s="58"/>
      <c r="S61" s="58"/>
      <c r="U61" s="58"/>
      <c r="W61" s="58"/>
      <c r="X61" s="58"/>
    </row>
    <row r="62" spans="1:24" ht="18" customHeight="1" x14ac:dyDescent="0.3">
      <c r="A62" s="10">
        <v>58</v>
      </c>
      <c r="B62" s="38">
        <f t="shared" ref="B62:B67" si="66">0.36*$J62</f>
        <v>131.8023756</v>
      </c>
      <c r="C62" s="38">
        <f t="shared" ref="C62:C67" si="67">0.164*$J62</f>
        <v>60.04330444</v>
      </c>
      <c r="D62" s="38">
        <f t="shared" ref="D62:D67" si="68">0.02*$J62</f>
        <v>7.3223541999999995</v>
      </c>
      <c r="E62" s="38">
        <f t="shared" ref="E62:E67" si="69">0.085*$J62</f>
        <v>31.12000535</v>
      </c>
      <c r="F62" s="38">
        <f t="shared" ref="F62:F67" si="70">0.248*$J62</f>
        <v>90.797192080000002</v>
      </c>
      <c r="G62" s="38">
        <f t="shared" ref="G62:G67" si="71">0.048*$J62</f>
        <v>17.57365008</v>
      </c>
      <c r="H62" s="38">
        <f t="shared" ref="H62:H67" si="72">0.037*$J62</f>
        <v>13.546355269999999</v>
      </c>
      <c r="I62" s="43">
        <f t="shared" ref="I62:I67" si="73">0.039*$J62</f>
        <v>14.27859069</v>
      </c>
      <c r="J62" s="37">
        <f>2659*137690/10^6</f>
        <v>366.11770999999999</v>
      </c>
      <c r="L62" s="58">
        <f t="shared" si="42"/>
        <v>0.36000000000000004</v>
      </c>
      <c r="M62" s="58">
        <f t="shared" si="43"/>
        <v>0.16400000000000001</v>
      </c>
      <c r="N62" s="58">
        <f t="shared" si="44"/>
        <v>0.02</v>
      </c>
      <c r="O62" s="58">
        <f t="shared" si="45"/>
        <v>8.5000000000000006E-2</v>
      </c>
      <c r="P62" s="58">
        <f t="shared" si="46"/>
        <v>0.24800000000000003</v>
      </c>
      <c r="Q62" s="58">
        <f t="shared" si="47"/>
        <v>4.8000000000000001E-2</v>
      </c>
      <c r="R62" s="58">
        <f t="shared" si="48"/>
        <v>3.6999999999999998E-2</v>
      </c>
      <c r="S62" s="58">
        <f t="shared" si="49"/>
        <v>3.9E-2</v>
      </c>
      <c r="U62" s="58">
        <f t="shared" si="16"/>
        <v>1.0010000000000001</v>
      </c>
      <c r="W62" s="58">
        <f t="shared" si="17"/>
        <v>-1.0000000000001119E-3</v>
      </c>
      <c r="X62" s="58">
        <f t="shared" si="18"/>
        <v>0.24699999999999991</v>
      </c>
    </row>
    <row r="63" spans="1:24" ht="18" customHeight="1" x14ac:dyDescent="0.3">
      <c r="A63" s="10">
        <v>59</v>
      </c>
      <c r="B63" s="38">
        <f t="shared" si="66"/>
        <v>24.635080799999997</v>
      </c>
      <c r="C63" s="38">
        <f t="shared" si="67"/>
        <v>11.22264792</v>
      </c>
      <c r="D63" s="38">
        <f t="shared" si="68"/>
        <v>1.3686156</v>
      </c>
      <c r="E63" s="38">
        <f t="shared" si="69"/>
        <v>5.8166163000000006</v>
      </c>
      <c r="F63" s="38">
        <f t="shared" si="70"/>
        <v>16.97083344</v>
      </c>
      <c r="G63" s="38">
        <f t="shared" si="71"/>
        <v>3.2846774399999998</v>
      </c>
      <c r="H63" s="38">
        <f t="shared" si="72"/>
        <v>2.5319388599999999</v>
      </c>
      <c r="I63" s="43">
        <f t="shared" si="73"/>
        <v>2.6688004199999997</v>
      </c>
      <c r="J63" s="36">
        <f>1683/10^6*40660</f>
        <v>68.430779999999999</v>
      </c>
      <c r="L63" s="58">
        <f t="shared" si="42"/>
        <v>0.36</v>
      </c>
      <c r="M63" s="58">
        <f t="shared" si="43"/>
        <v>0.16400000000000001</v>
      </c>
      <c r="N63" s="58">
        <f t="shared" si="44"/>
        <v>0.02</v>
      </c>
      <c r="O63" s="58">
        <f t="shared" si="45"/>
        <v>8.5000000000000006E-2</v>
      </c>
      <c r="P63" s="58">
        <f t="shared" si="46"/>
        <v>0.248</v>
      </c>
      <c r="Q63" s="58">
        <f t="shared" si="47"/>
        <v>4.8000000000000001E-2</v>
      </c>
      <c r="R63" s="58">
        <f t="shared" si="48"/>
        <v>3.6999999999999998E-2</v>
      </c>
      <c r="S63" s="58">
        <f t="shared" si="49"/>
        <v>3.9E-2</v>
      </c>
      <c r="U63" s="58">
        <f t="shared" si="16"/>
        <v>1.0010000000000001</v>
      </c>
      <c r="W63" s="58">
        <f t="shared" si="17"/>
        <v>-1.0000000000001119E-3</v>
      </c>
      <c r="X63" s="58">
        <f t="shared" si="18"/>
        <v>0.24699999999999989</v>
      </c>
    </row>
    <row r="64" spans="1:24" ht="18" customHeight="1" x14ac:dyDescent="0.3">
      <c r="A64" s="10">
        <v>60</v>
      </c>
      <c r="B64" s="38">
        <f t="shared" si="66"/>
        <v>508.21863047999994</v>
      </c>
      <c r="C64" s="38">
        <f t="shared" si="67"/>
        <v>231.52182055200001</v>
      </c>
      <c r="D64" s="38">
        <f t="shared" si="68"/>
        <v>28.234368359999998</v>
      </c>
      <c r="E64" s="38">
        <f t="shared" si="69"/>
        <v>119.99606553</v>
      </c>
      <c r="F64" s="38">
        <f t="shared" si="70"/>
        <v>350.106167664</v>
      </c>
      <c r="G64" s="38">
        <f t="shared" si="71"/>
        <v>67.762484063999992</v>
      </c>
      <c r="H64" s="38">
        <f t="shared" si="72"/>
        <v>52.233581465999997</v>
      </c>
      <c r="I64" s="43">
        <f t="shared" si="73"/>
        <v>55.057018301999996</v>
      </c>
      <c r="J64" s="37">
        <f>24189*58362/10^6</f>
        <v>1411.7184179999999</v>
      </c>
      <c r="L64" s="58">
        <f t="shared" si="42"/>
        <v>0.36</v>
      </c>
      <c r="M64" s="58">
        <f t="shared" si="43"/>
        <v>0.16400000000000001</v>
      </c>
      <c r="N64" s="58">
        <f t="shared" si="44"/>
        <v>0.02</v>
      </c>
      <c r="O64" s="58">
        <f t="shared" si="45"/>
        <v>8.5000000000000006E-2</v>
      </c>
      <c r="P64" s="58">
        <f t="shared" si="46"/>
        <v>0.248</v>
      </c>
      <c r="Q64" s="58">
        <f t="shared" si="47"/>
        <v>4.7999999999999994E-2</v>
      </c>
      <c r="R64" s="58">
        <f t="shared" si="48"/>
        <v>3.6999999999999998E-2</v>
      </c>
      <c r="S64" s="58">
        <f t="shared" si="49"/>
        <v>3.9E-2</v>
      </c>
      <c r="U64" s="58">
        <f t="shared" si="16"/>
        <v>1.0010000000000001</v>
      </c>
      <c r="W64" s="58">
        <f t="shared" si="17"/>
        <v>-1.0000000000001119E-3</v>
      </c>
      <c r="X64" s="58">
        <f t="shared" si="18"/>
        <v>0.24699999999999989</v>
      </c>
    </row>
    <row r="65" spans="1:24" ht="18" customHeight="1" x14ac:dyDescent="0.3">
      <c r="A65" s="10">
        <v>61</v>
      </c>
      <c r="B65" s="38">
        <f t="shared" si="66"/>
        <v>526.00044816000002</v>
      </c>
      <c r="C65" s="38">
        <f t="shared" si="67"/>
        <v>239.62242638400002</v>
      </c>
      <c r="D65" s="38">
        <f t="shared" si="68"/>
        <v>29.222247120000002</v>
      </c>
      <c r="E65" s="38">
        <f t="shared" si="69"/>
        <v>124.19455026000001</v>
      </c>
      <c r="F65" s="38">
        <f t="shared" si="70"/>
        <v>362.35586428800002</v>
      </c>
      <c r="G65" s="38">
        <f t="shared" si="71"/>
        <v>70.133393088000005</v>
      </c>
      <c r="H65" s="38">
        <f t="shared" si="72"/>
        <v>54.061157172000001</v>
      </c>
      <c r="I65" s="43">
        <f t="shared" si="73"/>
        <v>56.983381884000003</v>
      </c>
      <c r="J65" s="36">
        <f>24189*60404/10^6</f>
        <v>1461.1123560000001</v>
      </c>
      <c r="L65" s="58">
        <f t="shared" si="42"/>
        <v>0.36</v>
      </c>
      <c r="M65" s="58">
        <f t="shared" si="43"/>
        <v>0.16400000000000001</v>
      </c>
      <c r="N65" s="58">
        <f t="shared" si="44"/>
        <v>0.02</v>
      </c>
      <c r="O65" s="58">
        <f t="shared" si="45"/>
        <v>8.5000000000000006E-2</v>
      </c>
      <c r="P65" s="58">
        <f t="shared" si="46"/>
        <v>0.248</v>
      </c>
      <c r="Q65" s="58">
        <f t="shared" si="47"/>
        <v>4.8000000000000001E-2</v>
      </c>
      <c r="R65" s="58">
        <f t="shared" si="48"/>
        <v>3.6999999999999998E-2</v>
      </c>
      <c r="S65" s="58">
        <f t="shared" si="49"/>
        <v>3.9E-2</v>
      </c>
      <c r="U65" s="58">
        <f t="shared" si="16"/>
        <v>1.0010000000000001</v>
      </c>
      <c r="W65" s="58">
        <f t="shared" si="17"/>
        <v>-1.0000000000001119E-3</v>
      </c>
      <c r="X65" s="58">
        <f t="shared" si="18"/>
        <v>0.24699999999999989</v>
      </c>
    </row>
    <row r="66" spans="1:24" ht="18" customHeight="1" x14ac:dyDescent="0.3">
      <c r="A66" s="10">
        <v>62</v>
      </c>
      <c r="B66" s="38">
        <f t="shared" si="66"/>
        <v>360.44285904000003</v>
      </c>
      <c r="C66" s="38">
        <f t="shared" si="67"/>
        <v>164.201746896</v>
      </c>
      <c r="D66" s="38">
        <f t="shared" si="68"/>
        <v>20.024603280000001</v>
      </c>
      <c r="E66" s="38">
        <f t="shared" si="69"/>
        <v>85.104563940000006</v>
      </c>
      <c r="F66" s="38">
        <f t="shared" si="70"/>
        <v>248.305080672</v>
      </c>
      <c r="G66" s="38">
        <f t="shared" si="71"/>
        <v>48.059047872000001</v>
      </c>
      <c r="H66" s="38">
        <f t="shared" si="72"/>
        <v>37.045516067999998</v>
      </c>
      <c r="I66" s="43">
        <f t="shared" si="73"/>
        <v>39.047976396000003</v>
      </c>
      <c r="J66" s="37">
        <f>1683/10^6*594908</f>
        <v>1001.2301640000001</v>
      </c>
      <c r="L66" s="58">
        <f t="shared" si="42"/>
        <v>0.36</v>
      </c>
      <c r="M66" s="58">
        <f t="shared" si="43"/>
        <v>0.16400000000000001</v>
      </c>
      <c r="N66" s="58">
        <f t="shared" si="44"/>
        <v>0.02</v>
      </c>
      <c r="O66" s="58">
        <f t="shared" si="45"/>
        <v>8.5000000000000006E-2</v>
      </c>
      <c r="P66" s="58">
        <f t="shared" si="46"/>
        <v>0.248</v>
      </c>
      <c r="Q66" s="58">
        <f t="shared" si="47"/>
        <v>4.8000000000000001E-2</v>
      </c>
      <c r="R66" s="58">
        <f t="shared" si="48"/>
        <v>3.6999999999999998E-2</v>
      </c>
      <c r="S66" s="58">
        <f t="shared" si="49"/>
        <v>3.9E-2</v>
      </c>
      <c r="U66" s="58">
        <f t="shared" si="16"/>
        <v>1.0010000000000001</v>
      </c>
      <c r="W66" s="58">
        <f t="shared" si="17"/>
        <v>-1.0000000000001119E-3</v>
      </c>
      <c r="X66" s="58">
        <f t="shared" si="18"/>
        <v>0.24699999999999989</v>
      </c>
    </row>
    <row r="67" spans="1:24" ht="18" customHeight="1" x14ac:dyDescent="0.3">
      <c r="A67" s="10">
        <v>63</v>
      </c>
      <c r="B67" s="38">
        <f t="shared" si="66"/>
        <v>35.022893400000001</v>
      </c>
      <c r="C67" s="38">
        <f t="shared" si="67"/>
        <v>15.954873660000001</v>
      </c>
      <c r="D67" s="38">
        <f t="shared" si="68"/>
        <v>1.9457163</v>
      </c>
      <c r="E67" s="38">
        <f t="shared" si="69"/>
        <v>8.269294275</v>
      </c>
      <c r="F67" s="38">
        <f t="shared" si="70"/>
        <v>24.126882120000001</v>
      </c>
      <c r="G67" s="38">
        <f t="shared" si="71"/>
        <v>4.6697191199999999</v>
      </c>
      <c r="H67" s="38">
        <f t="shared" si="72"/>
        <v>3.5995751549999997</v>
      </c>
      <c r="I67" s="43">
        <f t="shared" si="73"/>
        <v>3.7941467850000001</v>
      </c>
      <c r="J67" s="36">
        <f>1683/10^6*57805</f>
        <v>97.285814999999999</v>
      </c>
      <c r="L67" s="58">
        <f t="shared" si="42"/>
        <v>0.36</v>
      </c>
      <c r="M67" s="58">
        <f t="shared" si="43"/>
        <v>0.16400000000000001</v>
      </c>
      <c r="N67" s="58">
        <f t="shared" si="44"/>
        <v>0.02</v>
      </c>
      <c r="O67" s="58">
        <f t="shared" si="45"/>
        <v>8.5000000000000006E-2</v>
      </c>
      <c r="P67" s="58">
        <f t="shared" si="46"/>
        <v>0.24800000000000003</v>
      </c>
      <c r="Q67" s="58">
        <f t="shared" si="47"/>
        <v>4.8000000000000001E-2</v>
      </c>
      <c r="R67" s="58">
        <f t="shared" si="48"/>
        <v>3.6999999999999998E-2</v>
      </c>
      <c r="S67" s="58">
        <f t="shared" si="49"/>
        <v>3.9E-2</v>
      </c>
      <c r="U67" s="58">
        <f t="shared" si="16"/>
        <v>1.0010000000000001</v>
      </c>
      <c r="W67" s="58">
        <f t="shared" si="17"/>
        <v>-1.0000000000001119E-3</v>
      </c>
      <c r="X67" s="58">
        <f t="shared" si="18"/>
        <v>0.24699999999999991</v>
      </c>
    </row>
    <row r="68" spans="1:24" ht="18" customHeight="1" x14ac:dyDescent="0.3">
      <c r="A68" s="17" t="s">
        <v>106</v>
      </c>
      <c r="B68" s="18"/>
      <c r="C68" s="18"/>
      <c r="D68" s="18"/>
      <c r="E68" s="18"/>
      <c r="F68" s="18"/>
      <c r="G68" s="18"/>
      <c r="H68" s="18"/>
      <c r="I68" s="18"/>
      <c r="J68" s="13"/>
      <c r="L68" s="58"/>
      <c r="M68" s="58"/>
      <c r="N68" s="58"/>
      <c r="O68" s="58"/>
      <c r="P68" s="58"/>
      <c r="Q68" s="58"/>
      <c r="R68" s="58"/>
      <c r="S68" s="58"/>
      <c r="U68" s="58"/>
      <c r="W68" s="58"/>
      <c r="X68" s="58"/>
    </row>
    <row r="69" spans="1:24" ht="18" customHeight="1" x14ac:dyDescent="0.3">
      <c r="A69" s="10">
        <v>64</v>
      </c>
      <c r="B69" s="38">
        <f>0.36*$J69</f>
        <v>529.27176959999997</v>
      </c>
      <c r="C69" s="38">
        <f>0.164*$J69</f>
        <v>241.11269504000003</v>
      </c>
      <c r="D69" s="38">
        <f>0.02*$J69</f>
        <v>29.403987200000003</v>
      </c>
      <c r="E69" s="38">
        <f>0.085*$J69</f>
        <v>124.96694560000002</v>
      </c>
      <c r="F69" s="38">
        <f>0.248*$J69</f>
        <v>364.60944128</v>
      </c>
      <c r="G69" s="38">
        <f>0.048*$J69</f>
        <v>70.56956928000001</v>
      </c>
      <c r="H69" s="38">
        <f>0.037*$J69</f>
        <v>54.397376319999999</v>
      </c>
      <c r="I69" s="43">
        <f>0.039*$J69</f>
        <v>57.337775040000004</v>
      </c>
      <c r="J69" s="37">
        <f>2240*656339/10^6</f>
        <v>1470.1993600000001</v>
      </c>
      <c r="L69" s="58">
        <f t="shared" si="42"/>
        <v>0.36</v>
      </c>
      <c r="M69" s="58">
        <f t="shared" si="43"/>
        <v>0.16400000000000001</v>
      </c>
      <c r="N69" s="58">
        <f t="shared" si="44"/>
        <v>0.02</v>
      </c>
      <c r="O69" s="58">
        <f t="shared" si="45"/>
        <v>8.5000000000000006E-2</v>
      </c>
      <c r="P69" s="58">
        <f t="shared" si="46"/>
        <v>0.248</v>
      </c>
      <c r="Q69" s="58">
        <f t="shared" si="47"/>
        <v>4.8000000000000008E-2</v>
      </c>
      <c r="R69" s="58">
        <f t="shared" si="48"/>
        <v>3.6999999999999998E-2</v>
      </c>
      <c r="S69" s="58">
        <f t="shared" si="49"/>
        <v>3.9E-2</v>
      </c>
      <c r="U69" s="58">
        <f t="shared" ref="U69:U110" si="74">SUM(L69:S69)</f>
        <v>1.0010000000000001</v>
      </c>
      <c r="W69" s="58">
        <f t="shared" ref="W69:W110" si="75">1-U69</f>
        <v>-1.0000000000001119E-3</v>
      </c>
      <c r="X69" s="58">
        <f t="shared" ref="X69:X110" si="76">P69+W69</f>
        <v>0.24699999999999989</v>
      </c>
    </row>
    <row r="70" spans="1:24" ht="18" customHeight="1" x14ac:dyDescent="0.3">
      <c r="A70" s="10">
        <v>65</v>
      </c>
      <c r="B70" s="38">
        <f>0.36*$J70</f>
        <v>137.32104960000001</v>
      </c>
      <c r="C70" s="38">
        <f>0.164*$J70</f>
        <v>62.557367040000003</v>
      </c>
      <c r="D70" s="38">
        <f>0.02*$J70</f>
        <v>7.6289471999999998</v>
      </c>
      <c r="E70" s="38">
        <f>0.085*$J70</f>
        <v>32.423025600000003</v>
      </c>
      <c r="F70" s="38">
        <f>0.248*$J70</f>
        <v>94.598945279999995</v>
      </c>
      <c r="G70" s="38">
        <f>0.048*$J70</f>
        <v>18.309473279999999</v>
      </c>
      <c r="H70" s="38">
        <f>0.037*$J70</f>
        <v>14.11355232</v>
      </c>
      <c r="I70" s="43">
        <f>0.039*$J70</f>
        <v>14.87644704</v>
      </c>
      <c r="J70" s="37">
        <f>2240*170289/10^6</f>
        <v>381.44736</v>
      </c>
      <c r="L70" s="58">
        <f t="shared" si="42"/>
        <v>0.36000000000000004</v>
      </c>
      <c r="M70" s="58">
        <f t="shared" si="43"/>
        <v>0.16400000000000001</v>
      </c>
      <c r="N70" s="58">
        <f t="shared" si="44"/>
        <v>0.02</v>
      </c>
      <c r="O70" s="58">
        <f t="shared" si="45"/>
        <v>8.5000000000000006E-2</v>
      </c>
      <c r="P70" s="58">
        <f t="shared" si="46"/>
        <v>0.248</v>
      </c>
      <c r="Q70" s="58">
        <f t="shared" si="47"/>
        <v>4.7999999999999994E-2</v>
      </c>
      <c r="R70" s="58">
        <f t="shared" si="48"/>
        <v>3.6999999999999998E-2</v>
      </c>
      <c r="S70" s="58">
        <f t="shared" si="49"/>
        <v>3.9E-2</v>
      </c>
      <c r="U70" s="58">
        <f t="shared" si="74"/>
        <v>1.0010000000000001</v>
      </c>
      <c r="W70" s="58">
        <f t="shared" si="75"/>
        <v>-1.0000000000001119E-3</v>
      </c>
      <c r="X70" s="58">
        <f t="shared" si="76"/>
        <v>0.24699999999999989</v>
      </c>
    </row>
    <row r="71" spans="1:24" ht="18" customHeight="1" x14ac:dyDescent="0.3">
      <c r="A71" s="10">
        <v>66</v>
      </c>
      <c r="B71" s="38">
        <f>0.36*$J71</f>
        <v>145.0060416</v>
      </c>
      <c r="C71" s="38">
        <f>0.164*$J71</f>
        <v>66.058307839999998</v>
      </c>
      <c r="D71" s="38">
        <f>0.02*$J71</f>
        <v>8.0558911999999996</v>
      </c>
      <c r="E71" s="38">
        <f>0.085*$J71</f>
        <v>34.237537600000003</v>
      </c>
      <c r="F71" s="38">
        <f>0.248*$J71</f>
        <v>99.89305087999999</v>
      </c>
      <c r="G71" s="38">
        <f>0.048*$J71</f>
        <v>19.334138880000001</v>
      </c>
      <c r="H71" s="38">
        <f>0.037*$J71</f>
        <v>14.903398719999998</v>
      </c>
      <c r="I71" s="43">
        <f>0.039*$J71</f>
        <v>15.708987839999999</v>
      </c>
      <c r="J71" s="37">
        <f>2240*179819/10^6</f>
        <v>402.79455999999999</v>
      </c>
      <c r="L71" s="58">
        <f t="shared" si="42"/>
        <v>0.36000000000000004</v>
      </c>
      <c r="M71" s="58">
        <f t="shared" si="43"/>
        <v>0.16400000000000001</v>
      </c>
      <c r="N71" s="58">
        <f t="shared" si="44"/>
        <v>0.02</v>
      </c>
      <c r="O71" s="58">
        <f t="shared" si="45"/>
        <v>8.5000000000000006E-2</v>
      </c>
      <c r="P71" s="58">
        <f t="shared" si="46"/>
        <v>0.24799999999999997</v>
      </c>
      <c r="Q71" s="58">
        <f t="shared" si="47"/>
        <v>4.8000000000000001E-2</v>
      </c>
      <c r="R71" s="58">
        <f t="shared" si="48"/>
        <v>3.6999999999999998E-2</v>
      </c>
      <c r="S71" s="58">
        <f t="shared" si="49"/>
        <v>3.9E-2</v>
      </c>
      <c r="U71" s="58">
        <f t="shared" si="74"/>
        <v>1.0010000000000001</v>
      </c>
      <c r="W71" s="58">
        <f t="shared" si="75"/>
        <v>-1.0000000000001119E-3</v>
      </c>
      <c r="X71" s="58">
        <f t="shared" si="76"/>
        <v>0.24699999999999986</v>
      </c>
    </row>
    <row r="72" spans="1:24" ht="18" customHeight="1" x14ac:dyDescent="0.3">
      <c r="A72" s="17" t="s">
        <v>107</v>
      </c>
      <c r="B72" s="32"/>
      <c r="C72" s="32"/>
      <c r="D72" s="32"/>
      <c r="E72" s="32"/>
      <c r="F72" s="32"/>
      <c r="G72" s="32"/>
      <c r="H72" s="32"/>
      <c r="I72" s="32"/>
      <c r="J72" s="45"/>
      <c r="L72" s="58"/>
      <c r="M72" s="58"/>
      <c r="N72" s="58"/>
      <c r="O72" s="58"/>
      <c r="P72" s="58"/>
      <c r="Q72" s="58"/>
      <c r="R72" s="58"/>
      <c r="S72" s="58"/>
      <c r="U72" s="58"/>
      <c r="W72" s="58"/>
      <c r="X72" s="58"/>
    </row>
    <row r="73" spans="1:24" ht="18" customHeight="1" x14ac:dyDescent="0.3">
      <c r="A73" s="10">
        <v>68</v>
      </c>
      <c r="B73" s="38">
        <f>0.36*$J73</f>
        <v>145.66930488</v>
      </c>
      <c r="C73" s="38">
        <f>0.164*$J73</f>
        <v>66.360461111999996</v>
      </c>
      <c r="D73" s="38">
        <f>0.02*$J73</f>
        <v>8.0927391600000007</v>
      </c>
      <c r="E73" s="38">
        <f>0.085*$J73</f>
        <v>34.394141430000005</v>
      </c>
      <c r="F73" s="38">
        <f>0.248*$J73</f>
        <v>100.349965584</v>
      </c>
      <c r="G73" s="38">
        <f>0.048*$J73</f>
        <v>19.422573984</v>
      </c>
      <c r="H73" s="38">
        <f>0.037*$J73</f>
        <v>14.971567445999998</v>
      </c>
      <c r="I73" s="43">
        <f>0.039*$J73</f>
        <v>15.780841362</v>
      </c>
      <c r="J73" s="37">
        <f>1683/10^6*240426</f>
        <v>404.63695799999999</v>
      </c>
      <c r="L73" s="58">
        <f t="shared" si="42"/>
        <v>0.36</v>
      </c>
      <c r="M73" s="58">
        <f t="shared" si="43"/>
        <v>0.16399999999999998</v>
      </c>
      <c r="N73" s="58">
        <f t="shared" si="44"/>
        <v>0.02</v>
      </c>
      <c r="O73" s="58">
        <f t="shared" si="45"/>
        <v>8.500000000000002E-2</v>
      </c>
      <c r="P73" s="58">
        <f t="shared" si="46"/>
        <v>0.248</v>
      </c>
      <c r="Q73" s="58">
        <f t="shared" si="47"/>
        <v>4.8000000000000001E-2</v>
      </c>
      <c r="R73" s="58">
        <f t="shared" si="48"/>
        <v>3.6999999999999998E-2</v>
      </c>
      <c r="S73" s="58">
        <f t="shared" si="49"/>
        <v>3.9E-2</v>
      </c>
      <c r="U73" s="58">
        <f t="shared" si="74"/>
        <v>1.0010000000000001</v>
      </c>
      <c r="W73" s="58">
        <f t="shared" si="75"/>
        <v>-1.0000000000001119E-3</v>
      </c>
      <c r="X73" s="58">
        <f t="shared" si="76"/>
        <v>0.24699999999999989</v>
      </c>
    </row>
    <row r="74" spans="1:24" ht="18" customHeight="1" x14ac:dyDescent="0.3">
      <c r="A74" s="17" t="s">
        <v>108</v>
      </c>
      <c r="B74" s="32"/>
      <c r="C74" s="32"/>
      <c r="D74" s="32"/>
      <c r="E74" s="32"/>
      <c r="F74" s="32"/>
      <c r="G74" s="32"/>
      <c r="H74" s="32"/>
      <c r="I74" s="32"/>
      <c r="J74" s="45"/>
      <c r="L74" s="58"/>
      <c r="M74" s="58"/>
      <c r="N74" s="58"/>
      <c r="O74" s="58"/>
      <c r="P74" s="58"/>
      <c r="Q74" s="58"/>
      <c r="R74" s="58"/>
      <c r="S74" s="58"/>
      <c r="U74" s="58"/>
      <c r="W74" s="58"/>
      <c r="X74" s="58"/>
    </row>
    <row r="75" spans="1:24" ht="18" customHeight="1" x14ac:dyDescent="0.3">
      <c r="A75" s="10">
        <v>69</v>
      </c>
      <c r="B75" s="38">
        <f>0.36*$J75</f>
        <v>270.24489756000003</v>
      </c>
      <c r="C75" s="38">
        <f>0.164*$J75</f>
        <v>123.11156444400001</v>
      </c>
      <c r="D75" s="38">
        <f>0.02*$J75</f>
        <v>15.013605420000001</v>
      </c>
      <c r="E75" s="38">
        <f>0.085*$J75</f>
        <v>63.807823035000013</v>
      </c>
      <c r="F75" s="38">
        <f>0.248*$J75</f>
        <v>186.168707208</v>
      </c>
      <c r="G75" s="38">
        <f>0.048*$J75</f>
        <v>36.032653008000004</v>
      </c>
      <c r="H75" s="38">
        <f>0.037*$J75</f>
        <v>27.775170027000001</v>
      </c>
      <c r="I75" s="43">
        <f>0.039*$J75</f>
        <v>29.276530569000002</v>
      </c>
      <c r="J75" s="37">
        <f>1683/10^6*446037</f>
        <v>750.68027100000006</v>
      </c>
      <c r="L75" s="58">
        <f t="shared" si="42"/>
        <v>0.36</v>
      </c>
      <c r="M75" s="58">
        <f t="shared" si="43"/>
        <v>0.16400000000000001</v>
      </c>
      <c r="N75" s="58">
        <f t="shared" si="44"/>
        <v>0.02</v>
      </c>
      <c r="O75" s="58">
        <f t="shared" si="45"/>
        <v>8.5000000000000006E-2</v>
      </c>
      <c r="P75" s="58">
        <f t="shared" si="46"/>
        <v>0.24799999999999997</v>
      </c>
      <c r="Q75" s="58">
        <f t="shared" si="47"/>
        <v>4.8000000000000001E-2</v>
      </c>
      <c r="R75" s="58">
        <f t="shared" si="48"/>
        <v>3.6999999999999998E-2</v>
      </c>
      <c r="S75" s="58">
        <f t="shared" si="49"/>
        <v>3.9E-2</v>
      </c>
      <c r="U75" s="58">
        <f t="shared" si="74"/>
        <v>1.0010000000000001</v>
      </c>
      <c r="W75" s="58">
        <f t="shared" si="75"/>
        <v>-1.0000000000001119E-3</v>
      </c>
      <c r="X75" s="58">
        <f t="shared" si="76"/>
        <v>0.24699999999999986</v>
      </c>
    </row>
    <row r="76" spans="1:24" ht="18" customHeight="1" x14ac:dyDescent="0.3">
      <c r="A76" s="10">
        <v>70</v>
      </c>
      <c r="B76" s="38">
        <f t="shared" ref="B76:B81" si="77">0.36*$J76</f>
        <v>372.24116027999997</v>
      </c>
      <c r="C76" s="38">
        <f t="shared" ref="C76:C81" si="78">0.164*$J76</f>
        <v>169.576528572</v>
      </c>
      <c r="D76" s="38">
        <f t="shared" ref="D76:D81" si="79">0.02*$J76</f>
        <v>20.680064460000001</v>
      </c>
      <c r="E76" s="38">
        <f t="shared" ref="E76:E81" si="80">0.085*$J76</f>
        <v>87.890273954999998</v>
      </c>
      <c r="F76" s="38">
        <f t="shared" ref="F76:F81" si="81">0.248*$J76</f>
        <v>256.43279930399996</v>
      </c>
      <c r="G76" s="38">
        <f t="shared" ref="G76:G81" si="82">0.048*$J76</f>
        <v>49.632154704000001</v>
      </c>
      <c r="H76" s="38">
        <f t="shared" ref="H76:H81" si="83">0.037*$J76</f>
        <v>38.258119250999997</v>
      </c>
      <c r="I76" s="43">
        <f t="shared" ref="I76:I81" si="84">0.039*$J76</f>
        <v>40.326125696999995</v>
      </c>
      <c r="J76" s="37">
        <f>1683/10^6*614381</f>
        <v>1034.0032229999999</v>
      </c>
      <c r="L76" s="58">
        <f t="shared" si="42"/>
        <v>0.36</v>
      </c>
      <c r="M76" s="58">
        <f t="shared" si="43"/>
        <v>0.16400000000000001</v>
      </c>
      <c r="N76" s="58">
        <f t="shared" si="44"/>
        <v>0.02</v>
      </c>
      <c r="O76" s="58">
        <f t="shared" si="45"/>
        <v>8.5000000000000006E-2</v>
      </c>
      <c r="P76" s="58">
        <f t="shared" si="46"/>
        <v>0.24799999999999997</v>
      </c>
      <c r="Q76" s="58">
        <f t="shared" si="47"/>
        <v>4.8000000000000001E-2</v>
      </c>
      <c r="R76" s="58">
        <f t="shared" si="48"/>
        <v>3.6999999999999998E-2</v>
      </c>
      <c r="S76" s="58">
        <f t="shared" si="49"/>
        <v>3.9E-2</v>
      </c>
      <c r="U76" s="58">
        <f t="shared" si="74"/>
        <v>1.0010000000000001</v>
      </c>
      <c r="W76" s="58">
        <f t="shared" si="75"/>
        <v>-1.0000000000001119E-3</v>
      </c>
      <c r="X76" s="58">
        <f t="shared" si="76"/>
        <v>0.24699999999999986</v>
      </c>
    </row>
    <row r="77" spans="1:24" ht="18" customHeight="1" x14ac:dyDescent="0.3">
      <c r="A77" s="10">
        <v>71</v>
      </c>
      <c r="B77" s="38">
        <f t="shared" si="77"/>
        <v>314.32145580000002</v>
      </c>
      <c r="C77" s="38">
        <f t="shared" si="78"/>
        <v>143.19088542000003</v>
      </c>
      <c r="D77" s="38">
        <f t="shared" si="79"/>
        <v>17.462303100000003</v>
      </c>
      <c r="E77" s="38">
        <f t="shared" si="80"/>
        <v>74.21478817500001</v>
      </c>
      <c r="F77" s="38">
        <f t="shared" si="81"/>
        <v>216.53255844</v>
      </c>
      <c r="G77" s="38">
        <f t="shared" si="82"/>
        <v>41.909527440000005</v>
      </c>
      <c r="H77" s="38">
        <f t="shared" si="83"/>
        <v>32.305260735000005</v>
      </c>
      <c r="I77" s="43">
        <f t="shared" si="84"/>
        <v>34.051491045000006</v>
      </c>
      <c r="J77" s="37">
        <f>1683/10^6*518785</f>
        <v>873.11515500000007</v>
      </c>
      <c r="L77" s="58">
        <f t="shared" si="42"/>
        <v>0.36</v>
      </c>
      <c r="M77" s="58">
        <f t="shared" si="43"/>
        <v>0.16400000000000001</v>
      </c>
      <c r="N77" s="58">
        <f t="shared" si="44"/>
        <v>0.02</v>
      </c>
      <c r="O77" s="58">
        <f t="shared" si="45"/>
        <v>8.5000000000000006E-2</v>
      </c>
      <c r="P77" s="58">
        <f t="shared" si="46"/>
        <v>0.24799999999999997</v>
      </c>
      <c r="Q77" s="58">
        <f t="shared" si="47"/>
        <v>4.8000000000000001E-2</v>
      </c>
      <c r="R77" s="58">
        <f t="shared" si="48"/>
        <v>3.7000000000000005E-2</v>
      </c>
      <c r="S77" s="58">
        <f t="shared" si="49"/>
        <v>3.9000000000000007E-2</v>
      </c>
      <c r="U77" s="58">
        <f t="shared" si="74"/>
        <v>1.0010000000000001</v>
      </c>
      <c r="W77" s="58">
        <f t="shared" si="75"/>
        <v>-1.0000000000001119E-3</v>
      </c>
      <c r="X77" s="58">
        <f t="shared" si="76"/>
        <v>0.24699999999999986</v>
      </c>
    </row>
    <row r="78" spans="1:24" ht="18" customHeight="1" x14ac:dyDescent="0.3">
      <c r="A78" s="10">
        <v>72</v>
      </c>
      <c r="B78" s="38">
        <f t="shared" si="77"/>
        <v>126.09695736</v>
      </c>
      <c r="C78" s="38">
        <f t="shared" si="78"/>
        <v>57.444169464000005</v>
      </c>
      <c r="D78" s="38">
        <f t="shared" si="79"/>
        <v>7.0053865200000009</v>
      </c>
      <c r="E78" s="38">
        <f t="shared" si="80"/>
        <v>29.772892710000004</v>
      </c>
      <c r="F78" s="38">
        <f t="shared" si="81"/>
        <v>86.866792848000003</v>
      </c>
      <c r="G78" s="38">
        <f t="shared" si="82"/>
        <v>16.812927648000002</v>
      </c>
      <c r="H78" s="38">
        <f t="shared" si="83"/>
        <v>12.959965062</v>
      </c>
      <c r="I78" s="43">
        <f t="shared" si="84"/>
        <v>13.660503714000001</v>
      </c>
      <c r="J78" s="37">
        <f>1683/10^6*208122</f>
        <v>350.26932600000004</v>
      </c>
      <c r="L78" s="58">
        <f t="shared" si="42"/>
        <v>0.36</v>
      </c>
      <c r="M78" s="58">
        <f t="shared" si="43"/>
        <v>0.16400000000000001</v>
      </c>
      <c r="N78" s="58">
        <f t="shared" si="44"/>
        <v>0.02</v>
      </c>
      <c r="O78" s="58">
        <f t="shared" si="45"/>
        <v>8.5000000000000006E-2</v>
      </c>
      <c r="P78" s="58">
        <f t="shared" si="46"/>
        <v>0.24799999999999997</v>
      </c>
      <c r="Q78" s="58">
        <f t="shared" si="47"/>
        <v>4.8000000000000001E-2</v>
      </c>
      <c r="R78" s="58">
        <f t="shared" si="48"/>
        <v>3.6999999999999998E-2</v>
      </c>
      <c r="S78" s="58">
        <f t="shared" si="49"/>
        <v>3.9E-2</v>
      </c>
      <c r="U78" s="58">
        <f t="shared" si="74"/>
        <v>1.0010000000000001</v>
      </c>
      <c r="W78" s="58">
        <f t="shared" si="75"/>
        <v>-1.0000000000001119E-3</v>
      </c>
      <c r="X78" s="58">
        <f t="shared" si="76"/>
        <v>0.24699999999999986</v>
      </c>
    </row>
    <row r="79" spans="1:24" ht="18" customHeight="1" x14ac:dyDescent="0.3">
      <c r="A79" s="10">
        <v>73</v>
      </c>
      <c r="B79" s="38">
        <f t="shared" si="77"/>
        <v>80.393611319999991</v>
      </c>
      <c r="C79" s="38">
        <f t="shared" si="78"/>
        <v>36.623756268000001</v>
      </c>
      <c r="D79" s="38">
        <f t="shared" si="79"/>
        <v>4.4663117400000001</v>
      </c>
      <c r="E79" s="38">
        <f t="shared" si="80"/>
        <v>18.981824895000003</v>
      </c>
      <c r="F79" s="38">
        <f t="shared" si="81"/>
        <v>55.382265575999995</v>
      </c>
      <c r="G79" s="38">
        <f t="shared" si="82"/>
        <v>10.719148175999999</v>
      </c>
      <c r="H79" s="38">
        <f t="shared" si="83"/>
        <v>8.2626767189999999</v>
      </c>
      <c r="I79" s="43">
        <f t="shared" si="84"/>
        <v>8.7093078930000001</v>
      </c>
      <c r="J79" s="37">
        <f>1683/10^6*132689</f>
        <v>223.31558699999999</v>
      </c>
      <c r="L79" s="58">
        <f t="shared" si="42"/>
        <v>0.36</v>
      </c>
      <c r="M79" s="58">
        <f t="shared" si="43"/>
        <v>0.16400000000000001</v>
      </c>
      <c r="N79" s="58">
        <f t="shared" si="44"/>
        <v>0.02</v>
      </c>
      <c r="O79" s="58">
        <f t="shared" si="45"/>
        <v>8.500000000000002E-2</v>
      </c>
      <c r="P79" s="58">
        <f t="shared" si="46"/>
        <v>0.24799999999999997</v>
      </c>
      <c r="Q79" s="58">
        <f t="shared" si="47"/>
        <v>4.7999999999999994E-2</v>
      </c>
      <c r="R79" s="58">
        <f t="shared" si="48"/>
        <v>3.6999999999999998E-2</v>
      </c>
      <c r="S79" s="58">
        <f t="shared" si="49"/>
        <v>3.9E-2</v>
      </c>
      <c r="U79" s="58">
        <f t="shared" si="74"/>
        <v>1.0010000000000001</v>
      </c>
      <c r="W79" s="58">
        <f t="shared" si="75"/>
        <v>-1.0000000000001119E-3</v>
      </c>
      <c r="X79" s="58">
        <f t="shared" si="76"/>
        <v>0.24699999999999986</v>
      </c>
    </row>
    <row r="80" spans="1:24" ht="18" customHeight="1" x14ac:dyDescent="0.3">
      <c r="A80" s="10">
        <v>74</v>
      </c>
      <c r="B80" s="38">
        <f t="shared" si="77"/>
        <v>36.567887399999996</v>
      </c>
      <c r="C80" s="38">
        <f t="shared" si="78"/>
        <v>16.65870426</v>
      </c>
      <c r="D80" s="38">
        <f t="shared" si="79"/>
        <v>2.0315493</v>
      </c>
      <c r="E80" s="38">
        <f t="shared" si="80"/>
        <v>8.6340845250000005</v>
      </c>
      <c r="F80" s="38">
        <f t="shared" si="81"/>
        <v>25.191211320000001</v>
      </c>
      <c r="G80" s="38">
        <f t="shared" si="82"/>
        <v>4.8757183200000007</v>
      </c>
      <c r="H80" s="38">
        <f t="shared" si="83"/>
        <v>3.7583662049999997</v>
      </c>
      <c r="I80" s="43">
        <f t="shared" si="84"/>
        <v>3.9615211349999999</v>
      </c>
      <c r="J80" s="37">
        <f>1683/10^6*60355</f>
        <v>101.577465</v>
      </c>
      <c r="L80" s="58">
        <f t="shared" si="42"/>
        <v>0.35999999999999993</v>
      </c>
      <c r="M80" s="58">
        <f t="shared" si="43"/>
        <v>0.16400000000000001</v>
      </c>
      <c r="N80" s="58">
        <f t="shared" si="44"/>
        <v>0.02</v>
      </c>
      <c r="O80" s="58">
        <f t="shared" si="45"/>
        <v>8.5000000000000006E-2</v>
      </c>
      <c r="P80" s="58">
        <f t="shared" si="46"/>
        <v>0.248</v>
      </c>
      <c r="Q80" s="58">
        <f t="shared" si="47"/>
        <v>4.8000000000000008E-2</v>
      </c>
      <c r="R80" s="58">
        <f t="shared" si="48"/>
        <v>3.6999999999999998E-2</v>
      </c>
      <c r="S80" s="58">
        <f t="shared" si="49"/>
        <v>3.9E-2</v>
      </c>
      <c r="U80" s="58">
        <f t="shared" si="74"/>
        <v>1.0009999999999999</v>
      </c>
      <c r="W80" s="58">
        <f t="shared" si="75"/>
        <v>-9.9999999999988987E-4</v>
      </c>
      <c r="X80" s="58">
        <f t="shared" si="76"/>
        <v>0.24700000000000011</v>
      </c>
    </row>
    <row r="81" spans="1:24" ht="18" customHeight="1" x14ac:dyDescent="0.3">
      <c r="A81" s="10">
        <v>75</v>
      </c>
      <c r="B81" s="38">
        <f t="shared" si="77"/>
        <v>17.330591519999999</v>
      </c>
      <c r="C81" s="38">
        <f t="shared" si="78"/>
        <v>7.895047248</v>
      </c>
      <c r="D81" s="38">
        <f t="shared" si="79"/>
        <v>0.96281064000000005</v>
      </c>
      <c r="E81" s="38">
        <f t="shared" si="80"/>
        <v>4.0919452200000004</v>
      </c>
      <c r="F81" s="38">
        <f t="shared" si="81"/>
        <v>11.938851936000001</v>
      </c>
      <c r="G81" s="38">
        <f t="shared" si="82"/>
        <v>2.3107455360000002</v>
      </c>
      <c r="H81" s="38">
        <f t="shared" si="83"/>
        <v>1.7811996839999999</v>
      </c>
      <c r="I81" s="43">
        <f t="shared" si="84"/>
        <v>1.877480748</v>
      </c>
      <c r="J81" s="37">
        <f>1683/10^6*28604</f>
        <v>48.140532</v>
      </c>
      <c r="L81" s="58">
        <f t="shared" si="42"/>
        <v>0.36</v>
      </c>
      <c r="M81" s="58">
        <f t="shared" si="43"/>
        <v>0.16400000000000001</v>
      </c>
      <c r="N81" s="58">
        <f t="shared" si="44"/>
        <v>0.02</v>
      </c>
      <c r="O81" s="58">
        <f t="shared" si="45"/>
        <v>8.5000000000000006E-2</v>
      </c>
      <c r="P81" s="58">
        <f t="shared" si="46"/>
        <v>0.24800000000000003</v>
      </c>
      <c r="Q81" s="58">
        <f t="shared" si="47"/>
        <v>4.8000000000000001E-2</v>
      </c>
      <c r="R81" s="58">
        <f t="shared" si="48"/>
        <v>3.6999999999999998E-2</v>
      </c>
      <c r="S81" s="58">
        <f t="shared" si="49"/>
        <v>3.9E-2</v>
      </c>
      <c r="U81" s="58">
        <f t="shared" si="74"/>
        <v>1.0010000000000001</v>
      </c>
      <c r="W81" s="58">
        <f t="shared" si="75"/>
        <v>-1.0000000000001119E-3</v>
      </c>
      <c r="X81" s="58">
        <f t="shared" si="76"/>
        <v>0.24699999999999991</v>
      </c>
    </row>
    <row r="82" spans="1:24" ht="18" customHeight="1" x14ac:dyDescent="0.3">
      <c r="A82" s="17" t="s">
        <v>109</v>
      </c>
      <c r="B82" s="32"/>
      <c r="C82" s="32"/>
      <c r="D82" s="32"/>
      <c r="E82" s="32"/>
      <c r="F82" s="32"/>
      <c r="G82" s="32"/>
      <c r="H82" s="32"/>
      <c r="I82" s="32"/>
      <c r="J82" s="45"/>
      <c r="L82" s="58"/>
      <c r="M82" s="58"/>
      <c r="N82" s="58"/>
      <c r="O82" s="58"/>
      <c r="P82" s="58"/>
      <c r="Q82" s="58"/>
      <c r="R82" s="58"/>
      <c r="S82" s="58"/>
      <c r="U82" s="58"/>
      <c r="W82" s="58"/>
      <c r="X82" s="58"/>
    </row>
    <row r="83" spans="1:24" ht="18" customHeight="1" x14ac:dyDescent="0.3">
      <c r="A83" s="10">
        <v>77</v>
      </c>
      <c r="B83" s="38">
        <f>0.36*$J83</f>
        <v>46.208649959999995</v>
      </c>
      <c r="C83" s="38">
        <f>0.164*$J83</f>
        <v>21.050607204000002</v>
      </c>
      <c r="D83" s="38">
        <f>0.02*$J83</f>
        <v>2.5671472199999998</v>
      </c>
      <c r="E83" s="38">
        <f>0.085*$J83</f>
        <v>10.910375685</v>
      </c>
      <c r="F83" s="38">
        <f>0.248*$J83</f>
        <v>31.832625527999998</v>
      </c>
      <c r="G83" s="38">
        <f>0.048*$J83</f>
        <v>6.1611533280000002</v>
      </c>
      <c r="H83" s="38">
        <f>0.037*$J83</f>
        <v>4.7492223569999998</v>
      </c>
      <c r="I83" s="43">
        <f>0.039*$J83</f>
        <v>5.0059370789999997</v>
      </c>
      <c r="J83" s="37">
        <f>1683/10^6*76267</f>
        <v>128.357361</v>
      </c>
      <c r="L83" s="58">
        <f t="shared" ref="L83:L110" si="85">B83/$J83</f>
        <v>0.36</v>
      </c>
      <c r="M83" s="58">
        <f t="shared" ref="M83:M110" si="86">C83/$J83</f>
        <v>0.16400000000000001</v>
      </c>
      <c r="N83" s="58">
        <f t="shared" ref="N83:N110" si="87">D83/$J83</f>
        <v>0.02</v>
      </c>
      <c r="O83" s="58">
        <f t="shared" ref="O83:O110" si="88">E83/$J83</f>
        <v>8.5000000000000006E-2</v>
      </c>
      <c r="P83" s="58">
        <f t="shared" ref="P83:P110" si="89">F83/$J83</f>
        <v>0.248</v>
      </c>
      <c r="Q83" s="58">
        <f t="shared" ref="Q83:Q110" si="90">G83/$J83</f>
        <v>4.8000000000000001E-2</v>
      </c>
      <c r="R83" s="58">
        <f t="shared" ref="R83:R110" si="91">H83/$J83</f>
        <v>3.6999999999999998E-2</v>
      </c>
      <c r="S83" s="58">
        <f t="shared" ref="S83:S110" si="92">I83/$J83</f>
        <v>3.9E-2</v>
      </c>
      <c r="U83" s="58">
        <f t="shared" si="74"/>
        <v>1.0010000000000001</v>
      </c>
      <c r="W83" s="58">
        <f t="shared" si="75"/>
        <v>-1.0000000000001119E-3</v>
      </c>
      <c r="X83" s="58">
        <f t="shared" si="76"/>
        <v>0.24699999999999989</v>
      </c>
    </row>
    <row r="84" spans="1:24" ht="18" customHeight="1" x14ac:dyDescent="0.3">
      <c r="A84" s="10">
        <v>78</v>
      </c>
      <c r="B84" s="38">
        <f t="shared" ref="B84:B88" si="93">0.36*$J84</f>
        <v>504.84102767999997</v>
      </c>
      <c r="C84" s="38">
        <f t="shared" ref="C84:C88" si="94">0.164*$J84</f>
        <v>229.98313483200002</v>
      </c>
      <c r="D84" s="38">
        <f t="shared" ref="D84:D88" si="95">0.02*$J84</f>
        <v>28.046723759999999</v>
      </c>
      <c r="E84" s="38">
        <f t="shared" ref="E84:E88" si="96">0.085*$J84</f>
        <v>119.19857598</v>
      </c>
      <c r="F84" s="38">
        <f t="shared" ref="F84:F88" si="97">0.248*$J84</f>
        <v>347.77937462400001</v>
      </c>
      <c r="G84" s="38">
        <f t="shared" ref="G84:G88" si="98">0.048*$J84</f>
        <v>67.312137023999995</v>
      </c>
      <c r="H84" s="38">
        <f t="shared" ref="H84:H88" si="99">0.037*$J84</f>
        <v>51.886438955999999</v>
      </c>
      <c r="I84" s="43">
        <f t="shared" ref="I84:I88" si="100">0.039*$J84</f>
        <v>54.691111331999998</v>
      </c>
      <c r="J84" s="37">
        <f>1683/10^6*833236</f>
        <v>1402.336188</v>
      </c>
      <c r="L84" s="58">
        <f t="shared" si="85"/>
        <v>0.36</v>
      </c>
      <c r="M84" s="58">
        <f t="shared" si="86"/>
        <v>0.16400000000000001</v>
      </c>
      <c r="N84" s="58">
        <f t="shared" si="87"/>
        <v>0.02</v>
      </c>
      <c r="O84" s="58">
        <f t="shared" si="88"/>
        <v>8.5000000000000006E-2</v>
      </c>
      <c r="P84" s="58">
        <f t="shared" si="89"/>
        <v>0.248</v>
      </c>
      <c r="Q84" s="58">
        <f t="shared" si="90"/>
        <v>4.7999999999999994E-2</v>
      </c>
      <c r="R84" s="58">
        <f t="shared" si="91"/>
        <v>3.6999999999999998E-2</v>
      </c>
      <c r="S84" s="58">
        <f t="shared" si="92"/>
        <v>3.9E-2</v>
      </c>
      <c r="U84" s="58">
        <f t="shared" si="74"/>
        <v>1.0010000000000001</v>
      </c>
      <c r="W84" s="58">
        <f t="shared" si="75"/>
        <v>-1.0000000000001119E-3</v>
      </c>
      <c r="X84" s="58">
        <f t="shared" si="76"/>
        <v>0.24699999999999989</v>
      </c>
    </row>
    <row r="85" spans="1:24" ht="18" customHeight="1" x14ac:dyDescent="0.3">
      <c r="A85" s="10">
        <v>79</v>
      </c>
      <c r="B85" s="38">
        <f t="shared" si="93"/>
        <v>48.680034479999996</v>
      </c>
      <c r="C85" s="38">
        <f t="shared" si="94"/>
        <v>22.176460152000001</v>
      </c>
      <c r="D85" s="38">
        <f t="shared" si="95"/>
        <v>2.7044463599999999</v>
      </c>
      <c r="E85" s="38">
        <f t="shared" si="96"/>
        <v>11.493897030000001</v>
      </c>
      <c r="F85" s="38">
        <f t="shared" si="97"/>
        <v>33.535134864</v>
      </c>
      <c r="G85" s="38">
        <f t="shared" si="98"/>
        <v>6.4906712640000004</v>
      </c>
      <c r="H85" s="38">
        <f t="shared" si="99"/>
        <v>5.0032257659999999</v>
      </c>
      <c r="I85" s="43">
        <f t="shared" si="100"/>
        <v>5.2736704020000005</v>
      </c>
      <c r="J85" s="37">
        <f>1683/10^6*80346</f>
        <v>135.222318</v>
      </c>
      <c r="L85" s="58">
        <f t="shared" si="85"/>
        <v>0.36</v>
      </c>
      <c r="M85" s="58">
        <f t="shared" si="86"/>
        <v>0.16400000000000001</v>
      </c>
      <c r="N85" s="58">
        <f t="shared" si="87"/>
        <v>0.02</v>
      </c>
      <c r="O85" s="58">
        <f t="shared" si="88"/>
        <v>8.5000000000000006E-2</v>
      </c>
      <c r="P85" s="58">
        <f t="shared" si="89"/>
        <v>0.248</v>
      </c>
      <c r="Q85" s="58">
        <f t="shared" si="90"/>
        <v>4.8000000000000001E-2</v>
      </c>
      <c r="R85" s="58">
        <f t="shared" si="91"/>
        <v>3.6999999999999998E-2</v>
      </c>
      <c r="S85" s="58">
        <f t="shared" si="92"/>
        <v>3.9E-2</v>
      </c>
      <c r="U85" s="58">
        <f t="shared" si="74"/>
        <v>1.0010000000000001</v>
      </c>
      <c r="W85" s="58">
        <f t="shared" si="75"/>
        <v>-1.0000000000001119E-3</v>
      </c>
      <c r="X85" s="58">
        <f t="shared" si="76"/>
        <v>0.24699999999999989</v>
      </c>
    </row>
    <row r="86" spans="1:24" ht="18" customHeight="1" x14ac:dyDescent="0.3">
      <c r="A86" s="10">
        <v>80</v>
      </c>
      <c r="B86" s="38">
        <f t="shared" si="93"/>
        <v>93.852023759999994</v>
      </c>
      <c r="C86" s="38">
        <f t="shared" si="94"/>
        <v>42.754810824000003</v>
      </c>
      <c r="D86" s="38">
        <f t="shared" si="95"/>
        <v>5.2140013200000004</v>
      </c>
      <c r="E86" s="38">
        <f t="shared" si="96"/>
        <v>22.15950561</v>
      </c>
      <c r="F86" s="38">
        <f t="shared" si="97"/>
        <v>64.653616368000002</v>
      </c>
      <c r="G86" s="38">
        <f t="shared" si="98"/>
        <v>12.513603167999999</v>
      </c>
      <c r="H86" s="38">
        <f t="shared" si="99"/>
        <v>9.6459024419999988</v>
      </c>
      <c r="I86" s="43">
        <f t="shared" si="100"/>
        <v>10.167302573999999</v>
      </c>
      <c r="J86" s="37">
        <f>1683/10^6*154902</f>
        <v>260.70006599999999</v>
      </c>
      <c r="L86" s="58">
        <f t="shared" si="85"/>
        <v>0.36</v>
      </c>
      <c r="M86" s="58">
        <f t="shared" si="86"/>
        <v>0.16400000000000001</v>
      </c>
      <c r="N86" s="58">
        <f t="shared" si="87"/>
        <v>0.02</v>
      </c>
      <c r="O86" s="58">
        <f t="shared" si="88"/>
        <v>8.5000000000000006E-2</v>
      </c>
      <c r="P86" s="58">
        <f t="shared" si="89"/>
        <v>0.24800000000000003</v>
      </c>
      <c r="Q86" s="58">
        <f t="shared" si="90"/>
        <v>4.8000000000000001E-2</v>
      </c>
      <c r="R86" s="58">
        <f t="shared" si="91"/>
        <v>3.6999999999999998E-2</v>
      </c>
      <c r="S86" s="58">
        <f t="shared" si="92"/>
        <v>3.9E-2</v>
      </c>
      <c r="U86" s="58">
        <f t="shared" si="74"/>
        <v>1.0010000000000001</v>
      </c>
      <c r="W86" s="58">
        <f t="shared" si="75"/>
        <v>-1.0000000000001119E-3</v>
      </c>
      <c r="X86" s="58">
        <f t="shared" si="76"/>
        <v>0.24699999999999991</v>
      </c>
    </row>
    <row r="87" spans="1:24" ht="18" customHeight="1" x14ac:dyDescent="0.3">
      <c r="A87" s="10">
        <v>81</v>
      </c>
      <c r="B87" s="38">
        <f t="shared" si="93"/>
        <v>421.04903544000001</v>
      </c>
      <c r="C87" s="38">
        <f t="shared" si="94"/>
        <v>191.81122725600002</v>
      </c>
      <c r="D87" s="38">
        <f t="shared" si="95"/>
        <v>23.391613080000003</v>
      </c>
      <c r="E87" s="38">
        <f t="shared" si="96"/>
        <v>99.414355590000014</v>
      </c>
      <c r="F87" s="38">
        <f t="shared" si="97"/>
        <v>290.05600219199999</v>
      </c>
      <c r="G87" s="38">
        <f t="shared" si="98"/>
        <v>56.139871392000003</v>
      </c>
      <c r="H87" s="38">
        <f t="shared" si="99"/>
        <v>43.274484198000003</v>
      </c>
      <c r="I87" s="43">
        <f t="shared" si="100"/>
        <v>45.613645506000005</v>
      </c>
      <c r="J87" s="37">
        <f>1683/10^6*694938</f>
        <v>1169.5806540000001</v>
      </c>
      <c r="L87" s="58">
        <f t="shared" si="85"/>
        <v>0.36</v>
      </c>
      <c r="M87" s="58">
        <f t="shared" si="86"/>
        <v>0.16400000000000001</v>
      </c>
      <c r="N87" s="58">
        <f t="shared" si="87"/>
        <v>0.02</v>
      </c>
      <c r="O87" s="58">
        <f t="shared" si="88"/>
        <v>8.5000000000000006E-2</v>
      </c>
      <c r="P87" s="58">
        <f t="shared" si="89"/>
        <v>0.24799999999999997</v>
      </c>
      <c r="Q87" s="58">
        <f t="shared" si="90"/>
        <v>4.8000000000000001E-2</v>
      </c>
      <c r="R87" s="58">
        <f t="shared" si="91"/>
        <v>3.6999999999999998E-2</v>
      </c>
      <c r="S87" s="58">
        <f t="shared" si="92"/>
        <v>3.9E-2</v>
      </c>
      <c r="U87" s="58">
        <f t="shared" si="74"/>
        <v>1.0010000000000001</v>
      </c>
      <c r="W87" s="58">
        <f t="shared" si="75"/>
        <v>-1.0000000000001119E-3</v>
      </c>
      <c r="X87" s="58">
        <f t="shared" si="76"/>
        <v>0.24699999999999986</v>
      </c>
    </row>
    <row r="88" spans="1:24" ht="18" customHeight="1" x14ac:dyDescent="0.3">
      <c r="A88" s="10">
        <v>82</v>
      </c>
      <c r="B88" s="38">
        <f t="shared" si="93"/>
        <v>200.80559663999998</v>
      </c>
      <c r="C88" s="38">
        <f t="shared" si="94"/>
        <v>91.478105135999996</v>
      </c>
      <c r="D88" s="38">
        <f t="shared" si="95"/>
        <v>11.15586648</v>
      </c>
      <c r="E88" s="38">
        <f t="shared" si="96"/>
        <v>47.412432540000005</v>
      </c>
      <c r="F88" s="38">
        <f t="shared" si="97"/>
        <v>138.33274435199999</v>
      </c>
      <c r="G88" s="38">
        <f t="shared" si="98"/>
        <v>26.774079552</v>
      </c>
      <c r="H88" s="38">
        <f t="shared" si="99"/>
        <v>20.638352987999998</v>
      </c>
      <c r="I88" s="43">
        <f t="shared" si="100"/>
        <v>21.753939635999998</v>
      </c>
      <c r="J88" s="37">
        <f>1683/10^6*331428</f>
        <v>557.79332399999998</v>
      </c>
      <c r="L88" s="58">
        <f t="shared" si="85"/>
        <v>0.36</v>
      </c>
      <c r="M88" s="58">
        <f t="shared" si="86"/>
        <v>0.16400000000000001</v>
      </c>
      <c r="N88" s="58">
        <f t="shared" si="87"/>
        <v>0.02</v>
      </c>
      <c r="O88" s="58">
        <f t="shared" si="88"/>
        <v>8.5000000000000006E-2</v>
      </c>
      <c r="P88" s="58">
        <f t="shared" si="89"/>
        <v>0.248</v>
      </c>
      <c r="Q88" s="58">
        <f t="shared" si="90"/>
        <v>4.8000000000000001E-2</v>
      </c>
      <c r="R88" s="58">
        <f t="shared" si="91"/>
        <v>3.6999999999999998E-2</v>
      </c>
      <c r="S88" s="58">
        <f t="shared" si="92"/>
        <v>3.9E-2</v>
      </c>
      <c r="U88" s="58">
        <f t="shared" si="74"/>
        <v>1.0010000000000001</v>
      </c>
      <c r="W88" s="58">
        <f t="shared" si="75"/>
        <v>-1.0000000000001119E-3</v>
      </c>
      <c r="X88" s="58">
        <f t="shared" si="76"/>
        <v>0.24699999999999989</v>
      </c>
    </row>
    <row r="89" spans="1:24" ht="18" customHeight="1" x14ac:dyDescent="0.3">
      <c r="A89" s="21" t="s">
        <v>110</v>
      </c>
      <c r="B89" s="34"/>
      <c r="C89" s="34"/>
      <c r="D89" s="34"/>
      <c r="E89" s="34"/>
      <c r="F89" s="34"/>
      <c r="G89" s="34"/>
      <c r="H89" s="34"/>
      <c r="I89" s="34"/>
      <c r="J89" s="47"/>
      <c r="L89" s="58"/>
      <c r="M89" s="58"/>
      <c r="N89" s="58"/>
      <c r="O89" s="58"/>
      <c r="P89" s="58"/>
      <c r="Q89" s="58"/>
      <c r="R89" s="58"/>
      <c r="S89" s="58"/>
      <c r="U89" s="58"/>
      <c r="W89" s="58"/>
      <c r="X89" s="58"/>
    </row>
    <row r="90" spans="1:24" ht="18" customHeight="1" x14ac:dyDescent="0.3">
      <c r="A90" s="10">
        <v>84</v>
      </c>
      <c r="B90" s="38">
        <f>0.36*$J90</f>
        <v>1303.1017365599998</v>
      </c>
      <c r="C90" s="38">
        <f>0.164*$J90</f>
        <v>593.63523554400001</v>
      </c>
      <c r="D90" s="38">
        <f>0.02*$J90</f>
        <v>72.394540919999997</v>
      </c>
      <c r="E90" s="38">
        <f>0.085*$J90</f>
        <v>307.67679891</v>
      </c>
      <c r="F90" s="38">
        <f>0.248*$J90</f>
        <v>897.69230740800003</v>
      </c>
      <c r="G90" s="38">
        <f>0.048*$J90</f>
        <v>173.746898208</v>
      </c>
      <c r="H90" s="38">
        <f>0.037*$J90</f>
        <v>133.929900702</v>
      </c>
      <c r="I90" s="43">
        <f>0.039*$J90</f>
        <v>141.16935479399999</v>
      </c>
      <c r="J90" s="37">
        <f>2117*1709838/10^6</f>
        <v>3619.727046</v>
      </c>
      <c r="L90" s="58">
        <f t="shared" si="85"/>
        <v>0.35999999999999993</v>
      </c>
      <c r="M90" s="58">
        <f t="shared" si="86"/>
        <v>0.16400000000000001</v>
      </c>
      <c r="N90" s="58">
        <f t="shared" si="87"/>
        <v>0.02</v>
      </c>
      <c r="O90" s="58">
        <f t="shared" si="88"/>
        <v>8.5000000000000006E-2</v>
      </c>
      <c r="P90" s="58">
        <f t="shared" si="89"/>
        <v>0.248</v>
      </c>
      <c r="Q90" s="58">
        <f t="shared" si="90"/>
        <v>4.8000000000000001E-2</v>
      </c>
      <c r="R90" s="58">
        <f t="shared" si="91"/>
        <v>3.6999999999999998E-2</v>
      </c>
      <c r="S90" s="58">
        <f t="shared" si="92"/>
        <v>3.8999999999999993E-2</v>
      </c>
      <c r="U90" s="58">
        <f t="shared" si="74"/>
        <v>1.0009999999999999</v>
      </c>
      <c r="W90" s="58">
        <f t="shared" si="75"/>
        <v>-9.9999999999988987E-4</v>
      </c>
      <c r="X90" s="58">
        <f t="shared" si="76"/>
        <v>0.24700000000000011</v>
      </c>
    </row>
    <row r="91" spans="1:24" ht="18" customHeight="1" x14ac:dyDescent="0.3">
      <c r="A91" s="17" t="s">
        <v>111</v>
      </c>
      <c r="B91" s="32"/>
      <c r="C91" s="32"/>
      <c r="D91" s="32"/>
      <c r="E91" s="32"/>
      <c r="F91" s="32"/>
      <c r="G91" s="32"/>
      <c r="H91" s="32"/>
      <c r="I91" s="32"/>
      <c r="J91" s="45"/>
      <c r="L91" s="58"/>
      <c r="M91" s="58"/>
      <c r="N91" s="58"/>
      <c r="O91" s="58"/>
      <c r="P91" s="58"/>
      <c r="Q91" s="58"/>
      <c r="R91" s="58"/>
      <c r="S91" s="58"/>
      <c r="U91" s="58"/>
      <c r="W91" s="58"/>
      <c r="X91" s="58"/>
    </row>
    <row r="92" spans="1:24" ht="18" customHeight="1" x14ac:dyDescent="0.3">
      <c r="A92" s="10">
        <v>85</v>
      </c>
      <c r="B92" s="38">
        <f>0.36*$J92</f>
        <v>118.7180712</v>
      </c>
      <c r="C92" s="38">
        <f>0.164*$J92</f>
        <v>54.082676880000001</v>
      </c>
      <c r="D92" s="38">
        <f>0.02*$J92</f>
        <v>6.5954484000000004</v>
      </c>
      <c r="E92" s="38">
        <f>0.085*$J92</f>
        <v>28.030655700000004</v>
      </c>
      <c r="F92" s="38">
        <f>0.248*$J92</f>
        <v>81.783560160000007</v>
      </c>
      <c r="G92" s="38">
        <f>0.048*$J92</f>
        <v>15.829076160000001</v>
      </c>
      <c r="H92" s="38">
        <f>0.037*$J92</f>
        <v>12.201579539999999</v>
      </c>
      <c r="I92" s="43">
        <f>0.039*$J92</f>
        <v>12.86112438</v>
      </c>
      <c r="J92" s="37">
        <f>279*1181980/10^6</f>
        <v>329.77242000000001</v>
      </c>
      <c r="L92" s="58">
        <f t="shared" si="85"/>
        <v>0.36</v>
      </c>
      <c r="M92" s="58">
        <f t="shared" si="86"/>
        <v>0.16400000000000001</v>
      </c>
      <c r="N92" s="58">
        <f t="shared" si="87"/>
        <v>0.02</v>
      </c>
      <c r="O92" s="58">
        <f t="shared" si="88"/>
        <v>8.5000000000000006E-2</v>
      </c>
      <c r="P92" s="58">
        <f t="shared" si="89"/>
        <v>0.24800000000000003</v>
      </c>
      <c r="Q92" s="58">
        <f t="shared" si="90"/>
        <v>4.8000000000000001E-2</v>
      </c>
      <c r="R92" s="58">
        <f t="shared" si="91"/>
        <v>3.6999999999999998E-2</v>
      </c>
      <c r="S92" s="58">
        <f t="shared" si="92"/>
        <v>3.9E-2</v>
      </c>
      <c r="U92" s="58">
        <f t="shared" si="74"/>
        <v>1.0010000000000001</v>
      </c>
      <c r="W92" s="58">
        <f t="shared" si="75"/>
        <v>-1.0000000000001119E-3</v>
      </c>
      <c r="X92" s="58">
        <f t="shared" si="76"/>
        <v>0.24699999999999991</v>
      </c>
    </row>
    <row r="93" spans="1:24" ht="18" customHeight="1" x14ac:dyDescent="0.3">
      <c r="A93" s="17" t="s">
        <v>112</v>
      </c>
      <c r="B93" s="32"/>
      <c r="C93" s="32"/>
      <c r="D93" s="32"/>
      <c r="E93" s="32"/>
      <c r="F93" s="32"/>
      <c r="G93" s="32"/>
      <c r="H93" s="32"/>
      <c r="I93" s="32"/>
      <c r="J93" s="45"/>
      <c r="L93" s="58"/>
      <c r="M93" s="58"/>
      <c r="N93" s="58"/>
      <c r="O93" s="58"/>
      <c r="P93" s="58"/>
      <c r="Q93" s="58"/>
      <c r="R93" s="58"/>
      <c r="S93" s="58"/>
      <c r="U93" s="58">
        <f t="shared" si="74"/>
        <v>0</v>
      </c>
      <c r="W93" s="58"/>
      <c r="X93" s="58"/>
    </row>
    <row r="94" spans="1:24" ht="18" customHeight="1" x14ac:dyDescent="0.3">
      <c r="A94" s="10">
        <v>86</v>
      </c>
      <c r="B94" s="38">
        <f t="shared" ref="B94:B105" si="101">0.36*$J94</f>
        <v>1407.42409896</v>
      </c>
      <c r="C94" s="38">
        <f t="shared" ref="C94:C105" si="102">0.164*$J94</f>
        <v>641.15986730400004</v>
      </c>
      <c r="D94" s="38">
        <f t="shared" ref="D94:D105" si="103">0.02*$J94</f>
        <v>78.19022772000001</v>
      </c>
      <c r="E94" s="38">
        <f t="shared" ref="E94:E105" si="104">0.085*$J94</f>
        <v>332.30846781000002</v>
      </c>
      <c r="F94" s="38">
        <f t="shared" ref="F94:F105" si="105">0.248*$J94</f>
        <v>969.55882372799999</v>
      </c>
      <c r="G94" s="38">
        <f t="shared" ref="G94:G105" si="106">0.048*$J94</f>
        <v>187.65654652800001</v>
      </c>
      <c r="H94" s="38">
        <f t="shared" ref="H94:H105" si="107">0.037*$J94</f>
        <v>144.65192128199999</v>
      </c>
      <c r="I94" s="43">
        <f t="shared" ref="I94:I105" si="108">0.039*$J94</f>
        <v>152.470944054</v>
      </c>
      <c r="J94" s="37">
        <f>1683/10^6*2322942</f>
        <v>3909.5113860000001</v>
      </c>
      <c r="L94" s="58">
        <f t="shared" si="85"/>
        <v>0.36</v>
      </c>
      <c r="M94" s="58">
        <f t="shared" si="86"/>
        <v>0.16400000000000001</v>
      </c>
      <c r="N94" s="58">
        <f t="shared" si="87"/>
        <v>0.02</v>
      </c>
      <c r="O94" s="58">
        <f t="shared" si="88"/>
        <v>8.5000000000000006E-2</v>
      </c>
      <c r="P94" s="58">
        <f t="shared" si="89"/>
        <v>0.248</v>
      </c>
      <c r="Q94" s="58">
        <f t="shared" si="90"/>
        <v>4.8000000000000001E-2</v>
      </c>
      <c r="R94" s="58">
        <f t="shared" si="91"/>
        <v>3.6999999999999998E-2</v>
      </c>
      <c r="S94" s="58">
        <f t="shared" si="92"/>
        <v>3.9E-2</v>
      </c>
      <c r="U94" s="58">
        <f t="shared" si="74"/>
        <v>1.0010000000000001</v>
      </c>
      <c r="W94" s="58">
        <f t="shared" si="75"/>
        <v>-1.0000000000001119E-3</v>
      </c>
      <c r="X94" s="58">
        <f t="shared" si="76"/>
        <v>0.24699999999999989</v>
      </c>
    </row>
    <row r="95" spans="1:24" ht="18" customHeight="1" x14ac:dyDescent="0.3">
      <c r="A95" s="10">
        <v>87</v>
      </c>
      <c r="B95" s="38">
        <f t="shared" si="101"/>
        <v>589.77995076000002</v>
      </c>
      <c r="C95" s="38">
        <f t="shared" si="102"/>
        <v>268.67753312400004</v>
      </c>
      <c r="D95" s="38">
        <f t="shared" si="103"/>
        <v>32.765552820000003</v>
      </c>
      <c r="E95" s="38">
        <f t="shared" si="104"/>
        <v>139.25359948500002</v>
      </c>
      <c r="F95" s="38">
        <f t="shared" si="105"/>
        <v>406.29285496800003</v>
      </c>
      <c r="G95" s="38">
        <f t="shared" si="106"/>
        <v>78.637326768000008</v>
      </c>
      <c r="H95" s="38">
        <f t="shared" si="107"/>
        <v>60.616272717000001</v>
      </c>
      <c r="I95" s="43">
        <f t="shared" si="108"/>
        <v>63.892827999000005</v>
      </c>
      <c r="J95" s="37">
        <f>1683/10^6*973427</f>
        <v>1638.2776410000001</v>
      </c>
      <c r="L95" s="58">
        <f t="shared" si="85"/>
        <v>0.36</v>
      </c>
      <c r="M95" s="58">
        <f t="shared" si="86"/>
        <v>0.16400000000000001</v>
      </c>
      <c r="N95" s="58">
        <f t="shared" si="87"/>
        <v>0.02</v>
      </c>
      <c r="O95" s="58">
        <f t="shared" si="88"/>
        <v>8.5000000000000006E-2</v>
      </c>
      <c r="P95" s="58">
        <f t="shared" si="89"/>
        <v>0.248</v>
      </c>
      <c r="Q95" s="58">
        <f t="shared" si="90"/>
        <v>4.8000000000000001E-2</v>
      </c>
      <c r="R95" s="58">
        <f t="shared" si="91"/>
        <v>3.6999999999999998E-2</v>
      </c>
      <c r="S95" s="58">
        <f t="shared" si="92"/>
        <v>3.9E-2</v>
      </c>
      <c r="U95" s="58">
        <f t="shared" si="74"/>
        <v>1.0010000000000001</v>
      </c>
      <c r="W95" s="58">
        <f t="shared" si="75"/>
        <v>-1.0000000000001119E-3</v>
      </c>
      <c r="X95" s="58">
        <f t="shared" si="76"/>
        <v>0.24699999999999989</v>
      </c>
    </row>
    <row r="96" spans="1:24" ht="18" customHeight="1" x14ac:dyDescent="0.3">
      <c r="A96" s="10">
        <v>88</v>
      </c>
      <c r="B96" s="38">
        <f t="shared" si="101"/>
        <v>693.83802312</v>
      </c>
      <c r="C96" s="38">
        <f t="shared" si="102"/>
        <v>316.08176608800005</v>
      </c>
      <c r="D96" s="38">
        <f t="shared" si="103"/>
        <v>38.546556840000001</v>
      </c>
      <c r="E96" s="38">
        <f t="shared" si="104"/>
        <v>163.82286657000003</v>
      </c>
      <c r="F96" s="38">
        <f t="shared" si="105"/>
        <v>477.97730481600001</v>
      </c>
      <c r="G96" s="38">
        <f t="shared" si="106"/>
        <v>92.511736416000005</v>
      </c>
      <c r="H96" s="38">
        <f t="shared" si="107"/>
        <v>71.311130153999997</v>
      </c>
      <c r="I96" s="43">
        <f t="shared" si="108"/>
        <v>75.165785838000005</v>
      </c>
      <c r="J96" s="37">
        <f>1683/10^6*1145174</f>
        <v>1927.3278420000001</v>
      </c>
      <c r="L96" s="58">
        <f t="shared" si="85"/>
        <v>0.36</v>
      </c>
      <c r="M96" s="58">
        <f t="shared" si="86"/>
        <v>0.16400000000000001</v>
      </c>
      <c r="N96" s="58">
        <f t="shared" si="87"/>
        <v>0.02</v>
      </c>
      <c r="O96" s="58">
        <f t="shared" si="88"/>
        <v>8.5000000000000006E-2</v>
      </c>
      <c r="P96" s="58">
        <f t="shared" si="89"/>
        <v>0.248</v>
      </c>
      <c r="Q96" s="58">
        <f t="shared" si="90"/>
        <v>4.8000000000000001E-2</v>
      </c>
      <c r="R96" s="58">
        <f t="shared" si="91"/>
        <v>3.6999999999999998E-2</v>
      </c>
      <c r="S96" s="58">
        <f t="shared" si="92"/>
        <v>3.9E-2</v>
      </c>
      <c r="U96" s="58">
        <f t="shared" si="74"/>
        <v>1.0010000000000001</v>
      </c>
      <c r="W96" s="58">
        <f t="shared" si="75"/>
        <v>-1.0000000000001119E-3</v>
      </c>
      <c r="X96" s="58">
        <f t="shared" si="76"/>
        <v>0.24699999999999989</v>
      </c>
    </row>
    <row r="97" spans="1:24" ht="18" customHeight="1" x14ac:dyDescent="0.3">
      <c r="A97" s="17" t="s">
        <v>113</v>
      </c>
      <c r="B97" s="32"/>
      <c r="C97" s="32"/>
      <c r="D97" s="32"/>
      <c r="E97" s="32"/>
      <c r="F97" s="32"/>
      <c r="G97" s="32"/>
      <c r="H97" s="32"/>
      <c r="I97" s="32"/>
      <c r="J97" s="45"/>
      <c r="L97" s="58"/>
      <c r="M97" s="58"/>
      <c r="N97" s="58"/>
      <c r="O97" s="58"/>
      <c r="P97" s="58"/>
      <c r="Q97" s="58"/>
      <c r="R97" s="58"/>
      <c r="S97" s="58"/>
      <c r="U97" s="58"/>
      <c r="W97" s="58"/>
      <c r="X97" s="58"/>
    </row>
    <row r="98" spans="1:24" ht="18" customHeight="1" x14ac:dyDescent="0.3">
      <c r="A98" s="10">
        <v>90</v>
      </c>
      <c r="B98" s="38">
        <f t="shared" si="101"/>
        <v>40.175902800000003</v>
      </c>
      <c r="C98" s="38">
        <f t="shared" si="102"/>
        <v>18.302355720000001</v>
      </c>
      <c r="D98" s="38">
        <f t="shared" si="103"/>
        <v>2.2319946000000002</v>
      </c>
      <c r="E98" s="38">
        <f t="shared" si="104"/>
        <v>9.4859770500000007</v>
      </c>
      <c r="F98" s="38">
        <f t="shared" si="105"/>
        <v>27.676733040000002</v>
      </c>
      <c r="G98" s="38">
        <f t="shared" si="106"/>
        <v>5.3567870400000004</v>
      </c>
      <c r="H98" s="38">
        <f t="shared" si="107"/>
        <v>4.1291900100000003</v>
      </c>
      <c r="I98" s="43">
        <f t="shared" si="108"/>
        <v>4.3523894700000003</v>
      </c>
      <c r="J98" s="37">
        <f>1683/10^6*66310</f>
        <v>111.59973000000001</v>
      </c>
      <c r="L98" s="58">
        <f t="shared" si="85"/>
        <v>0.36</v>
      </c>
      <c r="M98" s="58">
        <f t="shared" si="86"/>
        <v>0.16400000000000001</v>
      </c>
      <c r="N98" s="58">
        <f t="shared" si="87"/>
        <v>0.02</v>
      </c>
      <c r="O98" s="58">
        <f t="shared" si="88"/>
        <v>8.5000000000000006E-2</v>
      </c>
      <c r="P98" s="58">
        <f t="shared" si="89"/>
        <v>0.248</v>
      </c>
      <c r="Q98" s="58">
        <f t="shared" si="90"/>
        <v>4.8000000000000001E-2</v>
      </c>
      <c r="R98" s="58">
        <f t="shared" si="91"/>
        <v>3.6999999999999998E-2</v>
      </c>
      <c r="S98" s="58">
        <f t="shared" si="92"/>
        <v>3.9E-2</v>
      </c>
      <c r="U98" s="58">
        <f t="shared" si="74"/>
        <v>1.0010000000000001</v>
      </c>
      <c r="W98" s="58">
        <f t="shared" si="75"/>
        <v>-1.0000000000001119E-3</v>
      </c>
      <c r="X98" s="58">
        <f t="shared" si="76"/>
        <v>0.24699999999999989</v>
      </c>
    </row>
    <row r="99" spans="1:24" ht="18" customHeight="1" x14ac:dyDescent="0.3">
      <c r="A99" s="10">
        <v>91</v>
      </c>
      <c r="B99" s="38">
        <f t="shared" si="101"/>
        <v>21.336670080000001</v>
      </c>
      <c r="C99" s="38">
        <f t="shared" si="102"/>
        <v>9.7200385920000016</v>
      </c>
      <c r="D99" s="38">
        <f t="shared" si="103"/>
        <v>1.1853705600000002</v>
      </c>
      <c r="E99" s="38">
        <f t="shared" si="104"/>
        <v>5.0378248800000005</v>
      </c>
      <c r="F99" s="38">
        <f t="shared" si="105"/>
        <v>14.698594944</v>
      </c>
      <c r="G99" s="38">
        <f t="shared" si="106"/>
        <v>2.8448893440000003</v>
      </c>
      <c r="H99" s="38">
        <f t="shared" si="107"/>
        <v>2.1929355359999998</v>
      </c>
      <c r="I99" s="43">
        <f t="shared" si="108"/>
        <v>2.3114725920000003</v>
      </c>
      <c r="J99" s="37">
        <f>1683/10^6*35216</f>
        <v>59.268528000000003</v>
      </c>
      <c r="L99" s="58">
        <f t="shared" si="85"/>
        <v>0.36</v>
      </c>
      <c r="M99" s="58">
        <f t="shared" si="86"/>
        <v>0.16400000000000001</v>
      </c>
      <c r="N99" s="58">
        <f t="shared" si="87"/>
        <v>0.02</v>
      </c>
      <c r="O99" s="58">
        <f t="shared" si="88"/>
        <v>8.5000000000000006E-2</v>
      </c>
      <c r="P99" s="58">
        <f t="shared" si="89"/>
        <v>0.24799999999999997</v>
      </c>
      <c r="Q99" s="58">
        <f t="shared" si="90"/>
        <v>4.8000000000000001E-2</v>
      </c>
      <c r="R99" s="58">
        <f t="shared" si="91"/>
        <v>3.6999999999999991E-2</v>
      </c>
      <c r="S99" s="58">
        <f t="shared" si="92"/>
        <v>3.9E-2</v>
      </c>
      <c r="U99" s="58">
        <f t="shared" si="74"/>
        <v>1.0010000000000001</v>
      </c>
      <c r="W99" s="58">
        <f t="shared" si="75"/>
        <v>-1.0000000000001119E-3</v>
      </c>
      <c r="X99" s="58">
        <f t="shared" si="76"/>
        <v>0.24699999999999986</v>
      </c>
    </row>
    <row r="100" spans="1:24" ht="18" customHeight="1" x14ac:dyDescent="0.3">
      <c r="A100" s="10">
        <v>92</v>
      </c>
      <c r="B100" s="38">
        <f t="shared" si="101"/>
        <v>33.242817959999996</v>
      </c>
      <c r="C100" s="38">
        <f t="shared" si="102"/>
        <v>15.143950404</v>
      </c>
      <c r="D100" s="38">
        <f t="shared" si="103"/>
        <v>1.8468232200000001</v>
      </c>
      <c r="E100" s="38">
        <f t="shared" si="104"/>
        <v>7.8489986850000006</v>
      </c>
      <c r="F100" s="38">
        <f t="shared" si="105"/>
        <v>22.900607927999999</v>
      </c>
      <c r="G100" s="38">
        <f t="shared" si="106"/>
        <v>4.4323757280000002</v>
      </c>
      <c r="H100" s="38">
        <f t="shared" si="107"/>
        <v>3.416622957</v>
      </c>
      <c r="I100" s="43">
        <f t="shared" si="108"/>
        <v>3.601305279</v>
      </c>
      <c r="J100" s="37">
        <f>1683/10^6*54867</f>
        <v>92.341161</v>
      </c>
      <c r="L100" s="58">
        <f t="shared" si="85"/>
        <v>0.36</v>
      </c>
      <c r="M100" s="58">
        <f t="shared" si="86"/>
        <v>0.16400000000000001</v>
      </c>
      <c r="N100" s="58">
        <f t="shared" si="87"/>
        <v>0.02</v>
      </c>
      <c r="O100" s="58">
        <f t="shared" si="88"/>
        <v>8.5000000000000006E-2</v>
      </c>
      <c r="P100" s="58">
        <f t="shared" si="89"/>
        <v>0.248</v>
      </c>
      <c r="Q100" s="58">
        <f t="shared" si="90"/>
        <v>4.8000000000000001E-2</v>
      </c>
      <c r="R100" s="58">
        <f t="shared" si="91"/>
        <v>3.6999999999999998E-2</v>
      </c>
      <c r="S100" s="58">
        <f t="shared" si="92"/>
        <v>3.9E-2</v>
      </c>
      <c r="U100" s="58">
        <f t="shared" si="74"/>
        <v>1.0010000000000001</v>
      </c>
      <c r="W100" s="58">
        <f t="shared" si="75"/>
        <v>-1.0000000000001119E-3</v>
      </c>
      <c r="X100" s="58">
        <f t="shared" si="76"/>
        <v>0.24699999999999989</v>
      </c>
    </row>
    <row r="101" spans="1:24" ht="18" customHeight="1" x14ac:dyDescent="0.3">
      <c r="A101" s="10">
        <v>93</v>
      </c>
      <c r="B101" s="38">
        <f t="shared" si="101"/>
        <v>67.37930892</v>
      </c>
      <c r="C101" s="38">
        <f t="shared" si="102"/>
        <v>30.695018508</v>
      </c>
      <c r="D101" s="38">
        <f t="shared" si="103"/>
        <v>3.7432949400000002</v>
      </c>
      <c r="E101" s="38">
        <f t="shared" si="104"/>
        <v>15.909003495000002</v>
      </c>
      <c r="F101" s="38">
        <f t="shared" si="105"/>
        <v>46.416857256</v>
      </c>
      <c r="G101" s="38">
        <f t="shared" si="106"/>
        <v>8.9839078560000001</v>
      </c>
      <c r="H101" s="38">
        <f t="shared" si="107"/>
        <v>6.9250956390000002</v>
      </c>
      <c r="I101" s="43">
        <f t="shared" si="108"/>
        <v>7.2994251330000006</v>
      </c>
      <c r="J101" s="37">
        <f>1683/10^6*111209</f>
        <v>187.16474700000001</v>
      </c>
      <c r="L101" s="58">
        <f t="shared" si="85"/>
        <v>0.36</v>
      </c>
      <c r="M101" s="58">
        <f t="shared" si="86"/>
        <v>0.16400000000000001</v>
      </c>
      <c r="N101" s="58">
        <f t="shared" si="87"/>
        <v>0.02</v>
      </c>
      <c r="O101" s="58">
        <f t="shared" si="88"/>
        <v>8.5000000000000006E-2</v>
      </c>
      <c r="P101" s="58">
        <f t="shared" si="89"/>
        <v>0.248</v>
      </c>
      <c r="Q101" s="58">
        <f t="shared" si="90"/>
        <v>4.8000000000000001E-2</v>
      </c>
      <c r="R101" s="58">
        <f t="shared" si="91"/>
        <v>3.6999999999999998E-2</v>
      </c>
      <c r="S101" s="58">
        <f t="shared" si="92"/>
        <v>3.9E-2</v>
      </c>
      <c r="U101" s="58">
        <f t="shared" si="74"/>
        <v>1.0010000000000001</v>
      </c>
      <c r="W101" s="58">
        <f t="shared" si="75"/>
        <v>-1.0000000000001119E-3</v>
      </c>
      <c r="X101" s="58">
        <f t="shared" si="76"/>
        <v>0.24699999999999989</v>
      </c>
    </row>
    <row r="102" spans="1:24" ht="18" customHeight="1" x14ac:dyDescent="0.3">
      <c r="A102" s="17" t="s">
        <v>114</v>
      </c>
      <c r="B102" s="32"/>
      <c r="C102" s="32"/>
      <c r="D102" s="32"/>
      <c r="E102" s="32"/>
      <c r="F102" s="32"/>
      <c r="G102" s="32"/>
      <c r="H102" s="32"/>
      <c r="I102" s="32"/>
      <c r="J102" s="45"/>
      <c r="L102" s="58"/>
      <c r="M102" s="58"/>
      <c r="N102" s="58"/>
      <c r="O102" s="58"/>
      <c r="P102" s="58"/>
      <c r="Q102" s="58"/>
      <c r="R102" s="58"/>
      <c r="S102" s="58"/>
      <c r="U102" s="58"/>
      <c r="W102" s="58"/>
      <c r="X102" s="58"/>
    </row>
    <row r="103" spans="1:24" ht="18" customHeight="1" x14ac:dyDescent="0.3">
      <c r="A103" s="10">
        <v>94</v>
      </c>
      <c r="B103" s="38">
        <f>0.36*$J103</f>
        <v>278.34490727999997</v>
      </c>
      <c r="C103" s="38">
        <f t="shared" si="102"/>
        <v>126.801568872</v>
      </c>
      <c r="D103" s="38">
        <f t="shared" si="103"/>
        <v>15.463605960000001</v>
      </c>
      <c r="E103" s="38">
        <f t="shared" si="104"/>
        <v>65.720325330000009</v>
      </c>
      <c r="F103" s="38">
        <f t="shared" si="105"/>
        <v>191.748713904</v>
      </c>
      <c r="G103" s="38">
        <f t="shared" si="106"/>
        <v>37.112654304000003</v>
      </c>
      <c r="H103" s="38">
        <f t="shared" si="107"/>
        <v>28.607671025999998</v>
      </c>
      <c r="I103" s="43">
        <f t="shared" si="108"/>
        <v>30.154031621999998</v>
      </c>
      <c r="J103" s="37">
        <f>1683/10^6*459406</f>
        <v>773.18029799999999</v>
      </c>
      <c r="L103" s="58">
        <f t="shared" si="85"/>
        <v>0.36</v>
      </c>
      <c r="M103" s="58">
        <f t="shared" si="86"/>
        <v>0.16400000000000001</v>
      </c>
      <c r="N103" s="58">
        <f t="shared" si="87"/>
        <v>0.02</v>
      </c>
      <c r="O103" s="58">
        <f t="shared" si="88"/>
        <v>8.5000000000000006E-2</v>
      </c>
      <c r="P103" s="58">
        <f t="shared" si="89"/>
        <v>0.248</v>
      </c>
      <c r="Q103" s="58">
        <f t="shared" si="90"/>
        <v>4.8000000000000001E-2</v>
      </c>
      <c r="R103" s="58">
        <f t="shared" si="91"/>
        <v>3.6999999999999998E-2</v>
      </c>
      <c r="S103" s="58">
        <f t="shared" si="92"/>
        <v>3.9E-2</v>
      </c>
      <c r="U103" s="58">
        <f t="shared" si="74"/>
        <v>1.0010000000000001</v>
      </c>
      <c r="W103" s="58">
        <f t="shared" si="75"/>
        <v>-1.0000000000001119E-3</v>
      </c>
      <c r="X103" s="58">
        <f t="shared" si="76"/>
        <v>0.24699999999999989</v>
      </c>
    </row>
    <row r="104" spans="1:24" ht="18" customHeight="1" x14ac:dyDescent="0.3">
      <c r="A104" s="10">
        <v>95</v>
      </c>
      <c r="B104" s="38">
        <f t="shared" si="101"/>
        <v>20.183074559999998</v>
      </c>
      <c r="C104" s="38">
        <f t="shared" si="102"/>
        <v>9.1945117439999997</v>
      </c>
      <c r="D104" s="38">
        <f t="shared" si="103"/>
        <v>1.1212819199999999</v>
      </c>
      <c r="E104" s="38">
        <f t="shared" si="104"/>
        <v>4.76544816</v>
      </c>
      <c r="F104" s="38">
        <f t="shared" si="105"/>
        <v>13.903895808</v>
      </c>
      <c r="G104" s="38">
        <f t="shared" si="106"/>
        <v>2.6910766079999999</v>
      </c>
      <c r="H104" s="38">
        <f t="shared" si="107"/>
        <v>2.0743715519999997</v>
      </c>
      <c r="I104" s="43">
        <f t="shared" si="108"/>
        <v>2.1864997439999998</v>
      </c>
      <c r="J104" s="37">
        <f>1683/10^6*33312</f>
        <v>56.064095999999999</v>
      </c>
      <c r="L104" s="58">
        <f t="shared" si="85"/>
        <v>0.36</v>
      </c>
      <c r="M104" s="58">
        <f t="shared" si="86"/>
        <v>0.16400000000000001</v>
      </c>
      <c r="N104" s="58">
        <f t="shared" si="87"/>
        <v>0.02</v>
      </c>
      <c r="O104" s="58">
        <f t="shared" si="88"/>
        <v>8.5000000000000006E-2</v>
      </c>
      <c r="P104" s="58">
        <f t="shared" si="89"/>
        <v>0.248</v>
      </c>
      <c r="Q104" s="58">
        <f t="shared" si="90"/>
        <v>4.8000000000000001E-2</v>
      </c>
      <c r="R104" s="58">
        <f t="shared" si="91"/>
        <v>3.6999999999999991E-2</v>
      </c>
      <c r="S104" s="58">
        <f t="shared" si="92"/>
        <v>3.9E-2</v>
      </c>
      <c r="U104" s="58">
        <f t="shared" si="74"/>
        <v>1.0010000000000001</v>
      </c>
      <c r="W104" s="58">
        <f t="shared" si="75"/>
        <v>-1.0000000000001119E-3</v>
      </c>
      <c r="X104" s="58">
        <f t="shared" si="76"/>
        <v>0.24699999999999989</v>
      </c>
    </row>
    <row r="105" spans="1:24" ht="18" customHeight="1" x14ac:dyDescent="0.3">
      <c r="A105" s="10">
        <v>96</v>
      </c>
      <c r="B105" s="38">
        <f t="shared" si="101"/>
        <v>192.43233504</v>
      </c>
      <c r="C105" s="38">
        <f t="shared" si="102"/>
        <v>87.663619296000007</v>
      </c>
      <c r="D105" s="38">
        <f t="shared" si="103"/>
        <v>10.69068528</v>
      </c>
      <c r="E105" s="38">
        <f t="shared" si="104"/>
        <v>45.43541244</v>
      </c>
      <c r="F105" s="38">
        <f t="shared" si="105"/>
        <v>132.564497472</v>
      </c>
      <c r="G105" s="38">
        <f t="shared" si="106"/>
        <v>25.657644672</v>
      </c>
      <c r="H105" s="38">
        <f t="shared" si="107"/>
        <v>19.777767768</v>
      </c>
      <c r="I105" s="43">
        <f t="shared" si="108"/>
        <v>20.846836295999999</v>
      </c>
      <c r="J105" s="37">
        <f>1683/10^6*317608</f>
        <v>534.53426400000001</v>
      </c>
      <c r="L105" s="58">
        <f t="shared" si="85"/>
        <v>0.36</v>
      </c>
      <c r="M105" s="58">
        <f t="shared" si="86"/>
        <v>0.16400000000000001</v>
      </c>
      <c r="N105" s="58">
        <f t="shared" si="87"/>
        <v>0.02</v>
      </c>
      <c r="O105" s="58">
        <f t="shared" si="88"/>
        <v>8.5000000000000006E-2</v>
      </c>
      <c r="P105" s="58">
        <f t="shared" si="89"/>
        <v>0.248</v>
      </c>
      <c r="Q105" s="58">
        <f t="shared" si="90"/>
        <v>4.8000000000000001E-2</v>
      </c>
      <c r="R105" s="58">
        <f t="shared" si="91"/>
        <v>3.6999999999999998E-2</v>
      </c>
      <c r="S105" s="58">
        <f t="shared" si="92"/>
        <v>3.9E-2</v>
      </c>
      <c r="U105" s="58">
        <f t="shared" si="74"/>
        <v>1.0010000000000001</v>
      </c>
      <c r="W105" s="58">
        <f t="shared" si="75"/>
        <v>-1.0000000000001119E-3</v>
      </c>
      <c r="X105" s="58">
        <f t="shared" si="76"/>
        <v>0.24699999999999989</v>
      </c>
    </row>
    <row r="106" spans="1:24" ht="18" customHeight="1" x14ac:dyDescent="0.3">
      <c r="A106" s="17" t="s">
        <v>116</v>
      </c>
      <c r="B106" s="32"/>
      <c r="C106" s="32"/>
      <c r="D106" s="32"/>
      <c r="E106" s="32"/>
      <c r="F106" s="32"/>
      <c r="G106" s="32"/>
      <c r="H106" s="32"/>
      <c r="I106" s="32"/>
      <c r="J106" s="45"/>
      <c r="L106" s="58"/>
      <c r="M106" s="58"/>
      <c r="N106" s="58"/>
      <c r="O106" s="58"/>
      <c r="P106" s="58"/>
      <c r="Q106" s="58"/>
      <c r="R106" s="58"/>
      <c r="S106" s="58"/>
      <c r="U106" s="58"/>
      <c r="W106" s="58"/>
      <c r="X106" s="58"/>
    </row>
    <row r="107" spans="1:24" ht="18" customHeight="1" x14ac:dyDescent="0.3">
      <c r="A107" s="10">
        <v>97</v>
      </c>
      <c r="B107" s="38">
        <f>0.05*$J107</f>
        <v>1.13435</v>
      </c>
      <c r="C107" s="38">
        <f>0.13*$J107</f>
        <v>2.9493099999999997</v>
      </c>
      <c r="D107" s="38">
        <f>0.11*$J107</f>
        <v>2.4955699999999998</v>
      </c>
      <c r="E107" s="38">
        <f>0.11*$J107</f>
        <v>2.4955699999999998</v>
      </c>
      <c r="F107" s="38">
        <f>0*$J107</f>
        <v>0</v>
      </c>
      <c r="G107" s="38">
        <f>0.22*$J107</f>
        <v>4.9911399999999997</v>
      </c>
      <c r="H107" s="38">
        <f>0.25*$J107</f>
        <v>5.6717499999999994</v>
      </c>
      <c r="I107" s="43">
        <f>0.13*$J107</f>
        <v>2.9493099999999997</v>
      </c>
      <c r="J107" s="37">
        <f>4900*0.1/10^6*46300</f>
        <v>22.686999999999998</v>
      </c>
      <c r="L107" s="58">
        <f t="shared" si="85"/>
        <v>0.05</v>
      </c>
      <c r="M107" s="58">
        <f t="shared" si="86"/>
        <v>0.13</v>
      </c>
      <c r="N107" s="58">
        <f t="shared" si="87"/>
        <v>0.11</v>
      </c>
      <c r="O107" s="58">
        <f t="shared" si="88"/>
        <v>0.11</v>
      </c>
      <c r="P107" s="58">
        <f t="shared" si="89"/>
        <v>0</v>
      </c>
      <c r="Q107" s="58">
        <f t="shared" si="90"/>
        <v>0.22</v>
      </c>
      <c r="R107" s="58">
        <f t="shared" si="91"/>
        <v>0.25</v>
      </c>
      <c r="S107" s="58">
        <f t="shared" si="92"/>
        <v>0.13</v>
      </c>
      <c r="U107" s="58">
        <f t="shared" si="74"/>
        <v>1</v>
      </c>
      <c r="W107" s="58">
        <f t="shared" si="75"/>
        <v>0</v>
      </c>
      <c r="X107" s="58">
        <f t="shared" si="76"/>
        <v>0</v>
      </c>
    </row>
    <row r="108" spans="1:24" ht="18" customHeight="1" x14ac:dyDescent="0.3">
      <c r="A108" s="10">
        <v>98</v>
      </c>
      <c r="B108" s="38">
        <f>0.05*$J108</f>
        <v>1.6464000000000003E-2</v>
      </c>
      <c r="C108" s="38">
        <f>0.13*$J108</f>
        <v>4.2806400000000001E-2</v>
      </c>
      <c r="D108" s="38">
        <f>0.11*$J108</f>
        <v>3.6220800000000004E-2</v>
      </c>
      <c r="E108" s="38">
        <f>0.11*$J108</f>
        <v>3.6220800000000004E-2</v>
      </c>
      <c r="F108" s="38">
        <f>0*$J108</f>
        <v>0</v>
      </c>
      <c r="G108" s="38">
        <f>0.22*$J108</f>
        <v>7.2441600000000009E-2</v>
      </c>
      <c r="H108" s="38">
        <f>0.25*$J108</f>
        <v>8.2320000000000004E-2</v>
      </c>
      <c r="I108" s="43">
        <f>0.13*$J108</f>
        <v>4.2806400000000001E-2</v>
      </c>
      <c r="J108" s="37">
        <f>4900*0.1/10^6*672</f>
        <v>0.32928000000000002</v>
      </c>
      <c r="L108" s="58">
        <f t="shared" si="85"/>
        <v>5.000000000000001E-2</v>
      </c>
      <c r="M108" s="58">
        <f t="shared" si="86"/>
        <v>0.13</v>
      </c>
      <c r="N108" s="58">
        <f t="shared" si="87"/>
        <v>0.11000000000000001</v>
      </c>
      <c r="O108" s="58">
        <f t="shared" si="88"/>
        <v>0.11000000000000001</v>
      </c>
      <c r="P108" s="58">
        <f t="shared" si="89"/>
        <v>0</v>
      </c>
      <c r="Q108" s="58">
        <f t="shared" si="90"/>
        <v>0.22000000000000003</v>
      </c>
      <c r="R108" s="58">
        <f t="shared" si="91"/>
        <v>0.25</v>
      </c>
      <c r="S108" s="58">
        <f t="shared" si="92"/>
        <v>0.13</v>
      </c>
      <c r="U108" s="58">
        <f t="shared" si="74"/>
        <v>1</v>
      </c>
      <c r="W108" s="58">
        <f t="shared" si="75"/>
        <v>0</v>
      </c>
      <c r="X108" s="58">
        <f t="shared" si="76"/>
        <v>0</v>
      </c>
    </row>
    <row r="109" spans="1:24" ht="18" customHeight="1" x14ac:dyDescent="0.3">
      <c r="A109" s="17" t="s">
        <v>115</v>
      </c>
      <c r="B109" s="32"/>
      <c r="C109" s="32"/>
      <c r="D109" s="32"/>
      <c r="E109" s="32"/>
      <c r="F109" s="32"/>
      <c r="G109" s="32"/>
      <c r="H109" s="32"/>
      <c r="I109" s="32"/>
      <c r="J109" s="45"/>
      <c r="L109" s="58"/>
      <c r="M109" s="58"/>
      <c r="N109" s="58"/>
      <c r="O109" s="58"/>
      <c r="P109" s="58"/>
      <c r="Q109" s="58"/>
      <c r="R109" s="58"/>
      <c r="S109" s="58"/>
      <c r="U109" s="58"/>
      <c r="W109" s="58"/>
      <c r="X109" s="58"/>
    </row>
    <row r="110" spans="1:24" ht="18" customHeight="1" thickBot="1" x14ac:dyDescent="0.35">
      <c r="A110" s="11">
        <v>99</v>
      </c>
      <c r="B110" s="38">
        <f>0.36*$J110</f>
        <v>14.698246320000001</v>
      </c>
      <c r="C110" s="38">
        <f t="shared" ref="C110" si="109">0.164*$J110</f>
        <v>6.6958677680000003</v>
      </c>
      <c r="D110" s="38">
        <f t="shared" ref="D110" si="110">0.02*$J110</f>
        <v>0.81656924000000009</v>
      </c>
      <c r="E110" s="38">
        <f t="shared" ref="E110" si="111">0.085*$J110</f>
        <v>3.4704192700000003</v>
      </c>
      <c r="F110" s="38">
        <f t="shared" ref="F110" si="112">0.248*$J110</f>
        <v>10.125458576</v>
      </c>
      <c r="G110" s="38">
        <f t="shared" ref="G110" si="113">0.048*$J110</f>
        <v>1.959766176</v>
      </c>
      <c r="H110" s="38">
        <f t="shared" ref="H110" si="114">0.037*$J110</f>
        <v>1.510653094</v>
      </c>
      <c r="I110" s="43">
        <f t="shared" ref="I110" si="115">0.039*$J110</f>
        <v>1.592310018</v>
      </c>
      <c r="J110" s="48">
        <f>2117/10^6*19286</f>
        <v>40.828462000000002</v>
      </c>
      <c r="L110" s="58">
        <f t="shared" si="85"/>
        <v>0.36</v>
      </c>
      <c r="M110" s="58">
        <f t="shared" si="86"/>
        <v>0.16400000000000001</v>
      </c>
      <c r="N110" s="58">
        <f t="shared" si="87"/>
        <v>0.02</v>
      </c>
      <c r="O110" s="58">
        <f t="shared" si="88"/>
        <v>8.5000000000000006E-2</v>
      </c>
      <c r="P110" s="58">
        <f t="shared" si="89"/>
        <v>0.24799999999999997</v>
      </c>
      <c r="Q110" s="58">
        <f t="shared" si="90"/>
        <v>4.8000000000000001E-2</v>
      </c>
      <c r="R110" s="58">
        <f t="shared" si="91"/>
        <v>3.6999999999999998E-2</v>
      </c>
      <c r="S110" s="58">
        <f t="shared" si="92"/>
        <v>3.9E-2</v>
      </c>
      <c r="U110" s="58">
        <f t="shared" si="74"/>
        <v>1.0010000000000001</v>
      </c>
      <c r="W110" s="58">
        <f t="shared" si="75"/>
        <v>-1.0000000000001119E-3</v>
      </c>
      <c r="X110" s="58">
        <f t="shared" si="76"/>
        <v>0.24699999999999986</v>
      </c>
    </row>
    <row r="111" spans="1:24" ht="27.6" thickBot="1" x14ac:dyDescent="0.35">
      <c r="A111" s="55" t="s">
        <v>123</v>
      </c>
      <c r="B111" s="42">
        <f>SUM(B3:B110)/1000</f>
        <v>43.372020395539579</v>
      </c>
      <c r="C111" s="42">
        <f t="shared" ref="C111:J111" si="116">SUM(C3:C110)/1000</f>
        <v>25.233997439068123</v>
      </c>
      <c r="D111" s="42">
        <f t="shared" si="116"/>
        <v>6.8668060635977248</v>
      </c>
      <c r="E111" s="42">
        <f t="shared" si="116"/>
        <v>18.345999062475901</v>
      </c>
      <c r="F111" s="42">
        <f t="shared" si="116"/>
        <v>194.35262083166126</v>
      </c>
      <c r="G111" s="42">
        <f t="shared" si="116"/>
        <v>45.885989768580373</v>
      </c>
      <c r="H111" s="42">
        <f t="shared" si="116"/>
        <v>4.7116975899701412</v>
      </c>
      <c r="I111" s="42">
        <f t="shared" si="116"/>
        <v>4.0506291966314816</v>
      </c>
      <c r="J111" s="42">
        <f t="shared" si="116"/>
        <v>342.81777256376256</v>
      </c>
      <c r="L111" s="41"/>
    </row>
    <row r="113" spans="1:1" x14ac:dyDescent="0.3">
      <c r="A113" t="s">
        <v>122</v>
      </c>
    </row>
  </sheetData>
  <pageMargins left="0.7" right="0.7" top="0.78740157499999996" bottom="0.78740157499999996" header="0.3" footer="0.3"/>
  <pageSetup paperSize="9" orientation="portrait" r:id="rId1"/>
  <ignoredErrors>
    <ignoredError sqref="B20 C20:I20 F53:H5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3320-654C-4606-9CFF-04F275EED014}">
  <sheetPr>
    <tabColor rgb="FFFF0000"/>
  </sheetPr>
  <dimension ref="A1:M110"/>
  <sheetViews>
    <sheetView workbookViewId="0">
      <selection activeCell="I8" sqref="I8"/>
    </sheetView>
  </sheetViews>
  <sheetFormatPr baseColWidth="10" defaultRowHeight="14.4" x14ac:dyDescent="0.3"/>
  <sheetData>
    <row r="1" spans="1:13" ht="55.2" thickBot="1" x14ac:dyDescent="0.35">
      <c r="A1" s="23" t="s">
        <v>96</v>
      </c>
      <c r="B1" s="24" t="s">
        <v>14</v>
      </c>
      <c r="C1" s="25" t="s">
        <v>16</v>
      </c>
      <c r="D1" s="26" t="s">
        <v>15</v>
      </c>
      <c r="E1" s="26" t="s">
        <v>17</v>
      </c>
      <c r="F1" s="27" t="s">
        <v>95</v>
      </c>
      <c r="G1" s="26" t="s">
        <v>18</v>
      </c>
      <c r="H1" s="26" t="s">
        <v>19</v>
      </c>
      <c r="I1" s="28" t="s">
        <v>121</v>
      </c>
    </row>
    <row r="2" spans="1:13" x14ac:dyDescent="0.3">
      <c r="A2" s="19" t="s">
        <v>97</v>
      </c>
    </row>
    <row r="3" spans="1:13" x14ac:dyDescent="0.3">
      <c r="A3" s="10">
        <v>1</v>
      </c>
      <c r="B3" s="58">
        <f>'Endenergieverbrauch Strom'!B3/'Endenergieverbrauch Strom'!$J3</f>
        <v>4.4999999999999998E-2</v>
      </c>
      <c r="C3" s="58">
        <f>'Endenergieverbrauch Strom'!C3/'Endenergieverbrauch Strom'!$J3</f>
        <v>4.1000000000000002E-2</v>
      </c>
      <c r="D3" s="58">
        <f>'Endenergieverbrauch Strom'!D3/'Endenergieverbrauch Strom'!$J3</f>
        <v>2.1000000000000001E-2</v>
      </c>
      <c r="E3" s="58">
        <f>'Endenergieverbrauch Strom'!E3/'Endenergieverbrauch Strom'!$J3</f>
        <v>2.1000000000000001E-2</v>
      </c>
      <c r="F3" s="58">
        <f>1 - SUM(B3,C3,D3,E3,G3,H3,I3)</f>
        <v>0.69699999999999995</v>
      </c>
      <c r="G3" s="58">
        <f>'Endenergieverbrauch Strom'!G3/'Endenergieverbrauch Strom'!$J3</f>
        <v>0.17</v>
      </c>
      <c r="H3" s="58">
        <f>'Endenergieverbrauch Strom'!H3/'Endenergieverbrauch Strom'!$J3</f>
        <v>3.0000000000000001E-3</v>
      </c>
      <c r="I3" s="58">
        <f>'Endenergieverbrauch Strom'!I3/'Endenergieverbrauch Strom'!$J3</f>
        <v>2E-3</v>
      </c>
      <c r="J3" s="58"/>
      <c r="K3" s="58"/>
      <c r="L3" s="58"/>
      <c r="M3" s="58"/>
    </row>
    <row r="4" spans="1:13" x14ac:dyDescent="0.3">
      <c r="A4" s="10">
        <v>2</v>
      </c>
      <c r="B4" s="58">
        <f>'Endenergieverbrauch Strom'!B4/'Endenergieverbrauch Strom'!$J4</f>
        <v>4.4999999999999998E-2</v>
      </c>
      <c r="C4" s="58">
        <f>'Endenergieverbrauch Strom'!C4/'Endenergieverbrauch Strom'!$J4</f>
        <v>4.1000000000000002E-2</v>
      </c>
      <c r="D4" s="58">
        <f>'Endenergieverbrauch Strom'!D4/'Endenergieverbrauch Strom'!$J4</f>
        <v>2.1000000000000001E-2</v>
      </c>
      <c r="E4" s="58">
        <f>'Endenergieverbrauch Strom'!E4/'Endenergieverbrauch Strom'!$J4</f>
        <v>2.1000000000000001E-2</v>
      </c>
      <c r="F4" s="58">
        <f t="shared" ref="F4:F67" si="0">1 - SUM(B4,C4,D4,E4,G4,H4,I4)</f>
        <v>0.69699999999999995</v>
      </c>
      <c r="G4" s="58">
        <f>'Endenergieverbrauch Strom'!G4/'Endenergieverbrauch Strom'!$J4</f>
        <v>0.17</v>
      </c>
      <c r="H4" s="58">
        <f>'Endenergieverbrauch Strom'!H4/'Endenergieverbrauch Strom'!$J4</f>
        <v>3.0000000000000001E-3</v>
      </c>
      <c r="I4" s="58">
        <f>'Endenergieverbrauch Strom'!I4/'Endenergieverbrauch Strom'!$J4</f>
        <v>2E-3</v>
      </c>
      <c r="L4" s="58"/>
      <c r="M4" s="58"/>
    </row>
    <row r="5" spans="1:13" x14ac:dyDescent="0.3">
      <c r="A5" s="10">
        <v>3</v>
      </c>
      <c r="B5" s="58">
        <f>'Endenergieverbrauch Strom'!B5/'Endenergieverbrauch Strom'!$J5</f>
        <v>4.4999999999999998E-2</v>
      </c>
      <c r="C5" s="58">
        <f>'Endenergieverbrauch Strom'!C5/'Endenergieverbrauch Strom'!$J5</f>
        <v>4.1000000000000002E-2</v>
      </c>
      <c r="D5" s="58">
        <f>'Endenergieverbrauch Strom'!D5/'Endenergieverbrauch Strom'!$J5</f>
        <v>2.1000000000000001E-2</v>
      </c>
      <c r="E5" s="58">
        <f>'Endenergieverbrauch Strom'!E5/'Endenergieverbrauch Strom'!$J5</f>
        <v>2.1000000000000001E-2</v>
      </c>
      <c r="F5" s="58">
        <f t="shared" si="0"/>
        <v>0.69699999999999995</v>
      </c>
      <c r="G5" s="58">
        <f>'Endenergieverbrauch Strom'!G5/'Endenergieverbrauch Strom'!$J5</f>
        <v>0.17</v>
      </c>
      <c r="H5" s="58">
        <f>'Endenergieverbrauch Strom'!H5/'Endenergieverbrauch Strom'!$J5</f>
        <v>3.0000000000000001E-3</v>
      </c>
      <c r="I5" s="58">
        <f>'Endenergieverbrauch Strom'!I5/'Endenergieverbrauch Strom'!$J5</f>
        <v>2E-3</v>
      </c>
      <c r="L5" s="58"/>
      <c r="M5" s="58"/>
    </row>
    <row r="6" spans="1:13" x14ac:dyDescent="0.3">
      <c r="A6" s="17" t="s">
        <v>98</v>
      </c>
      <c r="B6" s="58"/>
      <c r="C6" s="58"/>
      <c r="D6" s="58"/>
      <c r="E6" s="58"/>
      <c r="F6" s="58"/>
      <c r="G6" s="58"/>
      <c r="H6" s="58"/>
      <c r="I6" s="58"/>
      <c r="L6" s="58"/>
      <c r="M6" s="58"/>
    </row>
    <row r="7" spans="1:13" x14ac:dyDescent="0.3">
      <c r="A7" s="10">
        <v>5</v>
      </c>
      <c r="B7" s="58">
        <f>'Endenergieverbrauch Strom'!B7/'Endenergieverbrauch Strom'!$J7</f>
        <v>4.4999999999999991E-2</v>
      </c>
      <c r="C7" s="58">
        <f>'Endenergieverbrauch Strom'!C7/'Endenergieverbrauch Strom'!$J7</f>
        <v>4.1000000000000002E-2</v>
      </c>
      <c r="D7" s="58">
        <f>'Endenergieverbrauch Strom'!D7/'Endenergieverbrauch Strom'!$J7</f>
        <v>2.1000000000000001E-2</v>
      </c>
      <c r="E7" s="58">
        <f>'Endenergieverbrauch Strom'!E7/'Endenergieverbrauch Strom'!$J7</f>
        <v>2.1000000000000001E-2</v>
      </c>
      <c r="F7" s="58">
        <f t="shared" si="0"/>
        <v>0.69699999999999995</v>
      </c>
      <c r="G7" s="58">
        <f>'Endenergieverbrauch Strom'!G7/'Endenergieverbrauch Strom'!$J7</f>
        <v>0.17</v>
      </c>
      <c r="H7" s="58">
        <f>'Endenergieverbrauch Strom'!H7/'Endenergieverbrauch Strom'!$J7</f>
        <v>3.0000000000000005E-3</v>
      </c>
      <c r="I7" s="58">
        <f>'Endenergieverbrauch Strom'!I7/'Endenergieverbrauch Strom'!$J7</f>
        <v>2E-3</v>
      </c>
      <c r="L7" s="58"/>
      <c r="M7" s="58"/>
    </row>
    <row r="8" spans="1:13" x14ac:dyDescent="0.3">
      <c r="A8" s="10">
        <v>6</v>
      </c>
      <c r="B8" s="58">
        <f>'Endenergieverbrauch Strom'!B8/'Endenergieverbrauch Strom'!$J8</f>
        <v>4.4999999999999998E-2</v>
      </c>
      <c r="C8" s="58">
        <f>'Endenergieverbrauch Strom'!C8/'Endenergieverbrauch Strom'!$J8</f>
        <v>4.1000000000000002E-2</v>
      </c>
      <c r="D8" s="58">
        <f>'Endenergieverbrauch Strom'!D8/'Endenergieverbrauch Strom'!$J8</f>
        <v>2.1000000000000001E-2</v>
      </c>
      <c r="E8" s="58">
        <f>'Endenergieverbrauch Strom'!E8/'Endenergieverbrauch Strom'!$J8</f>
        <v>2.1000000000000001E-2</v>
      </c>
      <c r="F8" s="58">
        <f t="shared" si="0"/>
        <v>0.69699999999999995</v>
      </c>
      <c r="G8" s="58">
        <f>'Endenergieverbrauch Strom'!G8/'Endenergieverbrauch Strom'!$J8</f>
        <v>0.17</v>
      </c>
      <c r="H8" s="58">
        <f>'Endenergieverbrauch Strom'!H8/'Endenergieverbrauch Strom'!$J8</f>
        <v>3.0000000000000001E-3</v>
      </c>
      <c r="I8" s="58">
        <f>'Endenergieverbrauch Strom'!I8/'Endenergieverbrauch Strom'!$J8</f>
        <v>2E-3</v>
      </c>
      <c r="L8" s="58"/>
      <c r="M8" s="58"/>
    </row>
    <row r="9" spans="1:13" x14ac:dyDescent="0.3">
      <c r="A9" s="10">
        <v>7</v>
      </c>
      <c r="B9" s="58">
        <f>'Endenergieverbrauch Strom'!B9/'Endenergieverbrauch Strom'!$J9</f>
        <v>4.4999999999999998E-2</v>
      </c>
      <c r="C9" s="58">
        <f>'Endenergieverbrauch Strom'!C9/'Endenergieverbrauch Strom'!$J9</f>
        <v>4.1000000000000002E-2</v>
      </c>
      <c r="D9" s="58">
        <f>'Endenergieverbrauch Strom'!D9/'Endenergieverbrauch Strom'!$J9</f>
        <v>2.0999999999999998E-2</v>
      </c>
      <c r="E9" s="58">
        <f>'Endenergieverbrauch Strom'!E9/'Endenergieverbrauch Strom'!$J9</f>
        <v>2.0999999999999998E-2</v>
      </c>
      <c r="F9" s="58">
        <f t="shared" si="0"/>
        <v>0.69700000000000006</v>
      </c>
      <c r="G9" s="58">
        <f>'Endenergieverbrauch Strom'!G9/'Endenergieverbrauch Strom'!$J9</f>
        <v>0.17</v>
      </c>
      <c r="H9" s="58">
        <f>'Endenergieverbrauch Strom'!H9/'Endenergieverbrauch Strom'!$J9</f>
        <v>3.0000000000000005E-3</v>
      </c>
      <c r="I9" s="58">
        <f>'Endenergieverbrauch Strom'!I9/'Endenergieverbrauch Strom'!$J9</f>
        <v>2E-3</v>
      </c>
      <c r="L9" s="58"/>
      <c r="M9" s="58"/>
    </row>
    <row r="10" spans="1:13" x14ac:dyDescent="0.3">
      <c r="A10" s="10">
        <v>8</v>
      </c>
      <c r="B10" s="58">
        <f>'Endenergieverbrauch Strom'!B10/'Endenergieverbrauch Strom'!$J10</f>
        <v>4.4999999999999998E-2</v>
      </c>
      <c r="C10" s="58">
        <f>'Endenergieverbrauch Strom'!C10/'Endenergieverbrauch Strom'!$J10</f>
        <v>4.1000000000000002E-2</v>
      </c>
      <c r="D10" s="58">
        <f>'Endenergieverbrauch Strom'!D10/'Endenergieverbrauch Strom'!$J10</f>
        <v>2.1000000000000001E-2</v>
      </c>
      <c r="E10" s="58">
        <f>'Endenergieverbrauch Strom'!E10/'Endenergieverbrauch Strom'!$J10</f>
        <v>2.1000000000000001E-2</v>
      </c>
      <c r="F10" s="58">
        <f t="shared" si="0"/>
        <v>0.69699999999999995</v>
      </c>
      <c r="G10" s="58">
        <f>'Endenergieverbrauch Strom'!G10/'Endenergieverbrauch Strom'!$J10</f>
        <v>0.17</v>
      </c>
      <c r="H10" s="58">
        <f>'Endenergieverbrauch Strom'!H10/'Endenergieverbrauch Strom'!$J10</f>
        <v>3.0000000000000001E-3</v>
      </c>
      <c r="I10" s="58">
        <f>'Endenergieverbrauch Strom'!I10/'Endenergieverbrauch Strom'!$J10</f>
        <v>2E-3</v>
      </c>
      <c r="J10" s="14"/>
      <c r="K10" s="14"/>
      <c r="L10" s="58"/>
      <c r="M10" s="58"/>
    </row>
    <row r="11" spans="1:13" x14ac:dyDescent="0.3">
      <c r="A11" s="10">
        <v>9</v>
      </c>
      <c r="B11" s="58">
        <f>'Endenergieverbrauch Strom'!B11/'Endenergieverbrauch Strom'!$J11</f>
        <v>4.4999999999999998E-2</v>
      </c>
      <c r="C11" s="58">
        <f>'Endenergieverbrauch Strom'!C11/'Endenergieverbrauch Strom'!$J11</f>
        <v>4.1000000000000002E-2</v>
      </c>
      <c r="D11" s="58">
        <f>'Endenergieverbrauch Strom'!D11/'Endenergieverbrauch Strom'!$J11</f>
        <v>2.1000000000000001E-2</v>
      </c>
      <c r="E11" s="58">
        <f>'Endenergieverbrauch Strom'!E11/'Endenergieverbrauch Strom'!$J11</f>
        <v>2.1000000000000001E-2</v>
      </c>
      <c r="F11" s="58">
        <f t="shared" si="0"/>
        <v>0.69699999999999995</v>
      </c>
      <c r="G11" s="58">
        <f>'Endenergieverbrauch Strom'!G11/'Endenergieverbrauch Strom'!$J11</f>
        <v>0.17</v>
      </c>
      <c r="H11" s="58">
        <f>'Endenergieverbrauch Strom'!H11/'Endenergieverbrauch Strom'!$J11</f>
        <v>3.0000000000000001E-3</v>
      </c>
      <c r="I11" s="58">
        <f>'Endenergieverbrauch Strom'!I11/'Endenergieverbrauch Strom'!$J11</f>
        <v>2E-3</v>
      </c>
      <c r="L11" s="58"/>
      <c r="M11" s="58"/>
    </row>
    <row r="12" spans="1:13" x14ac:dyDescent="0.3">
      <c r="A12" s="17" t="s">
        <v>99</v>
      </c>
      <c r="B12" s="58"/>
      <c r="C12" s="58"/>
      <c r="D12" s="58"/>
      <c r="E12" s="58"/>
      <c r="F12" s="58"/>
      <c r="G12" s="58"/>
      <c r="H12" s="58"/>
      <c r="I12" s="58"/>
      <c r="L12" s="58"/>
      <c r="M12" s="58"/>
    </row>
    <row r="13" spans="1:13" x14ac:dyDescent="0.3">
      <c r="A13" s="10">
        <v>10</v>
      </c>
      <c r="B13" s="58">
        <f>'Endenergieverbrauch Strom'!B13/'Endenergieverbrauch Strom'!$J13</f>
        <v>4.2748091603053436E-2</v>
      </c>
      <c r="C13" s="58">
        <f>'Endenergieverbrauch Strom'!C13/'Endenergieverbrauch Strom'!$J13</f>
        <v>3.3587786259541987E-2</v>
      </c>
      <c r="D13" s="58">
        <f>'Endenergieverbrauch Strom'!D13/'Endenergieverbrauch Strom'!$J13</f>
        <v>3.9634146341463422E-2</v>
      </c>
      <c r="E13" s="58">
        <f>'Endenergieverbrauch Strom'!E13/'Endenergieverbrauch Strom'!$J13</f>
        <v>0.18167938931297711</v>
      </c>
      <c r="F13" s="58">
        <f t="shared" si="0"/>
        <v>0.56647272388754422</v>
      </c>
      <c r="G13" s="58">
        <f>'Endenergieverbrauch Strom'!G13/'Endenergieverbrauch Strom'!$J13</f>
        <v>0.13129770992366413</v>
      </c>
      <c r="H13" s="58">
        <f>'Endenergieverbrauch Strom'!H13/'Endenergieverbrauch Strom'!$J13</f>
        <v>2.7480916030534351E-3</v>
      </c>
      <c r="I13" s="58">
        <f>'Endenergieverbrauch Strom'!I13/'Endenergieverbrauch Strom'!$J13</f>
        <v>1.8320610687022902E-3</v>
      </c>
      <c r="J13" s="14"/>
      <c r="K13" s="14"/>
      <c r="L13" s="58"/>
      <c r="M13" s="58"/>
    </row>
    <row r="14" spans="1:13" x14ac:dyDescent="0.3">
      <c r="A14" s="10">
        <v>11</v>
      </c>
      <c r="B14" s="58">
        <f>'Endenergieverbrauch Strom'!B14/'Endenergieverbrauch Strom'!$J14</f>
        <v>4.2748091603053436E-2</v>
      </c>
      <c r="C14" s="58">
        <f>'Endenergieverbrauch Strom'!C14/'Endenergieverbrauch Strom'!$J14</f>
        <v>3.3587786259541993E-2</v>
      </c>
      <c r="D14" s="58">
        <f>'Endenergieverbrauch Strom'!D14/'Endenergieverbrauch Strom'!$J14</f>
        <v>3.9634146341463422E-2</v>
      </c>
      <c r="E14" s="58">
        <f>'Endenergieverbrauch Strom'!E14/'Endenergieverbrauch Strom'!$J14</f>
        <v>0.18167938931297711</v>
      </c>
      <c r="F14" s="58">
        <f t="shared" si="0"/>
        <v>0.56647272388754422</v>
      </c>
      <c r="G14" s="58">
        <f>'Endenergieverbrauch Strom'!G14/'Endenergieverbrauch Strom'!$J14</f>
        <v>0.1312977099236641</v>
      </c>
      <c r="H14" s="58">
        <f>'Endenergieverbrauch Strom'!H14/'Endenergieverbrauch Strom'!$J14</f>
        <v>2.7480916030534351E-3</v>
      </c>
      <c r="I14" s="58">
        <f>'Endenergieverbrauch Strom'!I14/'Endenergieverbrauch Strom'!$J14</f>
        <v>1.83206106870229E-3</v>
      </c>
      <c r="J14" s="14"/>
      <c r="K14" s="14"/>
      <c r="L14" s="58"/>
      <c r="M14" s="58"/>
    </row>
    <row r="15" spans="1:13" x14ac:dyDescent="0.3">
      <c r="A15" s="10">
        <v>12</v>
      </c>
      <c r="B15" s="58">
        <f>'Endenergieverbrauch Strom'!B15/'Endenergieverbrauch Strom'!$J15</f>
        <v>4.2748091603053429E-2</v>
      </c>
      <c r="C15" s="58">
        <f>'Endenergieverbrauch Strom'!C15/'Endenergieverbrauch Strom'!$J15</f>
        <v>3.3587786259541987E-2</v>
      </c>
      <c r="D15" s="58">
        <f>'Endenergieverbrauch Strom'!D15/'Endenergieverbrauch Strom'!$J15</f>
        <v>3.9634146341463415E-2</v>
      </c>
      <c r="E15" s="58">
        <f>'Endenergieverbrauch Strom'!E15/'Endenergieverbrauch Strom'!$J15</f>
        <v>0.18167938931297709</v>
      </c>
      <c r="F15" s="58">
        <f t="shared" si="0"/>
        <v>0.56647272388754422</v>
      </c>
      <c r="G15" s="58">
        <f>'Endenergieverbrauch Strom'!G15/'Endenergieverbrauch Strom'!$J15</f>
        <v>0.13129770992366413</v>
      </c>
      <c r="H15" s="58">
        <f>'Endenergieverbrauch Strom'!H15/'Endenergieverbrauch Strom'!$J15</f>
        <v>2.7480916030534351E-3</v>
      </c>
      <c r="I15" s="58">
        <f>'Endenergieverbrauch Strom'!I15/'Endenergieverbrauch Strom'!$J15</f>
        <v>1.8320610687022902E-3</v>
      </c>
      <c r="J15" s="14"/>
      <c r="K15" s="14"/>
      <c r="L15" s="58"/>
      <c r="M15" s="58"/>
    </row>
    <row r="16" spans="1:13" x14ac:dyDescent="0.3">
      <c r="A16" s="10">
        <v>13</v>
      </c>
      <c r="B16" s="58">
        <f>'Endenergieverbrauch Strom'!B16/'Endenergieverbrauch Strom'!$J16</f>
        <v>9.529860228716644E-2</v>
      </c>
      <c r="C16" s="58">
        <f>'Endenergieverbrauch Strom'!C16/'Endenergieverbrauch Strom'!$J16</f>
        <v>0.12452350698856418</v>
      </c>
      <c r="D16" s="58">
        <f>'Endenergieverbrauch Strom'!D16/'Endenergieverbrauch Strom'!$J16</f>
        <v>2.922490470139771E-2</v>
      </c>
      <c r="E16" s="58">
        <f>'Endenergieverbrauch Strom'!E16/'Endenergieverbrauch Strom'!$J16</f>
        <v>8.8945362134688691E-3</v>
      </c>
      <c r="F16" s="58">
        <f t="shared" si="0"/>
        <v>0.63278271918678519</v>
      </c>
      <c r="G16" s="58">
        <f>'Endenergieverbrauch Strom'!G16/'Endenergieverbrauch Strom'!$J16</f>
        <v>9.6569250317662003E-2</v>
      </c>
      <c r="H16" s="58">
        <f>'Endenergieverbrauch Strom'!H16/'Endenergieverbrauch Strom'!$J16</f>
        <v>7.6238881829733167E-3</v>
      </c>
      <c r="I16" s="58">
        <f>'Endenergieverbrauch Strom'!I16/'Endenergieverbrauch Strom'!$J16</f>
        <v>5.0825921219822112E-3</v>
      </c>
      <c r="L16" s="58"/>
      <c r="M16" s="58"/>
    </row>
    <row r="17" spans="1:13" x14ac:dyDescent="0.3">
      <c r="A17" s="10">
        <v>14</v>
      </c>
      <c r="B17" s="58">
        <f>'Endenergieverbrauch Strom'!B17/'Endenergieverbrauch Strom'!$J17</f>
        <v>9.5298602287166453E-2</v>
      </c>
      <c r="C17" s="58">
        <f>'Endenergieverbrauch Strom'!C17/'Endenergieverbrauch Strom'!$J17</f>
        <v>0.12452350698856417</v>
      </c>
      <c r="D17" s="58">
        <f>'Endenergieverbrauch Strom'!D17/'Endenergieverbrauch Strom'!$J17</f>
        <v>2.922490470139771E-2</v>
      </c>
      <c r="E17" s="58">
        <f>'Endenergieverbrauch Strom'!E17/'Endenergieverbrauch Strom'!$J17</f>
        <v>8.8945362134688691E-3</v>
      </c>
      <c r="F17" s="58">
        <f>1 - SUM(B17,C17,D17,E17,G17,H17,I17)</f>
        <v>0.63278271918678519</v>
      </c>
      <c r="G17" s="58">
        <f>'Endenergieverbrauch Strom'!G17/'Endenergieverbrauch Strom'!$J17</f>
        <v>9.6569250317662003E-2</v>
      </c>
      <c r="H17" s="58">
        <f>'Endenergieverbrauch Strom'!H17/'Endenergieverbrauch Strom'!$J17</f>
        <v>7.6238881829733159E-3</v>
      </c>
      <c r="I17" s="58">
        <f>'Endenergieverbrauch Strom'!I17/'Endenergieverbrauch Strom'!$J17</f>
        <v>5.0825921219822112E-3</v>
      </c>
      <c r="L17" s="58"/>
      <c r="M17" s="58"/>
    </row>
    <row r="18" spans="1:13" x14ac:dyDescent="0.3">
      <c r="A18" s="10">
        <v>15</v>
      </c>
      <c r="B18" s="58">
        <f>'Endenergieverbrauch Strom'!B18/'Endenergieverbrauch Strom'!$J18</f>
        <v>9.529860228716644E-2</v>
      </c>
      <c r="C18" s="58">
        <f>'Endenergieverbrauch Strom'!C18/'Endenergieverbrauch Strom'!$J18</f>
        <v>0.12452350698856418</v>
      </c>
      <c r="D18" s="58">
        <f>'Endenergieverbrauch Strom'!D18/'Endenergieverbrauch Strom'!$J18</f>
        <v>2.9224904701397707E-2</v>
      </c>
      <c r="E18" s="58">
        <f>'Endenergieverbrauch Strom'!E18/'Endenergieverbrauch Strom'!$J18</f>
        <v>8.8945362134688691E-3</v>
      </c>
      <c r="F18" s="58">
        <f t="shared" si="0"/>
        <v>0.63278271918678519</v>
      </c>
      <c r="G18" s="58">
        <f>'Endenergieverbrauch Strom'!G18/'Endenergieverbrauch Strom'!$J18</f>
        <v>9.6569250317662003E-2</v>
      </c>
      <c r="H18" s="58">
        <f>'Endenergieverbrauch Strom'!H18/'Endenergieverbrauch Strom'!$J18</f>
        <v>7.6238881829733159E-3</v>
      </c>
      <c r="I18" s="58">
        <f>'Endenergieverbrauch Strom'!I18/'Endenergieverbrauch Strom'!$J18</f>
        <v>5.0825921219822112E-3</v>
      </c>
      <c r="L18" s="58"/>
      <c r="M18" s="58"/>
    </row>
    <row r="19" spans="1:13" x14ac:dyDescent="0.3">
      <c r="A19" s="10">
        <v>16</v>
      </c>
      <c r="B19" s="58">
        <f>'Endenergieverbrauch Strom'!B19/'Endenergieverbrauch Strom'!$J19</f>
        <v>9.5298602287166453E-2</v>
      </c>
      <c r="C19" s="58">
        <f>'Endenergieverbrauch Strom'!C19/'Endenergieverbrauch Strom'!$J19</f>
        <v>0.12452350698856417</v>
      </c>
      <c r="D19" s="58">
        <f>'Endenergieverbrauch Strom'!D19/'Endenergieverbrauch Strom'!$J19</f>
        <v>2.9224904701397707E-2</v>
      </c>
      <c r="E19" s="58">
        <f>'Endenergieverbrauch Strom'!E19/'Endenergieverbrauch Strom'!$J19</f>
        <v>8.8945362134688691E-3</v>
      </c>
      <c r="F19" s="58">
        <f t="shared" si="0"/>
        <v>0.63278271918678519</v>
      </c>
      <c r="G19" s="58">
        <f>'Endenergieverbrauch Strom'!G19/'Endenergieverbrauch Strom'!$J19</f>
        <v>9.6569250317662003E-2</v>
      </c>
      <c r="H19" s="58">
        <f>'Endenergieverbrauch Strom'!H19/'Endenergieverbrauch Strom'!$J19</f>
        <v>7.6238881829733159E-3</v>
      </c>
      <c r="I19" s="58">
        <f>'Endenergieverbrauch Strom'!I19/'Endenergieverbrauch Strom'!$J19</f>
        <v>5.0825921219822112E-3</v>
      </c>
      <c r="L19" s="58"/>
      <c r="M19" s="58"/>
    </row>
    <row r="20" spans="1:13" x14ac:dyDescent="0.3">
      <c r="A20" s="10">
        <v>17</v>
      </c>
      <c r="B20" s="58">
        <f>'Endenergieverbrauch Strom'!B20/'Endenergieverbrauch Strom'!$J20</f>
        <v>1.1695906432748539E-2</v>
      </c>
      <c r="C20" s="58">
        <f>'Endenergieverbrauch Strom'!C20/'Endenergieverbrauch Strom'!$J20</f>
        <v>8.771929824561403E-3</v>
      </c>
      <c r="D20" s="58">
        <f>'Endenergieverbrauch Strom'!D20/'Endenergieverbrauch Strom'!$J20</f>
        <v>1.6081871345029239E-2</v>
      </c>
      <c r="E20" s="58">
        <f>'Endenergieverbrauch Strom'!E20/'Endenergieverbrauch Strom'!$J20</f>
        <v>1.0233918128654968E-2</v>
      </c>
      <c r="F20" s="58">
        <f t="shared" si="0"/>
        <v>0.95175438596491224</v>
      </c>
      <c r="G20" s="58">
        <f>'Endenergieverbrauch Strom'!G20/'Endenergieverbrauch Strom'!$J20</f>
        <v>0</v>
      </c>
      <c r="H20" s="58">
        <f>'Endenergieverbrauch Strom'!H20/'Endenergieverbrauch Strom'!$J20</f>
        <v>8.7719298245614004E-4</v>
      </c>
      <c r="I20" s="58">
        <f>'Endenergieverbrauch Strom'!I20/'Endenergieverbrauch Strom'!$J20</f>
        <v>5.847953216374268E-4</v>
      </c>
      <c r="L20" s="58"/>
      <c r="M20" s="58"/>
    </row>
    <row r="21" spans="1:13" x14ac:dyDescent="0.3">
      <c r="A21" s="10">
        <v>18</v>
      </c>
      <c r="B21" s="58">
        <f>'Endenergieverbrauch Strom'!B21/'Endenergieverbrauch Strom'!$J21</f>
        <v>9.5298602287166467E-2</v>
      </c>
      <c r="C21" s="58">
        <f>'Endenergieverbrauch Strom'!C21/'Endenergieverbrauch Strom'!$J21</f>
        <v>0.12452350698856417</v>
      </c>
      <c r="D21" s="58">
        <f>'Endenergieverbrauch Strom'!D21/'Endenergieverbrauch Strom'!$J21</f>
        <v>2.922490470139771E-2</v>
      </c>
      <c r="E21" s="58">
        <f>'Endenergieverbrauch Strom'!E21/'Endenergieverbrauch Strom'!$J21</f>
        <v>8.8945362134688673E-3</v>
      </c>
      <c r="F21" s="58">
        <f t="shared" si="0"/>
        <v>0.63278271918678519</v>
      </c>
      <c r="G21" s="58">
        <f>'Endenergieverbrauch Strom'!G21/'Endenergieverbrauch Strom'!$J21</f>
        <v>9.6569250317662017E-2</v>
      </c>
      <c r="H21" s="58">
        <f>'Endenergieverbrauch Strom'!H21/'Endenergieverbrauch Strom'!$J21</f>
        <v>7.623888182973315E-3</v>
      </c>
      <c r="I21" s="58">
        <f>'Endenergieverbrauch Strom'!I21/'Endenergieverbrauch Strom'!$J21</f>
        <v>5.0825921219822112E-3</v>
      </c>
      <c r="L21" s="58"/>
      <c r="M21" s="58"/>
    </row>
    <row r="22" spans="1:13" x14ac:dyDescent="0.3">
      <c r="A22" s="10">
        <v>19</v>
      </c>
      <c r="B22" s="58">
        <f>'Endenergieverbrauch Strom'!B22/'Endenergieverbrauch Strom'!$J22</f>
        <v>4.4999999999999998E-2</v>
      </c>
      <c r="C22" s="58">
        <f>'Endenergieverbrauch Strom'!C22/'Endenergieverbrauch Strom'!$J22</f>
        <v>4.1000000000000002E-2</v>
      </c>
      <c r="D22" s="58">
        <f>'Endenergieverbrauch Strom'!D22/'Endenergieverbrauch Strom'!$J22</f>
        <v>2.1000000000000005E-2</v>
      </c>
      <c r="E22" s="58">
        <f>'Endenergieverbrauch Strom'!E22/'Endenergieverbrauch Strom'!$J22</f>
        <v>2.1000000000000005E-2</v>
      </c>
      <c r="F22" s="58">
        <f t="shared" si="0"/>
        <v>0.69699999999999995</v>
      </c>
      <c r="G22" s="58">
        <f>'Endenergieverbrauch Strom'!G22/'Endenergieverbrauch Strom'!$J22</f>
        <v>0.17</v>
      </c>
      <c r="H22" s="58">
        <f>'Endenergieverbrauch Strom'!H22/'Endenergieverbrauch Strom'!$J22</f>
        <v>3.0000000000000001E-3</v>
      </c>
      <c r="I22" s="58">
        <f>'Endenergieverbrauch Strom'!I22/'Endenergieverbrauch Strom'!$J22</f>
        <v>2E-3</v>
      </c>
      <c r="L22" s="58"/>
      <c r="M22" s="58"/>
    </row>
    <row r="23" spans="1:13" x14ac:dyDescent="0.3">
      <c r="A23" s="10">
        <v>20</v>
      </c>
      <c r="B23" s="58">
        <f>'Endenergieverbrauch Strom'!B23/'Endenergieverbrauch Strom'!$J23</f>
        <v>8.8303448933644644E-3</v>
      </c>
      <c r="C23" s="58">
        <f>'Endenergieverbrauch Strom'!C23/'Endenergieverbrauch Strom'!$J23</f>
        <v>1.383397384719611E-2</v>
      </c>
      <c r="D23" s="58">
        <f>'Endenergieverbrauch Strom'!D23/'Endenergieverbrauch Strom'!$J23</f>
        <v>1.0661875645856699E-2</v>
      </c>
      <c r="E23" s="58">
        <f>'Endenergieverbrauch Strom'!E23/'Endenergieverbrauch Strom'!$J23</f>
        <v>0.11839145568900329</v>
      </c>
      <c r="F23" s="58">
        <f>1 - SUM(B23,C23,D23,E23,G23,H23,I23)</f>
        <v>0.62657648663911181</v>
      </c>
      <c r="G23" s="58">
        <f>'Endenergieverbrauch Strom'!G23/'Endenergieverbrauch Strom'!$J23</f>
        <v>0.22041404243837265</v>
      </c>
      <c r="H23" s="58">
        <f>'Endenergieverbrauch Strom'!H23/'Endenergieverbrauch Strom'!$J23</f>
        <v>7.7509250825699932E-4</v>
      </c>
      <c r="I23" s="58">
        <f>'Endenergieverbrauch Strom'!I23/'Endenergieverbrauch Strom'!$J23</f>
        <v>5.1672833883799969E-4</v>
      </c>
      <c r="J23" s="14"/>
      <c r="K23" s="14"/>
      <c r="L23" s="58"/>
      <c r="M23" s="58"/>
    </row>
    <row r="24" spans="1:13" x14ac:dyDescent="0.3">
      <c r="A24" s="10">
        <v>21</v>
      </c>
      <c r="B24" s="58">
        <f>'Endenergieverbrauch Strom'!B24/'Endenergieverbrauch Strom'!$J24</f>
        <v>4.9180327868852465E-2</v>
      </c>
      <c r="C24" s="58">
        <f>'Endenergieverbrauch Strom'!C24/'Endenergieverbrauch Strom'!$J24</f>
        <v>8.6065573770491829E-2</v>
      </c>
      <c r="D24" s="58">
        <f>'Endenergieverbrauch Strom'!D24/'Endenergieverbrauch Strom'!$J24</f>
        <v>5.737704918032787E-2</v>
      </c>
      <c r="E24" s="58">
        <f>'Endenergieverbrauch Strom'!E24/'Endenergieverbrauch Strom'!$J24</f>
        <v>4.9180327868852465E-2</v>
      </c>
      <c r="F24" s="58">
        <f t="shared" si="0"/>
        <v>0.74180327868852447</v>
      </c>
      <c r="G24" s="58">
        <f>'Endenergieverbrauch Strom'!G24/'Endenergieverbrauch Strom'!$J24</f>
        <v>8.1967213114754103E-3</v>
      </c>
      <c r="H24" s="58">
        <f>'Endenergieverbrauch Strom'!H24/'Endenergieverbrauch Strom'!$J24</f>
        <v>4.9180327868852463E-3</v>
      </c>
      <c r="I24" s="58">
        <f>'Endenergieverbrauch Strom'!I24/'Endenergieverbrauch Strom'!$J24</f>
        <v>3.2786885245901644E-3</v>
      </c>
      <c r="J24" s="14"/>
      <c r="K24" s="14"/>
      <c r="L24" s="58"/>
      <c r="M24" s="58"/>
    </row>
    <row r="25" spans="1:13" x14ac:dyDescent="0.3">
      <c r="A25" s="10">
        <v>22</v>
      </c>
      <c r="B25" s="58">
        <f>'Endenergieverbrauch Strom'!B25/'Endenergieverbrauch Strom'!$J25</f>
        <v>4.9603174603174607E-2</v>
      </c>
      <c r="C25" s="58">
        <f>'Endenergieverbrauch Strom'!C25/'Endenergieverbrauch Strom'!$J25</f>
        <v>2.9761904761904764E-2</v>
      </c>
      <c r="D25" s="58">
        <f>'Endenergieverbrauch Strom'!D25/'Endenergieverbrauch Strom'!$J25</f>
        <v>3.7698412698412703E-2</v>
      </c>
      <c r="E25" s="58">
        <f>'Endenergieverbrauch Strom'!E25/'Endenergieverbrauch Strom'!$J25</f>
        <v>7.9365079365079378E-3</v>
      </c>
      <c r="F25" s="58">
        <f t="shared" si="0"/>
        <v>0.8214285714285714</v>
      </c>
      <c r="G25" s="58">
        <f>'Endenergieverbrauch Strom'!G25/'Endenergieverbrauch Strom'!$J25</f>
        <v>4.7619047619047609E-2</v>
      </c>
      <c r="H25" s="58">
        <f>'Endenergieverbrauch Strom'!H25/'Endenergieverbrauch Strom'!$J25</f>
        <v>3.5714285714285718E-3</v>
      </c>
      <c r="I25" s="58">
        <f>'Endenergieverbrauch Strom'!I25/'Endenergieverbrauch Strom'!$J25</f>
        <v>2.3809523809523807E-3</v>
      </c>
      <c r="J25" s="14"/>
      <c r="K25" s="14"/>
      <c r="L25" s="58"/>
      <c r="M25" s="58"/>
    </row>
    <row r="26" spans="1:13" x14ac:dyDescent="0.3">
      <c r="A26" s="10">
        <v>23</v>
      </c>
      <c r="B26" s="58">
        <f>'Endenergieverbrauch Strom'!B26/'Endenergieverbrauch Strom'!$J26</f>
        <v>2.485139794824762E-2</v>
      </c>
      <c r="C26" s="58">
        <f>'Endenergieverbrauch Strom'!C26/'Endenergieverbrauch Strom'!$J26</f>
        <v>2.2592179952952381E-2</v>
      </c>
      <c r="D26" s="58">
        <f>'Endenergieverbrauch Strom'!D26/'Endenergieverbrauch Strom'!$J26</f>
        <v>1.129608997647619E-2</v>
      </c>
      <c r="E26" s="58">
        <f>'Endenergieverbrauch Strom'!E26/'Endenergieverbrauch Strom'!$J26</f>
        <v>6.777653985885714E-3</v>
      </c>
      <c r="F26" s="58">
        <f t="shared" si="0"/>
        <v>0.92996424214584761</v>
      </c>
      <c r="G26" s="58">
        <f>'Endenergieverbrauch Strom'!G26/'Endenergieverbrauch Strom'!$J26</f>
        <v>0</v>
      </c>
      <c r="H26" s="58">
        <f>'Endenergieverbrauch Strom'!H26/'Endenergieverbrauch Strom'!$J26</f>
        <v>2.7110615943542857E-3</v>
      </c>
      <c r="I26" s="58">
        <f>'Endenergieverbrauch Strom'!I26/'Endenergieverbrauch Strom'!$J26</f>
        <v>1.8073743962361906E-3</v>
      </c>
      <c r="J26" s="14"/>
      <c r="K26" s="14"/>
      <c r="L26" s="58"/>
      <c r="M26" s="58"/>
    </row>
    <row r="27" spans="1:13" x14ac:dyDescent="0.3">
      <c r="A27" s="10">
        <v>24</v>
      </c>
      <c r="B27" s="58">
        <f>'Endenergieverbrauch Strom'!B27/'Endenergieverbrauch Strom'!$J27</f>
        <v>1.3085269982329593E-2</v>
      </c>
      <c r="C27" s="58">
        <f>'Endenergieverbrauch Strom'!C27/'Endenergieverbrauch Strom'!$J27</f>
        <v>7.4649155946968351E-3</v>
      </c>
      <c r="D27" s="58">
        <f>'Endenergieverbrauch Strom'!D27/'Endenergieverbrauch Strom'!$J27</f>
        <v>5.793695920513809E-3</v>
      </c>
      <c r="E27" s="58">
        <f>'Endenergieverbrauch Strom'!E27/'Endenergieverbrauch Strom'!$J27</f>
        <v>0</v>
      </c>
      <c r="F27" s="58">
        <f t="shared" si="0"/>
        <v>0.54296403597446252</v>
      </c>
      <c r="G27" s="58">
        <f>'Endenergieverbrauch Strom'!G27/'Endenergieverbrauch Strom'!$J27</f>
        <v>0.4289341920873736</v>
      </c>
      <c r="H27" s="58">
        <f>'Endenergieverbrauch Strom'!H27/'Endenergieverbrauch Strom'!$J27</f>
        <v>1.0547342643741314E-3</v>
      </c>
      <c r="I27" s="58">
        <f>'Endenergieverbrauch Strom'!I27/'Endenergieverbrauch Strom'!$J27</f>
        <v>7.031561762494209E-4</v>
      </c>
      <c r="L27" s="58"/>
      <c r="M27" s="58"/>
    </row>
    <row r="28" spans="1:13" x14ac:dyDescent="0.3">
      <c r="A28" s="10">
        <v>25</v>
      </c>
      <c r="B28" s="58">
        <f>'Endenergieverbrauch Strom'!B28/'Endenergieverbrauch Strom'!$J28</f>
        <v>8.2397003745318359E-2</v>
      </c>
      <c r="C28" s="58">
        <f>'Endenergieverbrauch Strom'!C28/'Endenergieverbrauch Strom'!$J28</f>
        <v>4.6816479400749067E-2</v>
      </c>
      <c r="D28" s="58">
        <f>'Endenergieverbrauch Strom'!D28/'Endenergieverbrauch Strom'!$J28</f>
        <v>3.9325842696629219E-2</v>
      </c>
      <c r="E28" s="58">
        <f>'Endenergieverbrauch Strom'!E28/'Endenergieverbrauch Strom'!$J28</f>
        <v>0</v>
      </c>
      <c r="F28" s="58">
        <f t="shared" si="0"/>
        <v>0.72659176029962547</v>
      </c>
      <c r="G28" s="58">
        <f>'Endenergieverbrauch Strom'!G28/'Endenergieverbrauch Strom'!$J28</f>
        <v>9.5505617977528087E-2</v>
      </c>
      <c r="H28" s="58">
        <f>'Endenergieverbrauch Strom'!H28/'Endenergieverbrauch Strom'!$J28</f>
        <v>5.6179775280898875E-3</v>
      </c>
      <c r="I28" s="58">
        <f>'Endenergieverbrauch Strom'!I28/'Endenergieverbrauch Strom'!$J28</f>
        <v>3.7453183520599256E-3</v>
      </c>
      <c r="L28" s="58"/>
      <c r="M28" s="58"/>
    </row>
    <row r="29" spans="1:13" x14ac:dyDescent="0.3">
      <c r="A29" s="10">
        <v>26</v>
      </c>
      <c r="B29" s="58">
        <f>'Endenergieverbrauch Strom'!B29/'Endenergieverbrauch Strom'!$J29</f>
        <v>9.529860228716644E-2</v>
      </c>
      <c r="C29" s="58">
        <f>'Endenergieverbrauch Strom'!C29/'Endenergieverbrauch Strom'!$J29</f>
        <v>0.12452350698856417</v>
      </c>
      <c r="D29" s="58">
        <f>'Endenergieverbrauch Strom'!D29/'Endenergieverbrauch Strom'!$J29</f>
        <v>2.922490470139771E-2</v>
      </c>
      <c r="E29" s="58">
        <f>'Endenergieverbrauch Strom'!E29/'Endenergieverbrauch Strom'!$J29</f>
        <v>8.8945362134688673E-3</v>
      </c>
      <c r="F29" s="58">
        <f t="shared" si="0"/>
        <v>0.6327827191867853</v>
      </c>
      <c r="G29" s="58">
        <f>'Endenergieverbrauch Strom'!G29/'Endenergieverbrauch Strom'!$J29</f>
        <v>9.6569250317661989E-2</v>
      </c>
      <c r="H29" s="58">
        <f>'Endenergieverbrauch Strom'!H29/'Endenergieverbrauch Strom'!$J29</f>
        <v>7.6238881829733167E-3</v>
      </c>
      <c r="I29" s="58">
        <f>'Endenergieverbrauch Strom'!I29/'Endenergieverbrauch Strom'!$J29</f>
        <v>5.0825921219822112E-3</v>
      </c>
      <c r="L29" s="58"/>
      <c r="M29" s="58"/>
    </row>
    <row r="30" spans="1:13" x14ac:dyDescent="0.3">
      <c r="A30" s="10">
        <v>27</v>
      </c>
      <c r="B30" s="58">
        <f>'Endenergieverbrauch Strom'!B30/'Endenergieverbrauch Strom'!$J30</f>
        <v>9.5298602287166453E-2</v>
      </c>
      <c r="C30" s="58">
        <f>'Endenergieverbrauch Strom'!C30/'Endenergieverbrauch Strom'!$J30</f>
        <v>0.12452350698856418</v>
      </c>
      <c r="D30" s="58">
        <f>'Endenergieverbrauch Strom'!D30/'Endenergieverbrauch Strom'!$J30</f>
        <v>2.9224904701397707E-2</v>
      </c>
      <c r="E30" s="58">
        <f>'Endenergieverbrauch Strom'!E30/'Endenergieverbrauch Strom'!$J30</f>
        <v>8.8945362134688673E-3</v>
      </c>
      <c r="F30" s="58">
        <f t="shared" si="0"/>
        <v>0.63278271918678519</v>
      </c>
      <c r="G30" s="58">
        <f>'Endenergieverbrauch Strom'!G30/'Endenergieverbrauch Strom'!$J30</f>
        <v>9.6569250317661989E-2</v>
      </c>
      <c r="H30" s="58">
        <f>'Endenergieverbrauch Strom'!H30/'Endenergieverbrauch Strom'!$J30</f>
        <v>7.6238881829733159E-3</v>
      </c>
      <c r="I30" s="58">
        <f>'Endenergieverbrauch Strom'!I30/'Endenergieverbrauch Strom'!$J30</f>
        <v>5.0825921219822112E-3</v>
      </c>
      <c r="L30" s="58"/>
      <c r="M30" s="58"/>
    </row>
    <row r="31" spans="1:13" x14ac:dyDescent="0.3">
      <c r="A31" s="10">
        <v>28</v>
      </c>
      <c r="B31" s="58">
        <f>'Endenergieverbrauch Strom'!B31/'Endenergieverbrauch Strom'!$J31</f>
        <v>0.13658536585365852</v>
      </c>
      <c r="C31" s="58">
        <f>'Endenergieverbrauch Strom'!C31/'Endenergieverbrauch Strom'!$J31</f>
        <v>0.15365853658536585</v>
      </c>
      <c r="D31" s="58">
        <f>'Endenergieverbrauch Strom'!D31/'Endenergieverbrauch Strom'!$J31</f>
        <v>4.1463414634146344E-2</v>
      </c>
      <c r="E31" s="58">
        <f>'Endenergieverbrauch Strom'!E31/'Endenergieverbrauch Strom'!$J31</f>
        <v>1.7073170731707315E-2</v>
      </c>
      <c r="F31" s="58">
        <f t="shared" si="0"/>
        <v>0.53902439024390247</v>
      </c>
      <c r="G31" s="58">
        <f>'Endenergieverbrauch Strom'!G31/'Endenergieverbrauch Strom'!$J31</f>
        <v>9.5121951219512196E-2</v>
      </c>
      <c r="H31" s="58">
        <f>'Endenergieverbrauch Strom'!H31/'Endenergieverbrauch Strom'!$J31</f>
        <v>1.0243902439024391E-2</v>
      </c>
      <c r="I31" s="58">
        <f>'Endenergieverbrauch Strom'!I31/'Endenergieverbrauch Strom'!$J31</f>
        <v>6.829268292682926E-3</v>
      </c>
      <c r="L31" s="58"/>
      <c r="M31" s="58"/>
    </row>
    <row r="32" spans="1:13" x14ac:dyDescent="0.3">
      <c r="A32" s="10">
        <v>29</v>
      </c>
      <c r="B32" s="58">
        <f>'Endenergieverbrauch Strom'!B32/'Endenergieverbrauch Strom'!$J32</f>
        <v>8.5457271364317841E-2</v>
      </c>
      <c r="C32" s="58">
        <f>'Endenergieverbrauch Strom'!C32/'Endenergieverbrauch Strom'!$J32</f>
        <v>7.3463268365817097E-2</v>
      </c>
      <c r="D32" s="58">
        <f>'Endenergieverbrauch Strom'!D32/'Endenergieverbrauch Strom'!$J32</f>
        <v>2.548725637181409E-2</v>
      </c>
      <c r="E32" s="58">
        <f>'Endenergieverbrauch Strom'!E32/'Endenergieverbrauch Strom'!$J32</f>
        <v>0</v>
      </c>
      <c r="F32" s="58">
        <f t="shared" si="0"/>
        <v>0.7076461769115443</v>
      </c>
      <c r="G32" s="58">
        <f>'Endenergieverbrauch Strom'!G32/'Endenergieverbrauch Strom'!$J32</f>
        <v>9.7451274362818585E-2</v>
      </c>
      <c r="H32" s="58">
        <f>'Endenergieverbrauch Strom'!H32/'Endenergieverbrauch Strom'!$J32</f>
        <v>6.2968515742128934E-3</v>
      </c>
      <c r="I32" s="58">
        <f>'Endenergieverbrauch Strom'!I32/'Endenergieverbrauch Strom'!$J32</f>
        <v>4.197901049475262E-3</v>
      </c>
      <c r="L32" s="58"/>
      <c r="M32" s="58"/>
    </row>
    <row r="33" spans="1:13" x14ac:dyDescent="0.3">
      <c r="A33" s="10">
        <v>30</v>
      </c>
      <c r="B33" s="58">
        <f>'Endenergieverbrauch Strom'!B33/'Endenergieverbrauch Strom'!$J33</f>
        <v>8.5457271364317841E-2</v>
      </c>
      <c r="C33" s="58">
        <f>'Endenergieverbrauch Strom'!C33/'Endenergieverbrauch Strom'!$J33</f>
        <v>7.3463268365817097E-2</v>
      </c>
      <c r="D33" s="58">
        <f>'Endenergieverbrauch Strom'!D33/'Endenergieverbrauch Strom'!$J33</f>
        <v>2.548725637181409E-2</v>
      </c>
      <c r="E33" s="58">
        <f>'Endenergieverbrauch Strom'!E33/'Endenergieverbrauch Strom'!$J33</f>
        <v>0</v>
      </c>
      <c r="F33" s="58">
        <f t="shared" si="0"/>
        <v>0.7076461769115443</v>
      </c>
      <c r="G33" s="58">
        <f>'Endenergieverbrauch Strom'!G33/'Endenergieverbrauch Strom'!$J33</f>
        <v>9.7451274362818585E-2</v>
      </c>
      <c r="H33" s="58">
        <f>'Endenergieverbrauch Strom'!H33/'Endenergieverbrauch Strom'!$J33</f>
        <v>6.2968515742128934E-3</v>
      </c>
      <c r="I33" s="58">
        <f>'Endenergieverbrauch Strom'!I33/'Endenergieverbrauch Strom'!$J33</f>
        <v>4.197901049475262E-3</v>
      </c>
      <c r="L33" s="58"/>
      <c r="M33" s="58"/>
    </row>
    <row r="34" spans="1:13" x14ac:dyDescent="0.3">
      <c r="A34" s="10">
        <v>31</v>
      </c>
      <c r="B34" s="58">
        <f>'Endenergieverbrauch Strom'!B34/'Endenergieverbrauch Strom'!$J34</f>
        <v>9.5298602287166453E-2</v>
      </c>
      <c r="C34" s="58">
        <f>'Endenergieverbrauch Strom'!C34/'Endenergieverbrauch Strom'!$J34</f>
        <v>0.12452350698856417</v>
      </c>
      <c r="D34" s="58">
        <f>'Endenergieverbrauch Strom'!D34/'Endenergieverbrauch Strom'!$J34</f>
        <v>2.922490470139771E-2</v>
      </c>
      <c r="E34" s="58">
        <f>'Endenergieverbrauch Strom'!E34/'Endenergieverbrauch Strom'!$J34</f>
        <v>8.8945362134688691E-3</v>
      </c>
      <c r="F34" s="58">
        <f t="shared" si="0"/>
        <v>0.63278271918678519</v>
      </c>
      <c r="G34" s="58">
        <f>'Endenergieverbrauch Strom'!G34/'Endenergieverbrauch Strom'!$J34</f>
        <v>9.6569250317662003E-2</v>
      </c>
      <c r="H34" s="58">
        <f>'Endenergieverbrauch Strom'!H34/'Endenergieverbrauch Strom'!$J34</f>
        <v>7.623888182973315E-3</v>
      </c>
      <c r="I34" s="58">
        <f>'Endenergieverbrauch Strom'!I34/'Endenergieverbrauch Strom'!$J34</f>
        <v>5.0825921219822112E-3</v>
      </c>
      <c r="L34" s="58"/>
      <c r="M34" s="58"/>
    </row>
    <row r="35" spans="1:13" x14ac:dyDescent="0.3">
      <c r="A35" s="10">
        <v>32</v>
      </c>
      <c r="B35" s="58">
        <f>'Endenergieverbrauch Strom'!B35/'Endenergieverbrauch Strom'!$J35</f>
        <v>9.5298602287166467E-2</v>
      </c>
      <c r="C35" s="58">
        <f>'Endenergieverbrauch Strom'!C35/'Endenergieverbrauch Strom'!$J35</f>
        <v>0.12452350698856417</v>
      </c>
      <c r="D35" s="58">
        <f>'Endenergieverbrauch Strom'!D35/'Endenergieverbrauch Strom'!$J35</f>
        <v>2.922490470139771E-2</v>
      </c>
      <c r="E35" s="58">
        <f>'Endenergieverbrauch Strom'!E35/'Endenergieverbrauch Strom'!$J35</f>
        <v>8.8945362134688673E-3</v>
      </c>
      <c r="F35" s="58">
        <f t="shared" si="0"/>
        <v>0.63278271918678519</v>
      </c>
      <c r="G35" s="58">
        <f>'Endenergieverbrauch Strom'!G35/'Endenergieverbrauch Strom'!$J35</f>
        <v>9.6569250317661989E-2</v>
      </c>
      <c r="H35" s="58">
        <f>'Endenergieverbrauch Strom'!H35/'Endenergieverbrauch Strom'!$J35</f>
        <v>7.6238881829733167E-3</v>
      </c>
      <c r="I35" s="58">
        <f>'Endenergieverbrauch Strom'!I35/'Endenergieverbrauch Strom'!$J35</f>
        <v>5.0825921219822112E-3</v>
      </c>
      <c r="L35" s="58"/>
      <c r="M35" s="58"/>
    </row>
    <row r="36" spans="1:13" x14ac:dyDescent="0.3">
      <c r="A36" s="10">
        <v>33</v>
      </c>
      <c r="B36" s="58">
        <f>'Endenergieverbrauch Strom'!B36/'Endenergieverbrauch Strom'!$J36</f>
        <v>9.529860228716644E-2</v>
      </c>
      <c r="C36" s="58">
        <f>'Endenergieverbrauch Strom'!C36/'Endenergieverbrauch Strom'!$J36</f>
        <v>0.12452350698856417</v>
      </c>
      <c r="D36" s="58">
        <f>'Endenergieverbrauch Strom'!D36/'Endenergieverbrauch Strom'!$J36</f>
        <v>2.9224904701397707E-2</v>
      </c>
      <c r="E36" s="58">
        <f>'Endenergieverbrauch Strom'!E36/'Endenergieverbrauch Strom'!$J36</f>
        <v>8.8945362134688673E-3</v>
      </c>
      <c r="F36" s="58">
        <f t="shared" si="0"/>
        <v>0.6327827191867853</v>
      </c>
      <c r="G36" s="58">
        <f>'Endenergieverbrauch Strom'!G36/'Endenergieverbrauch Strom'!$J36</f>
        <v>9.6569250317662003E-2</v>
      </c>
      <c r="H36" s="58">
        <f>'Endenergieverbrauch Strom'!H36/'Endenergieverbrauch Strom'!$J36</f>
        <v>7.623888182973315E-3</v>
      </c>
      <c r="I36" s="58">
        <f>'Endenergieverbrauch Strom'!I36/'Endenergieverbrauch Strom'!$J36</f>
        <v>5.0825921219822112E-3</v>
      </c>
      <c r="L36" s="58"/>
      <c r="M36" s="58"/>
    </row>
    <row r="37" spans="1:13" x14ac:dyDescent="0.3">
      <c r="A37" s="21" t="s">
        <v>100</v>
      </c>
      <c r="B37" s="58"/>
      <c r="C37" s="58"/>
      <c r="D37" s="58"/>
      <c r="E37" s="58"/>
      <c r="F37" s="58"/>
      <c r="G37" s="58"/>
      <c r="H37" s="58"/>
      <c r="I37" s="58"/>
      <c r="L37" s="58"/>
      <c r="M37" s="58"/>
    </row>
    <row r="38" spans="1:13" x14ac:dyDescent="0.3">
      <c r="A38" s="10">
        <v>35</v>
      </c>
      <c r="B38" s="58">
        <f>'Endenergieverbrauch Strom'!B38/'Endenergieverbrauch Strom'!$J38</f>
        <v>0.35999999999999993</v>
      </c>
      <c r="C38" s="58">
        <f>'Endenergieverbrauch Strom'!C38/'Endenergieverbrauch Strom'!$J38</f>
        <v>0.16400000000000001</v>
      </c>
      <c r="D38" s="58">
        <f>'Endenergieverbrauch Strom'!D38/'Endenergieverbrauch Strom'!$J38</f>
        <v>0.02</v>
      </c>
      <c r="E38" s="58">
        <f>'Endenergieverbrauch Strom'!E38/'Endenergieverbrauch Strom'!$J38</f>
        <v>8.5000000000000006E-2</v>
      </c>
      <c r="F38" s="58">
        <f t="shared" si="0"/>
        <v>0.247</v>
      </c>
      <c r="G38" s="58">
        <f>'Endenergieverbrauch Strom'!G38/'Endenergieverbrauch Strom'!$J38</f>
        <v>4.8000000000000001E-2</v>
      </c>
      <c r="H38" s="58">
        <f>'Endenergieverbrauch Strom'!H38/'Endenergieverbrauch Strom'!$J38</f>
        <v>3.6999999999999998E-2</v>
      </c>
      <c r="I38" s="58">
        <f>'Endenergieverbrauch Strom'!I38/'Endenergieverbrauch Strom'!$J38</f>
        <v>3.9E-2</v>
      </c>
      <c r="L38" s="58"/>
      <c r="M38" s="58"/>
    </row>
    <row r="39" spans="1:13" x14ac:dyDescent="0.3">
      <c r="A39" s="17" t="s">
        <v>120</v>
      </c>
      <c r="B39" s="58"/>
      <c r="C39" s="58"/>
      <c r="D39" s="58"/>
      <c r="E39" s="58"/>
      <c r="F39" s="58"/>
      <c r="G39" s="58"/>
      <c r="H39" s="58"/>
      <c r="I39" s="58"/>
      <c r="L39" s="58"/>
      <c r="M39" s="58"/>
    </row>
    <row r="40" spans="1:13" x14ac:dyDescent="0.3">
      <c r="A40" s="10">
        <v>36</v>
      </c>
      <c r="B40" s="58">
        <f>'Endenergieverbrauch Strom'!B40/'Endenergieverbrauch Strom'!$J40</f>
        <v>0.36</v>
      </c>
      <c r="C40" s="58">
        <f>'Endenergieverbrauch Strom'!C40/'Endenergieverbrauch Strom'!$J40</f>
        <v>0.16400000000000001</v>
      </c>
      <c r="D40" s="58">
        <f>'Endenergieverbrauch Strom'!D40/'Endenergieverbrauch Strom'!$J40</f>
        <v>0.02</v>
      </c>
      <c r="E40" s="58">
        <f>'Endenergieverbrauch Strom'!E40/'Endenergieverbrauch Strom'!$J40</f>
        <v>8.5000000000000006E-2</v>
      </c>
      <c r="F40" s="58">
        <f t="shared" si="0"/>
        <v>0.24699999999999989</v>
      </c>
      <c r="G40" s="58">
        <f>'Endenergieverbrauch Strom'!G40/'Endenergieverbrauch Strom'!$J40</f>
        <v>4.8000000000000001E-2</v>
      </c>
      <c r="H40" s="58">
        <f>'Endenergieverbrauch Strom'!H40/'Endenergieverbrauch Strom'!$J40</f>
        <v>3.6999999999999998E-2</v>
      </c>
      <c r="I40" s="58">
        <f>'Endenergieverbrauch Strom'!I40/'Endenergieverbrauch Strom'!$J40</f>
        <v>3.9E-2</v>
      </c>
      <c r="L40" s="58"/>
      <c r="M40" s="58"/>
    </row>
    <row r="41" spans="1:13" x14ac:dyDescent="0.3">
      <c r="A41" s="10">
        <v>37</v>
      </c>
      <c r="B41" s="58">
        <f>'Endenergieverbrauch Strom'!B41/'Endenergieverbrauch Strom'!$J41</f>
        <v>0.36</v>
      </c>
      <c r="C41" s="58">
        <f>'Endenergieverbrauch Strom'!C41/'Endenergieverbrauch Strom'!$J41</f>
        <v>0.16400000000000001</v>
      </c>
      <c r="D41" s="58">
        <f>'Endenergieverbrauch Strom'!D41/'Endenergieverbrauch Strom'!$J41</f>
        <v>0.02</v>
      </c>
      <c r="E41" s="58">
        <f>'Endenergieverbrauch Strom'!E41/'Endenergieverbrauch Strom'!$J41</f>
        <v>8.500000000000002E-2</v>
      </c>
      <c r="F41" s="58">
        <f t="shared" si="0"/>
        <v>0.24699999999999989</v>
      </c>
      <c r="G41" s="58">
        <f>'Endenergieverbrauch Strom'!G41/'Endenergieverbrauch Strom'!$J41</f>
        <v>4.8000000000000001E-2</v>
      </c>
      <c r="H41" s="58">
        <f>'Endenergieverbrauch Strom'!H41/'Endenergieverbrauch Strom'!$J41</f>
        <v>3.6999999999999998E-2</v>
      </c>
      <c r="I41" s="58">
        <f>'Endenergieverbrauch Strom'!I41/'Endenergieverbrauch Strom'!$J41</f>
        <v>3.9000000000000007E-2</v>
      </c>
      <c r="L41" s="58"/>
      <c r="M41" s="58"/>
    </row>
    <row r="42" spans="1:13" x14ac:dyDescent="0.3">
      <c r="A42" s="10">
        <v>38</v>
      </c>
      <c r="B42" s="58">
        <f>'Endenergieverbrauch Strom'!B42/'Endenergieverbrauch Strom'!$J42</f>
        <v>0.36</v>
      </c>
      <c r="C42" s="58">
        <f>'Endenergieverbrauch Strom'!C42/'Endenergieverbrauch Strom'!$J42</f>
        <v>0.16400000000000001</v>
      </c>
      <c r="D42" s="58">
        <f>'Endenergieverbrauch Strom'!D42/'Endenergieverbrauch Strom'!$J42</f>
        <v>0.02</v>
      </c>
      <c r="E42" s="58">
        <f>'Endenergieverbrauch Strom'!E42/'Endenergieverbrauch Strom'!$J42</f>
        <v>8.5000000000000006E-2</v>
      </c>
      <c r="F42" s="58">
        <f t="shared" si="0"/>
        <v>0.24699999999999989</v>
      </c>
      <c r="G42" s="58">
        <f>'Endenergieverbrauch Strom'!G42/'Endenergieverbrauch Strom'!$J42</f>
        <v>4.8000000000000001E-2</v>
      </c>
      <c r="H42" s="58">
        <f>'Endenergieverbrauch Strom'!H42/'Endenergieverbrauch Strom'!$J42</f>
        <v>3.6999999999999998E-2</v>
      </c>
      <c r="I42" s="58">
        <f>'Endenergieverbrauch Strom'!I42/'Endenergieverbrauch Strom'!$J42</f>
        <v>3.9E-2</v>
      </c>
      <c r="L42" s="58"/>
      <c r="M42" s="58"/>
    </row>
    <row r="43" spans="1:13" x14ac:dyDescent="0.3">
      <c r="A43" s="10">
        <v>39</v>
      </c>
      <c r="B43" s="58">
        <f>'Endenergieverbrauch Strom'!B43/'Endenergieverbrauch Strom'!$J43</f>
        <v>0.36</v>
      </c>
      <c r="C43" s="58">
        <f>'Endenergieverbrauch Strom'!C43/'Endenergieverbrauch Strom'!$J43</f>
        <v>0.16400000000000001</v>
      </c>
      <c r="D43" s="58">
        <f>'Endenergieverbrauch Strom'!D43/'Endenergieverbrauch Strom'!$J43</f>
        <v>0.02</v>
      </c>
      <c r="E43" s="58">
        <f>'Endenergieverbrauch Strom'!E43/'Endenergieverbrauch Strom'!$J43</f>
        <v>8.5000000000000006E-2</v>
      </c>
      <c r="F43" s="58">
        <f t="shared" si="0"/>
        <v>0.24699999999999989</v>
      </c>
      <c r="G43" s="58">
        <f>'Endenergieverbrauch Strom'!G43/'Endenergieverbrauch Strom'!$J43</f>
        <v>4.8000000000000001E-2</v>
      </c>
      <c r="H43" s="58">
        <f>'Endenergieverbrauch Strom'!H43/'Endenergieverbrauch Strom'!$J43</f>
        <v>3.6999999999999998E-2</v>
      </c>
      <c r="I43" s="58">
        <f>'Endenergieverbrauch Strom'!I43/'Endenergieverbrauch Strom'!$J43</f>
        <v>3.9E-2</v>
      </c>
      <c r="L43" s="58"/>
      <c r="M43" s="58"/>
    </row>
    <row r="44" spans="1:13" x14ac:dyDescent="0.3">
      <c r="A44" s="17" t="s">
        <v>101</v>
      </c>
      <c r="B44" s="58"/>
      <c r="C44" s="58"/>
      <c r="D44" s="58"/>
      <c r="E44" s="58"/>
      <c r="F44" s="58"/>
      <c r="G44" s="58"/>
      <c r="H44" s="58"/>
      <c r="I44" s="58"/>
      <c r="L44" s="58"/>
      <c r="M44" s="58"/>
    </row>
    <row r="45" spans="1:13" x14ac:dyDescent="0.3">
      <c r="A45" s="10">
        <v>41</v>
      </c>
      <c r="B45" s="58">
        <f>'Endenergieverbrauch Strom'!B45/'Endenergieverbrauch Strom'!$J45</f>
        <v>0.36</v>
      </c>
      <c r="C45" s="58">
        <f>'Endenergieverbrauch Strom'!C45/'Endenergieverbrauch Strom'!$J45</f>
        <v>0.16400000000000001</v>
      </c>
      <c r="D45" s="58">
        <f>'Endenergieverbrauch Strom'!D45/'Endenergieverbrauch Strom'!$J45</f>
        <v>2.0000000000000004E-2</v>
      </c>
      <c r="E45" s="58">
        <f>'Endenergieverbrauch Strom'!E45/'Endenergieverbrauch Strom'!$J45</f>
        <v>8.5000000000000006E-2</v>
      </c>
      <c r="F45" s="58">
        <f t="shared" si="0"/>
        <v>0.24699999999999989</v>
      </c>
      <c r="G45" s="58">
        <f>'Endenergieverbrauch Strom'!G45/'Endenergieverbrauch Strom'!$J45</f>
        <v>4.8000000000000001E-2</v>
      </c>
      <c r="H45" s="58">
        <f>'Endenergieverbrauch Strom'!H45/'Endenergieverbrauch Strom'!$J45</f>
        <v>3.6999999999999998E-2</v>
      </c>
      <c r="I45" s="58">
        <f>'Endenergieverbrauch Strom'!I45/'Endenergieverbrauch Strom'!$J45</f>
        <v>3.9E-2</v>
      </c>
      <c r="L45" s="58"/>
      <c r="M45" s="58"/>
    </row>
    <row r="46" spans="1:13" x14ac:dyDescent="0.3">
      <c r="A46" s="10">
        <v>42</v>
      </c>
      <c r="B46" s="58">
        <f>'Endenergieverbrauch Strom'!B46/'Endenergieverbrauch Strom'!$J46</f>
        <v>0.36</v>
      </c>
      <c r="C46" s="58">
        <f>'Endenergieverbrauch Strom'!C46/'Endenergieverbrauch Strom'!$J46</f>
        <v>0.16400000000000001</v>
      </c>
      <c r="D46" s="58">
        <f>'Endenergieverbrauch Strom'!D46/'Endenergieverbrauch Strom'!$J46</f>
        <v>0.02</v>
      </c>
      <c r="E46" s="58">
        <f>'Endenergieverbrauch Strom'!E46/'Endenergieverbrauch Strom'!$J46</f>
        <v>8.5000000000000006E-2</v>
      </c>
      <c r="F46" s="58">
        <f t="shared" si="0"/>
        <v>0.24699999999999989</v>
      </c>
      <c r="G46" s="58">
        <f>'Endenergieverbrauch Strom'!G46/'Endenergieverbrauch Strom'!$J46</f>
        <v>4.8000000000000001E-2</v>
      </c>
      <c r="H46" s="58">
        <f>'Endenergieverbrauch Strom'!H46/'Endenergieverbrauch Strom'!$J46</f>
        <v>3.6999999999999998E-2</v>
      </c>
      <c r="I46" s="58">
        <f>'Endenergieverbrauch Strom'!I46/'Endenergieverbrauch Strom'!$J46</f>
        <v>3.9E-2</v>
      </c>
      <c r="L46" s="58"/>
      <c r="M46" s="58"/>
    </row>
    <row r="47" spans="1:13" x14ac:dyDescent="0.3">
      <c r="A47" s="10">
        <v>43</v>
      </c>
      <c r="B47" s="58">
        <f>'Endenergieverbrauch Strom'!B47/'Endenergieverbrauch Strom'!$J47</f>
        <v>0.36</v>
      </c>
      <c r="C47" s="58">
        <f>'Endenergieverbrauch Strom'!C47/'Endenergieverbrauch Strom'!$J47</f>
        <v>0.16400000000000001</v>
      </c>
      <c r="D47" s="58">
        <f>'Endenergieverbrauch Strom'!D47/'Endenergieverbrauch Strom'!$J47</f>
        <v>0.02</v>
      </c>
      <c r="E47" s="58">
        <f>'Endenergieverbrauch Strom'!E47/'Endenergieverbrauch Strom'!$J47</f>
        <v>8.5000000000000006E-2</v>
      </c>
      <c r="F47" s="58">
        <f t="shared" si="0"/>
        <v>0.24699999999999989</v>
      </c>
      <c r="G47" s="58">
        <f>'Endenergieverbrauch Strom'!G47/'Endenergieverbrauch Strom'!$J47</f>
        <v>4.8000000000000001E-2</v>
      </c>
      <c r="H47" s="58">
        <f>'Endenergieverbrauch Strom'!H47/'Endenergieverbrauch Strom'!$J47</f>
        <v>3.6999999999999998E-2</v>
      </c>
      <c r="I47" s="58">
        <f>'Endenergieverbrauch Strom'!I47/'Endenergieverbrauch Strom'!$J47</f>
        <v>3.9E-2</v>
      </c>
      <c r="L47" s="58"/>
      <c r="M47" s="58"/>
    </row>
    <row r="48" spans="1:13" x14ac:dyDescent="0.3">
      <c r="A48" s="13" t="s">
        <v>102</v>
      </c>
      <c r="B48" s="58"/>
      <c r="C48" s="58"/>
      <c r="D48" s="58"/>
      <c r="E48" s="58"/>
      <c r="F48" s="58"/>
      <c r="G48" s="58"/>
      <c r="H48" s="58"/>
      <c r="I48" s="58"/>
      <c r="L48" s="58"/>
      <c r="M48" s="58"/>
    </row>
    <row r="49" spans="1:13" x14ac:dyDescent="0.3">
      <c r="A49" s="10">
        <v>45</v>
      </c>
      <c r="B49" s="58">
        <f>'Endenergieverbrauch Strom'!B49/'Endenergieverbrauch Strom'!$J49</f>
        <v>0.36</v>
      </c>
      <c r="C49" s="58">
        <f>'Endenergieverbrauch Strom'!C49/'Endenergieverbrauch Strom'!$J49</f>
        <v>0.16400000000000001</v>
      </c>
      <c r="D49" s="58">
        <f>'Endenergieverbrauch Strom'!D49/'Endenergieverbrauch Strom'!$J49</f>
        <v>0.02</v>
      </c>
      <c r="E49" s="58">
        <f>'Endenergieverbrauch Strom'!E49/'Endenergieverbrauch Strom'!$J49</f>
        <v>8.5000000000000006E-2</v>
      </c>
      <c r="F49" s="58">
        <f t="shared" si="0"/>
        <v>0.24699999999999989</v>
      </c>
      <c r="G49" s="58">
        <f>'Endenergieverbrauch Strom'!G49/'Endenergieverbrauch Strom'!$J49</f>
        <v>4.8000000000000001E-2</v>
      </c>
      <c r="H49" s="58">
        <f>'Endenergieverbrauch Strom'!H49/'Endenergieverbrauch Strom'!$J49</f>
        <v>3.6999999999999998E-2</v>
      </c>
      <c r="I49" s="58">
        <f>'Endenergieverbrauch Strom'!I49/'Endenergieverbrauch Strom'!$J49</f>
        <v>3.9E-2</v>
      </c>
      <c r="L49" s="58"/>
      <c r="M49" s="58"/>
    </row>
    <row r="50" spans="1:13" x14ac:dyDescent="0.3">
      <c r="A50" s="10">
        <v>46</v>
      </c>
      <c r="B50" s="58">
        <f>'Endenergieverbrauch Strom'!B50/'Endenergieverbrauch Strom'!$J50</f>
        <v>0.36</v>
      </c>
      <c r="C50" s="58">
        <f>'Endenergieverbrauch Strom'!C50/'Endenergieverbrauch Strom'!$J50</f>
        <v>0.16400000000000001</v>
      </c>
      <c r="D50" s="58">
        <f>'Endenergieverbrauch Strom'!D50/'Endenergieverbrauch Strom'!$J50</f>
        <v>0.02</v>
      </c>
      <c r="E50" s="58">
        <f>'Endenergieverbrauch Strom'!E50/'Endenergieverbrauch Strom'!$J50</f>
        <v>8.5000000000000006E-2</v>
      </c>
      <c r="F50" s="58">
        <f t="shared" si="0"/>
        <v>0.24699999999999989</v>
      </c>
      <c r="G50" s="58">
        <f>'Endenergieverbrauch Strom'!G50/'Endenergieverbrauch Strom'!$J50</f>
        <v>4.8000000000000001E-2</v>
      </c>
      <c r="H50" s="58">
        <f>'Endenergieverbrauch Strom'!H50/'Endenergieverbrauch Strom'!$J50</f>
        <v>3.6999999999999998E-2</v>
      </c>
      <c r="I50" s="58">
        <f>'Endenergieverbrauch Strom'!I50/'Endenergieverbrauch Strom'!$J50</f>
        <v>3.9E-2</v>
      </c>
      <c r="L50" s="58"/>
      <c r="M50" s="58"/>
    </row>
    <row r="51" spans="1:13" x14ac:dyDescent="0.3">
      <c r="A51" s="10">
        <v>47</v>
      </c>
      <c r="B51" s="58">
        <f>'Endenergieverbrauch Strom'!B51/'Endenergieverbrauch Strom'!$J51</f>
        <v>0.36</v>
      </c>
      <c r="C51" s="58">
        <f>'Endenergieverbrauch Strom'!C51/'Endenergieverbrauch Strom'!$J51</f>
        <v>0.16400000000000001</v>
      </c>
      <c r="D51" s="58">
        <f>'Endenergieverbrauch Strom'!D51/'Endenergieverbrauch Strom'!$J51</f>
        <v>0.02</v>
      </c>
      <c r="E51" s="58">
        <f>'Endenergieverbrauch Strom'!E51/'Endenergieverbrauch Strom'!$J51</f>
        <v>8.5000000000000006E-2</v>
      </c>
      <c r="F51" s="58">
        <f t="shared" si="0"/>
        <v>0.24699999999999989</v>
      </c>
      <c r="G51" s="58">
        <f>'Endenergieverbrauch Strom'!G51/'Endenergieverbrauch Strom'!$J51</f>
        <v>4.8000000000000001E-2</v>
      </c>
      <c r="H51" s="58">
        <f>'Endenergieverbrauch Strom'!H51/'Endenergieverbrauch Strom'!$J51</f>
        <v>3.6999999999999998E-2</v>
      </c>
      <c r="I51" s="58">
        <f>'Endenergieverbrauch Strom'!I51/'Endenergieverbrauch Strom'!$J51</f>
        <v>3.9E-2</v>
      </c>
      <c r="L51" s="58"/>
      <c r="M51" s="58"/>
    </row>
    <row r="52" spans="1:13" x14ac:dyDescent="0.3">
      <c r="A52" s="17" t="s">
        <v>103</v>
      </c>
      <c r="B52" s="58"/>
      <c r="C52" s="58"/>
      <c r="D52" s="58"/>
      <c r="E52" s="58"/>
      <c r="F52" s="58"/>
      <c r="G52" s="58"/>
      <c r="H52" s="58"/>
      <c r="I52" s="58"/>
      <c r="L52" s="58"/>
      <c r="M52" s="58"/>
    </row>
    <row r="53" spans="1:13" x14ac:dyDescent="0.3">
      <c r="A53" s="10">
        <v>49</v>
      </c>
      <c r="B53" s="58">
        <f>'Endenergieverbrauch Strom'!B53/'Endenergieverbrauch Strom'!$J53</f>
        <v>5.1000000000000004E-2</v>
      </c>
      <c r="C53" s="58">
        <f>'Endenergieverbrauch Strom'!C53/'Endenergieverbrauch Strom'!$J53</f>
        <v>0.05</v>
      </c>
      <c r="D53" s="58">
        <f>'Endenergieverbrauch Strom'!D53/'Endenergieverbrauch Strom'!$J53</f>
        <v>1E-3</v>
      </c>
      <c r="E53" s="58">
        <f>'Endenergieverbrauch Strom'!E53/'Endenergieverbrauch Strom'!$J53</f>
        <v>0</v>
      </c>
      <c r="F53" s="58">
        <f t="shared" si="0"/>
        <v>0.84799999999999998</v>
      </c>
      <c r="G53" s="58">
        <f>'Endenergieverbrauch Strom'!G53/'Endenergieverbrauch Strom'!$J53</f>
        <v>0</v>
      </c>
      <c r="H53" s="58">
        <f>'Endenergieverbrauch Strom'!H53/'Endenergieverbrauch Strom'!$J53</f>
        <v>0.05</v>
      </c>
      <c r="I53" s="58">
        <f>'Endenergieverbrauch Strom'!I53/'Endenergieverbrauch Strom'!$J53</f>
        <v>0</v>
      </c>
      <c r="L53" s="58"/>
      <c r="M53" s="58"/>
    </row>
    <row r="54" spans="1:13" x14ac:dyDescent="0.3">
      <c r="A54" s="10">
        <v>50</v>
      </c>
      <c r="B54" s="58">
        <f>'Endenergieverbrauch Strom'!B54/'Endenergieverbrauch Strom'!$J54</f>
        <v>5.0999999999999997E-2</v>
      </c>
      <c r="C54" s="58">
        <f>'Endenergieverbrauch Strom'!C54/'Endenergieverbrauch Strom'!$J54</f>
        <v>0.05</v>
      </c>
      <c r="D54" s="58">
        <f>'Endenergieverbrauch Strom'!D54/'Endenergieverbrauch Strom'!$J54</f>
        <v>1E-3</v>
      </c>
      <c r="E54" s="58">
        <f>'Endenergieverbrauch Strom'!E54/'Endenergieverbrauch Strom'!$J54</f>
        <v>0</v>
      </c>
      <c r="F54" s="58">
        <f t="shared" si="0"/>
        <v>0.84799999999999998</v>
      </c>
      <c r="G54" s="58">
        <f>'Endenergieverbrauch Strom'!G54/'Endenergieverbrauch Strom'!$J54</f>
        <v>0</v>
      </c>
      <c r="H54" s="58">
        <f>'Endenergieverbrauch Strom'!H54/'Endenergieverbrauch Strom'!$J54</f>
        <v>0.05</v>
      </c>
      <c r="I54" s="58">
        <f>'Endenergieverbrauch Strom'!I54/'Endenergieverbrauch Strom'!$J54</f>
        <v>0</v>
      </c>
      <c r="L54" s="58"/>
      <c r="M54" s="58"/>
    </row>
    <row r="55" spans="1:13" x14ac:dyDescent="0.3">
      <c r="A55" s="10">
        <v>51</v>
      </c>
      <c r="B55" s="58">
        <f>'Endenergieverbrauch Strom'!B55/'Endenergieverbrauch Strom'!$J55</f>
        <v>5.0999999999999997E-2</v>
      </c>
      <c r="C55" s="58">
        <f>'Endenergieverbrauch Strom'!C55/'Endenergieverbrauch Strom'!$J55</f>
        <v>0.05</v>
      </c>
      <c r="D55" s="58">
        <f>'Endenergieverbrauch Strom'!D55/'Endenergieverbrauch Strom'!$J55</f>
        <v>1E-3</v>
      </c>
      <c r="E55" s="58">
        <f>'Endenergieverbrauch Strom'!E55/'Endenergieverbrauch Strom'!$J55</f>
        <v>0</v>
      </c>
      <c r="F55" s="58">
        <f t="shared" si="0"/>
        <v>0.84799999999999998</v>
      </c>
      <c r="G55" s="58">
        <f>'Endenergieverbrauch Strom'!G55/'Endenergieverbrauch Strom'!$J55</f>
        <v>0</v>
      </c>
      <c r="H55" s="58">
        <f>'Endenergieverbrauch Strom'!H55/'Endenergieverbrauch Strom'!$J55</f>
        <v>0.05</v>
      </c>
      <c r="I55" s="58">
        <f>'Endenergieverbrauch Strom'!I55/'Endenergieverbrauch Strom'!$J55</f>
        <v>0</v>
      </c>
      <c r="L55" s="58"/>
      <c r="M55" s="58"/>
    </row>
    <row r="56" spans="1:13" x14ac:dyDescent="0.3">
      <c r="A56" s="10">
        <v>52</v>
      </c>
      <c r="B56" s="58">
        <f>'Endenergieverbrauch Strom'!B56/'Endenergieverbrauch Strom'!$J56</f>
        <v>0.36000000000000004</v>
      </c>
      <c r="C56" s="58">
        <f>'Endenergieverbrauch Strom'!C56/'Endenergieverbrauch Strom'!$J56</f>
        <v>0.16400000000000001</v>
      </c>
      <c r="D56" s="58">
        <f>'Endenergieverbrauch Strom'!D56/'Endenergieverbrauch Strom'!$J56</f>
        <v>0.02</v>
      </c>
      <c r="E56" s="58">
        <f>'Endenergieverbrauch Strom'!E56/'Endenergieverbrauch Strom'!$J56</f>
        <v>8.5000000000000006E-2</v>
      </c>
      <c r="F56" s="58">
        <f t="shared" si="0"/>
        <v>0.24699999999999989</v>
      </c>
      <c r="G56" s="58">
        <f>'Endenergieverbrauch Strom'!G56/'Endenergieverbrauch Strom'!$J56</f>
        <v>4.8000000000000001E-2</v>
      </c>
      <c r="H56" s="58">
        <f>'Endenergieverbrauch Strom'!H56/'Endenergieverbrauch Strom'!$J56</f>
        <v>3.6999999999999998E-2</v>
      </c>
      <c r="I56" s="58">
        <f>'Endenergieverbrauch Strom'!I56/'Endenergieverbrauch Strom'!$J56</f>
        <v>3.9E-2</v>
      </c>
      <c r="L56" s="58"/>
      <c r="M56" s="58"/>
    </row>
    <row r="57" spans="1:13" x14ac:dyDescent="0.3">
      <c r="A57" s="10">
        <v>53</v>
      </c>
      <c r="B57" s="58">
        <f>'Endenergieverbrauch Strom'!B57/'Endenergieverbrauch Strom'!$J57</f>
        <v>0.36</v>
      </c>
      <c r="C57" s="58">
        <f>'Endenergieverbrauch Strom'!C57/'Endenergieverbrauch Strom'!$J57</f>
        <v>0.16400000000000001</v>
      </c>
      <c r="D57" s="58">
        <f>'Endenergieverbrauch Strom'!D57/'Endenergieverbrauch Strom'!$J57</f>
        <v>0.02</v>
      </c>
      <c r="E57" s="58">
        <f>'Endenergieverbrauch Strom'!E57/'Endenergieverbrauch Strom'!$J57</f>
        <v>8.5000000000000006E-2</v>
      </c>
      <c r="F57" s="58">
        <f t="shared" si="0"/>
        <v>0.24699999999999989</v>
      </c>
      <c r="G57" s="58">
        <f>'Endenergieverbrauch Strom'!G57/'Endenergieverbrauch Strom'!$J57</f>
        <v>4.8000000000000001E-2</v>
      </c>
      <c r="H57" s="58">
        <f>'Endenergieverbrauch Strom'!H57/'Endenergieverbrauch Strom'!$J57</f>
        <v>3.6999999999999998E-2</v>
      </c>
      <c r="I57" s="58">
        <f>'Endenergieverbrauch Strom'!I57/'Endenergieverbrauch Strom'!$J57</f>
        <v>3.9E-2</v>
      </c>
      <c r="L57" s="58"/>
      <c r="M57" s="58"/>
    </row>
    <row r="58" spans="1:13" x14ac:dyDescent="0.3">
      <c r="A58" s="17" t="s">
        <v>104</v>
      </c>
      <c r="B58" s="58"/>
      <c r="C58" s="58"/>
      <c r="D58" s="58"/>
      <c r="E58" s="58"/>
      <c r="F58" s="58"/>
      <c r="G58" s="58"/>
      <c r="H58" s="58"/>
      <c r="I58" s="58"/>
      <c r="L58" s="58"/>
      <c r="M58" s="58"/>
    </row>
    <row r="59" spans="1:13" x14ac:dyDescent="0.3">
      <c r="A59" s="10">
        <v>55</v>
      </c>
      <c r="B59" s="58">
        <f>'Endenergieverbrauch Strom'!B59/'Endenergieverbrauch Strom'!$J59</f>
        <v>0.36</v>
      </c>
      <c r="C59" s="58">
        <f>'Endenergieverbrauch Strom'!C59/'Endenergieverbrauch Strom'!$J59</f>
        <v>0.16400000000000001</v>
      </c>
      <c r="D59" s="58">
        <f>'Endenergieverbrauch Strom'!D59/'Endenergieverbrauch Strom'!$J59</f>
        <v>0.02</v>
      </c>
      <c r="E59" s="58">
        <f>'Endenergieverbrauch Strom'!E59/'Endenergieverbrauch Strom'!$J59</f>
        <v>8.5000000000000006E-2</v>
      </c>
      <c r="F59" s="58">
        <f t="shared" si="0"/>
        <v>0.24699999999999989</v>
      </c>
      <c r="G59" s="58">
        <f>'Endenergieverbrauch Strom'!G59/'Endenergieverbrauch Strom'!$J59</f>
        <v>4.8000000000000001E-2</v>
      </c>
      <c r="H59" s="58">
        <f>'Endenergieverbrauch Strom'!H59/'Endenergieverbrauch Strom'!$J59</f>
        <v>3.6999999999999998E-2</v>
      </c>
      <c r="I59" s="58">
        <f>'Endenergieverbrauch Strom'!I59/'Endenergieverbrauch Strom'!$J59</f>
        <v>3.9E-2</v>
      </c>
      <c r="L59" s="58"/>
      <c r="M59" s="58"/>
    </row>
    <row r="60" spans="1:13" x14ac:dyDescent="0.3">
      <c r="A60" s="10">
        <v>56</v>
      </c>
      <c r="B60" s="58">
        <f>'Endenergieverbrauch Strom'!B60/'Endenergieverbrauch Strom'!$J60</f>
        <v>0.36</v>
      </c>
      <c r="C60" s="58">
        <f>'Endenergieverbrauch Strom'!C60/'Endenergieverbrauch Strom'!$J60</f>
        <v>0.16400000000000001</v>
      </c>
      <c r="D60" s="58">
        <f>'Endenergieverbrauch Strom'!D60/'Endenergieverbrauch Strom'!$J60</f>
        <v>0.02</v>
      </c>
      <c r="E60" s="58">
        <f>'Endenergieverbrauch Strom'!E60/'Endenergieverbrauch Strom'!$J60</f>
        <v>8.5000000000000006E-2</v>
      </c>
      <c r="F60" s="58">
        <f t="shared" si="0"/>
        <v>0.24699999999999989</v>
      </c>
      <c r="G60" s="58">
        <f>'Endenergieverbrauch Strom'!G60/'Endenergieverbrauch Strom'!$J60</f>
        <v>4.8000000000000001E-2</v>
      </c>
      <c r="H60" s="58">
        <f>'Endenergieverbrauch Strom'!H60/'Endenergieverbrauch Strom'!$J60</f>
        <v>3.6999999999999998E-2</v>
      </c>
      <c r="I60" s="58">
        <f>'Endenergieverbrauch Strom'!I60/'Endenergieverbrauch Strom'!$J60</f>
        <v>3.8999999999999993E-2</v>
      </c>
      <c r="L60" s="58"/>
      <c r="M60" s="58"/>
    </row>
    <row r="61" spans="1:13" x14ac:dyDescent="0.3">
      <c r="A61" s="17" t="s">
        <v>105</v>
      </c>
      <c r="B61" s="58"/>
      <c r="C61" s="58"/>
      <c r="D61" s="58"/>
      <c r="E61" s="58"/>
      <c r="F61" s="58"/>
      <c r="G61" s="58"/>
      <c r="H61" s="58"/>
      <c r="I61" s="58"/>
      <c r="L61" s="58"/>
      <c r="M61" s="58"/>
    </row>
    <row r="62" spans="1:13" x14ac:dyDescent="0.3">
      <c r="A62" s="10">
        <v>58</v>
      </c>
      <c r="B62" s="58">
        <f>'Endenergieverbrauch Strom'!B62/'Endenergieverbrauch Strom'!$J62</f>
        <v>0.36000000000000004</v>
      </c>
      <c r="C62" s="58">
        <f>'Endenergieverbrauch Strom'!C62/'Endenergieverbrauch Strom'!$J62</f>
        <v>0.16400000000000001</v>
      </c>
      <c r="D62" s="58">
        <f>'Endenergieverbrauch Strom'!D62/'Endenergieverbrauch Strom'!$J62</f>
        <v>0.02</v>
      </c>
      <c r="E62" s="58">
        <f>'Endenergieverbrauch Strom'!E62/'Endenergieverbrauch Strom'!$J62</f>
        <v>8.5000000000000006E-2</v>
      </c>
      <c r="F62" s="58">
        <f t="shared" si="0"/>
        <v>0.24699999999999989</v>
      </c>
      <c r="G62" s="58">
        <f>'Endenergieverbrauch Strom'!G62/'Endenergieverbrauch Strom'!$J62</f>
        <v>4.8000000000000001E-2</v>
      </c>
      <c r="H62" s="58">
        <f>'Endenergieverbrauch Strom'!H62/'Endenergieverbrauch Strom'!$J62</f>
        <v>3.6999999999999998E-2</v>
      </c>
      <c r="I62" s="58">
        <f>'Endenergieverbrauch Strom'!I62/'Endenergieverbrauch Strom'!$J62</f>
        <v>3.9E-2</v>
      </c>
      <c r="L62" s="58"/>
      <c r="M62" s="58"/>
    </row>
    <row r="63" spans="1:13" x14ac:dyDescent="0.3">
      <c r="A63" s="10">
        <v>59</v>
      </c>
      <c r="B63" s="58">
        <f>'Endenergieverbrauch Strom'!B63/'Endenergieverbrauch Strom'!$J63</f>
        <v>0.36</v>
      </c>
      <c r="C63" s="58">
        <f>'Endenergieverbrauch Strom'!C63/'Endenergieverbrauch Strom'!$J63</f>
        <v>0.16400000000000001</v>
      </c>
      <c r="D63" s="58">
        <f>'Endenergieverbrauch Strom'!D63/'Endenergieverbrauch Strom'!$J63</f>
        <v>0.02</v>
      </c>
      <c r="E63" s="58">
        <f>'Endenergieverbrauch Strom'!E63/'Endenergieverbrauch Strom'!$J63</f>
        <v>8.5000000000000006E-2</v>
      </c>
      <c r="F63" s="58">
        <f t="shared" si="0"/>
        <v>0.24699999999999989</v>
      </c>
      <c r="G63" s="58">
        <f>'Endenergieverbrauch Strom'!G63/'Endenergieverbrauch Strom'!$J63</f>
        <v>4.8000000000000001E-2</v>
      </c>
      <c r="H63" s="58">
        <f>'Endenergieverbrauch Strom'!H63/'Endenergieverbrauch Strom'!$J63</f>
        <v>3.6999999999999998E-2</v>
      </c>
      <c r="I63" s="58">
        <f>'Endenergieverbrauch Strom'!I63/'Endenergieverbrauch Strom'!$J63</f>
        <v>3.9E-2</v>
      </c>
      <c r="L63" s="58"/>
      <c r="M63" s="58"/>
    </row>
    <row r="64" spans="1:13" x14ac:dyDescent="0.3">
      <c r="A64" s="10">
        <v>60</v>
      </c>
      <c r="B64" s="58">
        <f>'Endenergieverbrauch Strom'!B64/'Endenergieverbrauch Strom'!$J64</f>
        <v>0.36</v>
      </c>
      <c r="C64" s="58">
        <f>'Endenergieverbrauch Strom'!C64/'Endenergieverbrauch Strom'!$J64</f>
        <v>0.16400000000000001</v>
      </c>
      <c r="D64" s="58">
        <f>'Endenergieverbrauch Strom'!D64/'Endenergieverbrauch Strom'!$J64</f>
        <v>0.02</v>
      </c>
      <c r="E64" s="58">
        <f>'Endenergieverbrauch Strom'!E64/'Endenergieverbrauch Strom'!$J64</f>
        <v>8.5000000000000006E-2</v>
      </c>
      <c r="F64" s="58">
        <f t="shared" si="0"/>
        <v>0.24699999999999989</v>
      </c>
      <c r="G64" s="58">
        <f>'Endenergieverbrauch Strom'!G64/'Endenergieverbrauch Strom'!$J64</f>
        <v>4.7999999999999994E-2</v>
      </c>
      <c r="H64" s="58">
        <f>'Endenergieverbrauch Strom'!H64/'Endenergieverbrauch Strom'!$J64</f>
        <v>3.6999999999999998E-2</v>
      </c>
      <c r="I64" s="58">
        <f>'Endenergieverbrauch Strom'!I64/'Endenergieverbrauch Strom'!$J64</f>
        <v>3.9E-2</v>
      </c>
      <c r="L64" s="58"/>
      <c r="M64" s="58"/>
    </row>
    <row r="65" spans="1:13" x14ac:dyDescent="0.3">
      <c r="A65" s="10">
        <v>61</v>
      </c>
      <c r="B65" s="58">
        <f>'Endenergieverbrauch Strom'!B65/'Endenergieverbrauch Strom'!$J65</f>
        <v>0.36</v>
      </c>
      <c r="C65" s="58">
        <f>'Endenergieverbrauch Strom'!C65/'Endenergieverbrauch Strom'!$J65</f>
        <v>0.16400000000000001</v>
      </c>
      <c r="D65" s="58">
        <f>'Endenergieverbrauch Strom'!D65/'Endenergieverbrauch Strom'!$J65</f>
        <v>0.02</v>
      </c>
      <c r="E65" s="58">
        <f>'Endenergieverbrauch Strom'!E65/'Endenergieverbrauch Strom'!$J65</f>
        <v>8.5000000000000006E-2</v>
      </c>
      <c r="F65" s="58">
        <f t="shared" si="0"/>
        <v>0.24699999999999989</v>
      </c>
      <c r="G65" s="58">
        <f>'Endenergieverbrauch Strom'!G65/'Endenergieverbrauch Strom'!$J65</f>
        <v>4.8000000000000001E-2</v>
      </c>
      <c r="H65" s="58">
        <f>'Endenergieverbrauch Strom'!H65/'Endenergieverbrauch Strom'!$J65</f>
        <v>3.6999999999999998E-2</v>
      </c>
      <c r="I65" s="58">
        <f>'Endenergieverbrauch Strom'!I65/'Endenergieverbrauch Strom'!$J65</f>
        <v>3.9E-2</v>
      </c>
      <c r="L65" s="58"/>
      <c r="M65" s="58"/>
    </row>
    <row r="66" spans="1:13" x14ac:dyDescent="0.3">
      <c r="A66" s="10">
        <v>62</v>
      </c>
      <c r="B66" s="58">
        <f>'Endenergieverbrauch Strom'!B66/'Endenergieverbrauch Strom'!$J66</f>
        <v>0.36</v>
      </c>
      <c r="C66" s="58">
        <f>'Endenergieverbrauch Strom'!C66/'Endenergieverbrauch Strom'!$J66</f>
        <v>0.16400000000000001</v>
      </c>
      <c r="D66" s="58">
        <f>'Endenergieverbrauch Strom'!D66/'Endenergieverbrauch Strom'!$J66</f>
        <v>0.02</v>
      </c>
      <c r="E66" s="58">
        <f>'Endenergieverbrauch Strom'!E66/'Endenergieverbrauch Strom'!$J66</f>
        <v>8.5000000000000006E-2</v>
      </c>
      <c r="F66" s="58">
        <f t="shared" si="0"/>
        <v>0.24699999999999989</v>
      </c>
      <c r="G66" s="58">
        <f>'Endenergieverbrauch Strom'!G66/'Endenergieverbrauch Strom'!$J66</f>
        <v>4.8000000000000001E-2</v>
      </c>
      <c r="H66" s="58">
        <f>'Endenergieverbrauch Strom'!H66/'Endenergieverbrauch Strom'!$J66</f>
        <v>3.6999999999999998E-2</v>
      </c>
      <c r="I66" s="58">
        <f>'Endenergieverbrauch Strom'!I66/'Endenergieverbrauch Strom'!$J66</f>
        <v>3.9E-2</v>
      </c>
      <c r="L66" s="58"/>
      <c r="M66" s="58"/>
    </row>
    <row r="67" spans="1:13" x14ac:dyDescent="0.3">
      <c r="A67" s="10">
        <v>63</v>
      </c>
      <c r="B67" s="58">
        <f>'Endenergieverbrauch Strom'!B67/'Endenergieverbrauch Strom'!$J67</f>
        <v>0.36</v>
      </c>
      <c r="C67" s="58">
        <f>'Endenergieverbrauch Strom'!C67/'Endenergieverbrauch Strom'!$J67</f>
        <v>0.16400000000000001</v>
      </c>
      <c r="D67" s="58">
        <f>'Endenergieverbrauch Strom'!D67/'Endenergieverbrauch Strom'!$J67</f>
        <v>0.02</v>
      </c>
      <c r="E67" s="58">
        <f>'Endenergieverbrauch Strom'!E67/'Endenergieverbrauch Strom'!$J67</f>
        <v>8.5000000000000006E-2</v>
      </c>
      <c r="F67" s="58">
        <f t="shared" si="0"/>
        <v>0.24699999999999989</v>
      </c>
      <c r="G67" s="58">
        <f>'Endenergieverbrauch Strom'!G67/'Endenergieverbrauch Strom'!$J67</f>
        <v>4.8000000000000001E-2</v>
      </c>
      <c r="H67" s="58">
        <f>'Endenergieverbrauch Strom'!H67/'Endenergieverbrauch Strom'!$J67</f>
        <v>3.6999999999999998E-2</v>
      </c>
      <c r="I67" s="58">
        <f>'Endenergieverbrauch Strom'!I67/'Endenergieverbrauch Strom'!$J67</f>
        <v>3.9E-2</v>
      </c>
      <c r="L67" s="58"/>
      <c r="M67" s="58"/>
    </row>
    <row r="68" spans="1:13" x14ac:dyDescent="0.3">
      <c r="A68" s="17" t="s">
        <v>106</v>
      </c>
      <c r="B68" s="58"/>
      <c r="C68" s="58"/>
      <c r="D68" s="58"/>
      <c r="E68" s="58"/>
      <c r="F68" s="58"/>
      <c r="G68" s="58"/>
      <c r="H68" s="58"/>
      <c r="I68" s="58"/>
      <c r="L68" s="58"/>
      <c r="M68" s="58"/>
    </row>
    <row r="69" spans="1:13" x14ac:dyDescent="0.3">
      <c r="A69" s="10">
        <v>64</v>
      </c>
      <c r="B69" s="58">
        <f>'Endenergieverbrauch Strom'!B69/'Endenergieverbrauch Strom'!$J69</f>
        <v>0.36</v>
      </c>
      <c r="C69" s="58">
        <f>'Endenergieverbrauch Strom'!C69/'Endenergieverbrauch Strom'!$J69</f>
        <v>0.16400000000000001</v>
      </c>
      <c r="D69" s="58">
        <f>'Endenergieverbrauch Strom'!D69/'Endenergieverbrauch Strom'!$J69</f>
        <v>0.02</v>
      </c>
      <c r="E69" s="58">
        <f>'Endenergieverbrauch Strom'!E69/'Endenergieverbrauch Strom'!$J69</f>
        <v>8.5000000000000006E-2</v>
      </c>
      <c r="F69" s="58">
        <f t="shared" ref="F69:F110" si="1">1 - SUM(B69,C69,D69,E69,G69,H69,I69)</f>
        <v>0.24699999999999989</v>
      </c>
      <c r="G69" s="58">
        <f>'Endenergieverbrauch Strom'!G69/'Endenergieverbrauch Strom'!$J69</f>
        <v>4.8000000000000008E-2</v>
      </c>
      <c r="H69" s="58">
        <f>'Endenergieverbrauch Strom'!H69/'Endenergieverbrauch Strom'!$J69</f>
        <v>3.6999999999999998E-2</v>
      </c>
      <c r="I69" s="58">
        <f>'Endenergieverbrauch Strom'!I69/'Endenergieverbrauch Strom'!$J69</f>
        <v>3.9E-2</v>
      </c>
      <c r="L69" s="58"/>
      <c r="M69" s="58"/>
    </row>
    <row r="70" spans="1:13" x14ac:dyDescent="0.3">
      <c r="A70" s="10">
        <v>65</v>
      </c>
      <c r="B70" s="58">
        <f>'Endenergieverbrauch Strom'!B70/'Endenergieverbrauch Strom'!$J70</f>
        <v>0.36000000000000004</v>
      </c>
      <c r="C70" s="58">
        <f>'Endenergieverbrauch Strom'!C70/'Endenergieverbrauch Strom'!$J70</f>
        <v>0.16400000000000001</v>
      </c>
      <c r="D70" s="58">
        <f>'Endenergieverbrauch Strom'!D70/'Endenergieverbrauch Strom'!$J70</f>
        <v>0.02</v>
      </c>
      <c r="E70" s="58">
        <f>'Endenergieverbrauch Strom'!E70/'Endenergieverbrauch Strom'!$J70</f>
        <v>8.5000000000000006E-2</v>
      </c>
      <c r="F70" s="58">
        <f t="shared" si="1"/>
        <v>0.24699999999999989</v>
      </c>
      <c r="G70" s="58">
        <f>'Endenergieverbrauch Strom'!G70/'Endenergieverbrauch Strom'!$J70</f>
        <v>4.7999999999999994E-2</v>
      </c>
      <c r="H70" s="58">
        <f>'Endenergieverbrauch Strom'!H70/'Endenergieverbrauch Strom'!$J70</f>
        <v>3.6999999999999998E-2</v>
      </c>
      <c r="I70" s="58">
        <f>'Endenergieverbrauch Strom'!I70/'Endenergieverbrauch Strom'!$J70</f>
        <v>3.9E-2</v>
      </c>
      <c r="L70" s="58"/>
      <c r="M70" s="58"/>
    </row>
    <row r="71" spans="1:13" x14ac:dyDescent="0.3">
      <c r="A71" s="10">
        <v>66</v>
      </c>
      <c r="B71" s="58">
        <f>'Endenergieverbrauch Strom'!B71/'Endenergieverbrauch Strom'!$J71</f>
        <v>0.36000000000000004</v>
      </c>
      <c r="C71" s="58">
        <f>'Endenergieverbrauch Strom'!C71/'Endenergieverbrauch Strom'!$J71</f>
        <v>0.16400000000000001</v>
      </c>
      <c r="D71" s="58">
        <f>'Endenergieverbrauch Strom'!D71/'Endenergieverbrauch Strom'!$J71</f>
        <v>0.02</v>
      </c>
      <c r="E71" s="58">
        <f>'Endenergieverbrauch Strom'!E71/'Endenergieverbrauch Strom'!$J71</f>
        <v>8.5000000000000006E-2</v>
      </c>
      <c r="F71" s="58">
        <f t="shared" si="1"/>
        <v>0.24699999999999989</v>
      </c>
      <c r="G71" s="58">
        <f>'Endenergieverbrauch Strom'!G71/'Endenergieverbrauch Strom'!$J71</f>
        <v>4.8000000000000001E-2</v>
      </c>
      <c r="H71" s="58">
        <f>'Endenergieverbrauch Strom'!H71/'Endenergieverbrauch Strom'!$J71</f>
        <v>3.6999999999999998E-2</v>
      </c>
      <c r="I71" s="58">
        <f>'Endenergieverbrauch Strom'!I71/'Endenergieverbrauch Strom'!$J71</f>
        <v>3.9E-2</v>
      </c>
      <c r="L71" s="58"/>
      <c r="M71" s="58"/>
    </row>
    <row r="72" spans="1:13" x14ac:dyDescent="0.3">
      <c r="A72" s="17" t="s">
        <v>107</v>
      </c>
      <c r="B72" s="58"/>
      <c r="C72" s="58"/>
      <c r="D72" s="58"/>
      <c r="E72" s="58"/>
      <c r="F72" s="58"/>
      <c r="G72" s="58"/>
      <c r="H72" s="58"/>
      <c r="I72" s="58"/>
      <c r="L72" s="58"/>
      <c r="M72" s="58"/>
    </row>
    <row r="73" spans="1:13" x14ac:dyDescent="0.3">
      <c r="A73" s="10">
        <v>68</v>
      </c>
      <c r="B73" s="58">
        <f>'Endenergieverbrauch Strom'!B73/'Endenergieverbrauch Strom'!$J73</f>
        <v>0.36</v>
      </c>
      <c r="C73" s="58">
        <f>'Endenergieverbrauch Strom'!C73/'Endenergieverbrauch Strom'!$J73</f>
        <v>0.16399999999999998</v>
      </c>
      <c r="D73" s="58">
        <f>'Endenergieverbrauch Strom'!D73/'Endenergieverbrauch Strom'!$J73</f>
        <v>0.02</v>
      </c>
      <c r="E73" s="58">
        <f>'Endenergieverbrauch Strom'!E73/'Endenergieverbrauch Strom'!$J73</f>
        <v>8.500000000000002E-2</v>
      </c>
      <c r="F73" s="58">
        <f t="shared" si="1"/>
        <v>0.24699999999999989</v>
      </c>
      <c r="G73" s="58">
        <f>'Endenergieverbrauch Strom'!G73/'Endenergieverbrauch Strom'!$J73</f>
        <v>4.8000000000000001E-2</v>
      </c>
      <c r="H73" s="58">
        <f>'Endenergieverbrauch Strom'!H73/'Endenergieverbrauch Strom'!$J73</f>
        <v>3.6999999999999998E-2</v>
      </c>
      <c r="I73" s="58">
        <f>'Endenergieverbrauch Strom'!I73/'Endenergieverbrauch Strom'!$J73</f>
        <v>3.9E-2</v>
      </c>
      <c r="L73" s="58"/>
      <c r="M73" s="58"/>
    </row>
    <row r="74" spans="1:13" x14ac:dyDescent="0.3">
      <c r="A74" s="17" t="s">
        <v>108</v>
      </c>
      <c r="B74" s="58"/>
      <c r="C74" s="58"/>
      <c r="D74" s="58"/>
      <c r="E74" s="58"/>
      <c r="F74" s="58"/>
      <c r="G74" s="58"/>
      <c r="H74" s="58"/>
      <c r="I74" s="58"/>
      <c r="L74" s="58"/>
      <c r="M74" s="58"/>
    </row>
    <row r="75" spans="1:13" x14ac:dyDescent="0.3">
      <c r="A75" s="10">
        <v>69</v>
      </c>
      <c r="B75" s="58">
        <f>'Endenergieverbrauch Strom'!B75/'Endenergieverbrauch Strom'!$J75</f>
        <v>0.36</v>
      </c>
      <c r="C75" s="58">
        <f>'Endenergieverbrauch Strom'!C75/'Endenergieverbrauch Strom'!$J75</f>
        <v>0.16400000000000001</v>
      </c>
      <c r="D75" s="58">
        <f>'Endenergieverbrauch Strom'!D75/'Endenergieverbrauch Strom'!$J75</f>
        <v>0.02</v>
      </c>
      <c r="E75" s="58">
        <f>'Endenergieverbrauch Strom'!E75/'Endenergieverbrauch Strom'!$J75</f>
        <v>8.5000000000000006E-2</v>
      </c>
      <c r="F75" s="58">
        <f t="shared" si="1"/>
        <v>0.24699999999999989</v>
      </c>
      <c r="G75" s="58">
        <f>'Endenergieverbrauch Strom'!G75/'Endenergieverbrauch Strom'!$J75</f>
        <v>4.8000000000000001E-2</v>
      </c>
      <c r="H75" s="58">
        <f>'Endenergieverbrauch Strom'!H75/'Endenergieverbrauch Strom'!$J75</f>
        <v>3.6999999999999998E-2</v>
      </c>
      <c r="I75" s="58">
        <f>'Endenergieverbrauch Strom'!I75/'Endenergieverbrauch Strom'!$J75</f>
        <v>3.9E-2</v>
      </c>
      <c r="L75" s="58"/>
      <c r="M75" s="58"/>
    </row>
    <row r="76" spans="1:13" x14ac:dyDescent="0.3">
      <c r="A76" s="10">
        <v>70</v>
      </c>
      <c r="B76" s="58">
        <f>'Endenergieverbrauch Strom'!B76/'Endenergieverbrauch Strom'!$J76</f>
        <v>0.36</v>
      </c>
      <c r="C76" s="58">
        <f>'Endenergieverbrauch Strom'!C76/'Endenergieverbrauch Strom'!$J76</f>
        <v>0.16400000000000001</v>
      </c>
      <c r="D76" s="58">
        <f>'Endenergieverbrauch Strom'!D76/'Endenergieverbrauch Strom'!$J76</f>
        <v>0.02</v>
      </c>
      <c r="E76" s="58">
        <f>'Endenergieverbrauch Strom'!E76/'Endenergieverbrauch Strom'!$J76</f>
        <v>8.5000000000000006E-2</v>
      </c>
      <c r="F76" s="58">
        <f t="shared" si="1"/>
        <v>0.24699999999999989</v>
      </c>
      <c r="G76" s="58">
        <f>'Endenergieverbrauch Strom'!G76/'Endenergieverbrauch Strom'!$J76</f>
        <v>4.8000000000000001E-2</v>
      </c>
      <c r="H76" s="58">
        <f>'Endenergieverbrauch Strom'!H76/'Endenergieverbrauch Strom'!$J76</f>
        <v>3.6999999999999998E-2</v>
      </c>
      <c r="I76" s="58">
        <f>'Endenergieverbrauch Strom'!I76/'Endenergieverbrauch Strom'!$J76</f>
        <v>3.9E-2</v>
      </c>
      <c r="L76" s="58"/>
      <c r="M76" s="58"/>
    </row>
    <row r="77" spans="1:13" x14ac:dyDescent="0.3">
      <c r="A77" s="10">
        <v>71</v>
      </c>
      <c r="B77" s="58">
        <f>'Endenergieverbrauch Strom'!B77/'Endenergieverbrauch Strom'!$J77</f>
        <v>0.36</v>
      </c>
      <c r="C77" s="58">
        <f>'Endenergieverbrauch Strom'!C77/'Endenergieverbrauch Strom'!$J77</f>
        <v>0.16400000000000001</v>
      </c>
      <c r="D77" s="58">
        <f>'Endenergieverbrauch Strom'!D77/'Endenergieverbrauch Strom'!$J77</f>
        <v>0.02</v>
      </c>
      <c r="E77" s="58">
        <f>'Endenergieverbrauch Strom'!E77/'Endenergieverbrauch Strom'!$J77</f>
        <v>8.5000000000000006E-2</v>
      </c>
      <c r="F77" s="58">
        <f t="shared" si="1"/>
        <v>0.24699999999999989</v>
      </c>
      <c r="G77" s="58">
        <f>'Endenergieverbrauch Strom'!G77/'Endenergieverbrauch Strom'!$J77</f>
        <v>4.8000000000000001E-2</v>
      </c>
      <c r="H77" s="58">
        <f>'Endenergieverbrauch Strom'!H77/'Endenergieverbrauch Strom'!$J77</f>
        <v>3.7000000000000005E-2</v>
      </c>
      <c r="I77" s="58">
        <f>'Endenergieverbrauch Strom'!I77/'Endenergieverbrauch Strom'!$J77</f>
        <v>3.9000000000000007E-2</v>
      </c>
      <c r="L77" s="58"/>
      <c r="M77" s="58"/>
    </row>
    <row r="78" spans="1:13" x14ac:dyDescent="0.3">
      <c r="A78" s="10">
        <v>72</v>
      </c>
      <c r="B78" s="58">
        <f>'Endenergieverbrauch Strom'!B78/'Endenergieverbrauch Strom'!$J78</f>
        <v>0.36</v>
      </c>
      <c r="C78" s="58">
        <f>'Endenergieverbrauch Strom'!C78/'Endenergieverbrauch Strom'!$J78</f>
        <v>0.16400000000000001</v>
      </c>
      <c r="D78" s="58">
        <f>'Endenergieverbrauch Strom'!D78/'Endenergieverbrauch Strom'!$J78</f>
        <v>0.02</v>
      </c>
      <c r="E78" s="58">
        <f>'Endenergieverbrauch Strom'!E78/'Endenergieverbrauch Strom'!$J78</f>
        <v>8.5000000000000006E-2</v>
      </c>
      <c r="F78" s="58">
        <f t="shared" si="1"/>
        <v>0.24699999999999989</v>
      </c>
      <c r="G78" s="58">
        <f>'Endenergieverbrauch Strom'!G78/'Endenergieverbrauch Strom'!$J78</f>
        <v>4.8000000000000001E-2</v>
      </c>
      <c r="H78" s="58">
        <f>'Endenergieverbrauch Strom'!H78/'Endenergieverbrauch Strom'!$J78</f>
        <v>3.6999999999999998E-2</v>
      </c>
      <c r="I78" s="58">
        <f>'Endenergieverbrauch Strom'!I78/'Endenergieverbrauch Strom'!$J78</f>
        <v>3.9E-2</v>
      </c>
      <c r="L78" s="58"/>
      <c r="M78" s="58"/>
    </row>
    <row r="79" spans="1:13" x14ac:dyDescent="0.3">
      <c r="A79" s="10">
        <v>73</v>
      </c>
      <c r="B79" s="58">
        <f>'Endenergieverbrauch Strom'!B79/'Endenergieverbrauch Strom'!$J79</f>
        <v>0.36</v>
      </c>
      <c r="C79" s="58">
        <f>'Endenergieverbrauch Strom'!C79/'Endenergieverbrauch Strom'!$J79</f>
        <v>0.16400000000000001</v>
      </c>
      <c r="D79" s="58">
        <f>'Endenergieverbrauch Strom'!D79/'Endenergieverbrauch Strom'!$J79</f>
        <v>0.02</v>
      </c>
      <c r="E79" s="58">
        <f>'Endenergieverbrauch Strom'!E79/'Endenergieverbrauch Strom'!$J79</f>
        <v>8.500000000000002E-2</v>
      </c>
      <c r="F79" s="58">
        <f t="shared" si="1"/>
        <v>0.24699999999999989</v>
      </c>
      <c r="G79" s="58">
        <f>'Endenergieverbrauch Strom'!G79/'Endenergieverbrauch Strom'!$J79</f>
        <v>4.7999999999999994E-2</v>
      </c>
      <c r="H79" s="58">
        <f>'Endenergieverbrauch Strom'!H79/'Endenergieverbrauch Strom'!$J79</f>
        <v>3.6999999999999998E-2</v>
      </c>
      <c r="I79" s="58">
        <f>'Endenergieverbrauch Strom'!I79/'Endenergieverbrauch Strom'!$J79</f>
        <v>3.9E-2</v>
      </c>
      <c r="L79" s="58"/>
      <c r="M79" s="58"/>
    </row>
    <row r="80" spans="1:13" x14ac:dyDescent="0.3">
      <c r="A80" s="10">
        <v>74</v>
      </c>
      <c r="B80" s="58">
        <f>'Endenergieverbrauch Strom'!B80/'Endenergieverbrauch Strom'!$J80</f>
        <v>0.35999999999999993</v>
      </c>
      <c r="C80" s="58">
        <f>'Endenergieverbrauch Strom'!C80/'Endenergieverbrauch Strom'!$J80</f>
        <v>0.16400000000000001</v>
      </c>
      <c r="D80" s="58">
        <f>'Endenergieverbrauch Strom'!D80/'Endenergieverbrauch Strom'!$J80</f>
        <v>0.02</v>
      </c>
      <c r="E80" s="58">
        <f>'Endenergieverbrauch Strom'!E80/'Endenergieverbrauch Strom'!$J80</f>
        <v>8.5000000000000006E-2</v>
      </c>
      <c r="F80" s="58">
        <f t="shared" si="1"/>
        <v>0.247</v>
      </c>
      <c r="G80" s="58">
        <f>'Endenergieverbrauch Strom'!G80/'Endenergieverbrauch Strom'!$J80</f>
        <v>4.8000000000000008E-2</v>
      </c>
      <c r="H80" s="58">
        <f>'Endenergieverbrauch Strom'!H80/'Endenergieverbrauch Strom'!$J80</f>
        <v>3.6999999999999998E-2</v>
      </c>
      <c r="I80" s="58">
        <f>'Endenergieverbrauch Strom'!I80/'Endenergieverbrauch Strom'!$J80</f>
        <v>3.9E-2</v>
      </c>
      <c r="L80" s="58"/>
      <c r="M80" s="58"/>
    </row>
    <row r="81" spans="1:13" x14ac:dyDescent="0.3">
      <c r="A81" s="10">
        <v>75</v>
      </c>
      <c r="B81" s="58">
        <f>'Endenergieverbrauch Strom'!B81/'Endenergieverbrauch Strom'!$J81</f>
        <v>0.36</v>
      </c>
      <c r="C81" s="58">
        <f>'Endenergieverbrauch Strom'!C81/'Endenergieverbrauch Strom'!$J81</f>
        <v>0.16400000000000001</v>
      </c>
      <c r="D81" s="58">
        <f>'Endenergieverbrauch Strom'!D81/'Endenergieverbrauch Strom'!$J81</f>
        <v>0.02</v>
      </c>
      <c r="E81" s="58">
        <f>'Endenergieverbrauch Strom'!E81/'Endenergieverbrauch Strom'!$J81</f>
        <v>8.5000000000000006E-2</v>
      </c>
      <c r="F81" s="58">
        <f t="shared" si="1"/>
        <v>0.24699999999999989</v>
      </c>
      <c r="G81" s="58">
        <f>'Endenergieverbrauch Strom'!G81/'Endenergieverbrauch Strom'!$J81</f>
        <v>4.8000000000000001E-2</v>
      </c>
      <c r="H81" s="58">
        <f>'Endenergieverbrauch Strom'!H81/'Endenergieverbrauch Strom'!$J81</f>
        <v>3.6999999999999998E-2</v>
      </c>
      <c r="I81" s="58">
        <f>'Endenergieverbrauch Strom'!I81/'Endenergieverbrauch Strom'!$J81</f>
        <v>3.9E-2</v>
      </c>
      <c r="L81" s="58"/>
      <c r="M81" s="58"/>
    </row>
    <row r="82" spans="1:13" x14ac:dyDescent="0.3">
      <c r="A82" s="17" t="s">
        <v>109</v>
      </c>
      <c r="B82" s="58"/>
      <c r="C82" s="58"/>
      <c r="D82" s="58"/>
      <c r="E82" s="58"/>
      <c r="F82" s="58"/>
      <c r="G82" s="58"/>
      <c r="H82" s="58"/>
      <c r="I82" s="58"/>
      <c r="L82" s="58"/>
      <c r="M82" s="58"/>
    </row>
    <row r="83" spans="1:13" x14ac:dyDescent="0.3">
      <c r="A83" s="10">
        <v>77</v>
      </c>
      <c r="B83" s="58">
        <f>'Endenergieverbrauch Strom'!B83/'Endenergieverbrauch Strom'!$J83</f>
        <v>0.36</v>
      </c>
      <c r="C83" s="58">
        <f>'Endenergieverbrauch Strom'!C83/'Endenergieverbrauch Strom'!$J83</f>
        <v>0.16400000000000001</v>
      </c>
      <c r="D83" s="58">
        <f>'Endenergieverbrauch Strom'!D83/'Endenergieverbrauch Strom'!$J83</f>
        <v>0.02</v>
      </c>
      <c r="E83" s="58">
        <f>'Endenergieverbrauch Strom'!E83/'Endenergieverbrauch Strom'!$J83</f>
        <v>8.5000000000000006E-2</v>
      </c>
      <c r="F83" s="58">
        <f t="shared" si="1"/>
        <v>0.24699999999999989</v>
      </c>
      <c r="G83" s="58">
        <f>'Endenergieverbrauch Strom'!G83/'Endenergieverbrauch Strom'!$J83</f>
        <v>4.8000000000000001E-2</v>
      </c>
      <c r="H83" s="58">
        <f>'Endenergieverbrauch Strom'!H83/'Endenergieverbrauch Strom'!$J83</f>
        <v>3.6999999999999998E-2</v>
      </c>
      <c r="I83" s="58">
        <f>'Endenergieverbrauch Strom'!I83/'Endenergieverbrauch Strom'!$J83</f>
        <v>3.9E-2</v>
      </c>
      <c r="L83" s="58"/>
      <c r="M83" s="58"/>
    </row>
    <row r="84" spans="1:13" x14ac:dyDescent="0.3">
      <c r="A84" s="10">
        <v>78</v>
      </c>
      <c r="B84" s="58">
        <f>'Endenergieverbrauch Strom'!B84/'Endenergieverbrauch Strom'!$J84</f>
        <v>0.36</v>
      </c>
      <c r="C84" s="58">
        <f>'Endenergieverbrauch Strom'!C84/'Endenergieverbrauch Strom'!$J84</f>
        <v>0.16400000000000001</v>
      </c>
      <c r="D84" s="58">
        <f>'Endenergieverbrauch Strom'!D84/'Endenergieverbrauch Strom'!$J84</f>
        <v>0.02</v>
      </c>
      <c r="E84" s="58">
        <f>'Endenergieverbrauch Strom'!E84/'Endenergieverbrauch Strom'!$J84</f>
        <v>8.5000000000000006E-2</v>
      </c>
      <c r="F84" s="58">
        <f t="shared" si="1"/>
        <v>0.24699999999999989</v>
      </c>
      <c r="G84" s="58">
        <f>'Endenergieverbrauch Strom'!G84/'Endenergieverbrauch Strom'!$J84</f>
        <v>4.7999999999999994E-2</v>
      </c>
      <c r="H84" s="58">
        <f>'Endenergieverbrauch Strom'!H84/'Endenergieverbrauch Strom'!$J84</f>
        <v>3.6999999999999998E-2</v>
      </c>
      <c r="I84" s="58">
        <f>'Endenergieverbrauch Strom'!I84/'Endenergieverbrauch Strom'!$J84</f>
        <v>3.9E-2</v>
      </c>
      <c r="L84" s="58"/>
      <c r="M84" s="58"/>
    </row>
    <row r="85" spans="1:13" x14ac:dyDescent="0.3">
      <c r="A85" s="10">
        <v>79</v>
      </c>
      <c r="B85" s="58">
        <f>'Endenergieverbrauch Strom'!B85/'Endenergieverbrauch Strom'!$J85</f>
        <v>0.36</v>
      </c>
      <c r="C85" s="58">
        <f>'Endenergieverbrauch Strom'!C85/'Endenergieverbrauch Strom'!$J85</f>
        <v>0.16400000000000001</v>
      </c>
      <c r="D85" s="58">
        <f>'Endenergieverbrauch Strom'!D85/'Endenergieverbrauch Strom'!$J85</f>
        <v>0.02</v>
      </c>
      <c r="E85" s="58">
        <f>'Endenergieverbrauch Strom'!E85/'Endenergieverbrauch Strom'!$J85</f>
        <v>8.5000000000000006E-2</v>
      </c>
      <c r="F85" s="58">
        <f t="shared" si="1"/>
        <v>0.24699999999999989</v>
      </c>
      <c r="G85" s="58">
        <f>'Endenergieverbrauch Strom'!G85/'Endenergieverbrauch Strom'!$J85</f>
        <v>4.8000000000000001E-2</v>
      </c>
      <c r="H85" s="58">
        <f>'Endenergieverbrauch Strom'!H85/'Endenergieverbrauch Strom'!$J85</f>
        <v>3.6999999999999998E-2</v>
      </c>
      <c r="I85" s="58">
        <f>'Endenergieverbrauch Strom'!I85/'Endenergieverbrauch Strom'!$J85</f>
        <v>3.9E-2</v>
      </c>
      <c r="L85" s="58"/>
      <c r="M85" s="58"/>
    </row>
    <row r="86" spans="1:13" x14ac:dyDescent="0.3">
      <c r="A86" s="10">
        <v>80</v>
      </c>
      <c r="B86" s="58">
        <f>'Endenergieverbrauch Strom'!B86/'Endenergieverbrauch Strom'!$J86</f>
        <v>0.36</v>
      </c>
      <c r="C86" s="58">
        <f>'Endenergieverbrauch Strom'!C86/'Endenergieverbrauch Strom'!$J86</f>
        <v>0.16400000000000001</v>
      </c>
      <c r="D86" s="58">
        <f>'Endenergieverbrauch Strom'!D86/'Endenergieverbrauch Strom'!$J86</f>
        <v>0.02</v>
      </c>
      <c r="E86" s="58">
        <f>'Endenergieverbrauch Strom'!E86/'Endenergieverbrauch Strom'!$J86</f>
        <v>8.5000000000000006E-2</v>
      </c>
      <c r="F86" s="58">
        <f t="shared" si="1"/>
        <v>0.24699999999999989</v>
      </c>
      <c r="G86" s="58">
        <f>'Endenergieverbrauch Strom'!G86/'Endenergieverbrauch Strom'!$J86</f>
        <v>4.8000000000000001E-2</v>
      </c>
      <c r="H86" s="58">
        <f>'Endenergieverbrauch Strom'!H86/'Endenergieverbrauch Strom'!$J86</f>
        <v>3.6999999999999998E-2</v>
      </c>
      <c r="I86" s="58">
        <f>'Endenergieverbrauch Strom'!I86/'Endenergieverbrauch Strom'!$J86</f>
        <v>3.9E-2</v>
      </c>
      <c r="L86" s="58"/>
      <c r="M86" s="58"/>
    </row>
    <row r="87" spans="1:13" x14ac:dyDescent="0.3">
      <c r="A87" s="10">
        <v>81</v>
      </c>
      <c r="B87" s="58">
        <f>'Endenergieverbrauch Strom'!B87/'Endenergieverbrauch Strom'!$J87</f>
        <v>0.36</v>
      </c>
      <c r="C87" s="58">
        <f>'Endenergieverbrauch Strom'!C87/'Endenergieverbrauch Strom'!$J87</f>
        <v>0.16400000000000001</v>
      </c>
      <c r="D87" s="58">
        <f>'Endenergieverbrauch Strom'!D87/'Endenergieverbrauch Strom'!$J87</f>
        <v>0.02</v>
      </c>
      <c r="E87" s="58">
        <f>'Endenergieverbrauch Strom'!E87/'Endenergieverbrauch Strom'!$J87</f>
        <v>8.5000000000000006E-2</v>
      </c>
      <c r="F87" s="58">
        <f t="shared" si="1"/>
        <v>0.24699999999999989</v>
      </c>
      <c r="G87" s="58">
        <f>'Endenergieverbrauch Strom'!G87/'Endenergieverbrauch Strom'!$J87</f>
        <v>4.8000000000000001E-2</v>
      </c>
      <c r="H87" s="58">
        <f>'Endenergieverbrauch Strom'!H87/'Endenergieverbrauch Strom'!$J87</f>
        <v>3.6999999999999998E-2</v>
      </c>
      <c r="I87" s="58">
        <f>'Endenergieverbrauch Strom'!I87/'Endenergieverbrauch Strom'!$J87</f>
        <v>3.9E-2</v>
      </c>
      <c r="L87" s="58"/>
      <c r="M87" s="58"/>
    </row>
    <row r="88" spans="1:13" x14ac:dyDescent="0.3">
      <c r="A88" s="10">
        <v>82</v>
      </c>
      <c r="B88" s="58">
        <f>'Endenergieverbrauch Strom'!B88/'Endenergieverbrauch Strom'!$J88</f>
        <v>0.36</v>
      </c>
      <c r="C88" s="58">
        <f>'Endenergieverbrauch Strom'!C88/'Endenergieverbrauch Strom'!$J88</f>
        <v>0.16400000000000001</v>
      </c>
      <c r="D88" s="58">
        <f>'Endenergieverbrauch Strom'!D88/'Endenergieverbrauch Strom'!$J88</f>
        <v>0.02</v>
      </c>
      <c r="E88" s="58">
        <f>'Endenergieverbrauch Strom'!E88/'Endenergieverbrauch Strom'!$J88</f>
        <v>8.5000000000000006E-2</v>
      </c>
      <c r="F88" s="58">
        <f t="shared" si="1"/>
        <v>0.24699999999999989</v>
      </c>
      <c r="G88" s="58">
        <f>'Endenergieverbrauch Strom'!G88/'Endenergieverbrauch Strom'!$J88</f>
        <v>4.8000000000000001E-2</v>
      </c>
      <c r="H88" s="58">
        <f>'Endenergieverbrauch Strom'!H88/'Endenergieverbrauch Strom'!$J88</f>
        <v>3.6999999999999998E-2</v>
      </c>
      <c r="I88" s="58">
        <f>'Endenergieverbrauch Strom'!I88/'Endenergieverbrauch Strom'!$J88</f>
        <v>3.9E-2</v>
      </c>
      <c r="L88" s="58"/>
      <c r="M88" s="58"/>
    </row>
    <row r="89" spans="1:13" x14ac:dyDescent="0.3">
      <c r="A89" s="21" t="s">
        <v>110</v>
      </c>
      <c r="B89" s="58"/>
      <c r="C89" s="58"/>
      <c r="D89" s="58"/>
      <c r="E89" s="58"/>
      <c r="F89" s="58"/>
      <c r="G89" s="58"/>
      <c r="H89" s="58"/>
      <c r="I89" s="58"/>
      <c r="L89" s="58"/>
      <c r="M89" s="58"/>
    </row>
    <row r="90" spans="1:13" x14ac:dyDescent="0.3">
      <c r="A90" s="10">
        <v>84</v>
      </c>
      <c r="B90" s="58">
        <f>'Endenergieverbrauch Strom'!B90/'Endenergieverbrauch Strom'!$J90</f>
        <v>0.35999999999999993</v>
      </c>
      <c r="C90" s="58">
        <f>'Endenergieverbrauch Strom'!C90/'Endenergieverbrauch Strom'!$J90</f>
        <v>0.16400000000000001</v>
      </c>
      <c r="D90" s="58">
        <f>'Endenergieverbrauch Strom'!D90/'Endenergieverbrauch Strom'!$J90</f>
        <v>0.02</v>
      </c>
      <c r="E90" s="58">
        <f>'Endenergieverbrauch Strom'!E90/'Endenergieverbrauch Strom'!$J90</f>
        <v>8.5000000000000006E-2</v>
      </c>
      <c r="F90" s="58">
        <f t="shared" si="1"/>
        <v>0.247</v>
      </c>
      <c r="G90" s="58">
        <f>'Endenergieverbrauch Strom'!G90/'Endenergieverbrauch Strom'!$J90</f>
        <v>4.8000000000000001E-2</v>
      </c>
      <c r="H90" s="58">
        <f>'Endenergieverbrauch Strom'!H90/'Endenergieverbrauch Strom'!$J90</f>
        <v>3.6999999999999998E-2</v>
      </c>
      <c r="I90" s="58">
        <f>'Endenergieverbrauch Strom'!I90/'Endenergieverbrauch Strom'!$J90</f>
        <v>3.8999999999999993E-2</v>
      </c>
      <c r="L90" s="58"/>
      <c r="M90" s="58"/>
    </row>
    <row r="91" spans="1:13" x14ac:dyDescent="0.3">
      <c r="A91" s="17" t="s">
        <v>111</v>
      </c>
      <c r="B91" s="58"/>
      <c r="C91" s="58"/>
      <c r="D91" s="58"/>
      <c r="E91" s="58"/>
      <c r="F91" s="58"/>
      <c r="G91" s="58"/>
      <c r="H91" s="58"/>
      <c r="I91" s="58"/>
      <c r="L91" s="58"/>
      <c r="M91" s="58"/>
    </row>
    <row r="92" spans="1:13" x14ac:dyDescent="0.3">
      <c r="A92" s="10">
        <v>85</v>
      </c>
      <c r="B92" s="58">
        <f>'Endenergieverbrauch Strom'!B92/'Endenergieverbrauch Strom'!$J92</f>
        <v>0.36</v>
      </c>
      <c r="C92" s="58">
        <f>'Endenergieverbrauch Strom'!C92/'Endenergieverbrauch Strom'!$J92</f>
        <v>0.16400000000000001</v>
      </c>
      <c r="D92" s="58">
        <f>'Endenergieverbrauch Strom'!D92/'Endenergieverbrauch Strom'!$J92</f>
        <v>0.02</v>
      </c>
      <c r="E92" s="58">
        <f>'Endenergieverbrauch Strom'!E92/'Endenergieverbrauch Strom'!$J92</f>
        <v>8.5000000000000006E-2</v>
      </c>
      <c r="F92" s="58">
        <f t="shared" si="1"/>
        <v>0.24699999999999989</v>
      </c>
      <c r="G92" s="58">
        <f>'Endenergieverbrauch Strom'!G92/'Endenergieverbrauch Strom'!$J92</f>
        <v>4.8000000000000001E-2</v>
      </c>
      <c r="H92" s="58">
        <f>'Endenergieverbrauch Strom'!H92/'Endenergieverbrauch Strom'!$J92</f>
        <v>3.6999999999999998E-2</v>
      </c>
      <c r="I92" s="58">
        <f>'Endenergieverbrauch Strom'!I92/'Endenergieverbrauch Strom'!$J92</f>
        <v>3.9E-2</v>
      </c>
      <c r="L92" s="58"/>
      <c r="M92" s="58"/>
    </row>
    <row r="93" spans="1:13" x14ac:dyDescent="0.3">
      <c r="A93" s="17" t="s">
        <v>112</v>
      </c>
      <c r="B93" s="58"/>
      <c r="C93" s="58"/>
      <c r="D93" s="58"/>
      <c r="E93" s="58"/>
      <c r="F93" s="58"/>
      <c r="G93" s="58"/>
      <c r="H93" s="58"/>
      <c r="I93" s="58"/>
      <c r="L93" s="58"/>
      <c r="M93" s="58"/>
    </row>
    <row r="94" spans="1:13" x14ac:dyDescent="0.3">
      <c r="A94" s="10">
        <v>86</v>
      </c>
      <c r="B94" s="58">
        <f>'Endenergieverbrauch Strom'!B94/'Endenergieverbrauch Strom'!$J94</f>
        <v>0.36</v>
      </c>
      <c r="C94" s="58">
        <f>'Endenergieverbrauch Strom'!C94/'Endenergieverbrauch Strom'!$J94</f>
        <v>0.16400000000000001</v>
      </c>
      <c r="D94" s="58">
        <f>'Endenergieverbrauch Strom'!D94/'Endenergieverbrauch Strom'!$J94</f>
        <v>0.02</v>
      </c>
      <c r="E94" s="58">
        <f>'Endenergieverbrauch Strom'!E94/'Endenergieverbrauch Strom'!$J94</f>
        <v>8.5000000000000006E-2</v>
      </c>
      <c r="F94" s="58">
        <f t="shared" si="1"/>
        <v>0.24699999999999989</v>
      </c>
      <c r="G94" s="58">
        <f>'Endenergieverbrauch Strom'!G94/'Endenergieverbrauch Strom'!$J94</f>
        <v>4.8000000000000001E-2</v>
      </c>
      <c r="H94" s="58">
        <f>'Endenergieverbrauch Strom'!H94/'Endenergieverbrauch Strom'!$J94</f>
        <v>3.6999999999999998E-2</v>
      </c>
      <c r="I94" s="58">
        <f>'Endenergieverbrauch Strom'!I94/'Endenergieverbrauch Strom'!$J94</f>
        <v>3.9E-2</v>
      </c>
      <c r="L94" s="58"/>
      <c r="M94" s="58"/>
    </row>
    <row r="95" spans="1:13" x14ac:dyDescent="0.3">
      <c r="A95" s="10">
        <v>87</v>
      </c>
      <c r="B95" s="58">
        <f>'Endenergieverbrauch Strom'!B95/'Endenergieverbrauch Strom'!$J95</f>
        <v>0.36</v>
      </c>
      <c r="C95" s="58">
        <f>'Endenergieverbrauch Strom'!C95/'Endenergieverbrauch Strom'!$J95</f>
        <v>0.16400000000000001</v>
      </c>
      <c r="D95" s="58">
        <f>'Endenergieverbrauch Strom'!D95/'Endenergieverbrauch Strom'!$J95</f>
        <v>0.02</v>
      </c>
      <c r="E95" s="58">
        <f>'Endenergieverbrauch Strom'!E95/'Endenergieverbrauch Strom'!$J95</f>
        <v>8.5000000000000006E-2</v>
      </c>
      <c r="F95" s="58">
        <f t="shared" si="1"/>
        <v>0.24699999999999989</v>
      </c>
      <c r="G95" s="58">
        <f>'Endenergieverbrauch Strom'!G95/'Endenergieverbrauch Strom'!$J95</f>
        <v>4.8000000000000001E-2</v>
      </c>
      <c r="H95" s="58">
        <f>'Endenergieverbrauch Strom'!H95/'Endenergieverbrauch Strom'!$J95</f>
        <v>3.6999999999999998E-2</v>
      </c>
      <c r="I95" s="58">
        <f>'Endenergieverbrauch Strom'!I95/'Endenergieverbrauch Strom'!$J95</f>
        <v>3.9E-2</v>
      </c>
      <c r="L95" s="58"/>
      <c r="M95" s="58"/>
    </row>
    <row r="96" spans="1:13" x14ac:dyDescent="0.3">
      <c r="A96" s="10">
        <v>88</v>
      </c>
      <c r="B96" s="58">
        <f>'Endenergieverbrauch Strom'!B96/'Endenergieverbrauch Strom'!$J96</f>
        <v>0.36</v>
      </c>
      <c r="C96" s="58">
        <f>'Endenergieverbrauch Strom'!C96/'Endenergieverbrauch Strom'!$J96</f>
        <v>0.16400000000000001</v>
      </c>
      <c r="D96" s="58">
        <f>'Endenergieverbrauch Strom'!D96/'Endenergieverbrauch Strom'!$J96</f>
        <v>0.02</v>
      </c>
      <c r="E96" s="58">
        <f>'Endenergieverbrauch Strom'!E96/'Endenergieverbrauch Strom'!$J96</f>
        <v>8.5000000000000006E-2</v>
      </c>
      <c r="F96" s="58">
        <f t="shared" si="1"/>
        <v>0.24699999999999989</v>
      </c>
      <c r="G96" s="58">
        <f>'Endenergieverbrauch Strom'!G96/'Endenergieverbrauch Strom'!$J96</f>
        <v>4.8000000000000001E-2</v>
      </c>
      <c r="H96" s="58">
        <f>'Endenergieverbrauch Strom'!H96/'Endenergieverbrauch Strom'!$J96</f>
        <v>3.6999999999999998E-2</v>
      </c>
      <c r="I96" s="58">
        <f>'Endenergieverbrauch Strom'!I96/'Endenergieverbrauch Strom'!$J96</f>
        <v>3.9E-2</v>
      </c>
      <c r="L96" s="58"/>
      <c r="M96" s="58"/>
    </row>
    <row r="97" spans="1:13" x14ac:dyDescent="0.3">
      <c r="A97" s="17" t="s">
        <v>113</v>
      </c>
      <c r="B97" s="58"/>
      <c r="C97" s="58"/>
      <c r="D97" s="58"/>
      <c r="E97" s="58"/>
      <c r="F97" s="58"/>
      <c r="G97" s="58"/>
      <c r="H97" s="58"/>
      <c r="I97" s="58"/>
      <c r="L97" s="58"/>
      <c r="M97" s="58"/>
    </row>
    <row r="98" spans="1:13" x14ac:dyDescent="0.3">
      <c r="A98" s="10">
        <v>90</v>
      </c>
      <c r="B98" s="58">
        <f>'Endenergieverbrauch Strom'!B98/'Endenergieverbrauch Strom'!$J98</f>
        <v>0.36</v>
      </c>
      <c r="C98" s="58">
        <f>'Endenergieverbrauch Strom'!C98/'Endenergieverbrauch Strom'!$J98</f>
        <v>0.16400000000000001</v>
      </c>
      <c r="D98" s="58">
        <f>'Endenergieverbrauch Strom'!D98/'Endenergieverbrauch Strom'!$J98</f>
        <v>0.02</v>
      </c>
      <c r="E98" s="58">
        <f>'Endenergieverbrauch Strom'!E98/'Endenergieverbrauch Strom'!$J98</f>
        <v>8.5000000000000006E-2</v>
      </c>
      <c r="F98" s="58">
        <f t="shared" si="1"/>
        <v>0.24699999999999989</v>
      </c>
      <c r="G98" s="58">
        <f>'Endenergieverbrauch Strom'!G98/'Endenergieverbrauch Strom'!$J98</f>
        <v>4.8000000000000001E-2</v>
      </c>
      <c r="H98" s="58">
        <f>'Endenergieverbrauch Strom'!H98/'Endenergieverbrauch Strom'!$J98</f>
        <v>3.6999999999999998E-2</v>
      </c>
      <c r="I98" s="58">
        <f>'Endenergieverbrauch Strom'!I98/'Endenergieverbrauch Strom'!$J98</f>
        <v>3.9E-2</v>
      </c>
      <c r="L98" s="58"/>
      <c r="M98" s="58"/>
    </row>
    <row r="99" spans="1:13" x14ac:dyDescent="0.3">
      <c r="A99" s="10">
        <v>91</v>
      </c>
      <c r="B99" s="58">
        <f>'Endenergieverbrauch Strom'!B99/'Endenergieverbrauch Strom'!$J99</f>
        <v>0.36</v>
      </c>
      <c r="C99" s="58">
        <f>'Endenergieverbrauch Strom'!C99/'Endenergieverbrauch Strom'!$J99</f>
        <v>0.16400000000000001</v>
      </c>
      <c r="D99" s="58">
        <f>'Endenergieverbrauch Strom'!D99/'Endenergieverbrauch Strom'!$J99</f>
        <v>0.02</v>
      </c>
      <c r="E99" s="58">
        <f>'Endenergieverbrauch Strom'!E99/'Endenergieverbrauch Strom'!$J99</f>
        <v>8.5000000000000006E-2</v>
      </c>
      <c r="F99" s="58">
        <f t="shared" si="1"/>
        <v>0.24699999999999989</v>
      </c>
      <c r="G99" s="58">
        <f>'Endenergieverbrauch Strom'!G99/'Endenergieverbrauch Strom'!$J99</f>
        <v>4.8000000000000001E-2</v>
      </c>
      <c r="H99" s="58">
        <f>'Endenergieverbrauch Strom'!H99/'Endenergieverbrauch Strom'!$J99</f>
        <v>3.6999999999999991E-2</v>
      </c>
      <c r="I99" s="58">
        <f>'Endenergieverbrauch Strom'!I99/'Endenergieverbrauch Strom'!$J99</f>
        <v>3.9E-2</v>
      </c>
      <c r="L99" s="58"/>
      <c r="M99" s="58"/>
    </row>
    <row r="100" spans="1:13" x14ac:dyDescent="0.3">
      <c r="A100" s="10">
        <v>92</v>
      </c>
      <c r="B100" s="58">
        <f>'Endenergieverbrauch Strom'!B100/'Endenergieverbrauch Strom'!$J100</f>
        <v>0.36</v>
      </c>
      <c r="C100" s="58">
        <f>'Endenergieverbrauch Strom'!C100/'Endenergieverbrauch Strom'!$J100</f>
        <v>0.16400000000000001</v>
      </c>
      <c r="D100" s="58">
        <f>'Endenergieverbrauch Strom'!D100/'Endenergieverbrauch Strom'!$J100</f>
        <v>0.02</v>
      </c>
      <c r="E100" s="58">
        <f>'Endenergieverbrauch Strom'!E100/'Endenergieverbrauch Strom'!$J100</f>
        <v>8.5000000000000006E-2</v>
      </c>
      <c r="F100" s="58">
        <f t="shared" si="1"/>
        <v>0.24699999999999989</v>
      </c>
      <c r="G100" s="58">
        <f>'Endenergieverbrauch Strom'!G100/'Endenergieverbrauch Strom'!$J100</f>
        <v>4.8000000000000001E-2</v>
      </c>
      <c r="H100" s="58">
        <f>'Endenergieverbrauch Strom'!H100/'Endenergieverbrauch Strom'!$J100</f>
        <v>3.6999999999999998E-2</v>
      </c>
      <c r="I100" s="58">
        <f>'Endenergieverbrauch Strom'!I100/'Endenergieverbrauch Strom'!$J100</f>
        <v>3.9E-2</v>
      </c>
      <c r="L100" s="58"/>
      <c r="M100" s="58"/>
    </row>
    <row r="101" spans="1:13" x14ac:dyDescent="0.3">
      <c r="A101" s="10">
        <v>93</v>
      </c>
      <c r="B101" s="58">
        <f>'Endenergieverbrauch Strom'!B101/'Endenergieverbrauch Strom'!$J101</f>
        <v>0.36</v>
      </c>
      <c r="C101" s="58">
        <f>'Endenergieverbrauch Strom'!C101/'Endenergieverbrauch Strom'!$J101</f>
        <v>0.16400000000000001</v>
      </c>
      <c r="D101" s="58">
        <f>'Endenergieverbrauch Strom'!D101/'Endenergieverbrauch Strom'!$J101</f>
        <v>0.02</v>
      </c>
      <c r="E101" s="58">
        <f>'Endenergieverbrauch Strom'!E101/'Endenergieverbrauch Strom'!$J101</f>
        <v>8.5000000000000006E-2</v>
      </c>
      <c r="F101" s="58">
        <f t="shared" si="1"/>
        <v>0.24699999999999989</v>
      </c>
      <c r="G101" s="58">
        <f>'Endenergieverbrauch Strom'!G101/'Endenergieverbrauch Strom'!$J101</f>
        <v>4.8000000000000001E-2</v>
      </c>
      <c r="H101" s="58">
        <f>'Endenergieverbrauch Strom'!H101/'Endenergieverbrauch Strom'!$J101</f>
        <v>3.6999999999999998E-2</v>
      </c>
      <c r="I101" s="58">
        <f>'Endenergieverbrauch Strom'!I101/'Endenergieverbrauch Strom'!$J101</f>
        <v>3.9E-2</v>
      </c>
      <c r="L101" s="58"/>
      <c r="M101" s="58"/>
    </row>
    <row r="102" spans="1:13" x14ac:dyDescent="0.3">
      <c r="A102" s="17" t="s">
        <v>114</v>
      </c>
      <c r="B102" s="58"/>
      <c r="C102" s="58"/>
      <c r="D102" s="58"/>
      <c r="E102" s="58"/>
      <c r="F102" s="58"/>
      <c r="G102" s="58"/>
      <c r="H102" s="58"/>
      <c r="I102" s="58"/>
      <c r="L102" s="58"/>
      <c r="M102" s="58"/>
    </row>
    <row r="103" spans="1:13" x14ac:dyDescent="0.3">
      <c r="A103" s="10">
        <v>94</v>
      </c>
      <c r="B103" s="58">
        <f>'Endenergieverbrauch Strom'!B103/'Endenergieverbrauch Strom'!$J103</f>
        <v>0.36</v>
      </c>
      <c r="C103" s="58">
        <f>'Endenergieverbrauch Strom'!C103/'Endenergieverbrauch Strom'!$J103</f>
        <v>0.16400000000000001</v>
      </c>
      <c r="D103" s="58">
        <f>'Endenergieverbrauch Strom'!D103/'Endenergieverbrauch Strom'!$J103</f>
        <v>0.02</v>
      </c>
      <c r="E103" s="58">
        <f>'Endenergieverbrauch Strom'!E103/'Endenergieverbrauch Strom'!$J103</f>
        <v>8.5000000000000006E-2</v>
      </c>
      <c r="F103" s="58">
        <f t="shared" si="1"/>
        <v>0.24699999999999989</v>
      </c>
      <c r="G103" s="58">
        <f>'Endenergieverbrauch Strom'!G103/'Endenergieverbrauch Strom'!$J103</f>
        <v>4.8000000000000001E-2</v>
      </c>
      <c r="H103" s="58">
        <f>'Endenergieverbrauch Strom'!H103/'Endenergieverbrauch Strom'!$J103</f>
        <v>3.6999999999999998E-2</v>
      </c>
      <c r="I103" s="58">
        <f>'Endenergieverbrauch Strom'!I103/'Endenergieverbrauch Strom'!$J103</f>
        <v>3.9E-2</v>
      </c>
      <c r="L103" s="58"/>
      <c r="M103" s="58"/>
    </row>
    <row r="104" spans="1:13" x14ac:dyDescent="0.3">
      <c r="A104" s="10">
        <v>95</v>
      </c>
      <c r="B104" s="58">
        <f>'Endenergieverbrauch Strom'!B104/'Endenergieverbrauch Strom'!$J104</f>
        <v>0.36</v>
      </c>
      <c r="C104" s="58">
        <f>'Endenergieverbrauch Strom'!C104/'Endenergieverbrauch Strom'!$J104</f>
        <v>0.16400000000000001</v>
      </c>
      <c r="D104" s="58">
        <f>'Endenergieverbrauch Strom'!D104/'Endenergieverbrauch Strom'!$J104</f>
        <v>0.02</v>
      </c>
      <c r="E104" s="58">
        <f>'Endenergieverbrauch Strom'!E104/'Endenergieverbrauch Strom'!$J104</f>
        <v>8.5000000000000006E-2</v>
      </c>
      <c r="F104" s="58">
        <f t="shared" si="1"/>
        <v>0.24699999999999989</v>
      </c>
      <c r="G104" s="58">
        <f>'Endenergieverbrauch Strom'!G104/'Endenergieverbrauch Strom'!$J104</f>
        <v>4.8000000000000001E-2</v>
      </c>
      <c r="H104" s="58">
        <f>'Endenergieverbrauch Strom'!H104/'Endenergieverbrauch Strom'!$J104</f>
        <v>3.6999999999999991E-2</v>
      </c>
      <c r="I104" s="58">
        <f>'Endenergieverbrauch Strom'!I104/'Endenergieverbrauch Strom'!$J104</f>
        <v>3.9E-2</v>
      </c>
      <c r="L104" s="58"/>
      <c r="M104" s="58"/>
    </row>
    <row r="105" spans="1:13" x14ac:dyDescent="0.3">
      <c r="A105" s="10">
        <v>96</v>
      </c>
      <c r="B105" s="58">
        <f>'Endenergieverbrauch Strom'!B105/'Endenergieverbrauch Strom'!$J105</f>
        <v>0.36</v>
      </c>
      <c r="C105" s="58">
        <f>'Endenergieverbrauch Strom'!C105/'Endenergieverbrauch Strom'!$J105</f>
        <v>0.16400000000000001</v>
      </c>
      <c r="D105" s="58">
        <f>'Endenergieverbrauch Strom'!D105/'Endenergieverbrauch Strom'!$J105</f>
        <v>0.02</v>
      </c>
      <c r="E105" s="58">
        <f>'Endenergieverbrauch Strom'!E105/'Endenergieverbrauch Strom'!$J105</f>
        <v>8.5000000000000006E-2</v>
      </c>
      <c r="F105" s="58">
        <f t="shared" si="1"/>
        <v>0.24699999999999989</v>
      </c>
      <c r="G105" s="58">
        <f>'Endenergieverbrauch Strom'!G105/'Endenergieverbrauch Strom'!$J105</f>
        <v>4.8000000000000001E-2</v>
      </c>
      <c r="H105" s="58">
        <f>'Endenergieverbrauch Strom'!H105/'Endenergieverbrauch Strom'!$J105</f>
        <v>3.6999999999999998E-2</v>
      </c>
      <c r="I105" s="58">
        <f>'Endenergieverbrauch Strom'!I105/'Endenergieverbrauch Strom'!$J105</f>
        <v>3.9E-2</v>
      </c>
      <c r="L105" s="58"/>
      <c r="M105" s="58"/>
    </row>
    <row r="106" spans="1:13" x14ac:dyDescent="0.3">
      <c r="A106" s="17" t="s">
        <v>116</v>
      </c>
      <c r="B106" s="58"/>
      <c r="C106" s="58"/>
      <c r="D106" s="58"/>
      <c r="E106" s="58"/>
      <c r="F106" s="58"/>
      <c r="G106" s="58"/>
      <c r="H106" s="58"/>
      <c r="I106" s="58"/>
      <c r="L106" s="58"/>
      <c r="M106" s="58"/>
    </row>
    <row r="107" spans="1:13" x14ac:dyDescent="0.3">
      <c r="A107" s="10">
        <v>97</v>
      </c>
      <c r="B107" s="58">
        <f>'Endenergieverbrauch Strom'!B107/'Endenergieverbrauch Strom'!$J107</f>
        <v>0.05</v>
      </c>
      <c r="C107" s="58">
        <f>'Endenergieverbrauch Strom'!C107/'Endenergieverbrauch Strom'!$J107</f>
        <v>0.13</v>
      </c>
      <c r="D107" s="58">
        <f>'Endenergieverbrauch Strom'!D107/'Endenergieverbrauch Strom'!$J107</f>
        <v>0.11</v>
      </c>
      <c r="E107" s="58">
        <f>'Endenergieverbrauch Strom'!E107/'Endenergieverbrauch Strom'!$J107</f>
        <v>0.11</v>
      </c>
      <c r="F107" s="58">
        <f t="shared" si="1"/>
        <v>0</v>
      </c>
      <c r="G107" s="58">
        <f>'Endenergieverbrauch Strom'!G107/'Endenergieverbrauch Strom'!$J107</f>
        <v>0.22</v>
      </c>
      <c r="H107" s="58">
        <f>'Endenergieverbrauch Strom'!H107/'Endenergieverbrauch Strom'!$J107</f>
        <v>0.25</v>
      </c>
      <c r="I107" s="58">
        <f>'Endenergieverbrauch Strom'!I107/'Endenergieverbrauch Strom'!$J107</f>
        <v>0.13</v>
      </c>
      <c r="L107" s="58"/>
      <c r="M107" s="58"/>
    </row>
    <row r="108" spans="1:13" x14ac:dyDescent="0.3">
      <c r="A108" s="10">
        <v>98</v>
      </c>
      <c r="B108" s="58">
        <f>'Endenergieverbrauch Strom'!B108/'Endenergieverbrauch Strom'!$J108</f>
        <v>5.000000000000001E-2</v>
      </c>
      <c r="C108" s="58">
        <f>'Endenergieverbrauch Strom'!C108/'Endenergieverbrauch Strom'!$J108</f>
        <v>0.13</v>
      </c>
      <c r="D108" s="58">
        <f>'Endenergieverbrauch Strom'!D108/'Endenergieverbrauch Strom'!$J108</f>
        <v>0.11000000000000001</v>
      </c>
      <c r="E108" s="58">
        <f>'Endenergieverbrauch Strom'!E108/'Endenergieverbrauch Strom'!$J108</f>
        <v>0.11000000000000001</v>
      </c>
      <c r="F108" s="58">
        <f t="shared" si="1"/>
        <v>0</v>
      </c>
      <c r="G108" s="58">
        <f>'Endenergieverbrauch Strom'!G108/'Endenergieverbrauch Strom'!$J108</f>
        <v>0.22000000000000003</v>
      </c>
      <c r="H108" s="58">
        <f>'Endenergieverbrauch Strom'!H108/'Endenergieverbrauch Strom'!$J108</f>
        <v>0.25</v>
      </c>
      <c r="I108" s="58">
        <f>'Endenergieverbrauch Strom'!I108/'Endenergieverbrauch Strom'!$J108</f>
        <v>0.13</v>
      </c>
      <c r="L108" s="58"/>
      <c r="M108" s="58"/>
    </row>
    <row r="109" spans="1:13" x14ac:dyDescent="0.3">
      <c r="A109" s="17" t="s">
        <v>115</v>
      </c>
      <c r="B109" s="58"/>
      <c r="C109" s="58"/>
      <c r="D109" s="58"/>
      <c r="E109" s="58"/>
      <c r="F109" s="58"/>
      <c r="G109" s="58"/>
      <c r="H109" s="58"/>
      <c r="I109" s="58"/>
      <c r="L109" s="58"/>
      <c r="M109" s="58"/>
    </row>
    <row r="110" spans="1:13" x14ac:dyDescent="0.3">
      <c r="A110" s="11">
        <v>99</v>
      </c>
      <c r="B110" s="58">
        <f>'Endenergieverbrauch Strom'!B110/'Endenergieverbrauch Strom'!$J110</f>
        <v>0.36</v>
      </c>
      <c r="C110" s="58">
        <f>'Endenergieverbrauch Strom'!C110/'Endenergieverbrauch Strom'!$J110</f>
        <v>0.16400000000000001</v>
      </c>
      <c r="D110" s="58">
        <f>'Endenergieverbrauch Strom'!D110/'Endenergieverbrauch Strom'!$J110</f>
        <v>0.02</v>
      </c>
      <c r="E110" s="58">
        <f>'Endenergieverbrauch Strom'!E110/'Endenergieverbrauch Strom'!$J110</f>
        <v>8.5000000000000006E-2</v>
      </c>
      <c r="F110" s="58">
        <f t="shared" si="1"/>
        <v>0.24699999999999989</v>
      </c>
      <c r="G110" s="58">
        <f>'Endenergieverbrauch Strom'!G110/'Endenergieverbrauch Strom'!$J110</f>
        <v>4.8000000000000001E-2</v>
      </c>
      <c r="H110" s="58">
        <f>'Endenergieverbrauch Strom'!H110/'Endenergieverbrauch Strom'!$J110</f>
        <v>3.6999999999999998E-2</v>
      </c>
      <c r="I110" s="58">
        <f>'Endenergieverbrauch Strom'!I110/'Endenergieverbrauch Strom'!$J110</f>
        <v>3.9E-2</v>
      </c>
      <c r="L110" s="58"/>
      <c r="M110" s="58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00A58-A08A-4951-88BF-27D7CC633E21}">
  <sheetPr>
    <tabColor rgb="FFFF0000"/>
  </sheetPr>
  <dimension ref="A1:O114"/>
  <sheetViews>
    <sheetView workbookViewId="0">
      <selection activeCell="F9" sqref="F9"/>
    </sheetView>
  </sheetViews>
  <sheetFormatPr baseColWidth="10" defaultRowHeight="14.4" x14ac:dyDescent="0.3"/>
  <cols>
    <col min="1" max="1" width="10.6640625" customWidth="1"/>
    <col min="2" max="6" width="10.33203125" customWidth="1"/>
  </cols>
  <sheetData>
    <row r="1" spans="1:15" ht="55.2" thickBot="1" x14ac:dyDescent="0.35">
      <c r="A1" s="5" t="s">
        <v>96</v>
      </c>
      <c r="B1" s="7" t="s">
        <v>95</v>
      </c>
      <c r="C1" s="6" t="s">
        <v>18</v>
      </c>
      <c r="D1" s="6" t="s">
        <v>19</v>
      </c>
      <c r="E1" s="8" t="s">
        <v>121</v>
      </c>
      <c r="F1" s="9" t="s">
        <v>94</v>
      </c>
      <c r="H1" s="7" t="s">
        <v>95</v>
      </c>
      <c r="I1" s="6" t="s">
        <v>18</v>
      </c>
      <c r="J1" s="6" t="s">
        <v>19</v>
      </c>
      <c r="K1" s="8" t="s">
        <v>121</v>
      </c>
    </row>
    <row r="2" spans="1:15" ht="18" customHeight="1" x14ac:dyDescent="0.3">
      <c r="A2" s="19" t="s">
        <v>97</v>
      </c>
      <c r="B2" s="20"/>
      <c r="C2" s="20"/>
      <c r="D2" s="20"/>
      <c r="E2" s="20"/>
      <c r="F2" s="44"/>
      <c r="M2" t="s">
        <v>125</v>
      </c>
      <c r="N2" t="s">
        <v>126</v>
      </c>
      <c r="O2" t="s">
        <v>128</v>
      </c>
    </row>
    <row r="3" spans="1:15" ht="18" customHeight="1" x14ac:dyDescent="0.3">
      <c r="A3" s="10">
        <v>1</v>
      </c>
      <c r="B3" s="39">
        <f>0.027*$F3</f>
        <v>76.713337499832008</v>
      </c>
      <c r="C3" s="39">
        <f>0.845*$F3</f>
        <v>2400.84334027252</v>
      </c>
      <c r="D3" s="39">
        <f>0.118*$F3</f>
        <v>335.26569722148798</v>
      </c>
      <c r="E3" s="40">
        <f>0.01*$F3</f>
        <v>28.412347222160001</v>
      </c>
      <c r="F3" s="49">
        <f>0.484*27149*216226/10^6</f>
        <v>2841.2347222160001</v>
      </c>
      <c r="H3" s="58">
        <f>B3/$F3</f>
        <v>2.7000000000000003E-2</v>
      </c>
      <c r="I3" s="58">
        <f t="shared" ref="I3:K3" si="0">C3/$F3</f>
        <v>0.84499999999999997</v>
      </c>
      <c r="J3" s="58">
        <f t="shared" si="0"/>
        <v>0.11799999999999999</v>
      </c>
      <c r="K3" s="58">
        <f t="shared" si="0"/>
        <v>0.01</v>
      </c>
      <c r="L3" s="58"/>
      <c r="M3" s="58">
        <f>SUM(H3:K3)</f>
        <v>1</v>
      </c>
      <c r="N3" s="58">
        <f>1-M3</f>
        <v>0</v>
      </c>
      <c r="O3" s="58">
        <f>I3+N3</f>
        <v>0.84499999999999997</v>
      </c>
    </row>
    <row r="4" spans="1:15" ht="18" customHeight="1" x14ac:dyDescent="0.3">
      <c r="A4" s="10">
        <v>2</v>
      </c>
      <c r="B4" s="39">
        <v>0</v>
      </c>
      <c r="C4" s="39">
        <v>0</v>
      </c>
      <c r="D4" s="39">
        <v>0</v>
      </c>
      <c r="E4" s="40">
        <v>0</v>
      </c>
      <c r="F4" s="50">
        <v>0</v>
      </c>
      <c r="H4" s="58">
        <v>0</v>
      </c>
      <c r="I4" s="58">
        <v>0</v>
      </c>
      <c r="J4" s="58">
        <v>0</v>
      </c>
      <c r="K4" s="58">
        <v>0</v>
      </c>
      <c r="L4" s="58"/>
      <c r="M4" s="58">
        <f t="shared" ref="M4:M67" si="1">SUM(H4:K4)</f>
        <v>0</v>
      </c>
      <c r="N4" s="58">
        <v>0</v>
      </c>
      <c r="O4" s="58">
        <f t="shared" ref="O4:O67" si="2">I4+N4</f>
        <v>0</v>
      </c>
    </row>
    <row r="5" spans="1:15" ht="18" customHeight="1" x14ac:dyDescent="0.3">
      <c r="A5" s="10">
        <v>3</v>
      </c>
      <c r="B5" s="39">
        <v>0</v>
      </c>
      <c r="C5" s="39">
        <v>0</v>
      </c>
      <c r="D5" s="39">
        <v>0</v>
      </c>
      <c r="E5" s="40">
        <v>0</v>
      </c>
      <c r="F5" s="50">
        <v>0</v>
      </c>
      <c r="H5" s="58">
        <v>0</v>
      </c>
      <c r="I5" s="58">
        <v>0</v>
      </c>
      <c r="J5" s="58">
        <v>0</v>
      </c>
      <c r="K5" s="58">
        <v>0</v>
      </c>
      <c r="L5" s="58"/>
      <c r="M5" s="58">
        <f t="shared" si="1"/>
        <v>0</v>
      </c>
      <c r="N5" s="58">
        <v>0</v>
      </c>
      <c r="O5" s="58">
        <f t="shared" si="2"/>
        <v>0</v>
      </c>
    </row>
    <row r="6" spans="1:15" ht="18" customHeight="1" x14ac:dyDescent="0.3">
      <c r="A6" s="17" t="s">
        <v>98</v>
      </c>
      <c r="B6" s="32"/>
      <c r="C6" s="32"/>
      <c r="D6" s="32"/>
      <c r="E6" s="32"/>
      <c r="F6" s="45"/>
      <c r="H6" s="58"/>
      <c r="I6" s="58"/>
      <c r="J6" s="58"/>
      <c r="K6" s="58"/>
      <c r="L6" s="58"/>
      <c r="M6" s="58"/>
      <c r="N6" s="58"/>
      <c r="O6" s="58"/>
    </row>
    <row r="7" spans="1:15" ht="18" customHeight="1" x14ac:dyDescent="0.3">
      <c r="A7" s="10">
        <v>5</v>
      </c>
      <c r="B7" s="39">
        <v>0</v>
      </c>
      <c r="C7" s="39">
        <v>0</v>
      </c>
      <c r="D7" s="39">
        <v>0</v>
      </c>
      <c r="E7" s="40">
        <v>0</v>
      </c>
      <c r="F7" s="49">
        <v>0</v>
      </c>
      <c r="H7" s="58">
        <v>0</v>
      </c>
      <c r="I7" s="58">
        <v>0</v>
      </c>
      <c r="J7" s="58">
        <v>0</v>
      </c>
      <c r="K7" s="58">
        <v>0</v>
      </c>
      <c r="L7" s="58"/>
      <c r="M7" s="58">
        <f t="shared" si="1"/>
        <v>0</v>
      </c>
      <c r="N7" s="58">
        <v>0</v>
      </c>
      <c r="O7" s="58">
        <f t="shared" si="2"/>
        <v>0</v>
      </c>
    </row>
    <row r="8" spans="1:15" ht="18" customHeight="1" x14ac:dyDescent="0.3">
      <c r="A8" s="10">
        <v>6</v>
      </c>
      <c r="B8" s="39">
        <f>0.027*$F8</f>
        <v>73.980998010000008</v>
      </c>
      <c r="C8" s="39">
        <f>0.845*$F8</f>
        <v>2315.3312340166667</v>
      </c>
      <c r="D8" s="39">
        <f>0.118*$F8</f>
        <v>323.32436167333333</v>
      </c>
      <c r="E8" s="40">
        <f>0.01*$F8</f>
        <v>27.400369633333334</v>
      </c>
      <c r="F8" s="49">
        <f>0.8115*12155432/3600</f>
        <v>2740.0369633333335</v>
      </c>
      <c r="H8" s="58">
        <f t="shared" ref="H8:H67" si="3">B8/$F8</f>
        <v>2.7000000000000003E-2</v>
      </c>
      <c r="I8" s="58">
        <f t="shared" ref="I8:I67" si="4">C8/$F8</f>
        <v>0.84499999999999997</v>
      </c>
      <c r="J8" s="58">
        <f t="shared" ref="J8:J67" si="5">D8/$F8</f>
        <v>0.11799999999999999</v>
      </c>
      <c r="K8" s="58">
        <f t="shared" ref="K8:K67" si="6">E8/$F8</f>
        <v>0.01</v>
      </c>
      <c r="L8" s="58"/>
      <c r="M8" s="58">
        <f t="shared" si="1"/>
        <v>1</v>
      </c>
      <c r="N8" s="58">
        <f t="shared" ref="N8:N67" si="7">1-M8</f>
        <v>0</v>
      </c>
      <c r="O8" s="58">
        <f t="shared" si="2"/>
        <v>0.84499999999999997</v>
      </c>
    </row>
    <row r="9" spans="1:15" ht="18" customHeight="1" x14ac:dyDescent="0.3">
      <c r="A9" s="10">
        <v>7</v>
      </c>
      <c r="B9" s="39">
        <v>0</v>
      </c>
      <c r="C9" s="39">
        <v>0</v>
      </c>
      <c r="D9" s="39">
        <v>0</v>
      </c>
      <c r="E9" s="40">
        <v>0</v>
      </c>
      <c r="F9" s="49">
        <v>0</v>
      </c>
      <c r="H9" s="58">
        <v>0</v>
      </c>
      <c r="I9" s="58">
        <v>0</v>
      </c>
      <c r="J9" s="58">
        <v>0</v>
      </c>
      <c r="K9" s="58">
        <v>0</v>
      </c>
      <c r="L9" s="58"/>
      <c r="M9" s="58">
        <f t="shared" si="1"/>
        <v>0</v>
      </c>
      <c r="N9" s="58">
        <v>0</v>
      </c>
      <c r="O9" s="58">
        <f t="shared" si="2"/>
        <v>0</v>
      </c>
    </row>
    <row r="10" spans="1:15" ht="18" customHeight="1" x14ac:dyDescent="0.3">
      <c r="A10" s="10">
        <v>8</v>
      </c>
      <c r="B10" s="39">
        <f>0.1/4.3*$F10</f>
        <v>32.196527307493547</v>
      </c>
      <c r="C10" s="39">
        <f>3.8/4.3*$F10</f>
        <v>1223.4680376847548</v>
      </c>
      <c r="D10" s="39">
        <f>0.3/4.3*$F10</f>
        <v>96.589581922480633</v>
      </c>
      <c r="E10" s="40">
        <f>0/4.3*$F10</f>
        <v>0</v>
      </c>
      <c r="F10" s="49">
        <f>0.3088*16139969/3600</f>
        <v>1384.4506742222225</v>
      </c>
      <c r="H10" s="58">
        <f t="shared" si="3"/>
        <v>2.3255813953488372E-2</v>
      </c>
      <c r="I10" s="58">
        <f t="shared" si="4"/>
        <v>0.88372093023255816</v>
      </c>
      <c r="J10" s="58">
        <f t="shared" si="5"/>
        <v>6.9767441860465115E-2</v>
      </c>
      <c r="K10" s="58">
        <f t="shared" si="6"/>
        <v>0</v>
      </c>
      <c r="L10" s="58"/>
      <c r="M10" s="58">
        <f t="shared" si="1"/>
        <v>0.9767441860465117</v>
      </c>
      <c r="N10" s="58">
        <f t="shared" si="7"/>
        <v>2.3255813953488302E-2</v>
      </c>
      <c r="O10" s="58">
        <f t="shared" si="2"/>
        <v>0.90697674418604646</v>
      </c>
    </row>
    <row r="11" spans="1:15" ht="18" customHeight="1" x14ac:dyDescent="0.3">
      <c r="A11" s="10">
        <v>9</v>
      </c>
      <c r="B11" s="39">
        <f>0.027*$F11</f>
        <v>1.1217533411699998</v>
      </c>
      <c r="C11" s="39">
        <f>0.845*$F11</f>
        <v>35.106724936616658</v>
      </c>
      <c r="D11" s="39">
        <f>0.118*$F11</f>
        <v>4.9024775651133323</v>
      </c>
      <c r="E11" s="40">
        <f>0.01*$F11</f>
        <v>0.41546420043333326</v>
      </c>
      <c r="F11" s="49">
        <f>0.5082*20.63*14266/3600</f>
        <v>41.546420043333327</v>
      </c>
      <c r="H11" s="58">
        <f t="shared" si="3"/>
        <v>2.7E-2</v>
      </c>
      <c r="I11" s="58">
        <f t="shared" si="4"/>
        <v>0.84499999999999986</v>
      </c>
      <c r="J11" s="58">
        <f t="shared" si="5"/>
        <v>0.11799999999999999</v>
      </c>
      <c r="K11" s="58">
        <f t="shared" si="6"/>
        <v>0.01</v>
      </c>
      <c r="L11" s="58"/>
      <c r="M11" s="58">
        <f t="shared" si="1"/>
        <v>0.99999999999999989</v>
      </c>
      <c r="N11" s="58">
        <f t="shared" si="7"/>
        <v>0</v>
      </c>
      <c r="O11" s="58">
        <f t="shared" si="2"/>
        <v>0.84499999999999986</v>
      </c>
    </row>
    <row r="12" spans="1:15" ht="18" customHeight="1" x14ac:dyDescent="0.3">
      <c r="A12" s="17" t="s">
        <v>99</v>
      </c>
      <c r="B12" s="32"/>
      <c r="C12" s="32"/>
      <c r="D12" s="32"/>
      <c r="E12" s="32"/>
      <c r="F12" s="45"/>
      <c r="H12" s="58"/>
      <c r="I12" s="58"/>
      <c r="J12" s="58"/>
      <c r="K12" s="58"/>
      <c r="L12" s="58"/>
      <c r="M12" s="58"/>
      <c r="N12" s="58"/>
      <c r="O12" s="58"/>
    </row>
    <row r="13" spans="1:15" ht="18" customHeight="1" x14ac:dyDescent="0.3">
      <c r="A13" s="10">
        <v>10</v>
      </c>
      <c r="B13" s="39">
        <f>1.9/111.1*$F13</f>
        <v>545.53997507303222</v>
      </c>
      <c r="C13" s="39">
        <f>95.5/111.1*$F13</f>
        <v>27420.561904986622</v>
      </c>
      <c r="D13" s="39">
        <f>12.7/111.1*$F13</f>
        <v>3646.5040439092154</v>
      </c>
      <c r="E13" s="40">
        <f>1.1/111.1*$F13</f>
        <v>315.83893293701868</v>
      </c>
      <c r="F13" s="49">
        <f>0.5761*199338719/3600</f>
        <v>31899.732226638884</v>
      </c>
      <c r="G13" s="16"/>
      <c r="H13" s="58">
        <f t="shared" si="3"/>
        <v>1.7101710171017102E-2</v>
      </c>
      <c r="I13" s="58">
        <f t="shared" si="4"/>
        <v>0.85958595859585962</v>
      </c>
      <c r="J13" s="58">
        <f t="shared" si="5"/>
        <v>0.11431143114311432</v>
      </c>
      <c r="K13" s="58">
        <f t="shared" si="6"/>
        <v>9.9009900990099028E-3</v>
      </c>
      <c r="L13" s="58"/>
      <c r="M13" s="58">
        <f t="shared" si="1"/>
        <v>1.000900090009001</v>
      </c>
      <c r="N13" s="58">
        <f t="shared" si="7"/>
        <v>-9.0009000900104219E-4</v>
      </c>
      <c r="O13" s="58">
        <f t="shared" si="2"/>
        <v>0.85868586858685858</v>
      </c>
    </row>
    <row r="14" spans="1:15" ht="18" customHeight="1" x14ac:dyDescent="0.3">
      <c r="A14" s="10">
        <v>11</v>
      </c>
      <c r="B14" s="39">
        <f t="shared" ref="B14:B15" si="8">1.9/111.1*$F14</f>
        <v>63.363319265776582</v>
      </c>
      <c r="C14" s="39">
        <f t="shared" ref="C14:C15" si="9">95.5/111.1*$F14</f>
        <v>3184.8405209903494</v>
      </c>
      <c r="D14" s="39">
        <f t="shared" ref="D14:D15" si="10">12.7/111.1*$F14</f>
        <v>423.53376561861188</v>
      </c>
      <c r="E14" s="40">
        <f t="shared" ref="E14:E15" si="11">1.1/111.1*$F14</f>
        <v>36.684026943344342</v>
      </c>
      <c r="F14" s="49">
        <f>0.5491*24291226/3600</f>
        <v>3705.086721277778</v>
      </c>
      <c r="G14" s="16"/>
      <c r="H14" s="58">
        <f t="shared" si="3"/>
        <v>1.7101710171017102E-2</v>
      </c>
      <c r="I14" s="58">
        <f t="shared" si="4"/>
        <v>0.85958595859585962</v>
      </c>
      <c r="J14" s="58">
        <f t="shared" si="5"/>
        <v>0.1143114311431143</v>
      </c>
      <c r="K14" s="58">
        <f t="shared" si="6"/>
        <v>9.9009900990099028E-3</v>
      </c>
      <c r="L14" s="58"/>
      <c r="M14" s="58">
        <f t="shared" si="1"/>
        <v>1.0009000900090008</v>
      </c>
      <c r="N14" s="58">
        <f t="shared" si="7"/>
        <v>-9.0009000900082015E-4</v>
      </c>
      <c r="O14" s="58">
        <f t="shared" si="2"/>
        <v>0.8586858685868588</v>
      </c>
    </row>
    <row r="15" spans="1:15" ht="18" customHeight="1" x14ac:dyDescent="0.3">
      <c r="A15" s="10">
        <v>12</v>
      </c>
      <c r="B15" s="39">
        <f t="shared" si="8"/>
        <v>5.3785630654315444</v>
      </c>
      <c r="C15" s="39">
        <f t="shared" si="9"/>
        <v>270.34356460458554</v>
      </c>
      <c r="D15" s="39">
        <f t="shared" si="10"/>
        <v>35.951447858410852</v>
      </c>
      <c r="E15" s="40">
        <f t="shared" si="11"/>
        <v>3.1139049326182628</v>
      </c>
      <c r="F15" s="49">
        <f>0.5237*2161955/3600</f>
        <v>314.50439819444449</v>
      </c>
      <c r="G15" s="16"/>
      <c r="H15" s="58">
        <f t="shared" si="3"/>
        <v>1.7101710171017102E-2</v>
      </c>
      <c r="I15" s="58">
        <f t="shared" si="4"/>
        <v>0.85958595859585973</v>
      </c>
      <c r="J15" s="58">
        <f t="shared" si="5"/>
        <v>0.11431143114311433</v>
      </c>
      <c r="K15" s="58">
        <f t="shared" si="6"/>
        <v>9.9009900990099028E-3</v>
      </c>
      <c r="L15" s="58"/>
      <c r="M15" s="58">
        <f t="shared" si="1"/>
        <v>1.000900090009001</v>
      </c>
      <c r="N15" s="58">
        <f t="shared" si="7"/>
        <v>-9.0009000900104219E-4</v>
      </c>
      <c r="O15" s="58">
        <f t="shared" si="2"/>
        <v>0.85868586858685869</v>
      </c>
    </row>
    <row r="16" spans="1:15" ht="18" customHeight="1" x14ac:dyDescent="0.3">
      <c r="A16" s="10">
        <v>13</v>
      </c>
      <c r="B16" s="39">
        <f>1.6/43*$F16</f>
        <v>94.094303539018085</v>
      </c>
      <c r="C16" s="39">
        <f>26.9/43*$F16</f>
        <v>1581.9604782497413</v>
      </c>
      <c r="D16" s="39">
        <f>13.2/43*$F16</f>
        <v>776.27800419689913</v>
      </c>
      <c r="E16" s="40">
        <f>1.2/43*$F16</f>
        <v>70.570727654263564</v>
      </c>
      <c r="F16" s="49">
        <f>0.4694*19394171/3600</f>
        <v>2528.784407611111</v>
      </c>
      <c r="G16" s="16"/>
      <c r="H16" s="58">
        <f t="shared" si="3"/>
        <v>3.7209302325581395E-2</v>
      </c>
      <c r="I16" s="58">
        <f t="shared" si="4"/>
        <v>0.62558139534883717</v>
      </c>
      <c r="J16" s="58">
        <f t="shared" si="5"/>
        <v>0.30697674418604648</v>
      </c>
      <c r="K16" s="58">
        <f t="shared" si="6"/>
        <v>2.7906976744186046E-2</v>
      </c>
      <c r="L16" s="58"/>
      <c r="M16" s="58">
        <f t="shared" si="1"/>
        <v>0.99767441860465111</v>
      </c>
      <c r="N16" s="58">
        <f t="shared" si="7"/>
        <v>2.3255813953488857E-3</v>
      </c>
      <c r="O16" s="58">
        <f t="shared" si="2"/>
        <v>0.62790697674418605</v>
      </c>
    </row>
    <row r="17" spans="1:15" ht="18" customHeight="1" x14ac:dyDescent="0.3">
      <c r="A17" s="10">
        <v>14</v>
      </c>
      <c r="B17" s="39">
        <f t="shared" ref="B17:B19" si="12">1.6/43*$F17</f>
        <v>6.2882318304909566</v>
      </c>
      <c r="C17" s="39">
        <f t="shared" ref="C17:C19" si="13">26.9/43*$F17</f>
        <v>105.72089765012919</v>
      </c>
      <c r="D17" s="39">
        <f t="shared" ref="D17:D19" si="14">13.2/43*$F17</f>
        <v>51.877912601550385</v>
      </c>
      <c r="E17" s="40">
        <f t="shared" ref="E17:E19" si="15">1.2/43*$F17</f>
        <v>4.7161738728682172</v>
      </c>
      <c r="F17" s="49">
        <f>0.4553*1336232/3600</f>
        <v>168.99623044444445</v>
      </c>
      <c r="G17" s="16"/>
      <c r="H17" s="58">
        <f t="shared" si="3"/>
        <v>3.7209302325581395E-2</v>
      </c>
      <c r="I17" s="58">
        <f t="shared" si="4"/>
        <v>0.62558139534883717</v>
      </c>
      <c r="J17" s="58">
        <f t="shared" si="5"/>
        <v>0.30697674418604648</v>
      </c>
      <c r="K17" s="58">
        <f t="shared" si="6"/>
        <v>2.7906976744186046E-2</v>
      </c>
      <c r="L17" s="58"/>
      <c r="M17" s="58">
        <f t="shared" si="1"/>
        <v>0.99767441860465111</v>
      </c>
      <c r="N17" s="58">
        <f t="shared" si="7"/>
        <v>2.3255813953488857E-3</v>
      </c>
      <c r="O17" s="58">
        <f t="shared" si="2"/>
        <v>0.62790697674418605</v>
      </c>
    </row>
    <row r="18" spans="1:15" ht="18" customHeight="1" x14ac:dyDescent="0.3">
      <c r="A18" s="10">
        <v>15</v>
      </c>
      <c r="B18" s="39">
        <f t="shared" si="12"/>
        <v>4.7768694573643407</v>
      </c>
      <c r="C18" s="39">
        <f t="shared" si="13"/>
        <v>80.311117751937971</v>
      </c>
      <c r="D18" s="39">
        <f t="shared" si="14"/>
        <v>39.409173023255811</v>
      </c>
      <c r="E18" s="40">
        <f t="shared" si="15"/>
        <v>3.5826520930232557</v>
      </c>
      <c r="F18" s="49">
        <f>0.392*1178985/3600</f>
        <v>128.37836666666666</v>
      </c>
      <c r="G18" s="16"/>
      <c r="H18" s="58">
        <f t="shared" si="3"/>
        <v>3.7209302325581395E-2</v>
      </c>
      <c r="I18" s="58">
        <f t="shared" si="4"/>
        <v>0.62558139534883717</v>
      </c>
      <c r="J18" s="58">
        <f t="shared" si="5"/>
        <v>0.30697674418604648</v>
      </c>
      <c r="K18" s="58">
        <f t="shared" si="6"/>
        <v>2.7906976744186046E-2</v>
      </c>
      <c r="L18" s="58"/>
      <c r="M18" s="58">
        <f t="shared" si="1"/>
        <v>0.99767441860465111</v>
      </c>
      <c r="N18" s="58">
        <f t="shared" si="7"/>
        <v>2.3255813953488857E-3</v>
      </c>
      <c r="O18" s="58">
        <f t="shared" si="2"/>
        <v>0.62790697674418605</v>
      </c>
    </row>
    <row r="19" spans="1:15" ht="18" customHeight="1" x14ac:dyDescent="0.3">
      <c r="A19" s="10">
        <v>16</v>
      </c>
      <c r="B19" s="39">
        <f t="shared" si="12"/>
        <v>57.670945479069765</v>
      </c>
      <c r="C19" s="39">
        <f t="shared" si="13"/>
        <v>969.59277086686041</v>
      </c>
      <c r="D19" s="39">
        <f t="shared" si="14"/>
        <v>475.78530020232552</v>
      </c>
      <c r="E19" s="40">
        <f t="shared" si="15"/>
        <v>43.253209109302325</v>
      </c>
      <c r="F19" s="49">
        <f>0.0599*93149649/3600</f>
        <v>1549.90665975</v>
      </c>
      <c r="G19" s="16"/>
      <c r="H19" s="58">
        <f t="shared" si="3"/>
        <v>3.7209302325581395E-2</v>
      </c>
      <c r="I19" s="58">
        <f t="shared" si="4"/>
        <v>0.62558139534883717</v>
      </c>
      <c r="J19" s="58">
        <f t="shared" si="5"/>
        <v>0.30697674418604648</v>
      </c>
      <c r="K19" s="58">
        <f t="shared" si="6"/>
        <v>2.7906976744186046E-2</v>
      </c>
      <c r="L19" s="58"/>
      <c r="M19" s="58">
        <f t="shared" si="1"/>
        <v>0.99767441860465111</v>
      </c>
      <c r="N19" s="58">
        <f t="shared" si="7"/>
        <v>2.3255813953488857E-3</v>
      </c>
      <c r="O19" s="58">
        <f t="shared" si="2"/>
        <v>0.62790697674418605</v>
      </c>
    </row>
    <row r="20" spans="1:15" ht="18" customHeight="1" x14ac:dyDescent="0.3">
      <c r="A20" s="10">
        <v>17</v>
      </c>
      <c r="B20" s="39">
        <f>1.5/79.5*$F20</f>
        <v>553.50815423060794</v>
      </c>
      <c r="C20" s="39">
        <f>75.9/79.5*$F20</f>
        <v>28007.512604068768</v>
      </c>
      <c r="D20" s="39">
        <f>1.9/79.5*$F20</f>
        <v>701.11032869210339</v>
      </c>
      <c r="E20" s="40">
        <f>0.2/79.5*$F20</f>
        <v>73.80108723074774</v>
      </c>
      <c r="F20" s="49">
        <f>0.3904*270515768/3600</f>
        <v>29335.932174222224</v>
      </c>
      <c r="G20" s="16"/>
      <c r="H20" s="58">
        <f t="shared" si="3"/>
        <v>1.8867924528301886E-2</v>
      </c>
      <c r="I20" s="58">
        <f t="shared" si="4"/>
        <v>0.95471698113207559</v>
      </c>
      <c r="J20" s="58">
        <f t="shared" si="5"/>
        <v>2.3899371069182388E-2</v>
      </c>
      <c r="K20" s="58">
        <f t="shared" si="6"/>
        <v>2.5157232704402519E-3</v>
      </c>
      <c r="L20" s="58"/>
      <c r="M20" s="58">
        <f t="shared" si="1"/>
        <v>1.0000000000000002</v>
      </c>
      <c r="N20" s="58">
        <f t="shared" si="7"/>
        <v>0</v>
      </c>
      <c r="O20" s="58">
        <f t="shared" si="2"/>
        <v>0.95471698113207559</v>
      </c>
    </row>
    <row r="21" spans="1:15" ht="18" customHeight="1" x14ac:dyDescent="0.3">
      <c r="A21" s="10">
        <v>18</v>
      </c>
      <c r="B21" s="39">
        <f>1.6/43*$F21</f>
        <v>82.315504988113716</v>
      </c>
      <c r="C21" s="39">
        <f>26.9/43*$F21</f>
        <v>1383.9294276126616</v>
      </c>
      <c r="D21" s="39">
        <f>13.2/43*$F21</f>
        <v>679.10291615193808</v>
      </c>
      <c r="E21" s="40">
        <f>1.2/43*$F21</f>
        <v>61.736628741085283</v>
      </c>
      <c r="F21" s="49">
        <f>0.4661*17086516/3600</f>
        <v>2212.229196555556</v>
      </c>
      <c r="G21" s="16"/>
      <c r="H21" s="58">
        <f t="shared" si="3"/>
        <v>3.7209302325581395E-2</v>
      </c>
      <c r="I21" s="58">
        <f t="shared" si="4"/>
        <v>0.62558139534883717</v>
      </c>
      <c r="J21" s="58">
        <f t="shared" si="5"/>
        <v>0.30697674418604648</v>
      </c>
      <c r="K21" s="58">
        <f t="shared" si="6"/>
        <v>2.7906976744186046E-2</v>
      </c>
      <c r="L21" s="58"/>
      <c r="M21" s="58">
        <f t="shared" si="1"/>
        <v>0.99767441860465111</v>
      </c>
      <c r="N21" s="58">
        <f t="shared" si="7"/>
        <v>2.3255813953488857E-3</v>
      </c>
      <c r="O21" s="58">
        <f t="shared" si="2"/>
        <v>0.62790697674418605</v>
      </c>
    </row>
    <row r="22" spans="1:15" ht="18" customHeight="1" x14ac:dyDescent="0.3">
      <c r="A22" s="10">
        <v>19</v>
      </c>
      <c r="B22" s="39">
        <f>0.027*$F22</f>
        <v>413.00953580325</v>
      </c>
      <c r="C22" s="39">
        <f>0.845*$F22</f>
        <v>12925.668805694306</v>
      </c>
      <c r="D22" s="39">
        <f>0.118*$F22</f>
        <v>1805.0046379549444</v>
      </c>
      <c r="E22" s="40">
        <f>0.01*$F22</f>
        <v>152.96649474194444</v>
      </c>
      <c r="F22" s="49">
        <f>0.1549*355506379/3600</f>
        <v>15296.649474194444</v>
      </c>
      <c r="G22" s="16"/>
      <c r="H22" s="58">
        <f t="shared" si="3"/>
        <v>2.7E-2</v>
      </c>
      <c r="I22" s="58">
        <f t="shared" si="4"/>
        <v>0.84499999999999997</v>
      </c>
      <c r="J22" s="58">
        <f t="shared" si="5"/>
        <v>0.11799999999999999</v>
      </c>
      <c r="K22" s="58">
        <f t="shared" si="6"/>
        <v>0.01</v>
      </c>
      <c r="L22" s="58"/>
      <c r="M22" s="58">
        <f t="shared" si="1"/>
        <v>1</v>
      </c>
      <c r="N22" s="58">
        <f t="shared" si="7"/>
        <v>0</v>
      </c>
      <c r="O22" s="58">
        <f t="shared" si="2"/>
        <v>0.84499999999999997</v>
      </c>
    </row>
    <row r="23" spans="1:15" ht="18" customHeight="1" x14ac:dyDescent="0.3">
      <c r="A23" s="10">
        <v>20</v>
      </c>
      <c r="B23" s="39">
        <f>(6+1*(1-$F$24*3600/10^6/31.8))/3600*10^6</f>
        <v>1860.3746775331938</v>
      </c>
      <c r="C23" s="39">
        <f>(165.5+27.1*(1-$F$24*3600/10^6/31.8))/3600*10^6</f>
        <v>51221.709316705106</v>
      </c>
      <c r="D23" s="39">
        <f>(2.3+3.4*(1-$F$24*3600/10^6/31.8))/3600*10^6</f>
        <v>1297.4961258350804</v>
      </c>
      <c r="E23" s="39">
        <f>(0.2+0.3*(1-$F$24*3600/10^6/31.8))/3600*10^6</f>
        <v>113.66795881551363</v>
      </c>
      <c r="F23" s="49">
        <f>0.3022*1245868926/3600</f>
        <v>104583.77484366667</v>
      </c>
      <c r="G23" s="16"/>
      <c r="H23" s="58">
        <f t="shared" si="3"/>
        <v>1.7788368036190209E-2</v>
      </c>
      <c r="I23" s="58">
        <f t="shared" si="4"/>
        <v>0.48976726450419344</v>
      </c>
      <c r="J23" s="58">
        <f t="shared" si="5"/>
        <v>1.2406285083652758E-2</v>
      </c>
      <c r="K23" s="58">
        <f t="shared" si="6"/>
        <v>1.086860356545995E-3</v>
      </c>
      <c r="L23" s="58"/>
      <c r="M23" s="58">
        <f t="shared" si="1"/>
        <v>0.52104877798058236</v>
      </c>
      <c r="N23" s="58">
        <f t="shared" si="7"/>
        <v>0.47895122201941764</v>
      </c>
      <c r="O23" s="58">
        <f t="shared" si="2"/>
        <v>0.96871848652361114</v>
      </c>
    </row>
    <row r="24" spans="1:15" ht="18" customHeight="1" x14ac:dyDescent="0.3">
      <c r="A24" s="10">
        <v>21</v>
      </c>
      <c r="B24" s="39">
        <f>1/31.8*$F24</f>
        <v>84.069766911250866</v>
      </c>
      <c r="C24" s="39">
        <f>27.1*1/31.8*$F24</f>
        <v>2278.2906832948988</v>
      </c>
      <c r="D24" s="39">
        <f>3.4/31.8*$F24</f>
        <v>285.83720749825295</v>
      </c>
      <c r="E24" s="40">
        <f>0.3/31.8*$F24</f>
        <v>25.220930073375261</v>
      </c>
      <c r="F24" s="49">
        <f>0.4039*23828440/3600</f>
        <v>2673.4185877777777</v>
      </c>
      <c r="G24" s="16"/>
      <c r="H24" s="58">
        <f t="shared" si="3"/>
        <v>3.1446540880503145E-2</v>
      </c>
      <c r="I24" s="58">
        <f t="shared" si="4"/>
        <v>0.85220125786163525</v>
      </c>
      <c r="J24" s="58">
        <f t="shared" si="5"/>
        <v>0.10691823899371068</v>
      </c>
      <c r="K24" s="58">
        <f t="shared" si="6"/>
        <v>9.433962264150943E-3</v>
      </c>
      <c r="L24" s="58"/>
      <c r="M24" s="58">
        <f t="shared" si="1"/>
        <v>1</v>
      </c>
      <c r="N24" s="58">
        <f t="shared" si="7"/>
        <v>0</v>
      </c>
      <c r="O24" s="58">
        <f t="shared" si="2"/>
        <v>0.85220125786163525</v>
      </c>
    </row>
    <row r="25" spans="1:15" ht="18" customHeight="1" x14ac:dyDescent="0.3">
      <c r="A25" s="10">
        <v>22</v>
      </c>
      <c r="B25" s="39">
        <f>0.4/22.1*$F25</f>
        <v>122.69671465962794</v>
      </c>
      <c r="C25" s="39">
        <f>13.4/22.1*$F25</f>
        <v>4110.3399410975362</v>
      </c>
      <c r="D25" s="39">
        <f>7.7/22.1*$F25</f>
        <v>2361.9117571978381</v>
      </c>
      <c r="E25" s="40">
        <f>0.7/22.1*$F25</f>
        <v>214.71925065434891</v>
      </c>
      <c r="F25" s="49">
        <f>0.2858*85389701/3600</f>
        <v>6778.9934849444444</v>
      </c>
      <c r="G25" s="16"/>
      <c r="H25" s="58">
        <f t="shared" si="3"/>
        <v>1.8099547511312215E-2</v>
      </c>
      <c r="I25" s="58">
        <f t="shared" si="4"/>
        <v>0.60633484162895923</v>
      </c>
      <c r="J25" s="58">
        <f t="shared" si="5"/>
        <v>0.34841628959276016</v>
      </c>
      <c r="K25" s="58">
        <f t="shared" si="6"/>
        <v>3.1674208144796379E-2</v>
      </c>
      <c r="L25" s="58"/>
      <c r="M25" s="58">
        <f t="shared" si="1"/>
        <v>1.004524886877828</v>
      </c>
      <c r="N25" s="58">
        <f t="shared" si="7"/>
        <v>-4.5248868778280382E-3</v>
      </c>
      <c r="O25" s="58">
        <f t="shared" si="2"/>
        <v>0.60180995475113119</v>
      </c>
    </row>
    <row r="26" spans="1:15" ht="18" customHeight="1" x14ac:dyDescent="0.3">
      <c r="A26" s="10">
        <v>23</v>
      </c>
      <c r="B26" s="39">
        <f>(1+2.4)/3600*10^6</f>
        <v>944.44444444444434</v>
      </c>
      <c r="C26" s="39">
        <f>(58.9+38.6)/3600*10^6</f>
        <v>27083.333333333336</v>
      </c>
      <c r="D26" s="39">
        <f>(2.1+0.8)/3600*10^6</f>
        <v>805.55555555555566</v>
      </c>
      <c r="E26" s="40">
        <f>(0.2+0.1)/3600*10^6</f>
        <v>83.333333333333343</v>
      </c>
      <c r="F26" s="49">
        <f>0.3795*276644397/3600</f>
        <v>29162.930183750002</v>
      </c>
      <c r="G26" s="16"/>
      <c r="H26" s="58">
        <f t="shared" si="3"/>
        <v>3.238510117103055E-2</v>
      </c>
      <c r="I26" s="58">
        <f t="shared" si="4"/>
        <v>0.92869040122808211</v>
      </c>
      <c r="J26" s="58">
        <f t="shared" si="5"/>
        <v>2.7622586292937828E-2</v>
      </c>
      <c r="K26" s="58">
        <f t="shared" si="6"/>
        <v>2.8575089268556373E-3</v>
      </c>
      <c r="L26" s="58"/>
      <c r="M26" s="58">
        <f t="shared" si="1"/>
        <v>0.9915555976189061</v>
      </c>
      <c r="N26" s="58">
        <f t="shared" si="7"/>
        <v>8.4444023810938962E-3</v>
      </c>
      <c r="O26" s="58">
        <f t="shared" si="2"/>
        <v>0.937134803609176</v>
      </c>
    </row>
    <row r="27" spans="1:15" ht="18" customHeight="1" x14ac:dyDescent="0.3">
      <c r="A27" s="10">
        <v>24</v>
      </c>
      <c r="B27" s="39">
        <f>(6.1+0.8+(1-$F$28*3600/10^6/39.4)*0.7)/3600*10^6</f>
        <v>1945.1800923186686</v>
      </c>
      <c r="C27" s="39">
        <f>(58.8+35.4+(1-$F$28*3600/10^6/39.4)*26.4)/3600*10^6</f>
        <v>27242.030148399321</v>
      </c>
      <c r="D27" s="39">
        <f>(0.3+3+(1-$F$28*3600/10^6/39.4)*16.5)/3600*10^6</f>
        <v>1588.7688427495768</v>
      </c>
      <c r="E27" s="40">
        <f>(0+0.2+(1-$F$28*3600/10^6/39.4)*1.5)/3600*10^6</f>
        <v>116.65575338127469</v>
      </c>
      <c r="F27" s="49">
        <f>0.1365*917352394/3600</f>
        <v>34782.944939166664</v>
      </c>
      <c r="G27" s="16"/>
      <c r="H27" s="58">
        <f t="shared" si="3"/>
        <v>5.5923387042720929E-2</v>
      </c>
      <c r="I27" s="58">
        <f t="shared" si="4"/>
        <v>0.78320079556357403</v>
      </c>
      <c r="J27" s="58">
        <f t="shared" si="5"/>
        <v>4.5676662672704697E-2</v>
      </c>
      <c r="K27" s="58">
        <f t="shared" si="6"/>
        <v>3.3538204883254933E-3</v>
      </c>
      <c r="L27" s="58"/>
      <c r="M27" s="58">
        <f t="shared" si="1"/>
        <v>0.88815466576732505</v>
      </c>
      <c r="N27" s="58">
        <f t="shared" si="7"/>
        <v>0.11184533423267495</v>
      </c>
      <c r="O27" s="58">
        <f t="shared" si="2"/>
        <v>0.89504612979624898</v>
      </c>
    </row>
    <row r="28" spans="1:15" ht="18" customHeight="1" x14ac:dyDescent="0.3">
      <c r="A28" s="10">
        <v>25</v>
      </c>
      <c r="B28" s="39">
        <f>$F28/45.1*0.7</f>
        <v>144.95969269228874</v>
      </c>
      <c r="C28" s="39">
        <f>$F28/45.1*26.4</f>
        <v>5467.0512672520326</v>
      </c>
      <c r="D28" s="39">
        <f>$F28/45.1*16.5</f>
        <v>3416.9070420325202</v>
      </c>
      <c r="E28" s="40">
        <f>$F28/45.1*1.5</f>
        <v>310.62791291204729</v>
      </c>
      <c r="F28" s="49">
        <f>0.3812*88201378/3600</f>
        <v>9339.5459148888895</v>
      </c>
      <c r="G28" s="16"/>
      <c r="H28" s="58">
        <f t="shared" si="3"/>
        <v>1.5521064301552106E-2</v>
      </c>
      <c r="I28" s="58">
        <f t="shared" si="4"/>
        <v>0.58536585365853655</v>
      </c>
      <c r="J28" s="58">
        <f t="shared" si="5"/>
        <v>0.3658536585365853</v>
      </c>
      <c r="K28" s="58">
        <f t="shared" si="6"/>
        <v>3.325942350332594E-2</v>
      </c>
      <c r="L28" s="58"/>
      <c r="M28" s="58">
        <f t="shared" si="1"/>
        <v>0.99999999999999978</v>
      </c>
      <c r="N28" s="58">
        <f t="shared" si="7"/>
        <v>0</v>
      </c>
      <c r="O28" s="58">
        <f t="shared" si="2"/>
        <v>0.58536585365853655</v>
      </c>
    </row>
    <row r="29" spans="1:15" ht="18" customHeight="1" x14ac:dyDescent="0.3">
      <c r="A29" s="10">
        <v>26</v>
      </c>
      <c r="B29" s="39">
        <f>1.6/43*$F29</f>
        <v>69.589805686821705</v>
      </c>
      <c r="C29" s="39">
        <f>26.9/43*$F29</f>
        <v>1169.9786081096897</v>
      </c>
      <c r="D29" s="39">
        <f>13.2/43*$F29</f>
        <v>574.11589691627898</v>
      </c>
      <c r="E29" s="40">
        <f>1.2/43*$F29</f>
        <v>52.192354265116279</v>
      </c>
      <c r="F29" s="49">
        <f>0.2443*27559614/3600</f>
        <v>1870.2260278333333</v>
      </c>
      <c r="G29" s="16"/>
      <c r="H29" s="58">
        <f t="shared" si="3"/>
        <v>3.7209302325581395E-2</v>
      </c>
      <c r="I29" s="58">
        <f t="shared" si="4"/>
        <v>0.62558139534883717</v>
      </c>
      <c r="J29" s="58">
        <f t="shared" si="5"/>
        <v>0.30697674418604648</v>
      </c>
      <c r="K29" s="58">
        <f t="shared" si="6"/>
        <v>2.7906976744186046E-2</v>
      </c>
      <c r="L29" s="58"/>
      <c r="M29" s="58">
        <f t="shared" si="1"/>
        <v>0.99767441860465111</v>
      </c>
      <c r="N29" s="58">
        <f t="shared" si="7"/>
        <v>2.3255813953488857E-3</v>
      </c>
      <c r="O29" s="58">
        <f t="shared" si="2"/>
        <v>0.62790697674418605</v>
      </c>
    </row>
    <row r="30" spans="1:15" ht="18" customHeight="1" x14ac:dyDescent="0.3">
      <c r="A30" s="10">
        <v>27</v>
      </c>
      <c r="B30" s="39">
        <f>1.6/43*$F30</f>
        <v>89.171682753488369</v>
      </c>
      <c r="C30" s="39">
        <f>26.9/43*$F30</f>
        <v>1499.1989162930231</v>
      </c>
      <c r="D30" s="39">
        <f>13.2/43*$F30</f>
        <v>735.66638271627892</v>
      </c>
      <c r="E30" s="40">
        <f>1.2/43*$F30</f>
        <v>66.878762065116277</v>
      </c>
      <c r="F30" s="49">
        <f>0.2904*29708541/3600</f>
        <v>2396.4889739999999</v>
      </c>
      <c r="G30" s="16"/>
      <c r="H30" s="58">
        <f t="shared" si="3"/>
        <v>3.7209302325581395E-2</v>
      </c>
      <c r="I30" s="58">
        <f t="shared" si="4"/>
        <v>0.62558139534883717</v>
      </c>
      <c r="J30" s="58">
        <f t="shared" si="5"/>
        <v>0.30697674418604648</v>
      </c>
      <c r="K30" s="58">
        <f t="shared" si="6"/>
        <v>2.7906976744186046E-2</v>
      </c>
      <c r="L30" s="58"/>
      <c r="M30" s="58">
        <f t="shared" si="1"/>
        <v>0.99767441860465111</v>
      </c>
      <c r="N30" s="58">
        <f t="shared" si="7"/>
        <v>2.3255813953488857E-3</v>
      </c>
      <c r="O30" s="58">
        <f t="shared" si="2"/>
        <v>0.62790697674418605</v>
      </c>
    </row>
    <row r="31" spans="1:15" ht="18" customHeight="1" x14ac:dyDescent="0.3">
      <c r="A31" s="10">
        <v>28</v>
      </c>
      <c r="B31" s="39">
        <f>0.4/23*$F31</f>
        <v>117.51101424879228</v>
      </c>
      <c r="C31" s="39">
        <f>1.7/23*$F31</f>
        <v>499.42181055736722</v>
      </c>
      <c r="D31" s="39">
        <f>19/23*$F31</f>
        <v>5581.7731768176336</v>
      </c>
      <c r="E31" s="40">
        <f>1.9/23*$F31</f>
        <v>558.17731768176327</v>
      </c>
      <c r="F31" s="49">
        <f>0.3089*78746455/3600</f>
        <v>6756.8833193055561</v>
      </c>
      <c r="G31" s="16"/>
      <c r="H31" s="58">
        <f t="shared" si="3"/>
        <v>1.7391304347826087E-2</v>
      </c>
      <c r="I31" s="58">
        <f t="shared" si="4"/>
        <v>7.3913043478260873E-2</v>
      </c>
      <c r="J31" s="58">
        <f t="shared" si="5"/>
        <v>0.82608695652173914</v>
      </c>
      <c r="K31" s="58">
        <f t="shared" si="6"/>
        <v>8.2608695652173908E-2</v>
      </c>
      <c r="L31" s="58"/>
      <c r="M31" s="58">
        <f t="shared" si="1"/>
        <v>1</v>
      </c>
      <c r="N31" s="58">
        <f t="shared" si="7"/>
        <v>0</v>
      </c>
      <c r="O31" s="58">
        <f t="shared" si="2"/>
        <v>7.3913043478260873E-2</v>
      </c>
    </row>
    <row r="32" spans="1:15" ht="18" customHeight="1" x14ac:dyDescent="0.3">
      <c r="A32" s="10">
        <v>29</v>
      </c>
      <c r="B32" s="39">
        <f>0.6/36.4*$F32</f>
        <v>181.48696873855314</v>
      </c>
      <c r="C32" s="39">
        <f>16.9/36.4*$F32</f>
        <v>5111.8829528025799</v>
      </c>
      <c r="D32" s="39">
        <f>17.4/36.4*$F32</f>
        <v>5263.1220934180401</v>
      </c>
      <c r="E32" s="40">
        <f>1.5/36.4*$F32</f>
        <v>453.71742184638282</v>
      </c>
      <c r="F32" s="49">
        <f>0.3385*117095285/3600</f>
        <v>11010.209436805557</v>
      </c>
      <c r="G32" s="16"/>
      <c r="H32" s="58">
        <f t="shared" si="3"/>
        <v>1.6483516483516484E-2</v>
      </c>
      <c r="I32" s="58">
        <f t="shared" si="4"/>
        <v>0.4642857142857143</v>
      </c>
      <c r="J32" s="58">
        <f t="shared" si="5"/>
        <v>0.47802197802197793</v>
      </c>
      <c r="K32" s="58">
        <f t="shared" si="6"/>
        <v>4.1208791208791208E-2</v>
      </c>
      <c r="L32" s="58"/>
      <c r="M32" s="58">
        <f t="shared" si="1"/>
        <v>0.99999999999999989</v>
      </c>
      <c r="N32" s="58">
        <f t="shared" si="7"/>
        <v>0</v>
      </c>
      <c r="O32" s="58">
        <f t="shared" si="2"/>
        <v>0.4642857142857143</v>
      </c>
    </row>
    <row r="33" spans="1:15" ht="18" customHeight="1" x14ac:dyDescent="0.3">
      <c r="A33" s="10">
        <v>30</v>
      </c>
      <c r="B33" s="39">
        <f>0.6/36.4*$F33</f>
        <v>23.992480326923079</v>
      </c>
      <c r="C33" s="39">
        <f>16.9/36.4*$F33</f>
        <v>675.78819587499993</v>
      </c>
      <c r="D33" s="39">
        <f>17.4/36.4*$F33</f>
        <v>695.78192948076924</v>
      </c>
      <c r="E33" s="40">
        <f>1.5/36.4*$F33</f>
        <v>59.981200817307695</v>
      </c>
      <c r="F33" s="49">
        <f>0.4353*12037578/3600</f>
        <v>1455.5438065000001</v>
      </c>
      <c r="G33" s="16"/>
      <c r="H33" s="58">
        <f t="shared" si="3"/>
        <v>1.6483516483516484E-2</v>
      </c>
      <c r="I33" s="58">
        <f t="shared" si="4"/>
        <v>0.46428571428571419</v>
      </c>
      <c r="J33" s="58">
        <f t="shared" si="5"/>
        <v>0.47802197802197799</v>
      </c>
      <c r="K33" s="58">
        <f t="shared" si="6"/>
        <v>4.1208791208791208E-2</v>
      </c>
      <c r="L33" s="58"/>
      <c r="M33" s="58">
        <f t="shared" si="1"/>
        <v>0.99999999999999989</v>
      </c>
      <c r="N33" s="58">
        <f t="shared" si="7"/>
        <v>0</v>
      </c>
      <c r="O33" s="58">
        <f t="shared" si="2"/>
        <v>0.46428571428571419</v>
      </c>
    </row>
    <row r="34" spans="1:15" ht="18" customHeight="1" x14ac:dyDescent="0.3">
      <c r="A34" s="10">
        <v>31</v>
      </c>
      <c r="B34" s="39">
        <f>1.6/43*$F34</f>
        <v>17.712833416020672</v>
      </c>
      <c r="C34" s="39">
        <f>26.9/43*$F34</f>
        <v>297.79701180684748</v>
      </c>
      <c r="D34" s="39">
        <f>13.2/43*$F34</f>
        <v>146.13087568217051</v>
      </c>
      <c r="E34" s="40">
        <f>1.2/43*$F34</f>
        <v>13.284625062015502</v>
      </c>
      <c r="F34" s="49">
        <f>0.1682*10188565/3600</f>
        <v>476.03239805555552</v>
      </c>
      <c r="G34" s="16"/>
      <c r="H34" s="58">
        <f t="shared" si="3"/>
        <v>3.7209302325581402E-2</v>
      </c>
      <c r="I34" s="58">
        <f t="shared" si="4"/>
        <v>0.62558139534883717</v>
      </c>
      <c r="J34" s="58">
        <f t="shared" si="5"/>
        <v>0.30697674418604648</v>
      </c>
      <c r="K34" s="58">
        <f t="shared" si="6"/>
        <v>2.7906976744186046E-2</v>
      </c>
      <c r="L34" s="58"/>
      <c r="M34" s="58">
        <f t="shared" si="1"/>
        <v>0.99767441860465111</v>
      </c>
      <c r="N34" s="58">
        <f t="shared" si="7"/>
        <v>2.3255813953488857E-3</v>
      </c>
      <c r="O34" s="58">
        <f t="shared" si="2"/>
        <v>0.62790697674418605</v>
      </c>
    </row>
    <row r="35" spans="1:15" ht="18" customHeight="1" x14ac:dyDescent="0.3">
      <c r="A35" s="10">
        <v>32</v>
      </c>
      <c r="B35" s="39">
        <f t="shared" ref="B35:B36" si="16">1.6/43*$F35</f>
        <v>50.812242617054267</v>
      </c>
      <c r="C35" s="39">
        <f t="shared" ref="C35:C36" si="17">26.9/43*$F35</f>
        <v>854.28082899922481</v>
      </c>
      <c r="D35" s="39">
        <f t="shared" ref="D35:D36" si="18">13.2/43*$F35</f>
        <v>419.20100159069762</v>
      </c>
      <c r="E35" s="40">
        <f t="shared" ref="E35:E36" si="19">1.2/43*$F35</f>
        <v>38.1091819627907</v>
      </c>
      <c r="F35" s="49">
        <f>0.4471*10995492/3600</f>
        <v>1365.5790203333333</v>
      </c>
      <c r="G35" s="16"/>
      <c r="H35" s="58">
        <f t="shared" si="3"/>
        <v>3.7209302325581395E-2</v>
      </c>
      <c r="I35" s="58">
        <f t="shared" si="4"/>
        <v>0.62558139534883717</v>
      </c>
      <c r="J35" s="58">
        <f t="shared" si="5"/>
        <v>0.30697674418604648</v>
      </c>
      <c r="K35" s="58">
        <f t="shared" si="6"/>
        <v>2.790697674418605E-2</v>
      </c>
      <c r="L35" s="58"/>
      <c r="M35" s="58">
        <f t="shared" si="1"/>
        <v>0.99767441860465111</v>
      </c>
      <c r="N35" s="58">
        <f t="shared" si="7"/>
        <v>2.3255813953488857E-3</v>
      </c>
      <c r="O35" s="58">
        <f t="shared" si="2"/>
        <v>0.62790697674418605</v>
      </c>
    </row>
    <row r="36" spans="1:15" ht="18" customHeight="1" x14ac:dyDescent="0.3">
      <c r="A36" s="10">
        <v>33</v>
      </c>
      <c r="B36" s="39">
        <f t="shared" si="16"/>
        <v>23.683567350904394</v>
      </c>
      <c r="C36" s="39">
        <f t="shared" si="17"/>
        <v>398.17997608708009</v>
      </c>
      <c r="D36" s="39">
        <f t="shared" si="18"/>
        <v>195.38943064496124</v>
      </c>
      <c r="E36" s="40">
        <f t="shared" si="19"/>
        <v>17.762675513178294</v>
      </c>
      <c r="F36" s="49">
        <f>0.3202*7156106/3600</f>
        <v>636.49587255555559</v>
      </c>
      <c r="G36" s="16"/>
      <c r="H36" s="58">
        <f t="shared" si="3"/>
        <v>3.7209302325581395E-2</v>
      </c>
      <c r="I36" s="58">
        <f t="shared" si="4"/>
        <v>0.62558139534883717</v>
      </c>
      <c r="J36" s="58">
        <f t="shared" si="5"/>
        <v>0.30697674418604648</v>
      </c>
      <c r="K36" s="58">
        <f t="shared" si="6"/>
        <v>2.7906976744186046E-2</v>
      </c>
      <c r="L36" s="58"/>
      <c r="M36" s="58">
        <f t="shared" si="1"/>
        <v>0.99767441860465111</v>
      </c>
      <c r="N36" s="58">
        <f t="shared" si="7"/>
        <v>2.3255813953488857E-3</v>
      </c>
      <c r="O36" s="58">
        <f t="shared" si="2"/>
        <v>0.62790697674418605</v>
      </c>
    </row>
    <row r="37" spans="1:15" ht="18" customHeight="1" x14ac:dyDescent="0.3">
      <c r="A37" s="17" t="s">
        <v>100</v>
      </c>
      <c r="B37" s="32"/>
      <c r="C37" s="32"/>
      <c r="D37" s="32"/>
      <c r="E37" s="32"/>
      <c r="F37" s="45"/>
      <c r="G37" s="16"/>
      <c r="H37" s="58"/>
      <c r="I37" s="58"/>
      <c r="J37" s="58"/>
      <c r="K37" s="58"/>
      <c r="L37" s="58"/>
      <c r="M37" s="58"/>
      <c r="N37" s="58"/>
      <c r="O37" s="58"/>
    </row>
    <row r="38" spans="1:15" ht="18" customHeight="1" x14ac:dyDescent="0.3">
      <c r="A38" s="10">
        <v>35</v>
      </c>
      <c r="B38" s="39">
        <f>0.027*$F38</f>
        <v>2586.037046120673</v>
      </c>
      <c r="C38" s="39">
        <f>0.845*$F38</f>
        <v>80933.381628591436</v>
      </c>
      <c r="D38" s="39">
        <f>0.118*$F38</f>
        <v>11301.939683045905</v>
      </c>
      <c r="E38" s="40">
        <f>0.01*$F38</f>
        <v>957.79149856321226</v>
      </c>
      <c r="F38" s="50">
        <f>646100*0.129*(1+34000/227939)</f>
        <v>95779.149856321223</v>
      </c>
      <c r="H38" s="58">
        <f t="shared" si="3"/>
        <v>2.7E-2</v>
      </c>
      <c r="I38" s="58">
        <f t="shared" si="4"/>
        <v>0.84500000000000008</v>
      </c>
      <c r="J38" s="58">
        <f t="shared" si="5"/>
        <v>0.11800000000000001</v>
      </c>
      <c r="K38" s="58">
        <f t="shared" si="6"/>
        <v>0.01</v>
      </c>
      <c r="L38" s="58"/>
      <c r="M38" s="58">
        <f t="shared" si="1"/>
        <v>1</v>
      </c>
      <c r="N38" s="58">
        <f t="shared" si="7"/>
        <v>0</v>
      </c>
      <c r="O38" s="58">
        <f t="shared" si="2"/>
        <v>0.84500000000000008</v>
      </c>
    </row>
    <row r="39" spans="1:15" ht="18" customHeight="1" x14ac:dyDescent="0.3">
      <c r="A39" s="17" t="s">
        <v>117</v>
      </c>
      <c r="B39" s="32"/>
      <c r="C39" s="32"/>
      <c r="D39" s="32"/>
      <c r="E39" s="32"/>
      <c r="F39" s="45"/>
      <c r="H39" s="58"/>
      <c r="I39" s="58"/>
      <c r="J39" s="58"/>
      <c r="K39" s="58"/>
      <c r="L39" s="58"/>
      <c r="M39" s="58"/>
      <c r="N39" s="58"/>
      <c r="O39" s="58"/>
    </row>
    <row r="40" spans="1:15" ht="18" customHeight="1" x14ac:dyDescent="0.3">
      <c r="A40" s="10">
        <v>36</v>
      </c>
      <c r="B40" s="39">
        <f>0.002*$F40</f>
        <v>8.3408465861781842</v>
      </c>
      <c r="C40" s="39">
        <f t="shared" ref="C40:C41" si="20">0.095*$F40</f>
        <v>396.19021284346377</v>
      </c>
      <c r="D40" s="39">
        <f t="shared" ref="D40:D41" si="21">0.845*$F40</f>
        <v>3524.0076826602826</v>
      </c>
      <c r="E40" s="40">
        <f t="shared" ref="E40:E41" si="22">0.05*$F40</f>
        <v>208.52116465445462</v>
      </c>
      <c r="F40" s="49">
        <f>7567*37067/(37067+30189)</f>
        <v>4170.4232930890921</v>
      </c>
      <c r="H40" s="58">
        <f t="shared" si="3"/>
        <v>2E-3</v>
      </c>
      <c r="I40" s="58">
        <f t="shared" si="4"/>
        <v>9.5000000000000001E-2</v>
      </c>
      <c r="J40" s="58">
        <f t="shared" si="5"/>
        <v>0.84499999999999997</v>
      </c>
      <c r="K40" s="58">
        <f t="shared" si="6"/>
        <v>0.05</v>
      </c>
      <c r="L40" s="58"/>
      <c r="M40" s="58">
        <f t="shared" si="1"/>
        <v>0.99199999999999999</v>
      </c>
      <c r="N40" s="58">
        <f t="shared" si="7"/>
        <v>8.0000000000000071E-3</v>
      </c>
      <c r="O40" s="58">
        <f t="shared" si="2"/>
        <v>0.10300000000000001</v>
      </c>
    </row>
    <row r="41" spans="1:15" ht="18" customHeight="1" x14ac:dyDescent="0.3">
      <c r="A41" s="10">
        <v>37</v>
      </c>
      <c r="B41" s="39">
        <f t="shared" ref="B41:B43" si="23">0.002*$F41</f>
        <v>6.7931534138218153</v>
      </c>
      <c r="C41" s="39">
        <f t="shared" si="20"/>
        <v>322.67478715653618</v>
      </c>
      <c r="D41" s="39">
        <f t="shared" si="21"/>
        <v>2870.1073173397167</v>
      </c>
      <c r="E41" s="40">
        <f t="shared" si="22"/>
        <v>169.82883534554537</v>
      </c>
      <c r="F41" s="49">
        <f>7567*30189/(37067+30189)</f>
        <v>3396.5767069109074</v>
      </c>
      <c r="H41" s="58">
        <f t="shared" si="3"/>
        <v>2E-3</v>
      </c>
      <c r="I41" s="58">
        <f t="shared" si="4"/>
        <v>9.4999999999999987E-2</v>
      </c>
      <c r="J41" s="58">
        <f t="shared" si="5"/>
        <v>0.84499999999999997</v>
      </c>
      <c r="K41" s="58">
        <f t="shared" si="6"/>
        <v>0.05</v>
      </c>
      <c r="L41" s="58"/>
      <c r="M41" s="58">
        <f t="shared" si="1"/>
        <v>0.99199999999999999</v>
      </c>
      <c r="N41" s="58">
        <f t="shared" si="7"/>
        <v>8.0000000000000071E-3</v>
      </c>
      <c r="O41" s="58">
        <f t="shared" si="2"/>
        <v>0.10299999999999999</v>
      </c>
    </row>
    <row r="42" spans="1:15" ht="18" customHeight="1" x14ac:dyDescent="0.3">
      <c r="A42" s="10">
        <v>38</v>
      </c>
      <c r="B42" s="39">
        <f t="shared" si="23"/>
        <v>0.77465125795199996</v>
      </c>
      <c r="C42" s="39">
        <f>0.095*$F42</f>
        <v>36.795934752719994</v>
      </c>
      <c r="D42" s="39">
        <f>0.845*$F42</f>
        <v>327.29015648471994</v>
      </c>
      <c r="E42" s="40">
        <f>0.05*$F42</f>
        <v>19.366281448799999</v>
      </c>
      <c r="F42" s="49">
        <f>4854*0.484/10^6*164866</f>
        <v>387.32562897599996</v>
      </c>
      <c r="H42" s="58">
        <f t="shared" si="3"/>
        <v>2E-3</v>
      </c>
      <c r="I42" s="58">
        <f t="shared" si="4"/>
        <v>9.4999999999999987E-2</v>
      </c>
      <c r="J42" s="58">
        <f t="shared" si="5"/>
        <v>0.84499999999999997</v>
      </c>
      <c r="K42" s="58">
        <f t="shared" si="6"/>
        <v>0.05</v>
      </c>
      <c r="L42" s="58"/>
      <c r="M42" s="58">
        <f t="shared" si="1"/>
        <v>0.99199999999999999</v>
      </c>
      <c r="N42" s="58">
        <f t="shared" si="7"/>
        <v>8.0000000000000071E-3</v>
      </c>
      <c r="O42" s="58">
        <f t="shared" si="2"/>
        <v>0.10299999999999999</v>
      </c>
    </row>
    <row r="43" spans="1:15" ht="18" customHeight="1" x14ac:dyDescent="0.3">
      <c r="A43" s="10">
        <v>39</v>
      </c>
      <c r="B43" s="39">
        <f t="shared" si="23"/>
        <v>1.5176710559999999E-2</v>
      </c>
      <c r="C43" s="39">
        <f>0.095*$F43</f>
        <v>0.72089375159999991</v>
      </c>
      <c r="D43" s="39">
        <f>0.845*$F43</f>
        <v>6.4121602115999989</v>
      </c>
      <c r="E43" s="40">
        <f>0.05*$F43</f>
        <v>0.37941776399999999</v>
      </c>
      <c r="F43" s="49">
        <f>4854*0.484/10^6*3230</f>
        <v>7.5883552799999991</v>
      </c>
      <c r="H43" s="58">
        <f t="shared" si="3"/>
        <v>2E-3</v>
      </c>
      <c r="I43" s="58">
        <f t="shared" si="4"/>
        <v>9.5000000000000001E-2</v>
      </c>
      <c r="J43" s="58">
        <f t="shared" si="5"/>
        <v>0.84499999999999997</v>
      </c>
      <c r="K43" s="58">
        <f t="shared" si="6"/>
        <v>0.05</v>
      </c>
      <c r="L43" s="58"/>
      <c r="M43" s="58">
        <f t="shared" si="1"/>
        <v>0.99199999999999999</v>
      </c>
      <c r="N43" s="58">
        <f t="shared" si="7"/>
        <v>8.0000000000000071E-3</v>
      </c>
      <c r="O43" s="58">
        <f t="shared" si="2"/>
        <v>0.10300000000000001</v>
      </c>
    </row>
    <row r="44" spans="1:15" ht="18" customHeight="1" x14ac:dyDescent="0.3">
      <c r="A44" s="17" t="s">
        <v>101</v>
      </c>
      <c r="B44" s="32"/>
      <c r="C44" s="32"/>
      <c r="D44" s="32"/>
      <c r="E44" s="32"/>
      <c r="F44" s="45"/>
      <c r="H44" s="58"/>
      <c r="I44" s="58"/>
      <c r="J44" s="58"/>
      <c r="K44" s="58"/>
      <c r="L44" s="58"/>
      <c r="M44" s="58"/>
      <c r="N44" s="58"/>
      <c r="O44" s="58"/>
    </row>
    <row r="45" spans="1:15" ht="18" customHeight="1" x14ac:dyDescent="0.3">
      <c r="A45" s="10">
        <v>41</v>
      </c>
      <c r="B45" s="39">
        <f>0.002*$F45</f>
        <v>1.119051165056</v>
      </c>
      <c r="C45" s="39">
        <f>0.095*$F45</f>
        <v>53.15493034016</v>
      </c>
      <c r="D45" s="39">
        <f>0.845*$F45</f>
        <v>472.79911723615999</v>
      </c>
      <c r="E45" s="40">
        <f>0.05*$F45</f>
        <v>27.976279126400001</v>
      </c>
      <c r="F45" s="49">
        <f>4231*0.484*273232/10^6</f>
        <v>559.52558252799997</v>
      </c>
      <c r="H45" s="58">
        <f t="shared" si="3"/>
        <v>2E-3</v>
      </c>
      <c r="I45" s="58">
        <f t="shared" si="4"/>
        <v>9.5000000000000001E-2</v>
      </c>
      <c r="J45" s="58">
        <f t="shared" si="5"/>
        <v>0.84499999999999997</v>
      </c>
      <c r="K45" s="58">
        <f t="shared" si="6"/>
        <v>0.05</v>
      </c>
      <c r="L45" s="58"/>
      <c r="M45" s="58">
        <f t="shared" si="1"/>
        <v>0.99199999999999999</v>
      </c>
      <c r="N45" s="58">
        <f t="shared" si="7"/>
        <v>8.0000000000000071E-3</v>
      </c>
      <c r="O45" s="58">
        <f t="shared" si="2"/>
        <v>0.10300000000000001</v>
      </c>
    </row>
    <row r="46" spans="1:15" ht="18" customHeight="1" x14ac:dyDescent="0.3">
      <c r="A46" s="10">
        <v>42</v>
      </c>
      <c r="B46" s="39">
        <f t="shared" ref="B46:B47" si="24">0.002*$F46</f>
        <v>0.81935504965599992</v>
      </c>
      <c r="C46" s="39">
        <f>0.095*$F46</f>
        <v>38.919364858659996</v>
      </c>
      <c r="D46" s="39">
        <f>0.845*$F46</f>
        <v>346.17750847965993</v>
      </c>
      <c r="E46" s="40">
        <f>0.05*$F46</f>
        <v>20.483876241399997</v>
      </c>
      <c r="F46" s="49">
        <f>4231*0.484*200057/10^6</f>
        <v>409.67752482799995</v>
      </c>
      <c r="H46" s="58">
        <f t="shared" si="3"/>
        <v>2E-3</v>
      </c>
      <c r="I46" s="58">
        <f t="shared" si="4"/>
        <v>9.5000000000000001E-2</v>
      </c>
      <c r="J46" s="58">
        <f t="shared" si="5"/>
        <v>0.84499999999999997</v>
      </c>
      <c r="K46" s="58">
        <f t="shared" si="6"/>
        <v>0.05</v>
      </c>
      <c r="L46" s="58"/>
      <c r="M46" s="58">
        <f t="shared" si="1"/>
        <v>0.99199999999999999</v>
      </c>
      <c r="N46" s="58">
        <f t="shared" si="7"/>
        <v>8.0000000000000071E-3</v>
      </c>
      <c r="O46" s="58">
        <f t="shared" si="2"/>
        <v>0.10300000000000001</v>
      </c>
    </row>
    <row r="47" spans="1:15" ht="18" customHeight="1" x14ac:dyDescent="0.3">
      <c r="A47" s="10">
        <v>43</v>
      </c>
      <c r="B47" s="39">
        <f t="shared" si="24"/>
        <v>5.0531120031040002</v>
      </c>
      <c r="C47" s="39">
        <f>0.095*$F47</f>
        <v>240.02282014744</v>
      </c>
      <c r="D47" s="39">
        <f>0.845*$F47</f>
        <v>2134.93982131144</v>
      </c>
      <c r="E47" s="40">
        <f>0.05*$F47</f>
        <v>126.3278000776</v>
      </c>
      <c r="F47" s="49">
        <f>4231*0.484*1233788/10^6</f>
        <v>2526.556001552</v>
      </c>
      <c r="H47" s="58">
        <f t="shared" si="3"/>
        <v>2E-3</v>
      </c>
      <c r="I47" s="58">
        <f t="shared" si="4"/>
        <v>9.5000000000000001E-2</v>
      </c>
      <c r="J47" s="58">
        <f t="shared" si="5"/>
        <v>0.84499999999999997</v>
      </c>
      <c r="K47" s="58">
        <f t="shared" si="6"/>
        <v>0.05</v>
      </c>
      <c r="L47" s="58"/>
      <c r="M47" s="58">
        <f t="shared" si="1"/>
        <v>0.99199999999999999</v>
      </c>
      <c r="N47" s="58">
        <f t="shared" si="7"/>
        <v>8.0000000000000071E-3</v>
      </c>
      <c r="O47" s="58">
        <f t="shared" si="2"/>
        <v>0.10300000000000001</v>
      </c>
    </row>
    <row r="48" spans="1:15" ht="18" customHeight="1" x14ac:dyDescent="0.3">
      <c r="A48" s="17" t="s">
        <v>102</v>
      </c>
      <c r="B48" s="32"/>
      <c r="C48" s="32"/>
      <c r="D48" s="32"/>
      <c r="E48" s="32"/>
      <c r="F48" s="45"/>
      <c r="H48" s="58"/>
      <c r="I48" s="58"/>
      <c r="J48" s="58"/>
      <c r="K48" s="58"/>
      <c r="L48" s="58"/>
      <c r="M48" s="58"/>
      <c r="N48" s="58"/>
      <c r="O48" s="58"/>
    </row>
    <row r="49" spans="1:15" ht="18" customHeight="1" x14ac:dyDescent="0.3">
      <c r="A49" s="10">
        <v>45</v>
      </c>
      <c r="B49" s="39">
        <f>0.002*$F49</f>
        <v>2.9593129003679999</v>
      </c>
      <c r="C49" s="39">
        <f>0.095*$F49</f>
        <v>140.56736276747998</v>
      </c>
      <c r="D49" s="39">
        <f>0.845*$F49</f>
        <v>1250.3097004054798</v>
      </c>
      <c r="E49" s="40">
        <f>0.05*$F49</f>
        <v>73.982822509199991</v>
      </c>
      <c r="F49" s="49">
        <f>4854*0.484/10^6*629819</f>
        <v>1479.6564501839998</v>
      </c>
      <c r="H49" s="58">
        <f t="shared" si="3"/>
        <v>2E-3</v>
      </c>
      <c r="I49" s="58">
        <f t="shared" si="4"/>
        <v>9.5000000000000001E-2</v>
      </c>
      <c r="J49" s="58">
        <f t="shared" si="5"/>
        <v>0.84499999999999997</v>
      </c>
      <c r="K49" s="58">
        <f t="shared" si="6"/>
        <v>0.05</v>
      </c>
      <c r="L49" s="58"/>
      <c r="M49" s="58">
        <f t="shared" si="1"/>
        <v>0.99199999999999999</v>
      </c>
      <c r="N49" s="58">
        <f t="shared" si="7"/>
        <v>8.0000000000000071E-3</v>
      </c>
      <c r="O49" s="58">
        <f t="shared" si="2"/>
        <v>0.10300000000000001</v>
      </c>
    </row>
    <row r="50" spans="1:15" ht="18" customHeight="1" x14ac:dyDescent="0.3">
      <c r="A50" s="10">
        <v>46</v>
      </c>
      <c r="B50" s="39">
        <f t="shared" ref="B50:B51" si="25">0.002*$F50</f>
        <v>8.2114618659744014</v>
      </c>
      <c r="C50" s="39">
        <f>0.095*$F50</f>
        <v>390.04443863378407</v>
      </c>
      <c r="D50" s="39">
        <f>0.845*$F50</f>
        <v>3469.3426383741844</v>
      </c>
      <c r="E50" s="40">
        <f>0.05*$F50</f>
        <v>205.28654664936005</v>
      </c>
      <c r="F50" s="49">
        <f>(0.13*5944+0.87*6359)*0.484*1345416/10^6</f>
        <v>4105.7309329872005</v>
      </c>
      <c r="H50" s="58">
        <f t="shared" si="3"/>
        <v>2E-3</v>
      </c>
      <c r="I50" s="58">
        <f t="shared" si="4"/>
        <v>9.5000000000000001E-2</v>
      </c>
      <c r="J50" s="58">
        <f t="shared" si="5"/>
        <v>0.84499999999999997</v>
      </c>
      <c r="K50" s="58">
        <f t="shared" si="6"/>
        <v>0.05</v>
      </c>
      <c r="L50" s="58"/>
      <c r="M50" s="58">
        <f t="shared" si="1"/>
        <v>0.99199999999999999</v>
      </c>
      <c r="N50" s="58">
        <f t="shared" si="7"/>
        <v>8.0000000000000071E-3</v>
      </c>
      <c r="O50" s="58">
        <f t="shared" si="2"/>
        <v>0.10300000000000001</v>
      </c>
    </row>
    <row r="51" spans="1:15" ht="18" customHeight="1" x14ac:dyDescent="0.3">
      <c r="A51" s="10">
        <v>47</v>
      </c>
      <c r="B51" s="39">
        <f t="shared" si="25"/>
        <v>13.468566895090561</v>
      </c>
      <c r="C51" s="39">
        <f>0.095*$F51</f>
        <v>639.75692751680162</v>
      </c>
      <c r="D51" s="39">
        <f>0.845*$F51</f>
        <v>5690.4695131757617</v>
      </c>
      <c r="E51" s="40">
        <f>0.05*$F51</f>
        <v>336.71417237726405</v>
      </c>
      <c r="F51" s="49">
        <f>(0.13*3771+0.87*6335)*0.484*2318319/10^6</f>
        <v>6734.2834475452801</v>
      </c>
      <c r="H51" s="58">
        <f t="shared" si="3"/>
        <v>2E-3</v>
      </c>
      <c r="I51" s="58">
        <f t="shared" si="4"/>
        <v>9.5000000000000001E-2</v>
      </c>
      <c r="J51" s="58">
        <f t="shared" si="5"/>
        <v>0.84499999999999997</v>
      </c>
      <c r="K51" s="58">
        <f t="shared" si="6"/>
        <v>5.000000000000001E-2</v>
      </c>
      <c r="L51" s="58"/>
      <c r="M51" s="58">
        <f t="shared" si="1"/>
        <v>0.99199999999999999</v>
      </c>
      <c r="N51" s="58">
        <f t="shared" si="7"/>
        <v>8.0000000000000071E-3</v>
      </c>
      <c r="O51" s="58">
        <f t="shared" si="2"/>
        <v>0.10300000000000001</v>
      </c>
    </row>
    <row r="52" spans="1:15" ht="18" customHeight="1" x14ac:dyDescent="0.3">
      <c r="A52" s="17" t="s">
        <v>103</v>
      </c>
      <c r="B52" s="32"/>
      <c r="C52" s="32"/>
      <c r="D52" s="32"/>
      <c r="E52" s="32"/>
      <c r="F52" s="45"/>
      <c r="H52" s="58"/>
      <c r="I52" s="58"/>
      <c r="J52" s="58"/>
      <c r="K52" s="58"/>
      <c r="L52" s="58"/>
      <c r="M52" s="58"/>
      <c r="N52" s="58"/>
      <c r="O52" s="58"/>
    </row>
    <row r="53" spans="1:15" ht="18" customHeight="1" x14ac:dyDescent="0.3">
      <c r="A53" s="10">
        <v>49</v>
      </c>
      <c r="B53" s="39">
        <f>0.988*$F53</f>
        <v>1774.8902573681419</v>
      </c>
      <c r="C53" s="39">
        <f>0*$F53</f>
        <v>0</v>
      </c>
      <c r="D53" s="39">
        <f>0.004*$F53</f>
        <v>7.1857905156604938</v>
      </c>
      <c r="E53" s="40">
        <f>0*$F53</f>
        <v>0</v>
      </c>
      <c r="F53" s="49">
        <f>7.4*598890/(598890+23374+63006)*10^6/3600</f>
        <v>1796.4476289151235</v>
      </c>
      <c r="H53" s="58">
        <f t="shared" si="3"/>
        <v>0.98799999999999999</v>
      </c>
      <c r="I53" s="58">
        <f t="shared" si="4"/>
        <v>0</v>
      </c>
      <c r="J53" s="58">
        <f t="shared" si="5"/>
        <v>4.0000000000000001E-3</v>
      </c>
      <c r="K53" s="58">
        <f t="shared" si="6"/>
        <v>0</v>
      </c>
      <c r="L53" s="58"/>
      <c r="M53" s="58">
        <f t="shared" si="1"/>
        <v>0.99199999999999999</v>
      </c>
      <c r="N53" s="58">
        <f t="shared" si="7"/>
        <v>8.0000000000000071E-3</v>
      </c>
      <c r="O53" s="58">
        <f t="shared" si="2"/>
        <v>8.0000000000000071E-3</v>
      </c>
    </row>
    <row r="54" spans="1:15" ht="18" customHeight="1" x14ac:dyDescent="0.3">
      <c r="A54" s="10">
        <v>50</v>
      </c>
      <c r="B54" s="39">
        <f t="shared" ref="B54:B55" si="26">0.988*$F54</f>
        <v>69.271961254525806</v>
      </c>
      <c r="C54" s="39">
        <f t="shared" ref="C54:C55" si="27">0*$F54</f>
        <v>0</v>
      </c>
      <c r="D54" s="39">
        <f t="shared" ref="D54:D55" si="28">0.004*$F54</f>
        <v>0.28045328443127859</v>
      </c>
      <c r="E54" s="40">
        <f t="shared" ref="E54:E55" si="29">0*$F54</f>
        <v>0</v>
      </c>
      <c r="F54" s="49">
        <f>7.4*23374/(598890+23374+63006)*10^6/3600</f>
        <v>70.113321107819644</v>
      </c>
      <c r="H54" s="58">
        <f t="shared" si="3"/>
        <v>0.98799999999999999</v>
      </c>
      <c r="I54" s="58">
        <f t="shared" si="4"/>
        <v>0</v>
      </c>
      <c r="J54" s="58">
        <f t="shared" si="5"/>
        <v>4.0000000000000001E-3</v>
      </c>
      <c r="K54" s="58">
        <f t="shared" si="6"/>
        <v>0</v>
      </c>
      <c r="L54" s="58"/>
      <c r="M54" s="58">
        <f t="shared" si="1"/>
        <v>0.99199999999999999</v>
      </c>
      <c r="N54" s="58">
        <f t="shared" si="7"/>
        <v>8.0000000000000071E-3</v>
      </c>
      <c r="O54" s="58">
        <f t="shared" si="2"/>
        <v>8.0000000000000071E-3</v>
      </c>
    </row>
    <row r="55" spans="1:15" ht="18" customHeight="1" x14ac:dyDescent="0.3">
      <c r="A55" s="10">
        <v>51</v>
      </c>
      <c r="B55" s="39">
        <f t="shared" si="26"/>
        <v>186.72667026622111</v>
      </c>
      <c r="C55" s="39">
        <f t="shared" si="27"/>
        <v>0</v>
      </c>
      <c r="D55" s="39">
        <f t="shared" si="28"/>
        <v>0.75597842213044986</v>
      </c>
      <c r="E55" s="40">
        <f t="shared" si="29"/>
        <v>0</v>
      </c>
      <c r="F55" s="49">
        <f>7.4*63006/(598890+23374+63006)*10^6/3600</f>
        <v>188.99460553261247</v>
      </c>
      <c r="H55" s="58">
        <f t="shared" si="3"/>
        <v>0.98799999999999999</v>
      </c>
      <c r="I55" s="58">
        <f t="shared" si="4"/>
        <v>0</v>
      </c>
      <c r="J55" s="58">
        <f t="shared" si="5"/>
        <v>4.0000000000000001E-3</v>
      </c>
      <c r="K55" s="58">
        <f t="shared" si="6"/>
        <v>0</v>
      </c>
      <c r="L55" s="58"/>
      <c r="M55" s="58">
        <f t="shared" si="1"/>
        <v>0.99199999999999999</v>
      </c>
      <c r="N55" s="58">
        <f t="shared" si="7"/>
        <v>8.0000000000000071E-3</v>
      </c>
      <c r="O55" s="58">
        <f t="shared" si="2"/>
        <v>8.0000000000000071E-3</v>
      </c>
    </row>
    <row r="56" spans="1:15" ht="18" customHeight="1" x14ac:dyDescent="0.3">
      <c r="A56" s="10">
        <v>52</v>
      </c>
      <c r="B56" s="39">
        <f>0.02*$F56</f>
        <v>28.285834733199994</v>
      </c>
      <c r="C56" s="39">
        <f>0.095*$F56</f>
        <v>134.35771498269997</v>
      </c>
      <c r="D56" s="39">
        <f>0.845*$F56</f>
        <v>1195.0765174776998</v>
      </c>
      <c r="E56" s="40">
        <f>0.05*$F56</f>
        <v>70.714586832999984</v>
      </c>
      <c r="F56" s="49">
        <f>4295*0.484*680347/10^6</f>
        <v>1414.2917366599997</v>
      </c>
      <c r="H56" s="58">
        <f t="shared" si="3"/>
        <v>0.02</v>
      </c>
      <c r="I56" s="58">
        <f t="shared" si="4"/>
        <v>9.5000000000000001E-2</v>
      </c>
      <c r="J56" s="58">
        <f t="shared" si="5"/>
        <v>0.84499999999999997</v>
      </c>
      <c r="K56" s="58">
        <f t="shared" si="6"/>
        <v>4.9999999999999996E-2</v>
      </c>
      <c r="L56" s="58"/>
      <c r="M56" s="58">
        <f t="shared" si="1"/>
        <v>1.01</v>
      </c>
      <c r="N56" s="58">
        <f t="shared" si="7"/>
        <v>-1.0000000000000009E-2</v>
      </c>
      <c r="O56" s="58">
        <f t="shared" si="2"/>
        <v>8.4999999999999992E-2</v>
      </c>
    </row>
    <row r="57" spans="1:15" ht="18" customHeight="1" x14ac:dyDescent="0.3">
      <c r="A57" s="10">
        <v>53</v>
      </c>
      <c r="B57" s="39">
        <f>0.02*$F57</f>
        <v>8.1128966688000013</v>
      </c>
      <c r="C57" s="39">
        <f>0.095*$F57</f>
        <v>38.536259176800002</v>
      </c>
      <c r="D57" s="39">
        <f>0.845*$F57</f>
        <v>342.76988425680003</v>
      </c>
      <c r="E57" s="40">
        <f>0.05*$F57</f>
        <v>20.282241672000001</v>
      </c>
      <c r="F57" s="49">
        <f>3304*0.484*253665/10^6</f>
        <v>405.64483344000001</v>
      </c>
      <c r="H57" s="58">
        <f t="shared" si="3"/>
        <v>2.0000000000000004E-2</v>
      </c>
      <c r="I57" s="58">
        <f t="shared" si="4"/>
        <v>9.5000000000000001E-2</v>
      </c>
      <c r="J57" s="58">
        <f t="shared" si="5"/>
        <v>0.84500000000000008</v>
      </c>
      <c r="K57" s="58">
        <f t="shared" si="6"/>
        <v>0.05</v>
      </c>
      <c r="L57" s="58"/>
      <c r="M57" s="58">
        <f t="shared" si="1"/>
        <v>1.01</v>
      </c>
      <c r="N57" s="58">
        <f t="shared" si="7"/>
        <v>-1.0000000000000009E-2</v>
      </c>
      <c r="O57" s="58">
        <f t="shared" si="2"/>
        <v>8.4999999999999992E-2</v>
      </c>
    </row>
    <row r="58" spans="1:15" ht="18" customHeight="1" x14ac:dyDescent="0.3">
      <c r="A58" s="17" t="s">
        <v>104</v>
      </c>
      <c r="B58" s="32"/>
      <c r="C58" s="32"/>
      <c r="D58" s="32"/>
      <c r="E58" s="32"/>
      <c r="F58" s="45"/>
      <c r="H58" s="58"/>
      <c r="I58" s="58"/>
      <c r="J58" s="58"/>
      <c r="K58" s="58"/>
      <c r="L58" s="58"/>
      <c r="M58" s="58"/>
      <c r="N58" s="58"/>
      <c r="O58" s="58"/>
    </row>
    <row r="59" spans="1:15" ht="18" customHeight="1" x14ac:dyDescent="0.3">
      <c r="A59" s="10">
        <v>55</v>
      </c>
      <c r="B59" s="39">
        <f>0.02*$F59</f>
        <v>49.230913688879994</v>
      </c>
      <c r="C59" s="39">
        <f>0.095*$F59</f>
        <v>233.84684002217995</v>
      </c>
      <c r="D59" s="39">
        <f>0.845*$F59</f>
        <v>2080.0061033551797</v>
      </c>
      <c r="E59" s="40">
        <f>0.05*$F59</f>
        <v>123.07728422219998</v>
      </c>
      <c r="F59" s="49">
        <f>17521*0.484*290271/10^6</f>
        <v>2461.5456844439996</v>
      </c>
      <c r="H59" s="58">
        <f t="shared" si="3"/>
        <v>0.02</v>
      </c>
      <c r="I59" s="58">
        <f t="shared" si="4"/>
        <v>9.5000000000000001E-2</v>
      </c>
      <c r="J59" s="58">
        <f t="shared" si="5"/>
        <v>0.84499999999999997</v>
      </c>
      <c r="K59" s="58">
        <f t="shared" si="6"/>
        <v>0.05</v>
      </c>
      <c r="L59" s="58"/>
      <c r="M59" s="58">
        <f t="shared" si="1"/>
        <v>1.01</v>
      </c>
      <c r="N59" s="58">
        <f t="shared" si="7"/>
        <v>-1.0000000000000009E-2</v>
      </c>
      <c r="O59" s="58">
        <f t="shared" si="2"/>
        <v>8.4999999999999992E-2</v>
      </c>
    </row>
    <row r="60" spans="1:15" ht="18" customHeight="1" x14ac:dyDescent="0.3">
      <c r="A60" s="10">
        <v>56</v>
      </c>
      <c r="B60" s="39">
        <f>0.02*$F60</f>
        <v>67.096752110080004</v>
      </c>
      <c r="C60" s="39">
        <f>0.095*$F60</f>
        <v>318.70957252287997</v>
      </c>
      <c r="D60" s="39">
        <f>0.845*$F60</f>
        <v>2834.8377766508797</v>
      </c>
      <c r="E60" s="40">
        <f>0.05*$F60</f>
        <v>167.7418802752</v>
      </c>
      <c r="F60" s="49">
        <f>10016*0.484*692041/10^6</f>
        <v>3354.8376055039998</v>
      </c>
      <c r="H60" s="58">
        <f t="shared" si="3"/>
        <v>2.0000000000000004E-2</v>
      </c>
      <c r="I60" s="58">
        <f t="shared" si="4"/>
        <v>9.5000000000000001E-2</v>
      </c>
      <c r="J60" s="58">
        <f t="shared" si="5"/>
        <v>0.84499999999999997</v>
      </c>
      <c r="K60" s="58">
        <f t="shared" si="6"/>
        <v>0.05</v>
      </c>
      <c r="L60" s="58"/>
      <c r="M60" s="58">
        <f t="shared" si="1"/>
        <v>1.01</v>
      </c>
      <c r="N60" s="58">
        <f t="shared" si="7"/>
        <v>-1.0000000000000009E-2</v>
      </c>
      <c r="O60" s="58">
        <f t="shared" si="2"/>
        <v>8.4999999999999992E-2</v>
      </c>
    </row>
    <row r="61" spans="1:15" ht="18" customHeight="1" x14ac:dyDescent="0.3">
      <c r="A61" s="17" t="s">
        <v>105</v>
      </c>
      <c r="B61" s="32"/>
      <c r="C61" s="32"/>
      <c r="D61" s="32"/>
      <c r="E61" s="32"/>
      <c r="F61" s="45"/>
      <c r="H61" s="58"/>
      <c r="I61" s="58"/>
      <c r="J61" s="58"/>
      <c r="K61" s="58"/>
      <c r="L61" s="58"/>
      <c r="M61" s="58"/>
      <c r="N61" s="58"/>
      <c r="O61" s="58"/>
    </row>
    <row r="62" spans="1:15" ht="18" customHeight="1" x14ac:dyDescent="0.3">
      <c r="A62" s="10">
        <v>58</v>
      </c>
      <c r="B62" s="39">
        <f>0.002*$F62</f>
        <v>0.67641589399999991</v>
      </c>
      <c r="C62" s="39">
        <f t="shared" ref="C62:C67" si="30">0.095*$F62</f>
        <v>32.129754964999997</v>
      </c>
      <c r="D62" s="39">
        <f t="shared" ref="D62:D67" si="31">0.845*$F62</f>
        <v>285.78571521499993</v>
      </c>
      <c r="E62" s="40">
        <f t="shared" ref="E62:E67" si="32">0.05*$F62</f>
        <v>16.910397349999997</v>
      </c>
      <c r="F62" s="49">
        <f>5075*0.484*137690/10^6</f>
        <v>338.20794699999993</v>
      </c>
      <c r="H62" s="58">
        <f t="shared" si="3"/>
        <v>2E-3</v>
      </c>
      <c r="I62" s="58">
        <f t="shared" si="4"/>
        <v>9.5000000000000015E-2</v>
      </c>
      <c r="J62" s="58">
        <f t="shared" si="5"/>
        <v>0.84499999999999997</v>
      </c>
      <c r="K62" s="58">
        <f t="shared" si="6"/>
        <v>0.05</v>
      </c>
      <c r="L62" s="58"/>
      <c r="M62" s="58">
        <f t="shared" si="1"/>
        <v>0.99199999999999999</v>
      </c>
      <c r="N62" s="58">
        <f t="shared" si="7"/>
        <v>8.0000000000000071E-3</v>
      </c>
      <c r="O62" s="58">
        <f t="shared" si="2"/>
        <v>0.10300000000000002</v>
      </c>
    </row>
    <row r="63" spans="1:15" ht="18" customHeight="1" x14ac:dyDescent="0.3">
      <c r="A63" s="10">
        <v>59</v>
      </c>
      <c r="B63" s="39">
        <f t="shared" ref="B63:B67" si="33">0.002*$F63</f>
        <v>0.19104800351999998</v>
      </c>
      <c r="C63" s="39">
        <f t="shared" si="30"/>
        <v>9.0747801671999984</v>
      </c>
      <c r="D63" s="39">
        <f t="shared" si="31"/>
        <v>80.717781487199986</v>
      </c>
      <c r="E63" s="40">
        <f t="shared" si="32"/>
        <v>4.7762000879999995</v>
      </c>
      <c r="F63" s="49">
        <f>4854*0.484/10^6*40660</f>
        <v>95.52400175999999</v>
      </c>
      <c r="H63" s="58">
        <f t="shared" si="3"/>
        <v>2E-3</v>
      </c>
      <c r="I63" s="58">
        <f t="shared" si="4"/>
        <v>9.4999999999999987E-2</v>
      </c>
      <c r="J63" s="58">
        <f t="shared" si="5"/>
        <v>0.84499999999999997</v>
      </c>
      <c r="K63" s="58">
        <f t="shared" si="6"/>
        <v>0.05</v>
      </c>
      <c r="L63" s="58"/>
      <c r="M63" s="58">
        <f t="shared" si="1"/>
        <v>0.99199999999999999</v>
      </c>
      <c r="N63" s="58">
        <f t="shared" si="7"/>
        <v>8.0000000000000071E-3</v>
      </c>
      <c r="O63" s="58">
        <f t="shared" si="2"/>
        <v>0.10299999999999999</v>
      </c>
    </row>
    <row r="64" spans="1:15" ht="18" customHeight="1" x14ac:dyDescent="0.3">
      <c r="A64" s="10">
        <v>60</v>
      </c>
      <c r="B64" s="39">
        <f t="shared" si="33"/>
        <v>1.3431547404000002</v>
      </c>
      <c r="C64" s="39">
        <f t="shared" si="30"/>
        <v>63.799850169000003</v>
      </c>
      <c r="D64" s="39">
        <f t="shared" si="31"/>
        <v>567.48287781900001</v>
      </c>
      <c r="E64" s="40">
        <f t="shared" si="32"/>
        <v>33.57886851</v>
      </c>
      <c r="F64" s="49">
        <f>23775*0.484*58362/10^6</f>
        <v>671.57737020000002</v>
      </c>
      <c r="H64" s="58">
        <f t="shared" si="3"/>
        <v>2E-3</v>
      </c>
      <c r="I64" s="58">
        <f t="shared" si="4"/>
        <v>9.5000000000000001E-2</v>
      </c>
      <c r="J64" s="58">
        <f t="shared" si="5"/>
        <v>0.84499999999999997</v>
      </c>
      <c r="K64" s="58">
        <f t="shared" si="6"/>
        <v>4.9999999999999996E-2</v>
      </c>
      <c r="L64" s="58"/>
      <c r="M64" s="58">
        <f t="shared" si="1"/>
        <v>0.99199999999999999</v>
      </c>
      <c r="N64" s="58">
        <f t="shared" si="7"/>
        <v>8.0000000000000071E-3</v>
      </c>
      <c r="O64" s="58">
        <f t="shared" si="2"/>
        <v>0.10300000000000001</v>
      </c>
    </row>
    <row r="65" spans="1:15" ht="18" customHeight="1" x14ac:dyDescent="0.3">
      <c r="A65" s="10">
        <v>61</v>
      </c>
      <c r="B65" s="39">
        <f t="shared" si="33"/>
        <v>1.3901497368</v>
      </c>
      <c r="C65" s="39">
        <f t="shared" si="30"/>
        <v>66.032112498000004</v>
      </c>
      <c r="D65" s="39">
        <f t="shared" si="31"/>
        <v>587.33826379799996</v>
      </c>
      <c r="E65" s="40">
        <f t="shared" si="32"/>
        <v>34.753743419999999</v>
      </c>
      <c r="F65" s="49">
        <f>23775*0.484*60404/10^6</f>
        <v>695.07486840000001</v>
      </c>
      <c r="H65" s="58">
        <f t="shared" si="3"/>
        <v>2E-3</v>
      </c>
      <c r="I65" s="58">
        <f t="shared" si="4"/>
        <v>9.5000000000000001E-2</v>
      </c>
      <c r="J65" s="58">
        <f t="shared" si="5"/>
        <v>0.84499999999999997</v>
      </c>
      <c r="K65" s="58">
        <f t="shared" si="6"/>
        <v>4.9999999999999996E-2</v>
      </c>
      <c r="L65" s="58"/>
      <c r="M65" s="58">
        <f t="shared" si="1"/>
        <v>0.99199999999999999</v>
      </c>
      <c r="N65" s="58">
        <f t="shared" si="7"/>
        <v>8.0000000000000071E-3</v>
      </c>
      <c r="O65" s="58">
        <f t="shared" si="2"/>
        <v>0.10300000000000001</v>
      </c>
    </row>
    <row r="66" spans="1:15" ht="18" customHeight="1" x14ac:dyDescent="0.3">
      <c r="A66" s="10">
        <v>62</v>
      </c>
      <c r="B66" s="39">
        <f t="shared" si="33"/>
        <v>2.795277562176</v>
      </c>
      <c r="C66" s="39">
        <f t="shared" si="30"/>
        <v>132.77568420335999</v>
      </c>
      <c r="D66" s="39">
        <f t="shared" si="31"/>
        <v>1181.0047700193597</v>
      </c>
      <c r="E66" s="40">
        <f t="shared" si="32"/>
        <v>69.881939054399993</v>
      </c>
      <c r="F66" s="49">
        <f>4854*0.484/10^6*594908</f>
        <v>1397.6387810879999</v>
      </c>
      <c r="H66" s="58">
        <f t="shared" si="3"/>
        <v>2E-3</v>
      </c>
      <c r="I66" s="58">
        <f t="shared" si="4"/>
        <v>9.5000000000000001E-2</v>
      </c>
      <c r="J66" s="58">
        <f t="shared" si="5"/>
        <v>0.84499999999999986</v>
      </c>
      <c r="K66" s="58">
        <f t="shared" si="6"/>
        <v>0.05</v>
      </c>
      <c r="L66" s="58"/>
      <c r="M66" s="58">
        <f t="shared" si="1"/>
        <v>0.99199999999999988</v>
      </c>
      <c r="N66" s="58">
        <f t="shared" si="7"/>
        <v>8.0000000000001181E-3</v>
      </c>
      <c r="O66" s="58">
        <f t="shared" si="2"/>
        <v>0.10300000000000012</v>
      </c>
    </row>
    <row r="67" spans="1:15" ht="18" customHeight="1" x14ac:dyDescent="0.3">
      <c r="A67" s="10">
        <v>63</v>
      </c>
      <c r="B67" s="39">
        <f t="shared" si="33"/>
        <v>0.27160673495999998</v>
      </c>
      <c r="C67" s="39">
        <f t="shared" si="30"/>
        <v>12.9013199106</v>
      </c>
      <c r="D67" s="39">
        <f t="shared" si="31"/>
        <v>114.7538455206</v>
      </c>
      <c r="E67" s="40">
        <f t="shared" si="32"/>
        <v>6.7901683740000003</v>
      </c>
      <c r="F67" s="49">
        <f>4854*0.484/10^6*57805</f>
        <v>135.80336747999999</v>
      </c>
      <c r="H67" s="58">
        <f t="shared" si="3"/>
        <v>2E-3</v>
      </c>
      <c r="I67" s="58">
        <f t="shared" si="4"/>
        <v>9.5000000000000001E-2</v>
      </c>
      <c r="J67" s="58">
        <f t="shared" si="5"/>
        <v>0.84499999999999997</v>
      </c>
      <c r="K67" s="58">
        <f t="shared" si="6"/>
        <v>0.05</v>
      </c>
      <c r="L67" s="58"/>
      <c r="M67" s="58">
        <f t="shared" si="1"/>
        <v>0.99199999999999999</v>
      </c>
      <c r="N67" s="58">
        <f t="shared" si="7"/>
        <v>8.0000000000000071E-3</v>
      </c>
      <c r="O67" s="58">
        <f t="shared" si="2"/>
        <v>0.10300000000000001</v>
      </c>
    </row>
    <row r="68" spans="1:15" ht="18" customHeight="1" x14ac:dyDescent="0.3">
      <c r="A68" s="17" t="s">
        <v>106</v>
      </c>
      <c r="B68" s="32"/>
      <c r="C68" s="32"/>
      <c r="D68" s="32"/>
      <c r="E68" s="32"/>
      <c r="F68" s="45"/>
      <c r="H68" s="58"/>
      <c r="I68" s="58"/>
      <c r="J68" s="58"/>
      <c r="K68" s="58"/>
      <c r="L68" s="58"/>
      <c r="M68" s="58"/>
      <c r="N68" s="58"/>
      <c r="O68" s="58"/>
    </row>
    <row r="69" spans="1:15" ht="18" customHeight="1" x14ac:dyDescent="0.3">
      <c r="A69" s="10">
        <v>64</v>
      </c>
      <c r="B69" s="39">
        <f>0.002*$F69</f>
        <v>3.1385605908800005</v>
      </c>
      <c r="C69" s="39">
        <f>0.095*$F69</f>
        <v>149.08162806680002</v>
      </c>
      <c r="D69" s="39">
        <f>0.845*$F69</f>
        <v>1326.0418496468001</v>
      </c>
      <c r="E69" s="40">
        <f>0.05*$F69</f>
        <v>78.464014772000013</v>
      </c>
      <c r="F69" s="49">
        <f>4940*0.484*656339/10^6</f>
        <v>1569.2802954400001</v>
      </c>
      <c r="H69" s="58">
        <f t="shared" ref="H69:H110" si="34">B69/$F69</f>
        <v>2E-3</v>
      </c>
      <c r="I69" s="58">
        <f t="shared" ref="I69:I110" si="35">C69/$F69</f>
        <v>9.5000000000000001E-2</v>
      </c>
      <c r="J69" s="58">
        <f t="shared" ref="J69:J110" si="36">D69/$F69</f>
        <v>0.84499999999999997</v>
      </c>
      <c r="K69" s="58">
        <f t="shared" ref="K69:K110" si="37">E69/$F69</f>
        <v>0.05</v>
      </c>
      <c r="L69" s="58"/>
      <c r="M69" s="58">
        <f t="shared" ref="M69:M110" si="38">SUM(H69:K69)</f>
        <v>0.99199999999999999</v>
      </c>
      <c r="N69" s="58">
        <f t="shared" ref="N69:N110" si="39">1-M69</f>
        <v>8.0000000000000071E-3</v>
      </c>
      <c r="O69" s="58">
        <f t="shared" ref="O69:O110" si="40">I69+N69</f>
        <v>0.10300000000000001</v>
      </c>
    </row>
    <row r="70" spans="1:15" ht="18" customHeight="1" x14ac:dyDescent="0.3">
      <c r="A70" s="10">
        <v>65</v>
      </c>
      <c r="B70" s="39">
        <f t="shared" ref="B70:B71" si="41">0.002*$F70</f>
        <v>0.81430837487999996</v>
      </c>
      <c r="C70" s="39">
        <f>0.095*$F70</f>
        <v>38.679647806799998</v>
      </c>
      <c r="D70" s="39">
        <f>0.845*$F70</f>
        <v>344.0452883868</v>
      </c>
      <c r="E70" s="40">
        <f>0.05*$F70</f>
        <v>20.357709372000002</v>
      </c>
      <c r="F70" s="49">
        <f>4940*0.484*170289/10^6</f>
        <v>407.15418743999999</v>
      </c>
      <c r="H70" s="58">
        <f t="shared" si="34"/>
        <v>2E-3</v>
      </c>
      <c r="I70" s="58">
        <f t="shared" si="35"/>
        <v>9.5000000000000001E-2</v>
      </c>
      <c r="J70" s="58">
        <f t="shared" si="36"/>
        <v>0.84499999999999997</v>
      </c>
      <c r="K70" s="58">
        <f t="shared" si="37"/>
        <v>5.000000000000001E-2</v>
      </c>
      <c r="L70" s="58"/>
      <c r="M70" s="58">
        <f t="shared" si="38"/>
        <v>0.99199999999999999</v>
      </c>
      <c r="N70" s="58">
        <f t="shared" si="39"/>
        <v>8.0000000000000071E-3</v>
      </c>
      <c r="O70" s="58">
        <f t="shared" si="40"/>
        <v>0.10300000000000001</v>
      </c>
    </row>
    <row r="71" spans="1:15" ht="18" customHeight="1" x14ac:dyDescent="0.3">
      <c r="A71" s="10">
        <v>66</v>
      </c>
      <c r="B71" s="39">
        <f t="shared" si="41"/>
        <v>0.85988007247999998</v>
      </c>
      <c r="C71" s="39">
        <f>0.095*$F71</f>
        <v>40.844303442799998</v>
      </c>
      <c r="D71" s="39">
        <f>0.845*$F71</f>
        <v>363.29933062279997</v>
      </c>
      <c r="E71" s="40">
        <f>0.05*$F71</f>
        <v>21.497001812000001</v>
      </c>
      <c r="F71" s="49">
        <f>4940*0.484*179819/10^6</f>
        <v>429.94003623999998</v>
      </c>
      <c r="H71" s="58">
        <f t="shared" si="34"/>
        <v>2E-3</v>
      </c>
      <c r="I71" s="58">
        <f t="shared" si="35"/>
        <v>9.5000000000000001E-2</v>
      </c>
      <c r="J71" s="58">
        <f t="shared" si="36"/>
        <v>0.84499999999999997</v>
      </c>
      <c r="K71" s="58">
        <f t="shared" si="37"/>
        <v>0.05</v>
      </c>
      <c r="L71" s="58"/>
      <c r="M71" s="58">
        <f t="shared" si="38"/>
        <v>0.99199999999999999</v>
      </c>
      <c r="N71" s="58">
        <f t="shared" si="39"/>
        <v>8.0000000000000071E-3</v>
      </c>
      <c r="O71" s="58">
        <f t="shared" si="40"/>
        <v>0.10300000000000001</v>
      </c>
    </row>
    <row r="72" spans="1:15" ht="18" customHeight="1" x14ac:dyDescent="0.3">
      <c r="A72" s="17" t="s">
        <v>107</v>
      </c>
      <c r="B72" s="32"/>
      <c r="C72" s="32"/>
      <c r="D72" s="32"/>
      <c r="E72" s="32"/>
      <c r="F72" s="45"/>
      <c r="H72" s="58"/>
      <c r="I72" s="58"/>
      <c r="J72" s="58"/>
      <c r="K72" s="58"/>
      <c r="L72" s="58"/>
      <c r="M72" s="58"/>
      <c r="N72" s="58"/>
      <c r="O72" s="58"/>
    </row>
    <row r="73" spans="1:15" ht="18" customHeight="1" x14ac:dyDescent="0.3">
      <c r="A73" s="10">
        <v>68</v>
      </c>
      <c r="B73" s="39">
        <f>0.002*$F73</f>
        <v>1.129682914272</v>
      </c>
      <c r="C73" s="39">
        <f>0.095*$F73</f>
        <v>53.65993842791999</v>
      </c>
      <c r="D73" s="39">
        <f>0.845*$F73</f>
        <v>477.29103127991993</v>
      </c>
      <c r="E73" s="40">
        <f>0.05*$F73</f>
        <v>28.242072856799997</v>
      </c>
      <c r="F73" s="49">
        <f>4854*0.484/10^6*240426</f>
        <v>564.84145713599992</v>
      </c>
      <c r="H73" s="58">
        <f t="shared" si="34"/>
        <v>2E-3</v>
      </c>
      <c r="I73" s="58">
        <f t="shared" si="35"/>
        <v>9.5000000000000001E-2</v>
      </c>
      <c r="J73" s="58">
        <f t="shared" si="36"/>
        <v>0.84499999999999997</v>
      </c>
      <c r="K73" s="58">
        <f t="shared" si="37"/>
        <v>0.05</v>
      </c>
      <c r="L73" s="58"/>
      <c r="M73" s="58">
        <f t="shared" si="38"/>
        <v>0.99199999999999999</v>
      </c>
      <c r="N73" s="58">
        <f t="shared" si="39"/>
        <v>8.0000000000000071E-3</v>
      </c>
      <c r="O73" s="58">
        <f t="shared" si="40"/>
        <v>0.10300000000000001</v>
      </c>
    </row>
    <row r="74" spans="1:15" ht="18" customHeight="1" x14ac:dyDescent="0.3">
      <c r="A74" s="17" t="s">
        <v>118</v>
      </c>
      <c r="B74" s="32"/>
      <c r="C74" s="32"/>
      <c r="D74" s="32"/>
      <c r="E74" s="32"/>
      <c r="F74" s="45"/>
      <c r="H74" s="58"/>
      <c r="I74" s="58"/>
      <c r="J74" s="58"/>
      <c r="K74" s="58"/>
      <c r="L74" s="58"/>
      <c r="M74" s="58"/>
      <c r="N74" s="58"/>
      <c r="O74" s="58"/>
    </row>
    <row r="75" spans="1:15" ht="18" customHeight="1" x14ac:dyDescent="0.3">
      <c r="A75" s="10">
        <v>69</v>
      </c>
      <c r="B75" s="39">
        <f>0.002*$F75</f>
        <v>2.0957815628639995</v>
      </c>
      <c r="C75" s="39">
        <f>0.095*$F75</f>
        <v>99.549624236039989</v>
      </c>
      <c r="D75" s="39">
        <f>0.845*$F75</f>
        <v>885.46771031003982</v>
      </c>
      <c r="E75" s="40">
        <f>0.05*$F75</f>
        <v>52.394539071599993</v>
      </c>
      <c r="F75" s="49">
        <f>4854*0.484/10^6*446037</f>
        <v>1047.8907814319998</v>
      </c>
      <c r="H75" s="58">
        <f t="shared" si="34"/>
        <v>2E-3</v>
      </c>
      <c r="I75" s="58">
        <f t="shared" si="35"/>
        <v>9.5000000000000001E-2</v>
      </c>
      <c r="J75" s="58">
        <f t="shared" si="36"/>
        <v>0.84499999999999997</v>
      </c>
      <c r="K75" s="58">
        <f t="shared" si="37"/>
        <v>0.05</v>
      </c>
      <c r="L75" s="58"/>
      <c r="M75" s="58">
        <f t="shared" si="38"/>
        <v>0.99199999999999999</v>
      </c>
      <c r="N75" s="58">
        <f t="shared" si="39"/>
        <v>8.0000000000000071E-3</v>
      </c>
      <c r="O75" s="58">
        <f t="shared" si="40"/>
        <v>0.10300000000000001</v>
      </c>
    </row>
    <row r="76" spans="1:15" ht="18" customHeight="1" x14ac:dyDescent="0.3">
      <c r="A76" s="10">
        <v>70</v>
      </c>
      <c r="B76" s="39">
        <f t="shared" ref="B76:B81" si="42">0.002*$F76</f>
        <v>2.8867748020319994</v>
      </c>
      <c r="C76" s="39">
        <f t="shared" ref="C76:C81" si="43">0.095*$F76</f>
        <v>137.12180309651998</v>
      </c>
      <c r="D76" s="39">
        <f t="shared" ref="D76:D81" si="44">0.845*$F76</f>
        <v>1219.6623538585197</v>
      </c>
      <c r="E76" s="40">
        <f t="shared" ref="E76:E81" si="45">0.05*$F76</f>
        <v>72.169370050799998</v>
      </c>
      <c r="F76" s="49">
        <f>4854*0.484/10^6*614381</f>
        <v>1443.3874010159998</v>
      </c>
      <c r="H76" s="58">
        <f t="shared" si="34"/>
        <v>2E-3</v>
      </c>
      <c r="I76" s="58">
        <f t="shared" si="35"/>
        <v>9.5000000000000001E-2</v>
      </c>
      <c r="J76" s="58">
        <f t="shared" si="36"/>
        <v>0.84499999999999997</v>
      </c>
      <c r="K76" s="58">
        <f t="shared" si="37"/>
        <v>0.05</v>
      </c>
      <c r="L76" s="58"/>
      <c r="M76" s="58">
        <f t="shared" si="38"/>
        <v>0.99199999999999999</v>
      </c>
      <c r="N76" s="58">
        <f t="shared" si="39"/>
        <v>8.0000000000000071E-3</v>
      </c>
      <c r="O76" s="58">
        <f t="shared" si="40"/>
        <v>0.10300000000000001</v>
      </c>
    </row>
    <row r="77" spans="1:15" ht="18" customHeight="1" x14ac:dyDescent="0.3">
      <c r="A77" s="10">
        <v>71</v>
      </c>
      <c r="B77" s="39">
        <f t="shared" si="42"/>
        <v>2.4376005535199998</v>
      </c>
      <c r="C77" s="39">
        <f t="shared" si="43"/>
        <v>115.78602629219999</v>
      </c>
      <c r="D77" s="39">
        <f t="shared" si="44"/>
        <v>1029.8862338621998</v>
      </c>
      <c r="E77" s="40">
        <f t="shared" si="45"/>
        <v>60.940013837999999</v>
      </c>
      <c r="F77" s="49">
        <f>4854*0.484/10^6*518785</f>
        <v>1218.8002767599999</v>
      </c>
      <c r="H77" s="58">
        <f t="shared" si="34"/>
        <v>2E-3</v>
      </c>
      <c r="I77" s="58">
        <f t="shared" si="35"/>
        <v>9.5000000000000001E-2</v>
      </c>
      <c r="J77" s="58">
        <f t="shared" si="36"/>
        <v>0.84499999999999997</v>
      </c>
      <c r="K77" s="58">
        <f t="shared" si="37"/>
        <v>0.05</v>
      </c>
      <c r="L77" s="58"/>
      <c r="M77" s="58">
        <f t="shared" si="38"/>
        <v>0.99199999999999999</v>
      </c>
      <c r="N77" s="58">
        <f t="shared" si="39"/>
        <v>8.0000000000000071E-3</v>
      </c>
      <c r="O77" s="58">
        <f t="shared" si="40"/>
        <v>0.10300000000000001</v>
      </c>
    </row>
    <row r="78" spans="1:15" ht="18" customHeight="1" x14ac:dyDescent="0.3">
      <c r="A78" s="10">
        <v>72</v>
      </c>
      <c r="B78" s="39">
        <f t="shared" si="42"/>
        <v>0.97789701398399986</v>
      </c>
      <c r="C78" s="39">
        <f t="shared" si="43"/>
        <v>46.450108164239992</v>
      </c>
      <c r="D78" s="39">
        <f t="shared" si="44"/>
        <v>413.1614884082399</v>
      </c>
      <c r="E78" s="40">
        <f t="shared" si="45"/>
        <v>24.447425349599996</v>
      </c>
      <c r="F78" s="49">
        <f>4854*0.484/10^6*208122</f>
        <v>488.94850699199992</v>
      </c>
      <c r="H78" s="58">
        <f t="shared" si="34"/>
        <v>2E-3</v>
      </c>
      <c r="I78" s="58">
        <f t="shared" si="35"/>
        <v>9.5000000000000001E-2</v>
      </c>
      <c r="J78" s="58">
        <f t="shared" si="36"/>
        <v>0.84499999999999997</v>
      </c>
      <c r="K78" s="58">
        <f t="shared" si="37"/>
        <v>0.05</v>
      </c>
      <c r="L78" s="58"/>
      <c r="M78" s="58">
        <f t="shared" si="38"/>
        <v>0.99199999999999999</v>
      </c>
      <c r="N78" s="58">
        <f t="shared" si="39"/>
        <v>8.0000000000000071E-3</v>
      </c>
      <c r="O78" s="58">
        <f t="shared" si="40"/>
        <v>0.10300000000000001</v>
      </c>
    </row>
    <row r="79" spans="1:15" ht="18" customHeight="1" x14ac:dyDescent="0.3">
      <c r="A79" s="10">
        <v>73</v>
      </c>
      <c r="B79" s="39">
        <f t="shared" si="42"/>
        <v>0.62346208900799993</v>
      </c>
      <c r="C79" s="39">
        <f t="shared" si="43"/>
        <v>29.614449227879994</v>
      </c>
      <c r="D79" s="39">
        <f t="shared" si="44"/>
        <v>263.41273260587997</v>
      </c>
      <c r="E79" s="40">
        <f t="shared" si="45"/>
        <v>15.586552225199998</v>
      </c>
      <c r="F79" s="49">
        <f>4854*0.484/10^6*132689</f>
        <v>311.73104450399995</v>
      </c>
      <c r="H79" s="58">
        <f t="shared" si="34"/>
        <v>2E-3</v>
      </c>
      <c r="I79" s="58">
        <f t="shared" si="35"/>
        <v>9.5000000000000001E-2</v>
      </c>
      <c r="J79" s="58">
        <f t="shared" si="36"/>
        <v>0.84499999999999997</v>
      </c>
      <c r="K79" s="58">
        <f t="shared" si="37"/>
        <v>0.05</v>
      </c>
      <c r="L79" s="58"/>
      <c r="M79" s="58">
        <f t="shared" si="38"/>
        <v>0.99199999999999999</v>
      </c>
      <c r="N79" s="58">
        <f t="shared" si="39"/>
        <v>8.0000000000000071E-3</v>
      </c>
      <c r="O79" s="58">
        <f t="shared" si="40"/>
        <v>0.10300000000000001</v>
      </c>
    </row>
    <row r="80" spans="1:15" ht="18" customHeight="1" x14ac:dyDescent="0.3">
      <c r="A80" s="10">
        <v>74</v>
      </c>
      <c r="B80" s="39">
        <f t="shared" si="42"/>
        <v>0.28358834855999993</v>
      </c>
      <c r="C80" s="39">
        <f t="shared" si="43"/>
        <v>13.470446556599997</v>
      </c>
      <c r="D80" s="39">
        <f t="shared" si="44"/>
        <v>119.81607726659996</v>
      </c>
      <c r="E80" s="40">
        <f t="shared" si="45"/>
        <v>7.0897087139999986</v>
      </c>
      <c r="F80" s="49">
        <f>4854*0.484/10^6*60355</f>
        <v>141.79417427999996</v>
      </c>
      <c r="H80" s="58">
        <f t="shared" si="34"/>
        <v>2E-3</v>
      </c>
      <c r="I80" s="58">
        <f t="shared" si="35"/>
        <v>9.5000000000000001E-2</v>
      </c>
      <c r="J80" s="58">
        <f t="shared" si="36"/>
        <v>0.84499999999999997</v>
      </c>
      <c r="K80" s="58">
        <f t="shared" si="37"/>
        <v>0.05</v>
      </c>
      <c r="L80" s="58"/>
      <c r="M80" s="58">
        <f t="shared" si="38"/>
        <v>0.99199999999999999</v>
      </c>
      <c r="N80" s="58">
        <f t="shared" si="39"/>
        <v>8.0000000000000071E-3</v>
      </c>
      <c r="O80" s="58">
        <f t="shared" si="40"/>
        <v>0.10300000000000001</v>
      </c>
    </row>
    <row r="81" spans="1:15" ht="18" customHeight="1" x14ac:dyDescent="0.3">
      <c r="A81" s="10">
        <v>75</v>
      </c>
      <c r="B81" s="39">
        <f t="shared" si="42"/>
        <v>0.13440081388799999</v>
      </c>
      <c r="C81" s="39">
        <f t="shared" si="43"/>
        <v>6.3840386596799998</v>
      </c>
      <c r="D81" s="39">
        <f t="shared" si="44"/>
        <v>56.784343867679993</v>
      </c>
      <c r="E81" s="40">
        <f t="shared" si="45"/>
        <v>3.3600203471999999</v>
      </c>
      <c r="F81" s="49">
        <f>4854*0.484/10^6*28604</f>
        <v>67.200406943999994</v>
      </c>
      <c r="H81" s="58">
        <f t="shared" si="34"/>
        <v>2E-3</v>
      </c>
      <c r="I81" s="58">
        <f t="shared" si="35"/>
        <v>9.5000000000000001E-2</v>
      </c>
      <c r="J81" s="58">
        <f t="shared" si="36"/>
        <v>0.84499999999999997</v>
      </c>
      <c r="K81" s="58">
        <f t="shared" si="37"/>
        <v>0.05</v>
      </c>
      <c r="L81" s="58"/>
      <c r="M81" s="58">
        <f t="shared" si="38"/>
        <v>0.99199999999999999</v>
      </c>
      <c r="N81" s="58">
        <f t="shared" si="39"/>
        <v>8.0000000000000071E-3</v>
      </c>
      <c r="O81" s="58">
        <f t="shared" si="40"/>
        <v>0.10300000000000001</v>
      </c>
    </row>
    <row r="82" spans="1:15" ht="18" customHeight="1" x14ac:dyDescent="0.3">
      <c r="A82" s="17" t="s">
        <v>109</v>
      </c>
      <c r="B82" s="32"/>
      <c r="C82" s="32"/>
      <c r="D82" s="32"/>
      <c r="E82" s="32"/>
      <c r="F82" s="45"/>
      <c r="H82" s="58"/>
      <c r="I82" s="58"/>
      <c r="J82" s="58"/>
      <c r="K82" s="58"/>
      <c r="L82" s="58"/>
      <c r="M82" s="58"/>
      <c r="N82" s="58"/>
      <c r="O82" s="58"/>
    </row>
    <row r="83" spans="1:15" ht="18" customHeight="1" x14ac:dyDescent="0.3">
      <c r="A83" s="10">
        <v>77</v>
      </c>
      <c r="B83" s="39">
        <f>0.002*$F83</f>
        <v>0.35835361742399996</v>
      </c>
      <c r="C83" s="39">
        <f>0.095*$F83</f>
        <v>17.021796827639996</v>
      </c>
      <c r="D83" s="39">
        <f>0.845*$F83</f>
        <v>151.40440336163996</v>
      </c>
      <c r="E83" s="40">
        <f>0.05*$F83</f>
        <v>8.9588404355999991</v>
      </c>
      <c r="F83" s="49">
        <f>4854*0.484/10^6*76267</f>
        <v>179.17680871199997</v>
      </c>
      <c r="H83" s="58">
        <f t="shared" si="34"/>
        <v>2E-3</v>
      </c>
      <c r="I83" s="58">
        <f t="shared" si="35"/>
        <v>9.4999999999999987E-2</v>
      </c>
      <c r="J83" s="58">
        <f t="shared" si="36"/>
        <v>0.84499999999999997</v>
      </c>
      <c r="K83" s="58">
        <f t="shared" si="37"/>
        <v>0.05</v>
      </c>
      <c r="L83" s="58"/>
      <c r="M83" s="58">
        <f t="shared" si="38"/>
        <v>0.99199999999999999</v>
      </c>
      <c r="N83" s="58">
        <f t="shared" si="39"/>
        <v>8.0000000000000071E-3</v>
      </c>
      <c r="O83" s="58">
        <f t="shared" si="40"/>
        <v>0.10299999999999999</v>
      </c>
    </row>
    <row r="84" spans="1:15" ht="18" customHeight="1" x14ac:dyDescent="0.3">
      <c r="A84" s="10">
        <v>78</v>
      </c>
      <c r="B84" s="39">
        <f t="shared" ref="B84:B88" si="46">0.002*$F84</f>
        <v>3.9151026625919996</v>
      </c>
      <c r="C84" s="39">
        <f t="shared" ref="C84:C88" si="47">0.095*$F84</f>
        <v>185.96737647311997</v>
      </c>
      <c r="D84" s="39">
        <f t="shared" ref="D84:D88" si="48">0.845*$F84</f>
        <v>1654.1308749451198</v>
      </c>
      <c r="E84" s="40">
        <f t="shared" ref="E84:E88" si="49">0.05*$F84</f>
        <v>97.877566564799992</v>
      </c>
      <c r="F84" s="49">
        <f>4854*0.484/10^6*833236</f>
        <v>1957.5513312959997</v>
      </c>
      <c r="H84" s="58">
        <f t="shared" si="34"/>
        <v>2E-3</v>
      </c>
      <c r="I84" s="58">
        <f t="shared" si="35"/>
        <v>9.5000000000000001E-2</v>
      </c>
      <c r="J84" s="58">
        <f t="shared" si="36"/>
        <v>0.84499999999999997</v>
      </c>
      <c r="K84" s="58">
        <f t="shared" si="37"/>
        <v>0.05</v>
      </c>
      <c r="L84" s="58"/>
      <c r="M84" s="58">
        <f t="shared" si="38"/>
        <v>0.99199999999999999</v>
      </c>
      <c r="N84" s="58">
        <f t="shared" si="39"/>
        <v>8.0000000000000071E-3</v>
      </c>
      <c r="O84" s="58">
        <f t="shared" si="40"/>
        <v>0.10300000000000001</v>
      </c>
    </row>
    <row r="85" spans="1:15" ht="18" customHeight="1" x14ac:dyDescent="0.3">
      <c r="A85" s="10">
        <v>79</v>
      </c>
      <c r="B85" s="39">
        <f t="shared" si="46"/>
        <v>0.37751950051199995</v>
      </c>
      <c r="C85" s="39">
        <f t="shared" si="47"/>
        <v>17.932176274319996</v>
      </c>
      <c r="D85" s="39">
        <f t="shared" si="48"/>
        <v>159.50198896631997</v>
      </c>
      <c r="E85" s="40">
        <f t="shared" si="49"/>
        <v>9.4379875127999977</v>
      </c>
      <c r="F85" s="49">
        <f>4854*0.484/10^6*80346</f>
        <v>188.75975025599996</v>
      </c>
      <c r="H85" s="58">
        <f t="shared" si="34"/>
        <v>2E-3</v>
      </c>
      <c r="I85" s="58">
        <f t="shared" si="35"/>
        <v>9.5000000000000001E-2</v>
      </c>
      <c r="J85" s="58">
        <f t="shared" si="36"/>
        <v>0.84499999999999997</v>
      </c>
      <c r="K85" s="58">
        <f t="shared" si="37"/>
        <v>4.9999999999999996E-2</v>
      </c>
      <c r="L85" s="58"/>
      <c r="M85" s="58">
        <f t="shared" si="38"/>
        <v>0.99199999999999999</v>
      </c>
      <c r="N85" s="58">
        <f t="shared" si="39"/>
        <v>8.0000000000000071E-3</v>
      </c>
      <c r="O85" s="58">
        <f t="shared" si="40"/>
        <v>0.10300000000000001</v>
      </c>
    </row>
    <row r="86" spans="1:15" ht="18" customHeight="1" x14ac:dyDescent="0.3">
      <c r="A86" s="10">
        <v>80</v>
      </c>
      <c r="B86" s="39">
        <f t="shared" si="46"/>
        <v>0.7278336901439999</v>
      </c>
      <c r="C86" s="39">
        <f t="shared" si="47"/>
        <v>34.572100281839994</v>
      </c>
      <c r="D86" s="39">
        <f t="shared" si="48"/>
        <v>307.50973408583997</v>
      </c>
      <c r="E86" s="40">
        <f t="shared" si="49"/>
        <v>18.195842253599999</v>
      </c>
      <c r="F86" s="49">
        <f>4854*0.484/10^6*154902</f>
        <v>363.91684507199994</v>
      </c>
      <c r="H86" s="58">
        <f t="shared" si="34"/>
        <v>2E-3</v>
      </c>
      <c r="I86" s="58">
        <f t="shared" si="35"/>
        <v>9.5000000000000001E-2</v>
      </c>
      <c r="J86" s="58">
        <f t="shared" si="36"/>
        <v>0.84500000000000008</v>
      </c>
      <c r="K86" s="58">
        <f t="shared" si="37"/>
        <v>0.05</v>
      </c>
      <c r="L86" s="58"/>
      <c r="M86" s="58">
        <f t="shared" si="38"/>
        <v>0.9920000000000001</v>
      </c>
      <c r="N86" s="58">
        <f t="shared" si="39"/>
        <v>7.9999999999998961E-3</v>
      </c>
      <c r="O86" s="58">
        <f t="shared" si="40"/>
        <v>0.1029999999999999</v>
      </c>
    </row>
    <row r="87" spans="1:15" ht="18" customHeight="1" x14ac:dyDescent="0.3">
      <c r="A87" s="10">
        <v>81</v>
      </c>
      <c r="B87" s="39">
        <f t="shared" si="46"/>
        <v>3.2652857223359995</v>
      </c>
      <c r="C87" s="39">
        <f t="shared" si="47"/>
        <v>155.10107181095998</v>
      </c>
      <c r="D87" s="39">
        <f t="shared" si="48"/>
        <v>1379.5832176869596</v>
      </c>
      <c r="E87" s="40">
        <f t="shared" si="49"/>
        <v>81.63214305839999</v>
      </c>
      <c r="F87" s="49">
        <f>4854*0.484/10^6*694938</f>
        <v>1632.6428611679996</v>
      </c>
      <c r="H87" s="58">
        <f t="shared" si="34"/>
        <v>2E-3</v>
      </c>
      <c r="I87" s="58">
        <f t="shared" si="35"/>
        <v>9.5000000000000015E-2</v>
      </c>
      <c r="J87" s="58">
        <f t="shared" si="36"/>
        <v>0.84499999999999997</v>
      </c>
      <c r="K87" s="58">
        <f t="shared" si="37"/>
        <v>0.05</v>
      </c>
      <c r="L87" s="58"/>
      <c r="M87" s="58">
        <f t="shared" si="38"/>
        <v>0.99199999999999999</v>
      </c>
      <c r="N87" s="58">
        <f t="shared" si="39"/>
        <v>8.0000000000000071E-3</v>
      </c>
      <c r="O87" s="58">
        <f t="shared" si="40"/>
        <v>0.10300000000000002</v>
      </c>
    </row>
    <row r="88" spans="1:15" ht="18" customHeight="1" x14ac:dyDescent="0.3">
      <c r="A88" s="10">
        <v>82</v>
      </c>
      <c r="B88" s="39">
        <f t="shared" si="46"/>
        <v>1.5572714636159997</v>
      </c>
      <c r="C88" s="39">
        <f t="shared" si="47"/>
        <v>73.970394521759985</v>
      </c>
      <c r="D88" s="39">
        <f t="shared" si="48"/>
        <v>657.94719337775985</v>
      </c>
      <c r="E88" s="40">
        <f t="shared" si="49"/>
        <v>38.931786590399994</v>
      </c>
      <c r="F88" s="49">
        <f>4854*0.484/10^6*331428</f>
        <v>778.63573180799983</v>
      </c>
      <c r="H88" s="58">
        <f t="shared" si="34"/>
        <v>2E-3</v>
      </c>
      <c r="I88" s="58">
        <f t="shared" si="35"/>
        <v>9.5000000000000001E-2</v>
      </c>
      <c r="J88" s="58">
        <f t="shared" si="36"/>
        <v>0.84499999999999997</v>
      </c>
      <c r="K88" s="58">
        <f t="shared" si="37"/>
        <v>0.05</v>
      </c>
      <c r="L88" s="58"/>
      <c r="M88" s="58">
        <f t="shared" si="38"/>
        <v>0.99199999999999999</v>
      </c>
      <c r="N88" s="58">
        <f t="shared" si="39"/>
        <v>8.0000000000000071E-3</v>
      </c>
      <c r="O88" s="58">
        <f t="shared" si="40"/>
        <v>0.10300000000000001</v>
      </c>
    </row>
    <row r="89" spans="1:15" ht="18" customHeight="1" x14ac:dyDescent="0.3">
      <c r="A89" s="17" t="s">
        <v>110</v>
      </c>
      <c r="B89" s="32"/>
      <c r="C89" s="32"/>
      <c r="D89" s="32"/>
      <c r="E89" s="32"/>
      <c r="F89" s="45"/>
      <c r="H89" s="58"/>
      <c r="I89" s="58"/>
      <c r="J89" s="58"/>
      <c r="K89" s="58"/>
      <c r="L89" s="58"/>
      <c r="M89" s="58"/>
      <c r="N89" s="58"/>
      <c r="O89" s="58"/>
    </row>
    <row r="90" spans="1:15" ht="18" customHeight="1" x14ac:dyDescent="0.3">
      <c r="A90" s="10">
        <v>84</v>
      </c>
      <c r="B90" s="39">
        <f>0.002*$F90</f>
        <v>8.2855466591039999</v>
      </c>
      <c r="C90" s="39">
        <f>0.095*$F90</f>
        <v>393.56346630744002</v>
      </c>
      <c r="D90" s="39">
        <f>0.845*$F90</f>
        <v>3500.6434634714401</v>
      </c>
      <c r="E90" s="40">
        <f>0.05*$F90</f>
        <v>207.13866647760003</v>
      </c>
      <c r="F90" s="49">
        <f>5006*0.484*1709838/10^6</f>
        <v>4142.7733295520002</v>
      </c>
      <c r="H90" s="58">
        <f t="shared" si="34"/>
        <v>2E-3</v>
      </c>
      <c r="I90" s="58">
        <f t="shared" si="35"/>
        <v>9.5000000000000001E-2</v>
      </c>
      <c r="J90" s="58">
        <f t="shared" si="36"/>
        <v>0.84499999999999997</v>
      </c>
      <c r="K90" s="58">
        <f t="shared" si="37"/>
        <v>0.05</v>
      </c>
      <c r="L90" s="58"/>
      <c r="M90" s="58">
        <f t="shared" si="38"/>
        <v>0.99199999999999999</v>
      </c>
      <c r="N90" s="58">
        <f t="shared" si="39"/>
        <v>8.0000000000000071E-3</v>
      </c>
      <c r="O90" s="58">
        <f t="shared" si="40"/>
        <v>0.10300000000000001</v>
      </c>
    </row>
    <row r="91" spans="1:15" ht="18" customHeight="1" x14ac:dyDescent="0.3">
      <c r="A91" s="17" t="s">
        <v>111</v>
      </c>
      <c r="B91" s="32"/>
      <c r="C91" s="32"/>
      <c r="D91" s="32"/>
      <c r="E91" s="32"/>
      <c r="F91" s="45"/>
      <c r="H91" s="58"/>
      <c r="I91" s="58"/>
      <c r="J91" s="58"/>
      <c r="K91" s="58"/>
      <c r="L91" s="58"/>
      <c r="M91" s="58"/>
      <c r="N91" s="58"/>
      <c r="O91" s="58"/>
    </row>
    <row r="92" spans="1:15" ht="18" customHeight="1" x14ac:dyDescent="0.3">
      <c r="A92" s="10">
        <v>85</v>
      </c>
      <c r="B92" s="39">
        <f>0.002*$F92</f>
        <v>1.2986177864000001</v>
      </c>
      <c r="C92" s="39">
        <f>0.095*$F92</f>
        <v>61.68434485400001</v>
      </c>
      <c r="D92" s="39">
        <f>0.845*$F92</f>
        <v>548.666014754</v>
      </c>
      <c r="E92" s="40">
        <f>0.05*$F92</f>
        <v>32.465444660000003</v>
      </c>
      <c r="F92" s="49">
        <f>1135*0.484*1181980/10^6</f>
        <v>649.30889320000006</v>
      </c>
      <c r="H92" s="58">
        <f t="shared" si="34"/>
        <v>2E-3</v>
      </c>
      <c r="I92" s="58">
        <f t="shared" si="35"/>
        <v>9.5000000000000001E-2</v>
      </c>
      <c r="J92" s="58">
        <f t="shared" si="36"/>
        <v>0.84499999999999997</v>
      </c>
      <c r="K92" s="58">
        <f t="shared" si="37"/>
        <v>0.05</v>
      </c>
      <c r="L92" s="58"/>
      <c r="M92" s="58">
        <f t="shared" si="38"/>
        <v>0.99199999999999999</v>
      </c>
      <c r="N92" s="58">
        <f t="shared" si="39"/>
        <v>8.0000000000000071E-3</v>
      </c>
      <c r="O92" s="58">
        <f t="shared" si="40"/>
        <v>0.10300000000000001</v>
      </c>
    </row>
    <row r="93" spans="1:15" ht="18" customHeight="1" x14ac:dyDescent="0.3">
      <c r="A93" s="17" t="s">
        <v>112</v>
      </c>
      <c r="B93" s="32"/>
      <c r="C93" s="32"/>
      <c r="D93" s="32"/>
      <c r="E93" s="32"/>
      <c r="F93" s="45"/>
      <c r="H93" s="58"/>
      <c r="I93" s="58"/>
      <c r="J93" s="58"/>
      <c r="K93" s="58"/>
      <c r="L93" s="58"/>
      <c r="M93" s="58"/>
      <c r="N93" s="58"/>
      <c r="O93" s="58"/>
    </row>
    <row r="94" spans="1:15" ht="18" customHeight="1" x14ac:dyDescent="0.3">
      <c r="A94" s="10">
        <v>86</v>
      </c>
      <c r="B94" s="39">
        <f>0.002*$F94</f>
        <v>10.914742533023999</v>
      </c>
      <c r="C94" s="39">
        <f>0.095*$F94</f>
        <v>518.45027031863992</v>
      </c>
      <c r="D94" s="39">
        <f>0.845*$F94</f>
        <v>4611.4787202026391</v>
      </c>
      <c r="E94" s="40">
        <f>0.05*$F94</f>
        <v>272.86856332559995</v>
      </c>
      <c r="F94" s="49">
        <f>4854*0.484/10^6*2322942</f>
        <v>5457.3712665119992</v>
      </c>
      <c r="H94" s="58">
        <f t="shared" si="34"/>
        <v>2E-3</v>
      </c>
      <c r="I94" s="58">
        <f t="shared" si="35"/>
        <v>9.5000000000000001E-2</v>
      </c>
      <c r="J94" s="58">
        <f t="shared" si="36"/>
        <v>0.84499999999999997</v>
      </c>
      <c r="K94" s="58">
        <f t="shared" si="37"/>
        <v>4.9999999999999996E-2</v>
      </c>
      <c r="L94" s="58"/>
      <c r="M94" s="58">
        <f t="shared" si="38"/>
        <v>0.99199999999999999</v>
      </c>
      <c r="N94" s="58">
        <f t="shared" si="39"/>
        <v>8.0000000000000071E-3</v>
      </c>
      <c r="O94" s="58">
        <f t="shared" si="40"/>
        <v>0.10300000000000001</v>
      </c>
    </row>
    <row r="95" spans="1:15" ht="18" customHeight="1" x14ac:dyDescent="0.3">
      <c r="A95" s="10">
        <v>87</v>
      </c>
      <c r="B95" s="39">
        <f t="shared" ref="B95:B96" si="50">0.002*$F95</f>
        <v>4.5738141889439996</v>
      </c>
      <c r="C95" s="39">
        <f>0.095*$F95</f>
        <v>217.25617397483998</v>
      </c>
      <c r="D95" s="39">
        <f>0.845*$F95</f>
        <v>1932.4364948288396</v>
      </c>
      <c r="E95" s="40">
        <f>0.05*$F95</f>
        <v>114.3453547236</v>
      </c>
      <c r="F95" s="49">
        <f>4854*0.484/10^6*973427</f>
        <v>2286.9070944719997</v>
      </c>
      <c r="H95" s="58">
        <f t="shared" si="34"/>
        <v>2E-3</v>
      </c>
      <c r="I95" s="58">
        <f t="shared" si="35"/>
        <v>9.5000000000000001E-2</v>
      </c>
      <c r="J95" s="58">
        <f t="shared" si="36"/>
        <v>0.84499999999999997</v>
      </c>
      <c r="K95" s="58">
        <f t="shared" si="37"/>
        <v>0.05</v>
      </c>
      <c r="L95" s="58"/>
      <c r="M95" s="58">
        <f t="shared" si="38"/>
        <v>0.99199999999999999</v>
      </c>
      <c r="N95" s="58">
        <f t="shared" si="39"/>
        <v>8.0000000000000071E-3</v>
      </c>
      <c r="O95" s="58">
        <f t="shared" si="40"/>
        <v>0.10300000000000001</v>
      </c>
    </row>
    <row r="96" spans="1:15" ht="18" customHeight="1" x14ac:dyDescent="0.3">
      <c r="A96" s="10">
        <v>88</v>
      </c>
      <c r="B96" s="39">
        <f t="shared" si="50"/>
        <v>5.3807970089279991</v>
      </c>
      <c r="C96" s="39">
        <f>0.095*$F96</f>
        <v>255.58785792407994</v>
      </c>
      <c r="D96" s="39">
        <f>0.845*$F96</f>
        <v>2273.3867362720794</v>
      </c>
      <c r="E96" s="40">
        <f>0.05*$F96</f>
        <v>134.51992522319998</v>
      </c>
      <c r="F96" s="49">
        <f>4854*0.484/10^6*1145174</f>
        <v>2690.3985044639994</v>
      </c>
      <c r="H96" s="58">
        <f t="shared" si="34"/>
        <v>2E-3</v>
      </c>
      <c r="I96" s="58">
        <f t="shared" si="35"/>
        <v>9.5000000000000001E-2</v>
      </c>
      <c r="J96" s="58">
        <f t="shared" si="36"/>
        <v>0.84499999999999997</v>
      </c>
      <c r="K96" s="58">
        <f t="shared" si="37"/>
        <v>0.05</v>
      </c>
      <c r="L96" s="58"/>
      <c r="M96" s="58">
        <f t="shared" si="38"/>
        <v>0.99199999999999999</v>
      </c>
      <c r="N96" s="58">
        <f t="shared" si="39"/>
        <v>8.0000000000000071E-3</v>
      </c>
      <c r="O96" s="58">
        <f t="shared" si="40"/>
        <v>0.10300000000000001</v>
      </c>
    </row>
    <row r="97" spans="1:15" ht="18" customHeight="1" x14ac:dyDescent="0.3">
      <c r="A97" s="17" t="s">
        <v>113</v>
      </c>
      <c r="B97" s="32"/>
      <c r="C97" s="32"/>
      <c r="D97" s="32"/>
      <c r="E97" s="32"/>
      <c r="F97" s="45"/>
      <c r="H97" s="58"/>
      <c r="I97" s="58"/>
      <c r="J97" s="58"/>
      <c r="K97" s="58"/>
      <c r="L97" s="58"/>
      <c r="M97" s="58"/>
      <c r="N97" s="58"/>
      <c r="O97" s="58"/>
    </row>
    <row r="98" spans="1:15" ht="18" customHeight="1" x14ac:dyDescent="0.3">
      <c r="A98" s="10">
        <v>90</v>
      </c>
      <c r="B98" s="39">
        <f>0.002*$F98</f>
        <v>0.31156894031999999</v>
      </c>
      <c r="C98" s="39">
        <f>0.095*$F98</f>
        <v>14.799524665199998</v>
      </c>
      <c r="D98" s="39">
        <f>0.845*$F98</f>
        <v>131.63787728519998</v>
      </c>
      <c r="E98" s="40">
        <f>0.05*$F98</f>
        <v>7.7892235079999992</v>
      </c>
      <c r="F98" s="49">
        <f>4854*0.484/10^6*66310</f>
        <v>155.78447015999998</v>
      </c>
      <c r="H98" s="58">
        <f t="shared" si="34"/>
        <v>2E-3</v>
      </c>
      <c r="I98" s="58">
        <f t="shared" si="35"/>
        <v>9.5000000000000001E-2</v>
      </c>
      <c r="J98" s="58">
        <f t="shared" si="36"/>
        <v>0.84499999999999997</v>
      </c>
      <c r="K98" s="58">
        <f t="shared" si="37"/>
        <v>0.05</v>
      </c>
      <c r="L98" s="58"/>
      <c r="M98" s="58">
        <f t="shared" si="38"/>
        <v>0.99199999999999999</v>
      </c>
      <c r="N98" s="58">
        <f t="shared" si="39"/>
        <v>8.0000000000000071E-3</v>
      </c>
      <c r="O98" s="58">
        <f t="shared" si="40"/>
        <v>0.10300000000000001</v>
      </c>
    </row>
    <row r="99" spans="1:15" ht="18" customHeight="1" x14ac:dyDescent="0.3">
      <c r="A99" s="10">
        <v>91</v>
      </c>
      <c r="B99" s="39">
        <f t="shared" ref="B99:B101" si="51">0.002*$F99</f>
        <v>0.16546843315199997</v>
      </c>
      <c r="C99" s="39">
        <f t="shared" ref="C99:C101" si="52">0.095*$F99</f>
        <v>7.8597505747199978</v>
      </c>
      <c r="D99" s="39">
        <f t="shared" ref="D99:D101" si="53">0.845*$F99</f>
        <v>69.910413006719978</v>
      </c>
      <c r="E99" s="40">
        <f t="shared" ref="E99:E101" si="54">0.05*$F99</f>
        <v>4.1367108287999992</v>
      </c>
      <c r="F99" s="49">
        <f>4854*0.484/10^6*35216</f>
        <v>82.73421657599998</v>
      </c>
      <c r="H99" s="58">
        <f t="shared" si="34"/>
        <v>2E-3</v>
      </c>
      <c r="I99" s="58">
        <f t="shared" si="35"/>
        <v>9.5000000000000001E-2</v>
      </c>
      <c r="J99" s="58">
        <f t="shared" si="36"/>
        <v>0.84499999999999997</v>
      </c>
      <c r="K99" s="58">
        <f t="shared" si="37"/>
        <v>0.05</v>
      </c>
      <c r="L99" s="58"/>
      <c r="M99" s="58">
        <f t="shared" si="38"/>
        <v>0.99199999999999999</v>
      </c>
      <c r="N99" s="58">
        <f t="shared" si="39"/>
        <v>8.0000000000000071E-3</v>
      </c>
      <c r="O99" s="58">
        <f t="shared" si="40"/>
        <v>0.10300000000000001</v>
      </c>
    </row>
    <row r="100" spans="1:15" ht="18" customHeight="1" x14ac:dyDescent="0.3">
      <c r="A100" s="10">
        <v>92</v>
      </c>
      <c r="B100" s="39">
        <f t="shared" si="51"/>
        <v>0.25780203662399997</v>
      </c>
      <c r="C100" s="39">
        <f t="shared" si="52"/>
        <v>12.24559673964</v>
      </c>
      <c r="D100" s="39">
        <f t="shared" si="53"/>
        <v>108.92136047363999</v>
      </c>
      <c r="E100" s="40">
        <f t="shared" si="54"/>
        <v>6.4450509155999995</v>
      </c>
      <c r="F100" s="49">
        <f>4854*0.484/10^6*54867</f>
        <v>128.90101831199999</v>
      </c>
      <c r="H100" s="58">
        <f t="shared" si="34"/>
        <v>2E-3</v>
      </c>
      <c r="I100" s="58">
        <f t="shared" si="35"/>
        <v>9.5000000000000001E-2</v>
      </c>
      <c r="J100" s="58">
        <f t="shared" si="36"/>
        <v>0.84499999999999997</v>
      </c>
      <c r="K100" s="58">
        <f t="shared" si="37"/>
        <v>0.05</v>
      </c>
      <c r="L100" s="58"/>
      <c r="M100" s="58">
        <f t="shared" si="38"/>
        <v>0.99199999999999999</v>
      </c>
      <c r="N100" s="58">
        <f t="shared" si="39"/>
        <v>8.0000000000000071E-3</v>
      </c>
      <c r="O100" s="58">
        <f t="shared" si="40"/>
        <v>0.10300000000000001</v>
      </c>
    </row>
    <row r="101" spans="1:15" ht="18" customHeight="1" x14ac:dyDescent="0.3">
      <c r="A101" s="10">
        <v>93</v>
      </c>
      <c r="B101" s="39">
        <f t="shared" si="51"/>
        <v>0.52253461444799998</v>
      </c>
      <c r="C101" s="39">
        <f t="shared" si="52"/>
        <v>24.820394186279998</v>
      </c>
      <c r="D101" s="39">
        <f t="shared" si="53"/>
        <v>220.77087460427998</v>
      </c>
      <c r="E101" s="40">
        <f t="shared" si="54"/>
        <v>13.063365361199999</v>
      </c>
      <c r="F101" s="49">
        <f>4854*0.484/10^6*111209</f>
        <v>261.26730722399998</v>
      </c>
      <c r="H101" s="58">
        <f t="shared" si="34"/>
        <v>2E-3</v>
      </c>
      <c r="I101" s="58">
        <f t="shared" si="35"/>
        <v>9.5000000000000001E-2</v>
      </c>
      <c r="J101" s="58">
        <f t="shared" si="36"/>
        <v>0.84499999999999997</v>
      </c>
      <c r="K101" s="58">
        <f t="shared" si="37"/>
        <v>0.05</v>
      </c>
      <c r="L101" s="58"/>
      <c r="M101" s="58">
        <f t="shared" si="38"/>
        <v>0.99199999999999999</v>
      </c>
      <c r="N101" s="58">
        <f t="shared" si="39"/>
        <v>8.0000000000000071E-3</v>
      </c>
      <c r="O101" s="58">
        <f t="shared" si="40"/>
        <v>0.10300000000000001</v>
      </c>
    </row>
    <row r="102" spans="1:15" ht="18" customHeight="1" x14ac:dyDescent="0.3">
      <c r="A102" s="17" t="s">
        <v>114</v>
      </c>
      <c r="B102" s="32"/>
      <c r="C102" s="32"/>
      <c r="D102" s="32"/>
      <c r="E102" s="32"/>
      <c r="F102" s="45"/>
      <c r="H102" s="58"/>
      <c r="I102" s="58"/>
      <c r="J102" s="58"/>
      <c r="K102" s="58"/>
      <c r="L102" s="58"/>
      <c r="M102" s="58"/>
      <c r="N102" s="58"/>
      <c r="O102" s="58"/>
    </row>
    <row r="103" spans="1:15" ht="18" customHeight="1" x14ac:dyDescent="0.3">
      <c r="A103" s="10">
        <v>94</v>
      </c>
      <c r="B103" s="39">
        <f>0.002*$F103</f>
        <v>2.1585981088319994</v>
      </c>
      <c r="C103" s="39">
        <f>0.095*$F103</f>
        <v>102.53341016951998</v>
      </c>
      <c r="D103" s="39">
        <f>0.845*$F103</f>
        <v>912.00770098151975</v>
      </c>
      <c r="E103" s="40">
        <f>0.05*$F103</f>
        <v>53.964952720799992</v>
      </c>
      <c r="F103" s="49">
        <f>4854*0.484/10^6*459406</f>
        <v>1079.2990544159998</v>
      </c>
      <c r="H103" s="58">
        <f t="shared" si="34"/>
        <v>2E-3</v>
      </c>
      <c r="I103" s="58">
        <f t="shared" si="35"/>
        <v>9.5000000000000001E-2</v>
      </c>
      <c r="J103" s="58">
        <f t="shared" si="36"/>
        <v>0.84499999999999997</v>
      </c>
      <c r="K103" s="58">
        <f t="shared" si="37"/>
        <v>0.05</v>
      </c>
      <c r="L103" s="58"/>
      <c r="M103" s="58">
        <f t="shared" si="38"/>
        <v>0.99199999999999999</v>
      </c>
      <c r="N103" s="58">
        <f t="shared" si="39"/>
        <v>8.0000000000000071E-3</v>
      </c>
      <c r="O103" s="58">
        <f t="shared" si="40"/>
        <v>0.10300000000000001</v>
      </c>
    </row>
    <row r="104" spans="1:15" ht="18" customHeight="1" x14ac:dyDescent="0.3">
      <c r="A104" s="10">
        <v>95</v>
      </c>
      <c r="B104" s="39">
        <f t="shared" ref="B104:B105" si="55">0.002*$F104</f>
        <v>0.15652216166399999</v>
      </c>
      <c r="C104" s="39">
        <f t="shared" ref="C104:C105" si="56">0.095*$F104</f>
        <v>7.4348026790399988</v>
      </c>
      <c r="D104" s="39">
        <f t="shared" ref="D104:D105" si="57">0.845*$F104</f>
        <v>66.130613303039993</v>
      </c>
      <c r="E104" s="40">
        <f t="shared" ref="E104:E105" si="58">0.05*$F104</f>
        <v>3.9130540415999997</v>
      </c>
      <c r="F104" s="49">
        <f>4854*0.484/10^6*33312</f>
        <v>78.26108083199999</v>
      </c>
      <c r="H104" s="58">
        <f t="shared" si="34"/>
        <v>2E-3</v>
      </c>
      <c r="I104" s="58">
        <f t="shared" si="35"/>
        <v>9.5000000000000001E-2</v>
      </c>
      <c r="J104" s="58">
        <f t="shared" si="36"/>
        <v>0.84499999999999997</v>
      </c>
      <c r="K104" s="58">
        <f t="shared" si="37"/>
        <v>0.05</v>
      </c>
      <c r="L104" s="58"/>
      <c r="M104" s="58">
        <f t="shared" si="38"/>
        <v>0.99199999999999999</v>
      </c>
      <c r="N104" s="58">
        <f t="shared" si="39"/>
        <v>8.0000000000000071E-3</v>
      </c>
      <c r="O104" s="58">
        <f t="shared" si="40"/>
        <v>0.10300000000000001</v>
      </c>
    </row>
    <row r="105" spans="1:15" ht="18" customHeight="1" x14ac:dyDescent="0.3">
      <c r="A105" s="10">
        <v>96</v>
      </c>
      <c r="B105" s="39">
        <f t="shared" si="55"/>
        <v>1.4923358165759999</v>
      </c>
      <c r="C105" s="39">
        <f t="shared" si="56"/>
        <v>70.885951287359987</v>
      </c>
      <c r="D105" s="39">
        <f t="shared" si="57"/>
        <v>630.51188250335986</v>
      </c>
      <c r="E105" s="40">
        <f t="shared" si="58"/>
        <v>37.308395414399996</v>
      </c>
      <c r="F105" s="49">
        <f>4854*0.484/10^6*317608</f>
        <v>746.16790828799992</v>
      </c>
      <c r="H105" s="58">
        <f t="shared" si="34"/>
        <v>2E-3</v>
      </c>
      <c r="I105" s="58">
        <f t="shared" si="35"/>
        <v>9.4999999999999987E-2</v>
      </c>
      <c r="J105" s="58">
        <f t="shared" si="36"/>
        <v>0.84499999999999986</v>
      </c>
      <c r="K105" s="58">
        <f t="shared" si="37"/>
        <v>0.05</v>
      </c>
      <c r="L105" s="58"/>
      <c r="M105" s="58">
        <f t="shared" si="38"/>
        <v>0.99199999999999988</v>
      </c>
      <c r="N105" s="58">
        <f t="shared" si="39"/>
        <v>8.0000000000001181E-3</v>
      </c>
      <c r="O105" s="58">
        <f t="shared" si="40"/>
        <v>0.10300000000000011</v>
      </c>
    </row>
    <row r="106" spans="1:15" ht="18" customHeight="1" x14ac:dyDescent="0.3">
      <c r="A106" s="17" t="s">
        <v>119</v>
      </c>
      <c r="B106" s="32"/>
      <c r="C106" s="32"/>
      <c r="D106" s="32"/>
      <c r="E106" s="32"/>
      <c r="F106" s="45"/>
      <c r="H106" s="58"/>
      <c r="I106" s="58"/>
      <c r="J106" s="58"/>
      <c r="K106" s="58"/>
      <c r="L106" s="58"/>
      <c r="M106" s="58"/>
      <c r="N106" s="58"/>
      <c r="O106" s="58"/>
    </row>
    <row r="107" spans="1:15" ht="18" customHeight="1" x14ac:dyDescent="0.3">
      <c r="A107" s="10">
        <v>97</v>
      </c>
      <c r="B107" s="39">
        <f>0*F107</f>
        <v>0</v>
      </c>
      <c r="C107" s="39">
        <f>0*F107</f>
        <v>0</v>
      </c>
      <c r="D107" s="39">
        <f>0.667*F107</f>
        <v>60.220095000000001</v>
      </c>
      <c r="E107" s="40">
        <f>0.333*F107</f>
        <v>30.064905</v>
      </c>
      <c r="F107" s="49">
        <f>19500*0.1/10^6*46300</f>
        <v>90.284999999999997</v>
      </c>
      <c r="H107" s="58">
        <f t="shared" si="34"/>
        <v>0</v>
      </c>
      <c r="I107" s="58">
        <f t="shared" si="35"/>
        <v>0</v>
      </c>
      <c r="J107" s="58">
        <f t="shared" si="36"/>
        <v>0.66700000000000004</v>
      </c>
      <c r="K107" s="58">
        <f t="shared" si="37"/>
        <v>0.33300000000000002</v>
      </c>
      <c r="L107" s="58"/>
      <c r="M107" s="58">
        <f t="shared" si="38"/>
        <v>1</v>
      </c>
      <c r="N107" s="58">
        <f t="shared" si="39"/>
        <v>0</v>
      </c>
      <c r="O107" s="58">
        <f t="shared" si="40"/>
        <v>0</v>
      </c>
    </row>
    <row r="108" spans="1:15" ht="18" customHeight="1" x14ac:dyDescent="0.3">
      <c r="A108" s="10">
        <v>98</v>
      </c>
      <c r="B108" s="39">
        <f>0*F108</f>
        <v>0</v>
      </c>
      <c r="C108" s="39">
        <f>0*F108</f>
        <v>0</v>
      </c>
      <c r="D108" s="39">
        <f>0.667*F108</f>
        <v>0.87403680000000006</v>
      </c>
      <c r="E108" s="40">
        <f>0.333*F108</f>
        <v>0.43636320000000001</v>
      </c>
      <c r="F108" s="49">
        <f>19500*0.1/10^6*672</f>
        <v>1.3104</v>
      </c>
      <c r="H108" s="58">
        <f t="shared" si="34"/>
        <v>0</v>
      </c>
      <c r="I108" s="58">
        <f t="shared" si="35"/>
        <v>0</v>
      </c>
      <c r="J108" s="58">
        <f t="shared" si="36"/>
        <v>0.66700000000000004</v>
      </c>
      <c r="K108" s="58">
        <f t="shared" si="37"/>
        <v>0.33300000000000002</v>
      </c>
      <c r="L108" s="58"/>
      <c r="M108" s="58">
        <f t="shared" si="38"/>
        <v>1</v>
      </c>
      <c r="N108" s="58">
        <f t="shared" si="39"/>
        <v>0</v>
      </c>
      <c r="O108" s="58">
        <f t="shared" si="40"/>
        <v>0</v>
      </c>
    </row>
    <row r="109" spans="1:15" ht="18" customHeight="1" x14ac:dyDescent="0.3">
      <c r="A109" s="17" t="s">
        <v>115</v>
      </c>
      <c r="B109" s="32"/>
      <c r="C109" s="32"/>
      <c r="D109" s="32"/>
      <c r="E109" s="32"/>
      <c r="F109" s="45"/>
      <c r="H109" s="58"/>
      <c r="I109" s="58"/>
      <c r="J109" s="58"/>
      <c r="K109" s="58"/>
      <c r="L109" s="58"/>
      <c r="M109" s="58"/>
      <c r="N109" s="58"/>
      <c r="O109" s="58"/>
    </row>
    <row r="110" spans="1:15" ht="18" customHeight="1" thickBot="1" x14ac:dyDescent="0.35">
      <c r="A110" s="11">
        <v>99</v>
      </c>
      <c r="B110" s="39">
        <f>0.002*$F110</f>
        <v>9.3456253087999999E-2</v>
      </c>
      <c r="C110" s="39">
        <f>0.095*$F110</f>
        <v>4.4391720216800001</v>
      </c>
      <c r="D110" s="39">
        <f>0.845*$F110</f>
        <v>39.485266929679995</v>
      </c>
      <c r="E110" s="40">
        <f>0.05*$F110</f>
        <v>2.3364063272000002</v>
      </c>
      <c r="F110" s="52">
        <f>5006*0.484/10^6*19286</f>
        <v>46.728126543999998</v>
      </c>
      <c r="H110" s="58">
        <f t="shared" si="34"/>
        <v>2E-3</v>
      </c>
      <c r="I110" s="58">
        <f t="shared" si="35"/>
        <v>9.5000000000000001E-2</v>
      </c>
      <c r="J110" s="58">
        <f t="shared" si="36"/>
        <v>0.84499999999999986</v>
      </c>
      <c r="K110" s="58">
        <f t="shared" si="37"/>
        <v>0.05</v>
      </c>
      <c r="L110" s="58"/>
      <c r="M110" s="58">
        <f t="shared" si="38"/>
        <v>0.99199999999999988</v>
      </c>
      <c r="N110" s="58">
        <f t="shared" si="39"/>
        <v>8.0000000000001181E-3</v>
      </c>
      <c r="O110" s="58">
        <f t="shared" si="40"/>
        <v>0.10300000000000012</v>
      </c>
    </row>
    <row r="111" spans="1:15" ht="18" customHeight="1" thickBot="1" x14ac:dyDescent="0.35">
      <c r="A111" s="12" t="s">
        <v>94</v>
      </c>
      <c r="B111" s="53">
        <f>SUM(B3:B110)</f>
        <v>12570.713783652916</v>
      </c>
      <c r="C111" s="42">
        <f t="shared" ref="C111:E111" si="59">SUM(C3:C110)</f>
        <v>296955.63525584689</v>
      </c>
      <c r="D111" s="42">
        <f t="shared" si="59"/>
        <v>99350.115426229662</v>
      </c>
      <c r="E111" s="42">
        <f t="shared" si="59"/>
        <v>7202.3656788041453</v>
      </c>
      <c r="F111" s="51">
        <f>SUM(F3:F110)</f>
        <v>470707.88054373499</v>
      </c>
      <c r="H111" s="41"/>
    </row>
    <row r="112" spans="1:15" ht="18" customHeight="1" thickBot="1" x14ac:dyDescent="0.35">
      <c r="A112" s="56" t="s">
        <v>124</v>
      </c>
      <c r="B112" s="57"/>
      <c r="C112" s="57"/>
      <c r="D112" s="57"/>
      <c r="E112" s="57"/>
      <c r="F112" s="51">
        <f>SUM(B111:E111)</f>
        <v>416078.83014453365</v>
      </c>
      <c r="H112" s="41"/>
    </row>
    <row r="114" spans="1:1" x14ac:dyDescent="0.3">
      <c r="A114" t="s">
        <v>122</v>
      </c>
    </row>
  </sheetData>
  <pageMargins left="0.7" right="0.7" top="0.78740157499999996" bottom="0.78740157499999996" header="0.3" footer="0.3"/>
  <ignoredErrors>
    <ignoredError sqref="B20:E20 D53 D54:D55 B10:E1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FE5A-E01C-49D2-982B-FD1C44BEA3B0}">
  <sheetPr>
    <tabColor rgb="FFFF0000"/>
  </sheetPr>
  <dimension ref="A1:E112"/>
  <sheetViews>
    <sheetView tabSelected="1" workbookViewId="0">
      <selection activeCell="G5" sqref="G5"/>
    </sheetView>
  </sheetViews>
  <sheetFormatPr baseColWidth="10" defaultRowHeight="14.4" x14ac:dyDescent="0.3"/>
  <cols>
    <col min="1" max="1" width="10.6640625" customWidth="1"/>
  </cols>
  <sheetData>
    <row r="1" spans="1:5" ht="55.2" thickBot="1" x14ac:dyDescent="0.35">
      <c r="A1" s="5" t="s">
        <v>96</v>
      </c>
      <c r="B1" s="7" t="s">
        <v>95</v>
      </c>
      <c r="C1" s="6" t="s">
        <v>18</v>
      </c>
      <c r="D1" s="6" t="s">
        <v>19</v>
      </c>
      <c r="E1" s="8" t="s">
        <v>121</v>
      </c>
    </row>
    <row r="2" spans="1:5" x14ac:dyDescent="0.3">
      <c r="A2" s="19" t="s">
        <v>97</v>
      </c>
    </row>
    <row r="3" spans="1:5" x14ac:dyDescent="0.3">
      <c r="A3" s="10">
        <v>1</v>
      </c>
      <c r="B3">
        <f>'Endenergieverbrauch Gas'!B3/'Endenergieverbrauch Gas'!$F3</f>
        <v>2.7000000000000003E-2</v>
      </c>
      <c r="C3">
        <f>'Endenergieverbrauch Gas'!C3/'Endenergieverbrauch Gas'!$F3</f>
        <v>0.84499999999999997</v>
      </c>
      <c r="D3">
        <f>1-SUM(B3,C3,E3)</f>
        <v>0.11799999999999999</v>
      </c>
      <c r="E3">
        <f>'Endenergieverbrauch Gas'!E3/'Endenergieverbrauch Gas'!$F3</f>
        <v>0.01</v>
      </c>
    </row>
    <row r="4" spans="1:5" x14ac:dyDescent="0.3">
      <c r="A4" s="10">
        <v>2</v>
      </c>
      <c r="B4">
        <v>0</v>
      </c>
      <c r="C4">
        <v>0</v>
      </c>
      <c r="D4">
        <v>0</v>
      </c>
      <c r="E4">
        <v>0</v>
      </c>
    </row>
    <row r="5" spans="1:5" x14ac:dyDescent="0.3">
      <c r="A5" s="10">
        <v>3</v>
      </c>
      <c r="B5">
        <v>0</v>
      </c>
      <c r="C5">
        <v>0</v>
      </c>
      <c r="D5">
        <v>0</v>
      </c>
      <c r="E5">
        <v>0</v>
      </c>
    </row>
    <row r="6" spans="1:5" x14ac:dyDescent="0.3">
      <c r="A6" s="17" t="s">
        <v>98</v>
      </c>
    </row>
    <row r="7" spans="1:5" x14ac:dyDescent="0.3">
      <c r="A7" s="10">
        <v>5</v>
      </c>
      <c r="B7">
        <v>0</v>
      </c>
      <c r="C7">
        <v>0</v>
      </c>
      <c r="D7">
        <v>0</v>
      </c>
      <c r="E7">
        <v>0</v>
      </c>
    </row>
    <row r="8" spans="1:5" x14ac:dyDescent="0.3">
      <c r="A8" s="10">
        <v>6</v>
      </c>
      <c r="B8">
        <f>'Endenergieverbrauch Gas'!B8/'Endenergieverbrauch Gas'!$F8</f>
        <v>2.7000000000000003E-2</v>
      </c>
      <c r="C8">
        <f>'Endenergieverbrauch Gas'!C8/'Endenergieverbrauch Gas'!$F8</f>
        <v>0.84499999999999997</v>
      </c>
      <c r="D8">
        <f t="shared" ref="D8:D67" si="0">1-SUM(B8,C8,E8)</f>
        <v>0.11799999999999999</v>
      </c>
      <c r="E8">
        <f>'Endenergieverbrauch Gas'!E8/'Endenergieverbrauch Gas'!$F8</f>
        <v>0.01</v>
      </c>
    </row>
    <row r="9" spans="1:5" x14ac:dyDescent="0.3">
      <c r="A9" s="10">
        <v>7</v>
      </c>
      <c r="B9">
        <v>0</v>
      </c>
      <c r="C9">
        <v>0</v>
      </c>
      <c r="D9">
        <v>0</v>
      </c>
      <c r="E9">
        <v>0</v>
      </c>
    </row>
    <row r="10" spans="1:5" x14ac:dyDescent="0.3">
      <c r="A10" s="10">
        <v>8</v>
      </c>
      <c r="B10">
        <f>'Endenergieverbrauch Gas'!B10/'Endenergieverbrauch Gas'!$F10</f>
        <v>2.3255813953488372E-2</v>
      </c>
      <c r="C10">
        <f>'Endenergieverbrauch Gas'!C10/'Endenergieverbrauch Gas'!$F10</f>
        <v>0.88372093023255816</v>
      </c>
      <c r="D10">
        <f t="shared" si="0"/>
        <v>9.3023255813953432E-2</v>
      </c>
      <c r="E10">
        <f>'Endenergieverbrauch Gas'!E10/'Endenergieverbrauch Gas'!$F10</f>
        <v>0</v>
      </c>
    </row>
    <row r="11" spans="1:5" x14ac:dyDescent="0.3">
      <c r="A11" s="10">
        <v>9</v>
      </c>
      <c r="B11">
        <f>'Endenergieverbrauch Gas'!B11/'Endenergieverbrauch Gas'!$F11</f>
        <v>2.7E-2</v>
      </c>
      <c r="C11">
        <f>'Endenergieverbrauch Gas'!C11/'Endenergieverbrauch Gas'!$F11</f>
        <v>0.84499999999999986</v>
      </c>
      <c r="D11">
        <f t="shared" si="0"/>
        <v>0.1180000000000001</v>
      </c>
      <c r="E11">
        <f>'Endenergieverbrauch Gas'!E11/'Endenergieverbrauch Gas'!$F11</f>
        <v>0.01</v>
      </c>
    </row>
    <row r="12" spans="1:5" x14ac:dyDescent="0.3">
      <c r="A12" s="17" t="s">
        <v>99</v>
      </c>
    </row>
    <row r="13" spans="1:5" x14ac:dyDescent="0.3">
      <c r="A13" s="10">
        <v>10</v>
      </c>
      <c r="B13">
        <f>'Endenergieverbrauch Gas'!B13/'Endenergieverbrauch Gas'!$F13</f>
        <v>1.7101710171017102E-2</v>
      </c>
      <c r="C13">
        <f>'Endenergieverbrauch Gas'!C13/'Endenergieverbrauch Gas'!$F13</f>
        <v>0.85958595859585962</v>
      </c>
      <c r="D13">
        <f t="shared" si="0"/>
        <v>0.11341134113411333</v>
      </c>
      <c r="E13">
        <f>'Endenergieverbrauch Gas'!E13/'Endenergieverbrauch Gas'!$F13</f>
        <v>9.9009900990099028E-3</v>
      </c>
    </row>
    <row r="14" spans="1:5" x14ac:dyDescent="0.3">
      <c r="A14" s="10">
        <v>11</v>
      </c>
      <c r="B14">
        <f>'Endenergieverbrauch Gas'!B14/'Endenergieverbrauch Gas'!$F14</f>
        <v>1.7101710171017102E-2</v>
      </c>
      <c r="C14">
        <f>'Endenergieverbrauch Gas'!C14/'Endenergieverbrauch Gas'!$F14</f>
        <v>0.85958595859585962</v>
      </c>
      <c r="D14">
        <f t="shared" si="0"/>
        <v>0.11341134113411333</v>
      </c>
      <c r="E14">
        <f>'Endenergieverbrauch Gas'!E14/'Endenergieverbrauch Gas'!$F14</f>
        <v>9.9009900990099028E-3</v>
      </c>
    </row>
    <row r="15" spans="1:5" x14ac:dyDescent="0.3">
      <c r="A15" s="10">
        <v>12</v>
      </c>
      <c r="B15">
        <f>'Endenergieverbrauch Gas'!B15/'Endenergieverbrauch Gas'!$F15</f>
        <v>1.7101710171017102E-2</v>
      </c>
      <c r="C15">
        <f>'Endenergieverbrauch Gas'!C15/'Endenergieverbrauch Gas'!$F15</f>
        <v>0.85958595859585973</v>
      </c>
      <c r="D15">
        <f t="shared" si="0"/>
        <v>0.11341134113411322</v>
      </c>
      <c r="E15">
        <f>'Endenergieverbrauch Gas'!E15/'Endenergieverbrauch Gas'!$F15</f>
        <v>9.9009900990099028E-3</v>
      </c>
    </row>
    <row r="16" spans="1:5" x14ac:dyDescent="0.3">
      <c r="A16" s="10">
        <v>13</v>
      </c>
      <c r="B16">
        <f>'Endenergieverbrauch Gas'!B16/'Endenergieverbrauch Gas'!$F16</f>
        <v>3.7209302325581395E-2</v>
      </c>
      <c r="C16">
        <f>'Endenergieverbrauch Gas'!C16/'Endenergieverbrauch Gas'!$F16</f>
        <v>0.62558139534883717</v>
      </c>
      <c r="D16">
        <f t="shared" si="0"/>
        <v>0.30930232558139537</v>
      </c>
      <c r="E16">
        <f>'Endenergieverbrauch Gas'!E16/'Endenergieverbrauch Gas'!$F16</f>
        <v>2.7906976744186046E-2</v>
      </c>
    </row>
    <row r="17" spans="1:5" x14ac:dyDescent="0.3">
      <c r="A17" s="10">
        <v>14</v>
      </c>
      <c r="B17">
        <f>'Endenergieverbrauch Gas'!B17/'Endenergieverbrauch Gas'!$F17</f>
        <v>3.7209302325581395E-2</v>
      </c>
      <c r="C17">
        <f>'Endenergieverbrauch Gas'!C17/'Endenergieverbrauch Gas'!$F17</f>
        <v>0.62558139534883717</v>
      </c>
      <c r="D17">
        <f t="shared" si="0"/>
        <v>0.30930232558139537</v>
      </c>
      <c r="E17">
        <f>'Endenergieverbrauch Gas'!E17/'Endenergieverbrauch Gas'!$F17</f>
        <v>2.7906976744186046E-2</v>
      </c>
    </row>
    <row r="18" spans="1:5" x14ac:dyDescent="0.3">
      <c r="A18" s="10">
        <v>15</v>
      </c>
      <c r="B18">
        <f>'Endenergieverbrauch Gas'!B18/'Endenergieverbrauch Gas'!$F18</f>
        <v>3.7209302325581395E-2</v>
      </c>
      <c r="C18">
        <f>'Endenergieverbrauch Gas'!C18/'Endenergieverbrauch Gas'!$F18</f>
        <v>0.62558139534883717</v>
      </c>
      <c r="D18">
        <f t="shared" si="0"/>
        <v>0.30930232558139537</v>
      </c>
      <c r="E18">
        <f>'Endenergieverbrauch Gas'!E18/'Endenergieverbrauch Gas'!$F18</f>
        <v>2.7906976744186046E-2</v>
      </c>
    </row>
    <row r="19" spans="1:5" x14ac:dyDescent="0.3">
      <c r="A19" s="10">
        <v>16</v>
      </c>
      <c r="B19">
        <f>'Endenergieverbrauch Gas'!B19/'Endenergieverbrauch Gas'!$F19</f>
        <v>3.7209302325581395E-2</v>
      </c>
      <c r="C19">
        <f>'Endenergieverbrauch Gas'!C19/'Endenergieverbrauch Gas'!$F19</f>
        <v>0.62558139534883717</v>
      </c>
      <c r="D19">
        <f t="shared" si="0"/>
        <v>0.30930232558139537</v>
      </c>
      <c r="E19">
        <f>'Endenergieverbrauch Gas'!E19/'Endenergieverbrauch Gas'!$F19</f>
        <v>2.7906976744186046E-2</v>
      </c>
    </row>
    <row r="20" spans="1:5" x14ac:dyDescent="0.3">
      <c r="A20" s="10">
        <v>17</v>
      </c>
      <c r="B20">
        <f>'Endenergieverbrauch Gas'!B20/'Endenergieverbrauch Gas'!$F20</f>
        <v>1.8867924528301886E-2</v>
      </c>
      <c r="C20">
        <f>'Endenergieverbrauch Gas'!C20/'Endenergieverbrauch Gas'!$F20</f>
        <v>0.95471698113207559</v>
      </c>
      <c r="D20">
        <f t="shared" si="0"/>
        <v>2.3899371069182274E-2</v>
      </c>
      <c r="E20">
        <f>'Endenergieverbrauch Gas'!E20/'Endenergieverbrauch Gas'!$F20</f>
        <v>2.5157232704402519E-3</v>
      </c>
    </row>
    <row r="21" spans="1:5" x14ac:dyDescent="0.3">
      <c r="A21" s="10">
        <v>18</v>
      </c>
      <c r="B21">
        <f>'Endenergieverbrauch Gas'!B21/'Endenergieverbrauch Gas'!$F21</f>
        <v>3.7209302325581395E-2</v>
      </c>
      <c r="C21">
        <f>'Endenergieverbrauch Gas'!C21/'Endenergieverbrauch Gas'!$F21</f>
        <v>0.62558139534883717</v>
      </c>
      <c r="D21">
        <f t="shared" si="0"/>
        <v>0.30930232558139537</v>
      </c>
      <c r="E21">
        <f>'Endenergieverbrauch Gas'!E21/'Endenergieverbrauch Gas'!$F21</f>
        <v>2.7906976744186046E-2</v>
      </c>
    </row>
    <row r="22" spans="1:5" x14ac:dyDescent="0.3">
      <c r="A22" s="10">
        <v>19</v>
      </c>
      <c r="B22">
        <f>'Endenergieverbrauch Gas'!B22/'Endenergieverbrauch Gas'!$F22</f>
        <v>2.7E-2</v>
      </c>
      <c r="C22">
        <f>'Endenergieverbrauch Gas'!C22/'Endenergieverbrauch Gas'!$F22</f>
        <v>0.84499999999999997</v>
      </c>
      <c r="D22">
        <f t="shared" si="0"/>
        <v>0.11799999999999999</v>
      </c>
      <c r="E22">
        <f>'Endenergieverbrauch Gas'!E22/'Endenergieverbrauch Gas'!$F22</f>
        <v>0.01</v>
      </c>
    </row>
    <row r="23" spans="1:5" x14ac:dyDescent="0.3">
      <c r="A23" s="10">
        <v>20</v>
      </c>
      <c r="B23">
        <f>'Endenergieverbrauch Gas'!B23/'Endenergieverbrauch Gas'!$F23</f>
        <v>1.7788368036190209E-2</v>
      </c>
      <c r="C23">
        <f>'Endenergieverbrauch Gas'!C23/'Endenergieverbrauch Gas'!$F23</f>
        <v>0.48976726450419344</v>
      </c>
      <c r="D23">
        <f t="shared" si="0"/>
        <v>0.49135750710307036</v>
      </c>
      <c r="E23">
        <f>'Endenergieverbrauch Gas'!E23/'Endenergieverbrauch Gas'!$F23</f>
        <v>1.086860356545995E-3</v>
      </c>
    </row>
    <row r="24" spans="1:5" x14ac:dyDescent="0.3">
      <c r="A24" s="10">
        <v>21</v>
      </c>
      <c r="B24">
        <f>'Endenergieverbrauch Gas'!B24/'Endenergieverbrauch Gas'!$F24</f>
        <v>3.1446540880503145E-2</v>
      </c>
      <c r="C24">
        <f>'Endenergieverbrauch Gas'!C24/'Endenergieverbrauch Gas'!$F24</f>
        <v>0.85220125786163525</v>
      </c>
      <c r="D24">
        <f t="shared" si="0"/>
        <v>0.10691823899371067</v>
      </c>
      <c r="E24">
        <f>'Endenergieverbrauch Gas'!E24/'Endenergieverbrauch Gas'!$F24</f>
        <v>9.433962264150943E-3</v>
      </c>
    </row>
    <row r="25" spans="1:5" x14ac:dyDescent="0.3">
      <c r="A25" s="10">
        <v>22</v>
      </c>
      <c r="B25">
        <f>'Endenergieverbrauch Gas'!B25/'Endenergieverbrauch Gas'!$F25</f>
        <v>1.8099547511312215E-2</v>
      </c>
      <c r="C25">
        <f>'Endenergieverbrauch Gas'!C25/'Endenergieverbrauch Gas'!$F25</f>
        <v>0.60633484162895923</v>
      </c>
      <c r="D25">
        <f t="shared" si="0"/>
        <v>0.34389140271493213</v>
      </c>
      <c r="E25">
        <f>'Endenergieverbrauch Gas'!E25/'Endenergieverbrauch Gas'!$F25</f>
        <v>3.1674208144796379E-2</v>
      </c>
    </row>
    <row r="26" spans="1:5" x14ac:dyDescent="0.3">
      <c r="A26" s="10">
        <v>23</v>
      </c>
      <c r="B26">
        <f>'Endenergieverbrauch Gas'!B26/'Endenergieverbrauch Gas'!$F26</f>
        <v>3.238510117103055E-2</v>
      </c>
      <c r="C26">
        <f>'Endenergieverbrauch Gas'!C26/'Endenergieverbrauch Gas'!$F26</f>
        <v>0.92869040122808211</v>
      </c>
      <c r="D26">
        <f t="shared" si="0"/>
        <v>3.6066988674031686E-2</v>
      </c>
      <c r="E26">
        <f>'Endenergieverbrauch Gas'!E26/'Endenergieverbrauch Gas'!$F26</f>
        <v>2.8575089268556373E-3</v>
      </c>
    </row>
    <row r="27" spans="1:5" x14ac:dyDescent="0.3">
      <c r="A27" s="10">
        <v>24</v>
      </c>
      <c r="B27">
        <f>'Endenergieverbrauch Gas'!B27/'Endenergieverbrauch Gas'!$F27</f>
        <v>5.5923387042720929E-2</v>
      </c>
      <c r="C27">
        <f>'Endenergieverbrauch Gas'!C27/'Endenergieverbrauch Gas'!$F27</f>
        <v>0.78320079556357403</v>
      </c>
      <c r="D27">
        <f t="shared" si="0"/>
        <v>0.1575219969053796</v>
      </c>
      <c r="E27">
        <f>'Endenergieverbrauch Gas'!E27/'Endenergieverbrauch Gas'!$F27</f>
        <v>3.3538204883254933E-3</v>
      </c>
    </row>
    <row r="28" spans="1:5" x14ac:dyDescent="0.3">
      <c r="A28" s="10">
        <v>25</v>
      </c>
      <c r="B28">
        <f>'Endenergieverbrauch Gas'!B28/'Endenergieverbrauch Gas'!$F28</f>
        <v>1.5521064301552106E-2</v>
      </c>
      <c r="C28">
        <f>'Endenergieverbrauch Gas'!C28/'Endenergieverbrauch Gas'!$F28</f>
        <v>0.58536585365853655</v>
      </c>
      <c r="D28">
        <f t="shared" si="0"/>
        <v>0.36585365853658547</v>
      </c>
      <c r="E28">
        <f>'Endenergieverbrauch Gas'!E28/'Endenergieverbrauch Gas'!$F28</f>
        <v>3.325942350332594E-2</v>
      </c>
    </row>
    <row r="29" spans="1:5" x14ac:dyDescent="0.3">
      <c r="A29" s="10">
        <v>26</v>
      </c>
      <c r="B29">
        <f>'Endenergieverbrauch Gas'!B29/'Endenergieverbrauch Gas'!$F29</f>
        <v>3.7209302325581395E-2</v>
      </c>
      <c r="C29">
        <f>'Endenergieverbrauch Gas'!C29/'Endenergieverbrauch Gas'!$F29</f>
        <v>0.62558139534883717</v>
      </c>
      <c r="D29">
        <f t="shared" si="0"/>
        <v>0.30930232558139537</v>
      </c>
      <c r="E29">
        <f>'Endenergieverbrauch Gas'!E29/'Endenergieverbrauch Gas'!$F29</f>
        <v>2.7906976744186046E-2</v>
      </c>
    </row>
    <row r="30" spans="1:5" x14ac:dyDescent="0.3">
      <c r="A30" s="10">
        <v>27</v>
      </c>
      <c r="B30">
        <f>'Endenergieverbrauch Gas'!B30/'Endenergieverbrauch Gas'!$F30</f>
        <v>3.7209302325581395E-2</v>
      </c>
      <c r="C30">
        <f>'Endenergieverbrauch Gas'!C30/'Endenergieverbrauch Gas'!$F30</f>
        <v>0.62558139534883717</v>
      </c>
      <c r="D30">
        <f t="shared" si="0"/>
        <v>0.30930232558139537</v>
      </c>
      <c r="E30">
        <f>'Endenergieverbrauch Gas'!E30/'Endenergieverbrauch Gas'!$F30</f>
        <v>2.7906976744186046E-2</v>
      </c>
    </row>
    <row r="31" spans="1:5" x14ac:dyDescent="0.3">
      <c r="A31" s="10">
        <v>28</v>
      </c>
      <c r="B31">
        <f>'Endenergieverbrauch Gas'!B31/'Endenergieverbrauch Gas'!$F31</f>
        <v>1.7391304347826087E-2</v>
      </c>
      <c r="C31">
        <f>'Endenergieverbrauch Gas'!C31/'Endenergieverbrauch Gas'!$F31</f>
        <v>7.3913043478260873E-2</v>
      </c>
      <c r="D31">
        <f t="shared" si="0"/>
        <v>0.82608695652173914</v>
      </c>
      <c r="E31">
        <f>'Endenergieverbrauch Gas'!E31/'Endenergieverbrauch Gas'!$F31</f>
        <v>8.2608695652173908E-2</v>
      </c>
    </row>
    <row r="32" spans="1:5" x14ac:dyDescent="0.3">
      <c r="A32" s="10">
        <v>29</v>
      </c>
      <c r="B32">
        <f>'Endenergieverbrauch Gas'!B32/'Endenergieverbrauch Gas'!$F32</f>
        <v>1.6483516483516484E-2</v>
      </c>
      <c r="C32">
        <f>'Endenergieverbrauch Gas'!C32/'Endenergieverbrauch Gas'!$F32</f>
        <v>0.4642857142857143</v>
      </c>
      <c r="D32">
        <f t="shared" si="0"/>
        <v>0.47802197802197799</v>
      </c>
      <c r="E32">
        <f>'Endenergieverbrauch Gas'!E32/'Endenergieverbrauch Gas'!$F32</f>
        <v>4.1208791208791208E-2</v>
      </c>
    </row>
    <row r="33" spans="1:5" x14ac:dyDescent="0.3">
      <c r="A33" s="10">
        <v>30</v>
      </c>
      <c r="B33">
        <f>'Endenergieverbrauch Gas'!B33/'Endenergieverbrauch Gas'!$F33</f>
        <v>1.6483516483516484E-2</v>
      </c>
      <c r="C33">
        <f>'Endenergieverbrauch Gas'!C33/'Endenergieverbrauch Gas'!$F33</f>
        <v>0.46428571428571419</v>
      </c>
      <c r="D33">
        <f t="shared" si="0"/>
        <v>0.4780219780219781</v>
      </c>
      <c r="E33">
        <f>'Endenergieverbrauch Gas'!E33/'Endenergieverbrauch Gas'!$F33</f>
        <v>4.1208791208791208E-2</v>
      </c>
    </row>
    <row r="34" spans="1:5" x14ac:dyDescent="0.3">
      <c r="A34" s="10">
        <v>31</v>
      </c>
      <c r="B34">
        <f>'Endenergieverbrauch Gas'!B34/'Endenergieverbrauch Gas'!$F34</f>
        <v>3.7209302325581402E-2</v>
      </c>
      <c r="C34">
        <f>'Endenergieverbrauch Gas'!C34/'Endenergieverbrauch Gas'!$F34</f>
        <v>0.62558139534883717</v>
      </c>
      <c r="D34">
        <f t="shared" si="0"/>
        <v>0.30930232558139537</v>
      </c>
      <c r="E34">
        <f>'Endenergieverbrauch Gas'!E34/'Endenergieverbrauch Gas'!$F34</f>
        <v>2.7906976744186046E-2</v>
      </c>
    </row>
    <row r="35" spans="1:5" x14ac:dyDescent="0.3">
      <c r="A35" s="10">
        <v>32</v>
      </c>
      <c r="B35">
        <f>'Endenergieverbrauch Gas'!B35/'Endenergieverbrauch Gas'!$F35</f>
        <v>3.7209302325581395E-2</v>
      </c>
      <c r="C35">
        <f>'Endenergieverbrauch Gas'!C35/'Endenergieverbrauch Gas'!$F35</f>
        <v>0.62558139534883717</v>
      </c>
      <c r="D35">
        <f t="shared" si="0"/>
        <v>0.30930232558139537</v>
      </c>
      <c r="E35">
        <f>'Endenergieverbrauch Gas'!E35/'Endenergieverbrauch Gas'!$F35</f>
        <v>2.790697674418605E-2</v>
      </c>
    </row>
    <row r="36" spans="1:5" x14ac:dyDescent="0.3">
      <c r="A36" s="10">
        <v>33</v>
      </c>
      <c r="B36">
        <f>'Endenergieverbrauch Gas'!B36/'Endenergieverbrauch Gas'!$F36</f>
        <v>3.7209302325581395E-2</v>
      </c>
      <c r="C36">
        <f>'Endenergieverbrauch Gas'!C36/'Endenergieverbrauch Gas'!$F36</f>
        <v>0.62558139534883717</v>
      </c>
      <c r="D36">
        <f t="shared" si="0"/>
        <v>0.30930232558139537</v>
      </c>
      <c r="E36">
        <f>'Endenergieverbrauch Gas'!E36/'Endenergieverbrauch Gas'!$F36</f>
        <v>2.7906976744186046E-2</v>
      </c>
    </row>
    <row r="37" spans="1:5" x14ac:dyDescent="0.3">
      <c r="A37" s="17" t="s">
        <v>100</v>
      </c>
    </row>
    <row r="38" spans="1:5" x14ac:dyDescent="0.3">
      <c r="A38" s="10">
        <v>35</v>
      </c>
      <c r="B38">
        <f>'Endenergieverbrauch Gas'!B38/'Endenergieverbrauch Gas'!$F38</f>
        <v>2.7E-2</v>
      </c>
      <c r="C38">
        <f>'Endenergieverbrauch Gas'!C38/'Endenergieverbrauch Gas'!$F38</f>
        <v>0.84500000000000008</v>
      </c>
      <c r="D38">
        <f t="shared" si="0"/>
        <v>0.11799999999999988</v>
      </c>
      <c r="E38">
        <f>'Endenergieverbrauch Gas'!E38/'Endenergieverbrauch Gas'!$F38</f>
        <v>0.01</v>
      </c>
    </row>
    <row r="39" spans="1:5" x14ac:dyDescent="0.3">
      <c r="A39" s="17" t="s">
        <v>117</v>
      </c>
    </row>
    <row r="40" spans="1:5" x14ac:dyDescent="0.3">
      <c r="A40" s="10">
        <v>36</v>
      </c>
      <c r="B40">
        <f>'Endenergieverbrauch Gas'!B40/'Endenergieverbrauch Gas'!$F40</f>
        <v>2E-3</v>
      </c>
      <c r="C40">
        <f>'Endenergieverbrauch Gas'!C40/'Endenergieverbrauch Gas'!$F40</f>
        <v>9.5000000000000001E-2</v>
      </c>
      <c r="D40">
        <f t="shared" si="0"/>
        <v>0.85299999999999998</v>
      </c>
      <c r="E40">
        <f>'Endenergieverbrauch Gas'!E40/'Endenergieverbrauch Gas'!$F40</f>
        <v>0.05</v>
      </c>
    </row>
    <row r="41" spans="1:5" x14ac:dyDescent="0.3">
      <c r="A41" s="10">
        <v>37</v>
      </c>
      <c r="B41">
        <f>'Endenergieverbrauch Gas'!B41/'Endenergieverbrauch Gas'!$F41</f>
        <v>2E-3</v>
      </c>
      <c r="C41">
        <f>'Endenergieverbrauch Gas'!C41/'Endenergieverbrauch Gas'!$F41</f>
        <v>9.4999999999999987E-2</v>
      </c>
      <c r="D41">
        <f t="shared" si="0"/>
        <v>0.85299999999999998</v>
      </c>
      <c r="E41">
        <f>'Endenergieverbrauch Gas'!E41/'Endenergieverbrauch Gas'!$F41</f>
        <v>0.05</v>
      </c>
    </row>
    <row r="42" spans="1:5" x14ac:dyDescent="0.3">
      <c r="A42" s="10">
        <v>38</v>
      </c>
      <c r="B42">
        <f>'Endenergieverbrauch Gas'!B42/'Endenergieverbrauch Gas'!$F42</f>
        <v>2E-3</v>
      </c>
      <c r="C42">
        <f>'Endenergieverbrauch Gas'!C42/'Endenergieverbrauch Gas'!$F42</f>
        <v>9.4999999999999987E-2</v>
      </c>
      <c r="D42">
        <f t="shared" si="0"/>
        <v>0.85299999999999998</v>
      </c>
      <c r="E42">
        <f>'Endenergieverbrauch Gas'!E42/'Endenergieverbrauch Gas'!$F42</f>
        <v>0.05</v>
      </c>
    </row>
    <row r="43" spans="1:5" x14ac:dyDescent="0.3">
      <c r="A43" s="10">
        <v>39</v>
      </c>
      <c r="B43">
        <f>'Endenergieverbrauch Gas'!B43/'Endenergieverbrauch Gas'!$F43</f>
        <v>2E-3</v>
      </c>
      <c r="C43">
        <f>'Endenergieverbrauch Gas'!C43/'Endenergieverbrauch Gas'!$F43</f>
        <v>9.5000000000000001E-2</v>
      </c>
      <c r="D43">
        <f t="shared" si="0"/>
        <v>0.85299999999999998</v>
      </c>
      <c r="E43">
        <f>'Endenergieverbrauch Gas'!E43/'Endenergieverbrauch Gas'!$F43</f>
        <v>0.05</v>
      </c>
    </row>
    <row r="44" spans="1:5" x14ac:dyDescent="0.3">
      <c r="A44" s="17" t="s">
        <v>101</v>
      </c>
    </row>
    <row r="45" spans="1:5" x14ac:dyDescent="0.3">
      <c r="A45" s="10">
        <v>41</v>
      </c>
      <c r="B45">
        <f>'Endenergieverbrauch Gas'!B45/'Endenergieverbrauch Gas'!$F45</f>
        <v>2E-3</v>
      </c>
      <c r="C45">
        <f>'Endenergieverbrauch Gas'!C45/'Endenergieverbrauch Gas'!$F45</f>
        <v>9.5000000000000001E-2</v>
      </c>
      <c r="D45">
        <f t="shared" si="0"/>
        <v>0.85299999999999998</v>
      </c>
      <c r="E45">
        <f>'Endenergieverbrauch Gas'!E45/'Endenergieverbrauch Gas'!$F45</f>
        <v>0.05</v>
      </c>
    </row>
    <row r="46" spans="1:5" x14ac:dyDescent="0.3">
      <c r="A46" s="10">
        <v>42</v>
      </c>
      <c r="B46">
        <f>'Endenergieverbrauch Gas'!B46/'Endenergieverbrauch Gas'!$F46</f>
        <v>2E-3</v>
      </c>
      <c r="C46">
        <f>'Endenergieverbrauch Gas'!C46/'Endenergieverbrauch Gas'!$F46</f>
        <v>9.5000000000000001E-2</v>
      </c>
      <c r="D46">
        <f t="shared" si="0"/>
        <v>0.85299999999999998</v>
      </c>
      <c r="E46">
        <f>'Endenergieverbrauch Gas'!E46/'Endenergieverbrauch Gas'!$F46</f>
        <v>0.05</v>
      </c>
    </row>
    <row r="47" spans="1:5" x14ac:dyDescent="0.3">
      <c r="A47" s="10">
        <v>43</v>
      </c>
      <c r="B47">
        <f>'Endenergieverbrauch Gas'!B47/'Endenergieverbrauch Gas'!$F47</f>
        <v>2E-3</v>
      </c>
      <c r="C47">
        <f>'Endenergieverbrauch Gas'!C47/'Endenergieverbrauch Gas'!$F47</f>
        <v>9.5000000000000001E-2</v>
      </c>
      <c r="D47">
        <f t="shared" si="0"/>
        <v>0.85299999999999998</v>
      </c>
      <c r="E47">
        <f>'Endenergieverbrauch Gas'!E47/'Endenergieverbrauch Gas'!$F47</f>
        <v>0.05</v>
      </c>
    </row>
    <row r="48" spans="1:5" x14ac:dyDescent="0.3">
      <c r="A48" s="17" t="s">
        <v>102</v>
      </c>
    </row>
    <row r="49" spans="1:5" x14ac:dyDescent="0.3">
      <c r="A49" s="10">
        <v>45</v>
      </c>
      <c r="B49">
        <f>'Endenergieverbrauch Gas'!B49/'Endenergieverbrauch Gas'!$F49</f>
        <v>2E-3</v>
      </c>
      <c r="C49">
        <f>'Endenergieverbrauch Gas'!C49/'Endenergieverbrauch Gas'!$F49</f>
        <v>9.5000000000000001E-2</v>
      </c>
      <c r="D49">
        <f t="shared" si="0"/>
        <v>0.85299999999999998</v>
      </c>
      <c r="E49">
        <f>'Endenergieverbrauch Gas'!E49/'Endenergieverbrauch Gas'!$F49</f>
        <v>0.05</v>
      </c>
    </row>
    <row r="50" spans="1:5" x14ac:dyDescent="0.3">
      <c r="A50" s="10">
        <v>46</v>
      </c>
      <c r="B50">
        <f>'Endenergieverbrauch Gas'!B50/'Endenergieverbrauch Gas'!$F50</f>
        <v>2E-3</v>
      </c>
      <c r="C50">
        <f>'Endenergieverbrauch Gas'!C50/'Endenergieverbrauch Gas'!$F50</f>
        <v>9.5000000000000001E-2</v>
      </c>
      <c r="D50">
        <f t="shared" si="0"/>
        <v>0.85299999999999998</v>
      </c>
      <c r="E50">
        <f>'Endenergieverbrauch Gas'!E50/'Endenergieverbrauch Gas'!$F50</f>
        <v>0.05</v>
      </c>
    </row>
    <row r="51" spans="1:5" x14ac:dyDescent="0.3">
      <c r="A51" s="10">
        <v>47</v>
      </c>
      <c r="B51">
        <f>'Endenergieverbrauch Gas'!B51/'Endenergieverbrauch Gas'!$F51</f>
        <v>2E-3</v>
      </c>
      <c r="C51">
        <f>'Endenergieverbrauch Gas'!C51/'Endenergieverbrauch Gas'!$F51</f>
        <v>9.5000000000000001E-2</v>
      </c>
      <c r="D51">
        <f t="shared" si="0"/>
        <v>0.85299999999999998</v>
      </c>
      <c r="E51">
        <f>'Endenergieverbrauch Gas'!E51/'Endenergieverbrauch Gas'!$F51</f>
        <v>5.000000000000001E-2</v>
      </c>
    </row>
    <row r="52" spans="1:5" x14ac:dyDescent="0.3">
      <c r="A52" s="17" t="s">
        <v>103</v>
      </c>
    </row>
    <row r="53" spans="1:5" x14ac:dyDescent="0.3">
      <c r="A53" s="10">
        <v>49</v>
      </c>
      <c r="B53">
        <f>'Endenergieverbrauch Gas'!B53/'Endenergieverbrauch Gas'!$F53</f>
        <v>0.98799999999999999</v>
      </c>
      <c r="C53">
        <f>'Endenergieverbrauch Gas'!C53/'Endenergieverbrauch Gas'!$F53</f>
        <v>0</v>
      </c>
      <c r="D53">
        <f t="shared" si="0"/>
        <v>1.2000000000000011E-2</v>
      </c>
      <c r="E53">
        <f>'Endenergieverbrauch Gas'!E53/'Endenergieverbrauch Gas'!$F53</f>
        <v>0</v>
      </c>
    </row>
    <row r="54" spans="1:5" x14ac:dyDescent="0.3">
      <c r="A54" s="10">
        <v>50</v>
      </c>
      <c r="B54">
        <f>'Endenergieverbrauch Gas'!B54/'Endenergieverbrauch Gas'!$F54</f>
        <v>0.98799999999999999</v>
      </c>
      <c r="C54">
        <f>'Endenergieverbrauch Gas'!C54/'Endenergieverbrauch Gas'!$F54</f>
        <v>0</v>
      </c>
      <c r="D54">
        <f t="shared" si="0"/>
        <v>1.2000000000000011E-2</v>
      </c>
      <c r="E54">
        <f>'Endenergieverbrauch Gas'!E54/'Endenergieverbrauch Gas'!$F54</f>
        <v>0</v>
      </c>
    </row>
    <row r="55" spans="1:5" x14ac:dyDescent="0.3">
      <c r="A55" s="10">
        <v>51</v>
      </c>
      <c r="B55">
        <f>'Endenergieverbrauch Gas'!B55/'Endenergieverbrauch Gas'!$F55</f>
        <v>0.98799999999999999</v>
      </c>
      <c r="C55">
        <f>'Endenergieverbrauch Gas'!C55/'Endenergieverbrauch Gas'!$F55</f>
        <v>0</v>
      </c>
      <c r="D55">
        <f t="shared" si="0"/>
        <v>1.2000000000000011E-2</v>
      </c>
      <c r="E55">
        <f>'Endenergieverbrauch Gas'!E55/'Endenergieverbrauch Gas'!$F55</f>
        <v>0</v>
      </c>
    </row>
    <row r="56" spans="1:5" x14ac:dyDescent="0.3">
      <c r="A56" s="10">
        <v>52</v>
      </c>
      <c r="B56">
        <f>'Endenergieverbrauch Gas'!B56/'Endenergieverbrauch Gas'!$F56</f>
        <v>0.02</v>
      </c>
      <c r="C56">
        <f>'Endenergieverbrauch Gas'!C56/'Endenergieverbrauch Gas'!$F56</f>
        <v>9.5000000000000001E-2</v>
      </c>
      <c r="D56">
        <f t="shared" si="0"/>
        <v>0.83499999999999996</v>
      </c>
      <c r="E56">
        <f>'Endenergieverbrauch Gas'!E56/'Endenergieverbrauch Gas'!$F56</f>
        <v>4.9999999999999996E-2</v>
      </c>
    </row>
    <row r="57" spans="1:5" x14ac:dyDescent="0.3">
      <c r="A57" s="10">
        <v>53</v>
      </c>
      <c r="B57">
        <f>'Endenergieverbrauch Gas'!B57/'Endenergieverbrauch Gas'!$F57</f>
        <v>2.0000000000000004E-2</v>
      </c>
      <c r="C57">
        <f>'Endenergieverbrauch Gas'!C57/'Endenergieverbrauch Gas'!$F57</f>
        <v>9.5000000000000001E-2</v>
      </c>
      <c r="D57">
        <f t="shared" si="0"/>
        <v>0.83499999999999996</v>
      </c>
      <c r="E57">
        <f>'Endenergieverbrauch Gas'!E57/'Endenergieverbrauch Gas'!$F57</f>
        <v>0.05</v>
      </c>
    </row>
    <row r="58" spans="1:5" x14ac:dyDescent="0.3">
      <c r="A58" s="17" t="s">
        <v>104</v>
      </c>
    </row>
    <row r="59" spans="1:5" x14ac:dyDescent="0.3">
      <c r="A59" s="10">
        <v>55</v>
      </c>
      <c r="B59">
        <f>'Endenergieverbrauch Gas'!B59/'Endenergieverbrauch Gas'!$F59</f>
        <v>0.02</v>
      </c>
      <c r="C59">
        <f>'Endenergieverbrauch Gas'!C59/'Endenergieverbrauch Gas'!$F59</f>
        <v>9.5000000000000001E-2</v>
      </c>
      <c r="D59">
        <f t="shared" si="0"/>
        <v>0.83499999999999996</v>
      </c>
      <c r="E59">
        <f>'Endenergieverbrauch Gas'!E59/'Endenergieverbrauch Gas'!$F59</f>
        <v>0.05</v>
      </c>
    </row>
    <row r="60" spans="1:5" x14ac:dyDescent="0.3">
      <c r="A60" s="10">
        <v>56</v>
      </c>
      <c r="B60">
        <f>'Endenergieverbrauch Gas'!B60/'Endenergieverbrauch Gas'!$F60</f>
        <v>2.0000000000000004E-2</v>
      </c>
      <c r="C60">
        <f>'Endenergieverbrauch Gas'!C60/'Endenergieverbrauch Gas'!$F60</f>
        <v>9.5000000000000001E-2</v>
      </c>
      <c r="D60">
        <f t="shared" si="0"/>
        <v>0.83499999999999996</v>
      </c>
      <c r="E60">
        <f>'Endenergieverbrauch Gas'!E60/'Endenergieverbrauch Gas'!$F60</f>
        <v>0.05</v>
      </c>
    </row>
    <row r="61" spans="1:5" x14ac:dyDescent="0.3">
      <c r="A61" s="17" t="s">
        <v>105</v>
      </c>
    </row>
    <row r="62" spans="1:5" x14ac:dyDescent="0.3">
      <c r="A62" s="10">
        <v>58</v>
      </c>
      <c r="B62">
        <f>'Endenergieverbrauch Gas'!B62/'Endenergieverbrauch Gas'!$F62</f>
        <v>2E-3</v>
      </c>
      <c r="C62">
        <f>'Endenergieverbrauch Gas'!C62/'Endenergieverbrauch Gas'!$F62</f>
        <v>9.5000000000000015E-2</v>
      </c>
      <c r="D62">
        <f t="shared" si="0"/>
        <v>0.85299999999999998</v>
      </c>
      <c r="E62">
        <f>'Endenergieverbrauch Gas'!E62/'Endenergieverbrauch Gas'!$F62</f>
        <v>0.05</v>
      </c>
    </row>
    <row r="63" spans="1:5" x14ac:dyDescent="0.3">
      <c r="A63" s="10">
        <v>59</v>
      </c>
      <c r="B63">
        <f>'Endenergieverbrauch Gas'!B63/'Endenergieverbrauch Gas'!$F63</f>
        <v>2E-3</v>
      </c>
      <c r="C63">
        <f>'Endenergieverbrauch Gas'!C63/'Endenergieverbrauch Gas'!$F63</f>
        <v>9.4999999999999987E-2</v>
      </c>
      <c r="D63">
        <f t="shared" si="0"/>
        <v>0.85299999999999998</v>
      </c>
      <c r="E63">
        <f>'Endenergieverbrauch Gas'!E63/'Endenergieverbrauch Gas'!$F63</f>
        <v>0.05</v>
      </c>
    </row>
    <row r="64" spans="1:5" x14ac:dyDescent="0.3">
      <c r="A64" s="10">
        <v>60</v>
      </c>
      <c r="B64">
        <f>'Endenergieverbrauch Gas'!B64/'Endenergieverbrauch Gas'!$F64</f>
        <v>2E-3</v>
      </c>
      <c r="C64">
        <f>'Endenergieverbrauch Gas'!C64/'Endenergieverbrauch Gas'!$F64</f>
        <v>9.5000000000000001E-2</v>
      </c>
      <c r="D64">
        <f t="shared" si="0"/>
        <v>0.85299999999999998</v>
      </c>
      <c r="E64">
        <f>'Endenergieverbrauch Gas'!E64/'Endenergieverbrauch Gas'!$F64</f>
        <v>4.9999999999999996E-2</v>
      </c>
    </row>
    <row r="65" spans="1:5" x14ac:dyDescent="0.3">
      <c r="A65" s="10">
        <v>61</v>
      </c>
      <c r="B65">
        <f>'Endenergieverbrauch Gas'!B65/'Endenergieverbrauch Gas'!$F65</f>
        <v>2E-3</v>
      </c>
      <c r="C65">
        <f>'Endenergieverbrauch Gas'!C65/'Endenergieverbrauch Gas'!$F65</f>
        <v>9.5000000000000001E-2</v>
      </c>
      <c r="D65">
        <f t="shared" si="0"/>
        <v>0.85299999999999998</v>
      </c>
      <c r="E65">
        <f>'Endenergieverbrauch Gas'!E65/'Endenergieverbrauch Gas'!$F65</f>
        <v>4.9999999999999996E-2</v>
      </c>
    </row>
    <row r="66" spans="1:5" x14ac:dyDescent="0.3">
      <c r="A66" s="10">
        <v>62</v>
      </c>
      <c r="B66">
        <f>'Endenergieverbrauch Gas'!B66/'Endenergieverbrauch Gas'!$F66</f>
        <v>2E-3</v>
      </c>
      <c r="C66">
        <f>'Endenergieverbrauch Gas'!C66/'Endenergieverbrauch Gas'!$F66</f>
        <v>9.5000000000000001E-2</v>
      </c>
      <c r="D66">
        <f t="shared" si="0"/>
        <v>0.85299999999999998</v>
      </c>
      <c r="E66">
        <f>'Endenergieverbrauch Gas'!E66/'Endenergieverbrauch Gas'!$F66</f>
        <v>0.05</v>
      </c>
    </row>
    <row r="67" spans="1:5" x14ac:dyDescent="0.3">
      <c r="A67" s="10">
        <v>63</v>
      </c>
      <c r="B67">
        <f>'Endenergieverbrauch Gas'!B67/'Endenergieverbrauch Gas'!$F67</f>
        <v>2E-3</v>
      </c>
      <c r="C67">
        <f>'Endenergieverbrauch Gas'!C67/'Endenergieverbrauch Gas'!$F67</f>
        <v>9.5000000000000001E-2</v>
      </c>
      <c r="D67">
        <f t="shared" si="0"/>
        <v>0.85299999999999998</v>
      </c>
      <c r="E67">
        <f>'Endenergieverbrauch Gas'!E67/'Endenergieverbrauch Gas'!$F67</f>
        <v>0.05</v>
      </c>
    </row>
    <row r="68" spans="1:5" x14ac:dyDescent="0.3">
      <c r="A68" s="17" t="s">
        <v>106</v>
      </c>
    </row>
    <row r="69" spans="1:5" x14ac:dyDescent="0.3">
      <c r="A69" s="10">
        <v>64</v>
      </c>
      <c r="B69">
        <f>'Endenergieverbrauch Gas'!B69/'Endenergieverbrauch Gas'!$F69</f>
        <v>2E-3</v>
      </c>
      <c r="C69">
        <f>'Endenergieverbrauch Gas'!C69/'Endenergieverbrauch Gas'!$F69</f>
        <v>9.5000000000000001E-2</v>
      </c>
      <c r="D69">
        <f t="shared" ref="D69:D110" si="1">1-SUM(B69,C69,E69)</f>
        <v>0.85299999999999998</v>
      </c>
      <c r="E69">
        <f>'Endenergieverbrauch Gas'!E69/'Endenergieverbrauch Gas'!$F69</f>
        <v>0.05</v>
      </c>
    </row>
    <row r="70" spans="1:5" x14ac:dyDescent="0.3">
      <c r="A70" s="10">
        <v>65</v>
      </c>
      <c r="B70">
        <f>'Endenergieverbrauch Gas'!B70/'Endenergieverbrauch Gas'!$F70</f>
        <v>2E-3</v>
      </c>
      <c r="C70">
        <f>'Endenergieverbrauch Gas'!C70/'Endenergieverbrauch Gas'!$F70</f>
        <v>9.5000000000000001E-2</v>
      </c>
      <c r="D70">
        <f t="shared" si="1"/>
        <v>0.85299999999999998</v>
      </c>
      <c r="E70">
        <f>'Endenergieverbrauch Gas'!E70/'Endenergieverbrauch Gas'!$F70</f>
        <v>5.000000000000001E-2</v>
      </c>
    </row>
    <row r="71" spans="1:5" x14ac:dyDescent="0.3">
      <c r="A71" s="10">
        <v>66</v>
      </c>
      <c r="B71">
        <f>'Endenergieverbrauch Gas'!B71/'Endenergieverbrauch Gas'!$F71</f>
        <v>2E-3</v>
      </c>
      <c r="C71">
        <f>'Endenergieverbrauch Gas'!C71/'Endenergieverbrauch Gas'!$F71</f>
        <v>9.5000000000000001E-2</v>
      </c>
      <c r="D71">
        <f t="shared" si="1"/>
        <v>0.85299999999999998</v>
      </c>
      <c r="E71">
        <f>'Endenergieverbrauch Gas'!E71/'Endenergieverbrauch Gas'!$F71</f>
        <v>0.05</v>
      </c>
    </row>
    <row r="72" spans="1:5" x14ac:dyDescent="0.3">
      <c r="A72" s="17" t="s">
        <v>107</v>
      </c>
    </row>
    <row r="73" spans="1:5" x14ac:dyDescent="0.3">
      <c r="A73" s="10">
        <v>68</v>
      </c>
      <c r="B73">
        <f>'Endenergieverbrauch Gas'!B73/'Endenergieverbrauch Gas'!$F73</f>
        <v>2E-3</v>
      </c>
      <c r="C73">
        <f>'Endenergieverbrauch Gas'!C73/'Endenergieverbrauch Gas'!$F73</f>
        <v>9.5000000000000001E-2</v>
      </c>
      <c r="D73">
        <f t="shared" si="1"/>
        <v>0.85299999999999998</v>
      </c>
      <c r="E73">
        <f>'Endenergieverbrauch Gas'!E73/'Endenergieverbrauch Gas'!$F73</f>
        <v>0.05</v>
      </c>
    </row>
    <row r="74" spans="1:5" x14ac:dyDescent="0.3">
      <c r="A74" s="17" t="s">
        <v>118</v>
      </c>
    </row>
    <row r="75" spans="1:5" x14ac:dyDescent="0.3">
      <c r="A75" s="10">
        <v>69</v>
      </c>
      <c r="B75">
        <f>'Endenergieverbrauch Gas'!B75/'Endenergieverbrauch Gas'!$F75</f>
        <v>2E-3</v>
      </c>
      <c r="C75">
        <f>'Endenergieverbrauch Gas'!C75/'Endenergieverbrauch Gas'!$F75</f>
        <v>9.5000000000000001E-2</v>
      </c>
      <c r="D75">
        <f t="shared" si="1"/>
        <v>0.85299999999999998</v>
      </c>
      <c r="E75">
        <f>'Endenergieverbrauch Gas'!E75/'Endenergieverbrauch Gas'!$F75</f>
        <v>0.05</v>
      </c>
    </row>
    <row r="76" spans="1:5" x14ac:dyDescent="0.3">
      <c r="A76" s="10">
        <v>70</v>
      </c>
      <c r="B76">
        <f>'Endenergieverbrauch Gas'!B76/'Endenergieverbrauch Gas'!$F76</f>
        <v>2E-3</v>
      </c>
      <c r="C76">
        <f>'Endenergieverbrauch Gas'!C76/'Endenergieverbrauch Gas'!$F76</f>
        <v>9.5000000000000001E-2</v>
      </c>
      <c r="D76">
        <f t="shared" si="1"/>
        <v>0.85299999999999998</v>
      </c>
      <c r="E76">
        <f>'Endenergieverbrauch Gas'!E76/'Endenergieverbrauch Gas'!$F76</f>
        <v>0.05</v>
      </c>
    </row>
    <row r="77" spans="1:5" x14ac:dyDescent="0.3">
      <c r="A77" s="10">
        <v>71</v>
      </c>
      <c r="B77">
        <f>'Endenergieverbrauch Gas'!B77/'Endenergieverbrauch Gas'!$F77</f>
        <v>2E-3</v>
      </c>
      <c r="C77">
        <f>'Endenergieverbrauch Gas'!C77/'Endenergieverbrauch Gas'!$F77</f>
        <v>9.5000000000000001E-2</v>
      </c>
      <c r="D77">
        <f t="shared" si="1"/>
        <v>0.85299999999999998</v>
      </c>
      <c r="E77">
        <f>'Endenergieverbrauch Gas'!E77/'Endenergieverbrauch Gas'!$F77</f>
        <v>0.05</v>
      </c>
    </row>
    <row r="78" spans="1:5" x14ac:dyDescent="0.3">
      <c r="A78" s="10">
        <v>72</v>
      </c>
      <c r="B78">
        <f>'Endenergieverbrauch Gas'!B78/'Endenergieverbrauch Gas'!$F78</f>
        <v>2E-3</v>
      </c>
      <c r="C78">
        <f>'Endenergieverbrauch Gas'!C78/'Endenergieverbrauch Gas'!$F78</f>
        <v>9.5000000000000001E-2</v>
      </c>
      <c r="D78">
        <f t="shared" si="1"/>
        <v>0.85299999999999998</v>
      </c>
      <c r="E78">
        <f>'Endenergieverbrauch Gas'!E78/'Endenergieverbrauch Gas'!$F78</f>
        <v>0.05</v>
      </c>
    </row>
    <row r="79" spans="1:5" x14ac:dyDescent="0.3">
      <c r="A79" s="10">
        <v>73</v>
      </c>
      <c r="B79">
        <f>'Endenergieverbrauch Gas'!B79/'Endenergieverbrauch Gas'!$F79</f>
        <v>2E-3</v>
      </c>
      <c r="C79">
        <f>'Endenergieverbrauch Gas'!C79/'Endenergieverbrauch Gas'!$F79</f>
        <v>9.5000000000000001E-2</v>
      </c>
      <c r="D79">
        <f t="shared" si="1"/>
        <v>0.85299999999999998</v>
      </c>
      <c r="E79">
        <f>'Endenergieverbrauch Gas'!E79/'Endenergieverbrauch Gas'!$F79</f>
        <v>0.05</v>
      </c>
    </row>
    <row r="80" spans="1:5" x14ac:dyDescent="0.3">
      <c r="A80" s="10">
        <v>74</v>
      </c>
      <c r="B80">
        <f>'Endenergieverbrauch Gas'!B80/'Endenergieverbrauch Gas'!$F80</f>
        <v>2E-3</v>
      </c>
      <c r="C80">
        <f>'Endenergieverbrauch Gas'!C80/'Endenergieverbrauch Gas'!$F80</f>
        <v>9.5000000000000001E-2</v>
      </c>
      <c r="D80">
        <f t="shared" si="1"/>
        <v>0.85299999999999998</v>
      </c>
      <c r="E80">
        <f>'Endenergieverbrauch Gas'!E80/'Endenergieverbrauch Gas'!$F80</f>
        <v>0.05</v>
      </c>
    </row>
    <row r="81" spans="1:5" x14ac:dyDescent="0.3">
      <c r="A81" s="10">
        <v>75</v>
      </c>
      <c r="B81">
        <f>'Endenergieverbrauch Gas'!B81/'Endenergieverbrauch Gas'!$F81</f>
        <v>2E-3</v>
      </c>
      <c r="C81">
        <f>'Endenergieverbrauch Gas'!C81/'Endenergieverbrauch Gas'!$F81</f>
        <v>9.5000000000000001E-2</v>
      </c>
      <c r="D81">
        <f t="shared" si="1"/>
        <v>0.85299999999999998</v>
      </c>
      <c r="E81">
        <f>'Endenergieverbrauch Gas'!E81/'Endenergieverbrauch Gas'!$F81</f>
        <v>0.05</v>
      </c>
    </row>
    <row r="82" spans="1:5" x14ac:dyDescent="0.3">
      <c r="A82" s="17" t="s">
        <v>109</v>
      </c>
    </row>
    <row r="83" spans="1:5" x14ac:dyDescent="0.3">
      <c r="A83" s="10">
        <v>77</v>
      </c>
      <c r="B83">
        <f>'Endenergieverbrauch Gas'!B83/'Endenergieverbrauch Gas'!$F83</f>
        <v>2E-3</v>
      </c>
      <c r="C83">
        <f>'Endenergieverbrauch Gas'!C83/'Endenergieverbrauch Gas'!$F83</f>
        <v>9.4999999999999987E-2</v>
      </c>
      <c r="D83">
        <f t="shared" si="1"/>
        <v>0.85299999999999998</v>
      </c>
      <c r="E83">
        <f>'Endenergieverbrauch Gas'!E83/'Endenergieverbrauch Gas'!$F83</f>
        <v>0.05</v>
      </c>
    </row>
    <row r="84" spans="1:5" x14ac:dyDescent="0.3">
      <c r="A84" s="10">
        <v>78</v>
      </c>
      <c r="B84">
        <f>'Endenergieverbrauch Gas'!B84/'Endenergieverbrauch Gas'!$F84</f>
        <v>2E-3</v>
      </c>
      <c r="C84">
        <f>'Endenergieverbrauch Gas'!C84/'Endenergieverbrauch Gas'!$F84</f>
        <v>9.5000000000000001E-2</v>
      </c>
      <c r="D84">
        <f t="shared" si="1"/>
        <v>0.85299999999999998</v>
      </c>
      <c r="E84">
        <f>'Endenergieverbrauch Gas'!E84/'Endenergieverbrauch Gas'!$F84</f>
        <v>0.05</v>
      </c>
    </row>
    <row r="85" spans="1:5" x14ac:dyDescent="0.3">
      <c r="A85" s="10">
        <v>79</v>
      </c>
      <c r="B85">
        <f>'Endenergieverbrauch Gas'!B85/'Endenergieverbrauch Gas'!$F85</f>
        <v>2E-3</v>
      </c>
      <c r="C85">
        <f>'Endenergieverbrauch Gas'!C85/'Endenergieverbrauch Gas'!$F85</f>
        <v>9.5000000000000001E-2</v>
      </c>
      <c r="D85">
        <f t="shared" si="1"/>
        <v>0.85299999999999998</v>
      </c>
      <c r="E85">
        <f>'Endenergieverbrauch Gas'!E85/'Endenergieverbrauch Gas'!$F85</f>
        <v>4.9999999999999996E-2</v>
      </c>
    </row>
    <row r="86" spans="1:5" x14ac:dyDescent="0.3">
      <c r="A86" s="10">
        <v>80</v>
      </c>
      <c r="B86">
        <f>'Endenergieverbrauch Gas'!B86/'Endenergieverbrauch Gas'!$F86</f>
        <v>2E-3</v>
      </c>
      <c r="C86">
        <f>'Endenergieverbrauch Gas'!C86/'Endenergieverbrauch Gas'!$F86</f>
        <v>9.5000000000000001E-2</v>
      </c>
      <c r="D86">
        <f t="shared" si="1"/>
        <v>0.85299999999999998</v>
      </c>
      <c r="E86">
        <f>'Endenergieverbrauch Gas'!E86/'Endenergieverbrauch Gas'!$F86</f>
        <v>0.05</v>
      </c>
    </row>
    <row r="87" spans="1:5" x14ac:dyDescent="0.3">
      <c r="A87" s="10">
        <v>81</v>
      </c>
      <c r="B87">
        <f>'Endenergieverbrauch Gas'!B87/'Endenergieverbrauch Gas'!$F87</f>
        <v>2E-3</v>
      </c>
      <c r="C87">
        <f>'Endenergieverbrauch Gas'!C87/'Endenergieverbrauch Gas'!$F87</f>
        <v>9.5000000000000015E-2</v>
      </c>
      <c r="D87">
        <f t="shared" si="1"/>
        <v>0.85299999999999998</v>
      </c>
      <c r="E87">
        <f>'Endenergieverbrauch Gas'!E87/'Endenergieverbrauch Gas'!$F87</f>
        <v>0.05</v>
      </c>
    </row>
    <row r="88" spans="1:5" x14ac:dyDescent="0.3">
      <c r="A88" s="10">
        <v>82</v>
      </c>
      <c r="B88">
        <f>'Endenergieverbrauch Gas'!B88/'Endenergieverbrauch Gas'!$F88</f>
        <v>2E-3</v>
      </c>
      <c r="C88">
        <f>'Endenergieverbrauch Gas'!C88/'Endenergieverbrauch Gas'!$F88</f>
        <v>9.5000000000000001E-2</v>
      </c>
      <c r="D88">
        <f t="shared" si="1"/>
        <v>0.85299999999999998</v>
      </c>
      <c r="E88">
        <f>'Endenergieverbrauch Gas'!E88/'Endenergieverbrauch Gas'!$F88</f>
        <v>0.05</v>
      </c>
    </row>
    <row r="89" spans="1:5" x14ac:dyDescent="0.3">
      <c r="A89" s="17" t="s">
        <v>110</v>
      </c>
    </row>
    <row r="90" spans="1:5" x14ac:dyDescent="0.3">
      <c r="A90" s="10">
        <v>84</v>
      </c>
      <c r="B90">
        <f>'Endenergieverbrauch Gas'!B90/'Endenergieverbrauch Gas'!$F90</f>
        <v>2E-3</v>
      </c>
      <c r="C90">
        <f>'Endenergieverbrauch Gas'!C90/'Endenergieverbrauch Gas'!$F90</f>
        <v>9.5000000000000001E-2</v>
      </c>
      <c r="D90">
        <f t="shared" si="1"/>
        <v>0.85299999999999998</v>
      </c>
      <c r="E90">
        <f>'Endenergieverbrauch Gas'!E90/'Endenergieverbrauch Gas'!$F90</f>
        <v>0.05</v>
      </c>
    </row>
    <row r="91" spans="1:5" x14ac:dyDescent="0.3">
      <c r="A91" s="17" t="s">
        <v>111</v>
      </c>
    </row>
    <row r="92" spans="1:5" x14ac:dyDescent="0.3">
      <c r="A92" s="10">
        <v>85</v>
      </c>
      <c r="B92">
        <f>'Endenergieverbrauch Gas'!B92/'Endenergieverbrauch Gas'!$F92</f>
        <v>2E-3</v>
      </c>
      <c r="C92">
        <f>'Endenergieverbrauch Gas'!C92/'Endenergieverbrauch Gas'!$F92</f>
        <v>9.5000000000000001E-2</v>
      </c>
      <c r="D92">
        <f t="shared" si="1"/>
        <v>0.85299999999999998</v>
      </c>
      <c r="E92">
        <f>'Endenergieverbrauch Gas'!E92/'Endenergieverbrauch Gas'!$F92</f>
        <v>0.05</v>
      </c>
    </row>
    <row r="93" spans="1:5" x14ac:dyDescent="0.3">
      <c r="A93" s="17" t="s">
        <v>112</v>
      </c>
    </row>
    <row r="94" spans="1:5" x14ac:dyDescent="0.3">
      <c r="A94" s="10">
        <v>86</v>
      </c>
      <c r="B94">
        <f>'Endenergieverbrauch Gas'!B94/'Endenergieverbrauch Gas'!$F94</f>
        <v>2E-3</v>
      </c>
      <c r="C94">
        <f>'Endenergieverbrauch Gas'!C94/'Endenergieverbrauch Gas'!$F94</f>
        <v>9.5000000000000001E-2</v>
      </c>
      <c r="D94">
        <f t="shared" si="1"/>
        <v>0.85299999999999998</v>
      </c>
      <c r="E94">
        <f>'Endenergieverbrauch Gas'!E94/'Endenergieverbrauch Gas'!$F94</f>
        <v>4.9999999999999996E-2</v>
      </c>
    </row>
    <row r="95" spans="1:5" x14ac:dyDescent="0.3">
      <c r="A95" s="10">
        <v>87</v>
      </c>
      <c r="B95">
        <f>'Endenergieverbrauch Gas'!B95/'Endenergieverbrauch Gas'!$F95</f>
        <v>2E-3</v>
      </c>
      <c r="C95">
        <f>'Endenergieverbrauch Gas'!C95/'Endenergieverbrauch Gas'!$F95</f>
        <v>9.5000000000000001E-2</v>
      </c>
      <c r="D95">
        <f t="shared" si="1"/>
        <v>0.85299999999999998</v>
      </c>
      <c r="E95">
        <f>'Endenergieverbrauch Gas'!E95/'Endenergieverbrauch Gas'!$F95</f>
        <v>0.05</v>
      </c>
    </row>
    <row r="96" spans="1:5" x14ac:dyDescent="0.3">
      <c r="A96" s="10">
        <v>88</v>
      </c>
      <c r="B96">
        <f>'Endenergieverbrauch Gas'!B96/'Endenergieverbrauch Gas'!$F96</f>
        <v>2E-3</v>
      </c>
      <c r="C96">
        <f>'Endenergieverbrauch Gas'!C96/'Endenergieverbrauch Gas'!$F96</f>
        <v>9.5000000000000001E-2</v>
      </c>
      <c r="D96">
        <f t="shared" si="1"/>
        <v>0.85299999999999998</v>
      </c>
      <c r="E96">
        <f>'Endenergieverbrauch Gas'!E96/'Endenergieverbrauch Gas'!$F96</f>
        <v>0.05</v>
      </c>
    </row>
    <row r="97" spans="1:5" x14ac:dyDescent="0.3">
      <c r="A97" s="17" t="s">
        <v>113</v>
      </c>
    </row>
    <row r="98" spans="1:5" x14ac:dyDescent="0.3">
      <c r="A98" s="10">
        <v>90</v>
      </c>
      <c r="B98">
        <f>'Endenergieverbrauch Gas'!B98/'Endenergieverbrauch Gas'!$F98</f>
        <v>2E-3</v>
      </c>
      <c r="C98">
        <f>'Endenergieverbrauch Gas'!C98/'Endenergieverbrauch Gas'!$F98</f>
        <v>9.5000000000000001E-2</v>
      </c>
      <c r="D98">
        <f t="shared" si="1"/>
        <v>0.85299999999999998</v>
      </c>
      <c r="E98">
        <f>'Endenergieverbrauch Gas'!E98/'Endenergieverbrauch Gas'!$F98</f>
        <v>0.05</v>
      </c>
    </row>
    <row r="99" spans="1:5" x14ac:dyDescent="0.3">
      <c r="A99" s="10">
        <v>91</v>
      </c>
      <c r="B99">
        <f>'Endenergieverbrauch Gas'!B99/'Endenergieverbrauch Gas'!$F99</f>
        <v>2E-3</v>
      </c>
      <c r="C99">
        <f>'Endenergieverbrauch Gas'!C99/'Endenergieverbrauch Gas'!$F99</f>
        <v>9.5000000000000001E-2</v>
      </c>
      <c r="D99">
        <f t="shared" si="1"/>
        <v>0.85299999999999998</v>
      </c>
      <c r="E99">
        <f>'Endenergieverbrauch Gas'!E99/'Endenergieverbrauch Gas'!$F99</f>
        <v>0.05</v>
      </c>
    </row>
    <row r="100" spans="1:5" x14ac:dyDescent="0.3">
      <c r="A100" s="10">
        <v>92</v>
      </c>
      <c r="B100">
        <f>'Endenergieverbrauch Gas'!B100/'Endenergieverbrauch Gas'!$F100</f>
        <v>2E-3</v>
      </c>
      <c r="C100">
        <f>'Endenergieverbrauch Gas'!C100/'Endenergieverbrauch Gas'!$F100</f>
        <v>9.5000000000000001E-2</v>
      </c>
      <c r="D100">
        <f t="shared" si="1"/>
        <v>0.85299999999999998</v>
      </c>
      <c r="E100">
        <f>'Endenergieverbrauch Gas'!E100/'Endenergieverbrauch Gas'!$F100</f>
        <v>0.05</v>
      </c>
    </row>
    <row r="101" spans="1:5" x14ac:dyDescent="0.3">
      <c r="A101" s="10">
        <v>93</v>
      </c>
      <c r="B101">
        <f>'Endenergieverbrauch Gas'!B101/'Endenergieverbrauch Gas'!$F101</f>
        <v>2E-3</v>
      </c>
      <c r="C101">
        <f>'Endenergieverbrauch Gas'!C101/'Endenergieverbrauch Gas'!$F101</f>
        <v>9.5000000000000001E-2</v>
      </c>
      <c r="D101">
        <f t="shared" si="1"/>
        <v>0.85299999999999998</v>
      </c>
      <c r="E101">
        <f>'Endenergieverbrauch Gas'!E101/'Endenergieverbrauch Gas'!$F101</f>
        <v>0.05</v>
      </c>
    </row>
    <row r="102" spans="1:5" x14ac:dyDescent="0.3">
      <c r="A102" s="17" t="s">
        <v>114</v>
      </c>
    </row>
    <row r="103" spans="1:5" x14ac:dyDescent="0.3">
      <c r="A103" s="10">
        <v>94</v>
      </c>
      <c r="B103">
        <f>'Endenergieverbrauch Gas'!B103/'Endenergieverbrauch Gas'!$F103</f>
        <v>2E-3</v>
      </c>
      <c r="C103">
        <f>'Endenergieverbrauch Gas'!C103/'Endenergieverbrauch Gas'!$F103</f>
        <v>9.5000000000000001E-2</v>
      </c>
      <c r="D103">
        <f t="shared" si="1"/>
        <v>0.85299999999999998</v>
      </c>
      <c r="E103">
        <f>'Endenergieverbrauch Gas'!E103/'Endenergieverbrauch Gas'!$F103</f>
        <v>0.05</v>
      </c>
    </row>
    <row r="104" spans="1:5" x14ac:dyDescent="0.3">
      <c r="A104" s="10">
        <v>95</v>
      </c>
      <c r="B104">
        <f>'Endenergieverbrauch Gas'!B104/'Endenergieverbrauch Gas'!$F104</f>
        <v>2E-3</v>
      </c>
      <c r="C104">
        <f>'Endenergieverbrauch Gas'!C104/'Endenergieverbrauch Gas'!$F104</f>
        <v>9.5000000000000001E-2</v>
      </c>
      <c r="D104">
        <f t="shared" si="1"/>
        <v>0.85299999999999998</v>
      </c>
      <c r="E104">
        <f>'Endenergieverbrauch Gas'!E104/'Endenergieverbrauch Gas'!$F104</f>
        <v>0.05</v>
      </c>
    </row>
    <row r="105" spans="1:5" x14ac:dyDescent="0.3">
      <c r="A105" s="10">
        <v>96</v>
      </c>
      <c r="B105">
        <f>'Endenergieverbrauch Gas'!B105/'Endenergieverbrauch Gas'!$F105</f>
        <v>2E-3</v>
      </c>
      <c r="C105">
        <f>'Endenergieverbrauch Gas'!C105/'Endenergieverbrauch Gas'!$F105</f>
        <v>9.4999999999999987E-2</v>
      </c>
      <c r="D105">
        <f t="shared" si="1"/>
        <v>0.85299999999999998</v>
      </c>
      <c r="E105">
        <f>'Endenergieverbrauch Gas'!E105/'Endenergieverbrauch Gas'!$F105</f>
        <v>0.05</v>
      </c>
    </row>
    <row r="106" spans="1:5" x14ac:dyDescent="0.3">
      <c r="A106" s="17" t="s">
        <v>119</v>
      </c>
    </row>
    <row r="107" spans="1:5" x14ac:dyDescent="0.3">
      <c r="A107" s="10">
        <v>97</v>
      </c>
      <c r="B107">
        <f>'Endenergieverbrauch Gas'!B107/'Endenergieverbrauch Gas'!$F107</f>
        <v>0</v>
      </c>
      <c r="C107">
        <f>'Endenergieverbrauch Gas'!C107/'Endenergieverbrauch Gas'!$F107</f>
        <v>0</v>
      </c>
      <c r="D107">
        <f t="shared" si="1"/>
        <v>0.66700000000000004</v>
      </c>
      <c r="E107">
        <f>'Endenergieverbrauch Gas'!E107/'Endenergieverbrauch Gas'!$F107</f>
        <v>0.33300000000000002</v>
      </c>
    </row>
    <row r="108" spans="1:5" x14ac:dyDescent="0.3">
      <c r="A108" s="10">
        <v>98</v>
      </c>
      <c r="B108">
        <f>'Endenergieverbrauch Gas'!B108/'Endenergieverbrauch Gas'!$F108</f>
        <v>0</v>
      </c>
      <c r="C108">
        <f>'Endenergieverbrauch Gas'!C108/'Endenergieverbrauch Gas'!$F108</f>
        <v>0</v>
      </c>
      <c r="D108">
        <f t="shared" si="1"/>
        <v>0.66700000000000004</v>
      </c>
      <c r="E108">
        <f>'Endenergieverbrauch Gas'!E108/'Endenergieverbrauch Gas'!$F108</f>
        <v>0.33300000000000002</v>
      </c>
    </row>
    <row r="109" spans="1:5" x14ac:dyDescent="0.3">
      <c r="A109" s="17" t="s">
        <v>115</v>
      </c>
    </row>
    <row r="110" spans="1:5" ht="15" thickBot="1" x14ac:dyDescent="0.35">
      <c r="A110" s="11">
        <v>99</v>
      </c>
      <c r="B110">
        <f>'Endenergieverbrauch Gas'!B110/'Endenergieverbrauch Gas'!$F110</f>
        <v>2E-3</v>
      </c>
      <c r="C110">
        <f>'Endenergieverbrauch Gas'!C110/'Endenergieverbrauch Gas'!$F110</f>
        <v>9.5000000000000001E-2</v>
      </c>
      <c r="D110">
        <f t="shared" si="1"/>
        <v>0.85299999999999998</v>
      </c>
      <c r="E110">
        <f>'Endenergieverbrauch Gas'!E110/'Endenergieverbrauch Gas'!$F110</f>
        <v>0.05</v>
      </c>
    </row>
    <row r="111" spans="1:5" ht="15" thickBot="1" x14ac:dyDescent="0.35">
      <c r="A111" s="12"/>
    </row>
    <row r="112" spans="1:5" ht="15" thickBot="1" x14ac:dyDescent="0.35">
      <c r="A112" s="5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Namen WZ</vt:lpstr>
      <vt:lpstr>Endenergieverbrauch Strom</vt:lpstr>
      <vt:lpstr>Endenergieverbrauch Strom Test</vt:lpstr>
      <vt:lpstr>Endenergieverbrauch Gas</vt:lpstr>
      <vt:lpstr>Endenergieverbrauch Gas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Fabian</cp:lastModifiedBy>
  <dcterms:created xsi:type="dcterms:W3CDTF">2019-07-21T09:36:13Z</dcterms:created>
  <dcterms:modified xsi:type="dcterms:W3CDTF">2020-09-09T13:47:59Z</dcterms:modified>
</cp:coreProperties>
</file>