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.sharepoint.com/sites/JIP2021ASML/Gedeelde documenten/General/Calculations/"/>
    </mc:Choice>
  </mc:AlternateContent>
  <xr:revisionPtr revIDLastSave="4771" documentId="13_ncr:1_{D008C9F8-F269-4451-8782-DFACB5F7A0D4}" xr6:coauthVersionLast="47" xr6:coauthVersionMax="47" xr10:uidLastSave="{DA81AECA-2716-DD4B-BA24-2460C2656ECC}"/>
  <bookViews>
    <workbookView xWindow="1395" yWindow="0" windowWidth="24945" windowHeight="14670" xr2:uid="{93164DF6-6532-435F-BD34-7FE68948A980}"/>
  </bookViews>
  <sheets>
    <sheet name="Main model" sheetId="1" r:id="rId1"/>
    <sheet name="Electrode length" sheetId="8" r:id="rId2"/>
    <sheet name="Operating poin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60" i="1"/>
  <c r="U21" i="1"/>
  <c r="M35" i="1"/>
  <c r="I25" i="1"/>
  <c r="U13" i="1"/>
  <c r="C5" i="8"/>
  <c r="C27" i="8" s="1"/>
  <c r="C20" i="8"/>
  <c r="D12" i="8" s="1"/>
  <c r="U45" i="8"/>
  <c r="AK25" i="1"/>
  <c r="AG29" i="1" s="1"/>
  <c r="C11" i="7"/>
  <c r="C23" i="8"/>
  <c r="F23" i="8"/>
  <c r="U50" i="1"/>
  <c r="E20" i="8"/>
  <c r="C19" i="8"/>
  <c r="AC9" i="1"/>
  <c r="C14" i="7"/>
  <c r="C16" i="7" s="1"/>
  <c r="C12" i="7"/>
  <c r="C13" i="7"/>
  <c r="C15" i="7"/>
  <c r="Q43" i="1"/>
  <c r="I54" i="1"/>
  <c r="C24" i="8" l="1"/>
  <c r="C30" i="8" s="1"/>
  <c r="C31" i="8"/>
  <c r="Y39" i="1"/>
  <c r="AC17" i="1"/>
  <c r="AG25" i="1"/>
  <c r="AC25" i="1" s="1"/>
  <c r="AC13" i="1"/>
  <c r="AG37" i="1"/>
  <c r="AG33" i="1"/>
  <c r="AC29" i="1" s="1"/>
  <c r="U17" i="1" l="1"/>
  <c r="Q13" i="1" s="1"/>
  <c r="F29" i="8"/>
  <c r="Q25" i="1"/>
  <c r="M25" i="1" s="1"/>
  <c r="C17" i="7"/>
  <c r="C19" i="7" s="1"/>
  <c r="U46" i="1" l="1"/>
  <c r="D43" i="1" s="1"/>
  <c r="Q9" i="1" s="1"/>
  <c r="M9" i="1" s="1"/>
  <c r="D52" i="1" l="1"/>
  <c r="D59" i="1"/>
  <c r="D58" i="1" s="1"/>
  <c r="D44" i="1"/>
  <c r="Q46" i="1"/>
  <c r="M44" i="1" s="1"/>
  <c r="D47" i="1"/>
  <c r="D54" i="1" s="1"/>
  <c r="D67" i="1" s="1"/>
  <c r="D53" i="1" l="1"/>
  <c r="M39" i="1" s="1"/>
  <c r="I44" i="1" s="1"/>
  <c r="D57" i="1"/>
  <c r="M13" i="1" l="1"/>
  <c r="AC70" i="1"/>
  <c r="AC58" i="1"/>
  <c r="M5" i="1"/>
  <c r="I21" i="1" s="1"/>
  <c r="AC66" i="1"/>
  <c r="D55" i="1"/>
  <c r="I17" i="1" l="1"/>
  <c r="E21" i="1" s="1"/>
  <c r="Y58" i="1"/>
  <c r="U58" i="1" l="1"/>
  <c r="Q54" i="1" s="1"/>
  <c r="M54" i="1" s="1"/>
  <c r="I50" i="1" s="1"/>
  <c r="E35" i="1" s="1"/>
  <c r="B15" i="1" l="1"/>
</calcChain>
</file>

<file path=xl/sharedStrings.xml><?xml version="1.0" encoding="utf-8"?>
<sst xmlns="http://schemas.openxmlformats.org/spreadsheetml/2006/main" count="231" uniqueCount="153">
  <si>
    <r>
      <t xml:space="preserve">Important: Changes to the model can be made on the table below by varying the values in </t>
    </r>
    <r>
      <rPr>
        <b/>
        <sz val="20"/>
        <color theme="1"/>
        <rFont val="Calibri"/>
        <family val="2"/>
        <scheme val="minor"/>
      </rPr>
      <t>bold</t>
    </r>
  </si>
  <si>
    <t>Total hydrogen production rate</t>
  </si>
  <si>
    <t>kg/hour</t>
  </si>
  <si>
    <t>Pressure drop in 1 cell</t>
  </si>
  <si>
    <t>Entrance + electrode length</t>
  </si>
  <si>
    <t>Reynold's number</t>
  </si>
  <si>
    <t>Pa</t>
  </si>
  <si>
    <t>m</t>
  </si>
  <si>
    <t>Total flow rate</t>
  </si>
  <si>
    <t>Flow rate in 1 cell</t>
  </si>
  <si>
    <t>Cell width</t>
  </si>
  <si>
    <t xml:space="preserve">Kinematic viscocity </t>
  </si>
  <si>
    <t>m^3/s</t>
  </si>
  <si>
    <t>m^2 s</t>
  </si>
  <si>
    <t xml:space="preserve">KPI: hydrogen cost of 1,50 €/kg </t>
  </si>
  <si>
    <t>€/kg H2</t>
  </si>
  <si>
    <t>Electricity demand (pumping)</t>
  </si>
  <si>
    <t>Pump efficiency</t>
  </si>
  <si>
    <t>Flow velocity</t>
  </si>
  <si>
    <t>Hydraulic diameter</t>
  </si>
  <si>
    <t>kWh/kg H2</t>
  </si>
  <si>
    <t>%</t>
  </si>
  <si>
    <t>m/s</t>
  </si>
  <si>
    <t>OPEX</t>
  </si>
  <si>
    <t>Electricity demand (H2 production)</t>
  </si>
  <si>
    <t xml:space="preserve">Electricity needed to </t>
  </si>
  <si>
    <t>Electrode gap width</t>
  </si>
  <si>
    <t>produce H2 (η=100%)</t>
  </si>
  <si>
    <t>kWh/kg</t>
  </si>
  <si>
    <t>Cost 1kWh electricity (2030)</t>
  </si>
  <si>
    <t>Cell efficiency (η)</t>
  </si>
  <si>
    <t>Cell voltage</t>
  </si>
  <si>
    <t>Ohmic losses</t>
  </si>
  <si>
    <t>Conductivity of KOH</t>
  </si>
  <si>
    <t>Temperature</t>
  </si>
  <si>
    <t>€/kWh</t>
  </si>
  <si>
    <t>-</t>
  </si>
  <si>
    <t>V</t>
  </si>
  <si>
    <t>S/m</t>
  </si>
  <si>
    <t>ºC</t>
  </si>
  <si>
    <t>Thermal neutral potential</t>
  </si>
  <si>
    <t>Activation losses</t>
  </si>
  <si>
    <t>Tafel slope</t>
  </si>
  <si>
    <t>V/dB</t>
  </si>
  <si>
    <t>Exchange current cathode</t>
  </si>
  <si>
    <t>A/m^2</t>
  </si>
  <si>
    <t>CAPEX</t>
  </si>
  <si>
    <t>Lifetime of stacks</t>
  </si>
  <si>
    <t>Percentage of time productive</t>
  </si>
  <si>
    <t xml:space="preserve">Faraday Constant </t>
  </si>
  <si>
    <t>years</t>
  </si>
  <si>
    <t>s A/mol</t>
  </si>
  <si>
    <t>Exchange current anode</t>
  </si>
  <si>
    <t xml:space="preserve">Number of cells </t>
  </si>
  <si>
    <t xml:space="preserve">Molar weight H2 </t>
  </si>
  <si>
    <t>Plume width</t>
  </si>
  <si>
    <t>#</t>
  </si>
  <si>
    <t xml:space="preserve">g/mol </t>
  </si>
  <si>
    <t>Electrode dimensions</t>
  </si>
  <si>
    <t>Gap width</t>
  </si>
  <si>
    <t>Width</t>
  </si>
  <si>
    <t xml:space="preserve">Current density </t>
  </si>
  <si>
    <t>Length</t>
  </si>
  <si>
    <t>Production rate</t>
  </si>
  <si>
    <t xml:space="preserve">Production rate 1 cell </t>
  </si>
  <si>
    <t>Electrode area</t>
  </si>
  <si>
    <t>m^2</t>
  </si>
  <si>
    <t>kg/year H2</t>
  </si>
  <si>
    <t>g/s</t>
  </si>
  <si>
    <t>Electrode length</t>
  </si>
  <si>
    <t>Operating points</t>
  </si>
  <si>
    <t>Current density</t>
  </si>
  <si>
    <t xml:space="preserve">Plant cost </t>
  </si>
  <si>
    <t>Utility, civil, engineering, connections cost</t>
  </si>
  <si>
    <t>Electrode width</t>
  </si>
  <si>
    <t>€/kW</t>
  </si>
  <si>
    <t>Plant layout 1GW</t>
  </si>
  <si>
    <t> </t>
  </si>
  <si>
    <t># of Cells</t>
  </si>
  <si>
    <t>Plant capacity (= 1GW)</t>
  </si>
  <si>
    <t>System price</t>
  </si>
  <si>
    <t>System cost</t>
  </si>
  <si>
    <t>Electrical installation costs</t>
  </si>
  <si>
    <t>Cell per stack</t>
  </si>
  <si>
    <t>kW</t>
  </si>
  <si>
    <t># of stacks</t>
  </si>
  <si>
    <t>Cell dimensions</t>
  </si>
  <si>
    <t>Ratio electrode to cell</t>
  </si>
  <si>
    <t xml:space="preserve">Margin </t>
  </si>
  <si>
    <t>Cell cost</t>
  </si>
  <si>
    <t>Manufacturing &amp; Material cost</t>
  </si>
  <si>
    <t>Steel per cell</t>
  </si>
  <si>
    <t>Surface area of 1 cell</t>
  </si>
  <si>
    <t>€/m^2</t>
  </si>
  <si>
    <t>Plate thickness</t>
  </si>
  <si>
    <t>Nickel per cell</t>
  </si>
  <si>
    <t>Entrance length</t>
  </si>
  <si>
    <t>S&amp;A, engineering</t>
  </si>
  <si>
    <t>Control and automation costs</t>
  </si>
  <si>
    <t>Structure width around electrode</t>
  </si>
  <si>
    <t>Electricity price (2030)</t>
  </si>
  <si>
    <t>Cost 1 kWh electricity (max €0,04/kWh)</t>
  </si>
  <si>
    <t>PPS per cell</t>
  </si>
  <si>
    <t>Footprint per MW: 4 stacks of  393 cells, 2x2 configuration</t>
  </si>
  <si>
    <t xml:space="preserve">Footprint per MW </t>
  </si>
  <si>
    <t>Balance of plant costs</t>
  </si>
  <si>
    <t>Manufacturing cost</t>
  </si>
  <si>
    <t xml:space="preserve">Variables: </t>
  </si>
  <si>
    <t xml:space="preserve">Temperature (T) </t>
  </si>
  <si>
    <t>° C</t>
  </si>
  <si>
    <t>Plume Width (PW)</t>
  </si>
  <si>
    <t>mm</t>
  </si>
  <si>
    <t>Gap Width (GW)</t>
  </si>
  <si>
    <t>Current density (i)</t>
  </si>
  <si>
    <t>A / mm^2</t>
  </si>
  <si>
    <t xml:space="preserve">Reynolds number (Re) </t>
  </si>
  <si>
    <t>Amplification factor (X)</t>
  </si>
  <si>
    <t xml:space="preserve">Kinematic viscosity </t>
  </si>
  <si>
    <t>v</t>
  </si>
  <si>
    <t>Dynamic viscosity :</t>
  </si>
  <si>
    <t xml:space="preserve">Density: </t>
  </si>
  <si>
    <t xml:space="preserve">Constant A </t>
  </si>
  <si>
    <t>E</t>
  </si>
  <si>
    <t>Constant B</t>
  </si>
  <si>
    <t>F</t>
  </si>
  <si>
    <t>Constant C</t>
  </si>
  <si>
    <t>G</t>
  </si>
  <si>
    <t xml:space="preserve">Constant D </t>
  </si>
  <si>
    <t>H</t>
  </si>
  <si>
    <t>Temperature in K</t>
  </si>
  <si>
    <t>Dynamic viscosity (mPa s)</t>
  </si>
  <si>
    <t>Density in (kg / m^3)</t>
  </si>
  <si>
    <t>Damkohler number (DA):</t>
  </si>
  <si>
    <t xml:space="preserve">Concentration solvent </t>
  </si>
  <si>
    <t>mol / mm^3</t>
  </si>
  <si>
    <t>mol/m^3</t>
  </si>
  <si>
    <t xml:space="preserve">Fluid velocity (U) </t>
  </si>
  <si>
    <t>mm/s</t>
  </si>
  <si>
    <t>number of electrons HER</t>
  </si>
  <si>
    <t xml:space="preserve">Faraday's constant </t>
  </si>
  <si>
    <t>s A / mol</t>
  </si>
  <si>
    <t xml:space="preserve">Da </t>
  </si>
  <si>
    <t>Electrode length at given plume width:</t>
  </si>
  <si>
    <t xml:space="preserve">Electrode length </t>
  </si>
  <si>
    <t>cm</t>
  </si>
  <si>
    <t xml:space="preserve">Overpotential calculation: </t>
  </si>
  <si>
    <t xml:space="preserve">Reversible energy </t>
  </si>
  <si>
    <t xml:space="preserve">Tafel slope </t>
  </si>
  <si>
    <t>A/cm^2</t>
  </si>
  <si>
    <t>Conductivity 30% KOH</t>
  </si>
  <si>
    <t>S/cm</t>
  </si>
  <si>
    <t xml:space="preserve">Overpotential </t>
  </si>
  <si>
    <t xml:space="preserve">Total cell voltage: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</si>
</sst>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5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" fillId="15" borderId="0" applyNumberFormat="0" applyBorder="0" applyAlignment="0" applyProtection="0"/>
  </cellStyleXfs>
  <cellXfs count="211">
    <xf numFmtId="0" fontId="0" fillId="0" borderId="0" xfId="0"/>
    <xf numFmtId="0" fontId="0" fillId="2" borderId="4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9" xfId="0" applyBorder="1"/>
    <xf numFmtId="0" fontId="5" fillId="0" borderId="0" xfId="0" applyFont="1"/>
    <xf numFmtId="0" fontId="5" fillId="0" borderId="9" xfId="0" applyFont="1" applyBorder="1"/>
    <xf numFmtId="0" fontId="5" fillId="7" borderId="4" xfId="0" applyFont="1" applyFill="1" applyBorder="1"/>
    <xf numFmtId="0" fontId="6" fillId="0" borderId="0" xfId="0" applyFont="1"/>
    <xf numFmtId="0" fontId="5" fillId="4" borderId="6" xfId="0" applyFont="1" applyFill="1" applyBorder="1"/>
    <xf numFmtId="0" fontId="5" fillId="7" borderId="5" xfId="0" applyFont="1" applyFill="1" applyBorder="1"/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6" borderId="5" xfId="0" applyFont="1" applyFill="1" applyBorder="1"/>
    <xf numFmtId="164" fontId="6" fillId="0" borderId="0" xfId="0" applyNumberFormat="1" applyFont="1" applyAlignment="1">
      <alignment horizontal="left" indent="9"/>
    </xf>
    <xf numFmtId="0" fontId="9" fillId="0" borderId="0" xfId="0" applyFont="1"/>
    <xf numFmtId="1" fontId="5" fillId="6" borderId="3" xfId="0" applyNumberFormat="1" applyFont="1" applyFill="1" applyBorder="1"/>
    <xf numFmtId="0" fontId="5" fillId="0" borderId="17" xfId="0" applyFont="1" applyBorder="1"/>
    <xf numFmtId="11" fontId="8" fillId="0" borderId="0" xfId="0" applyNumberFormat="1" applyFont="1"/>
    <xf numFmtId="1" fontId="6" fillId="0" borderId="0" xfId="0" applyNumberFormat="1" applyFont="1"/>
    <xf numFmtId="0" fontId="8" fillId="0" borderId="0" xfId="0" applyFont="1"/>
    <xf numFmtId="1" fontId="5" fillId="0" borderId="0" xfId="0" applyNumberFormat="1" applyFont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4" xfId="0" applyFill="1" applyBorder="1"/>
    <xf numFmtId="2" fontId="0" fillId="3" borderId="7" xfId="0" applyNumberFormat="1" applyFill="1" applyBorder="1"/>
    <xf numFmtId="2" fontId="0" fillId="3" borderId="3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0" borderId="0" xfId="0" applyNumberFormat="1"/>
    <xf numFmtId="0" fontId="0" fillId="0" borderId="17" xfId="0" applyBorder="1" applyAlignment="1">
      <alignment horizontal="center"/>
    </xf>
    <xf numFmtId="0" fontId="5" fillId="7" borderId="6" xfId="0" applyFont="1" applyFill="1" applyBorder="1"/>
    <xf numFmtId="164" fontId="5" fillId="7" borderId="3" xfId="0" applyNumberFormat="1" applyFont="1" applyFill="1" applyBorder="1"/>
    <xf numFmtId="0" fontId="5" fillId="7" borderId="3" xfId="0" applyFont="1" applyFill="1" applyBorder="1"/>
    <xf numFmtId="0" fontId="5" fillId="4" borderId="4" xfId="0" applyFont="1" applyFill="1" applyBorder="1"/>
    <xf numFmtId="0" fontId="0" fillId="0" borderId="17" xfId="0" applyBorder="1"/>
    <xf numFmtId="11" fontId="7" fillId="3" borderId="3" xfId="0" applyNumberFormat="1" applyFon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7" fillId="0" borderId="0" xfId="0" applyNumberFormat="1" applyFont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5" fontId="0" fillId="0" borderId="0" xfId="0" applyNumberFormat="1"/>
    <xf numFmtId="11" fontId="0" fillId="3" borderId="3" xfId="0" applyNumberFormat="1" applyFill="1" applyBorder="1"/>
    <xf numFmtId="2" fontId="0" fillId="2" borderId="3" xfId="0" applyNumberFormat="1" applyFill="1" applyBorder="1"/>
    <xf numFmtId="11" fontId="5" fillId="7" borderId="3" xfId="0" applyNumberFormat="1" applyFont="1" applyFill="1" applyBorder="1"/>
    <xf numFmtId="0" fontId="0" fillId="9" borderId="8" xfId="0" applyFill="1" applyBorder="1" applyAlignment="1">
      <alignment horizontal="center"/>
    </xf>
    <xf numFmtId="11" fontId="0" fillId="9" borderId="7" xfId="0" applyNumberFormat="1" applyFill="1" applyBorder="1" applyAlignment="1">
      <alignment horizontal="center"/>
    </xf>
    <xf numFmtId="0" fontId="5" fillId="6" borderId="6" xfId="0" applyFont="1" applyFill="1" applyBorder="1"/>
    <xf numFmtId="11" fontId="0" fillId="0" borderId="0" xfId="0" applyNumberFormat="1"/>
    <xf numFmtId="0" fontId="2" fillId="0" borderId="0" xfId="0" applyFont="1"/>
    <xf numFmtId="0" fontId="0" fillId="8" borderId="0" xfId="0" applyFill="1"/>
    <xf numFmtId="2" fontId="0" fillId="10" borderId="4" xfId="0" applyNumberFormat="1" applyFill="1" applyBorder="1"/>
    <xf numFmtId="11" fontId="7" fillId="0" borderId="0" xfId="0" applyNumberFormat="1" applyFont="1"/>
    <xf numFmtId="0" fontId="0" fillId="4" borderId="3" xfId="0" applyFill="1" applyBorder="1" applyAlignment="1">
      <alignment horizontal="center"/>
    </xf>
    <xf numFmtId="0" fontId="9" fillId="8" borderId="7" xfId="0" applyFont="1" applyFill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7" xfId="0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2" fontId="7" fillId="10" borderId="3" xfId="0" applyNumberFormat="1" applyFont="1" applyFill="1" applyBorder="1"/>
    <xf numFmtId="0" fontId="0" fillId="0" borderId="15" xfId="0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11" fillId="11" borderId="23" xfId="1" applyBorder="1" applyAlignment="1">
      <alignment horizontal="center" vertical="center"/>
    </xf>
    <xf numFmtId="0" fontId="11" fillId="11" borderId="25" xfId="1" applyBorder="1" applyAlignment="1">
      <alignment horizontal="center" vertical="center"/>
    </xf>
    <xf numFmtId="0" fontId="11" fillId="11" borderId="23" xfId="1" applyBorder="1" applyAlignment="1">
      <alignment horizontal="center"/>
    </xf>
    <xf numFmtId="0" fontId="11" fillId="11" borderId="25" xfId="1" applyBorder="1" applyAlignment="1">
      <alignment horizontal="center"/>
    </xf>
    <xf numFmtId="0" fontId="11" fillId="11" borderId="22" xfId="1" applyBorder="1" applyAlignment="1">
      <alignment horizontal="center"/>
    </xf>
    <xf numFmtId="0" fontId="11" fillId="11" borderId="15" xfId="1" applyBorder="1" applyAlignment="1">
      <alignment horizontal="center"/>
    </xf>
    <xf numFmtId="0" fontId="0" fillId="0" borderId="23" xfId="0" applyBorder="1"/>
    <xf numFmtId="0" fontId="0" fillId="0" borderId="25" xfId="0" applyBorder="1"/>
    <xf numFmtId="11" fontId="0" fillId="0" borderId="22" xfId="0" applyNumberFormat="1" applyBorder="1"/>
    <xf numFmtId="11" fontId="0" fillId="0" borderId="27" xfId="0" applyNumberFormat="1" applyBorder="1"/>
    <xf numFmtId="0" fontId="10" fillId="0" borderId="28" xfId="0" applyFont="1" applyBorder="1"/>
    <xf numFmtId="11" fontId="0" fillId="0" borderId="26" xfId="0" applyNumberFormat="1" applyBorder="1"/>
    <xf numFmtId="0" fontId="11" fillId="11" borderId="22" xfId="1" applyBorder="1"/>
    <xf numFmtId="11" fontId="11" fillId="11" borderId="22" xfId="1" applyNumberFormat="1" applyBorder="1"/>
    <xf numFmtId="0" fontId="0" fillId="0" borderId="10" xfId="0" applyBorder="1"/>
    <xf numFmtId="0" fontId="0" fillId="0" borderId="29" xfId="0" applyBorder="1"/>
    <xf numFmtId="11" fontId="11" fillId="11" borderId="25" xfId="1" applyNumberFormat="1" applyBorder="1" applyAlignment="1">
      <alignment horizontal="center" vertical="center"/>
    </xf>
    <xf numFmtId="2" fontId="4" fillId="0" borderId="0" xfId="0" applyNumberFormat="1" applyFont="1"/>
    <xf numFmtId="11" fontId="11" fillId="11" borderId="16" xfId="1" applyNumberFormat="1" applyBorder="1" applyAlignment="1">
      <alignment horizontal="center"/>
    </xf>
    <xf numFmtId="166" fontId="0" fillId="3" borderId="3" xfId="0" applyNumberFormat="1" applyFill="1" applyBorder="1"/>
    <xf numFmtId="11" fontId="0" fillId="0" borderId="0" xfId="0" applyNumberFormat="1" applyAlignment="1">
      <alignment horizontal="center"/>
    </xf>
    <xf numFmtId="0" fontId="2" fillId="0" borderId="30" xfId="0" applyFont="1" applyBorder="1"/>
    <xf numFmtId="0" fontId="7" fillId="8" borderId="3" xfId="0" applyFont="1" applyFill="1" applyBorder="1"/>
    <xf numFmtId="0" fontId="7" fillId="0" borderId="0" xfId="0" applyFont="1"/>
    <xf numFmtId="11" fontId="0" fillId="0" borderId="10" xfId="0" applyNumberFormat="1" applyBorder="1"/>
    <xf numFmtId="0" fontId="2" fillId="0" borderId="31" xfId="0" applyFont="1" applyBorder="1"/>
    <xf numFmtId="2" fontId="0" fillId="0" borderId="10" xfId="0" applyNumberFormat="1" applyBorder="1"/>
    <xf numFmtId="164" fontId="0" fillId="4" borderId="3" xfId="0" applyNumberFormat="1" applyFill="1" applyBorder="1"/>
    <xf numFmtId="0" fontId="0" fillId="4" borderId="32" xfId="0" applyFill="1" applyBorder="1"/>
    <xf numFmtId="11" fontId="7" fillId="5" borderId="3" xfId="0" applyNumberFormat="1" applyFont="1" applyFill="1" applyBorder="1"/>
    <xf numFmtId="11" fontId="0" fillId="5" borderId="5" xfId="0" applyNumberFormat="1" applyFill="1" applyBorder="1" applyAlignment="1">
      <alignment horizontal="center"/>
    </xf>
    <xf numFmtId="164" fontId="7" fillId="4" borderId="3" xfId="0" applyNumberFormat="1" applyFont="1" applyFill="1" applyBorder="1"/>
    <xf numFmtId="0" fontId="2" fillId="0" borderId="10" xfId="0" applyFont="1" applyBorder="1"/>
    <xf numFmtId="0" fontId="2" fillId="0" borderId="29" xfId="0" applyFont="1" applyBorder="1"/>
    <xf numFmtId="0" fontId="0" fillId="0" borderId="20" xfId="0" applyBorder="1"/>
    <xf numFmtId="164" fontId="7" fillId="0" borderId="0" xfId="0" applyNumberFormat="1" applyFont="1"/>
    <xf numFmtId="0" fontId="0" fillId="13" borderId="5" xfId="0" applyFill="1" applyBorder="1"/>
    <xf numFmtId="0" fontId="0" fillId="13" borderId="6" xfId="0" applyFill="1" applyBorder="1"/>
    <xf numFmtId="0" fontId="0" fillId="13" borderId="4" xfId="0" applyFill="1" applyBorder="1"/>
    <xf numFmtId="2" fontId="0" fillId="8" borderId="3" xfId="0" applyNumberFormat="1" applyFill="1" applyBorder="1" applyAlignment="1">
      <alignment horizontal="right"/>
    </xf>
    <xf numFmtId="0" fontId="0" fillId="13" borderId="3" xfId="0" applyFill="1" applyBorder="1"/>
    <xf numFmtId="0" fontId="14" fillId="0" borderId="0" xfId="0" applyFont="1" applyAlignment="1">
      <alignment vertical="center"/>
    </xf>
    <xf numFmtId="165" fontId="5" fillId="6" borderId="3" xfId="0" applyNumberFormat="1" applyFont="1" applyFill="1" applyBorder="1"/>
    <xf numFmtId="0" fontId="5" fillId="6" borderId="3" xfId="0" applyFont="1" applyFill="1" applyBorder="1"/>
    <xf numFmtId="164" fontId="7" fillId="3" borderId="3" xfId="0" applyNumberFormat="1" applyFont="1" applyFill="1" applyBorder="1"/>
    <xf numFmtId="164" fontId="0" fillId="3" borderId="3" xfId="0" applyNumberFormat="1" applyFill="1" applyBorder="1"/>
    <xf numFmtId="11" fontId="0" fillId="14" borderId="32" xfId="0" applyNumberFormat="1" applyFill="1" applyBorder="1" applyAlignment="1">
      <alignment horizontal="center"/>
    </xf>
    <xf numFmtId="1" fontId="0" fillId="4" borderId="3" xfId="0" applyNumberFormat="1" applyFill="1" applyBorder="1"/>
    <xf numFmtId="0" fontId="0" fillId="0" borderId="0" xfId="0" applyAlignment="1">
      <alignment horizontal="center"/>
    </xf>
    <xf numFmtId="0" fontId="0" fillId="4" borderId="32" xfId="0" applyFill="1" applyBorder="1" applyAlignment="1">
      <alignment horizontal="center"/>
    </xf>
    <xf numFmtId="2" fontId="7" fillId="4" borderId="32" xfId="0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12" fillId="12" borderId="23" xfId="2" applyBorder="1" applyAlignment="1">
      <alignment horizontal="center"/>
    </xf>
    <xf numFmtId="0" fontId="12" fillId="12" borderId="24" xfId="2" applyBorder="1" applyAlignment="1">
      <alignment horizontal="center"/>
    </xf>
    <xf numFmtId="0" fontId="12" fillId="12" borderId="25" xfId="2" applyBorder="1" applyAlignment="1">
      <alignment horizontal="center"/>
    </xf>
    <xf numFmtId="0" fontId="12" fillId="12" borderId="23" xfId="2" applyBorder="1" applyAlignment="1">
      <alignment horizontal="center" vertical="center"/>
    </xf>
    <xf numFmtId="0" fontId="12" fillId="12" borderId="25" xfId="2" applyBorder="1" applyAlignment="1">
      <alignment horizontal="center" vertical="center"/>
    </xf>
    <xf numFmtId="0" fontId="11" fillId="11" borderId="23" xfId="1" applyBorder="1" applyAlignment="1">
      <alignment horizontal="center" vertical="center"/>
    </xf>
    <xf numFmtId="0" fontId="11" fillId="11" borderId="25" xfId="1" applyBorder="1" applyAlignment="1">
      <alignment horizontal="center" vertical="center"/>
    </xf>
    <xf numFmtId="11" fontId="11" fillId="11" borderId="24" xfId="1" applyNumberFormat="1" applyBorder="1" applyAlignment="1">
      <alignment horizontal="center" vertical="center"/>
    </xf>
    <xf numFmtId="11" fontId="11" fillId="11" borderId="25" xfId="1" applyNumberFormat="1" applyBorder="1" applyAlignment="1">
      <alignment horizontal="center" vertical="center"/>
    </xf>
    <xf numFmtId="0" fontId="12" fillId="12" borderId="11" xfId="2" applyBorder="1" applyAlignment="1">
      <alignment horizontal="center"/>
    </xf>
    <xf numFmtId="11" fontId="0" fillId="4" borderId="3" xfId="0" applyNumberFormat="1" applyFill="1" applyBorder="1"/>
    <xf numFmtId="0" fontId="0" fillId="0" borderId="3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1" fillId="15" borderId="41" xfId="3" applyBorder="1" applyAlignment="1">
      <alignment horizontal="center"/>
    </xf>
    <xf numFmtId="0" fontId="0" fillId="15" borderId="42" xfId="3" applyFont="1" applyBorder="1" applyAlignment="1">
      <alignment horizontal="center"/>
    </xf>
    <xf numFmtId="0" fontId="0" fillId="15" borderId="43" xfId="3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0" xfId="0" applyAlignment="1"/>
  </cellXfs>
  <cellStyles count="4">
    <cellStyle name="60% - Accent3" xfId="3" builtinId="40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10412</xdr:colOff>
      <xdr:row>15</xdr:row>
      <xdr:rowOff>12699</xdr:rowOff>
    </xdr:from>
    <xdr:to>
      <xdr:col>4</xdr:col>
      <xdr:colOff>31232</xdr:colOff>
      <xdr:row>33</xdr:row>
      <xdr:rowOff>176971</xdr:rowOff>
    </xdr:to>
    <xdr:cxnSp macro="">
      <xdr:nvCxnSpPr>
        <xdr:cNvPr id="6" name="Verbindingslijn: gebogen 5">
          <a:extLst>
            <a:ext uri="{FF2B5EF4-FFF2-40B4-BE49-F238E27FC236}">
              <a16:creationId xmlns:a16="http://schemas.microsoft.com/office/drawing/2014/main" id="{F51FF1CE-F869-4F39-87D2-654453A30900}"/>
            </a:ext>
          </a:extLst>
        </xdr:cNvPr>
        <xdr:cNvCxnSpPr/>
      </xdr:nvCxnSpPr>
      <xdr:spPr>
        <a:xfrm rot="16200000" flipH="1">
          <a:off x="110449" y="3389548"/>
          <a:ext cx="3537058" cy="1280410"/>
        </a:xfrm>
        <a:prstGeom prst="bentConnector3">
          <a:avLst>
            <a:gd name="adj1" fmla="val 1000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1562100</xdr:colOff>
      <xdr:row>20</xdr:row>
      <xdr:rowOff>9525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A3210960-77D5-4858-9989-72945B3CB48D}"/>
            </a:ext>
            <a:ext uri="{147F2762-F138-4A5C-976F-8EAC2B608ADB}">
              <a16:predDERef xmlns:a16="http://schemas.microsoft.com/office/drawing/2014/main" pred="{F51FF1CE-F869-4F39-87D2-654453A30900}"/>
            </a:ext>
          </a:extLst>
        </xdr:cNvPr>
        <xdr:cNvCxnSpPr>
          <a:cxnSpLocks/>
        </xdr:cNvCxnSpPr>
      </xdr:nvCxnSpPr>
      <xdr:spPr>
        <a:xfrm>
          <a:off x="1885950" y="3438525"/>
          <a:ext cx="2819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596900</xdr:colOff>
      <xdr:row>20</xdr:row>
      <xdr:rowOff>0</xdr:rowOff>
    </xdr:from>
    <xdr:to>
      <xdr:col>7</xdr:col>
      <xdr:colOff>590550</xdr:colOff>
      <xdr:row>20</xdr:row>
      <xdr:rowOff>6350</xdr:rowOff>
    </xdr:to>
    <xdr:cxnSp macro="">
      <xdr:nvCxnSpPr>
        <xdr:cNvPr id="15" name="Rechte verbindingslijn met pijl 14">
          <a:extLst>
            <a:ext uri="{FF2B5EF4-FFF2-40B4-BE49-F238E27FC236}">
              <a16:creationId xmlns:a16="http://schemas.microsoft.com/office/drawing/2014/main" id="{CF7691F9-4228-4B2F-B561-80580A309F10}"/>
            </a:ext>
          </a:extLst>
        </xdr:cNvPr>
        <xdr:cNvCxnSpPr/>
      </xdr:nvCxnSpPr>
      <xdr:spPr>
        <a:xfrm>
          <a:off x="3644900" y="1473200"/>
          <a:ext cx="12128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20</xdr:row>
      <xdr:rowOff>0</xdr:rowOff>
    </xdr:from>
    <xdr:to>
      <xdr:col>12</xdr:col>
      <xdr:colOff>12700</xdr:colOff>
      <xdr:row>20</xdr:row>
      <xdr:rowOff>6350</xdr:rowOff>
    </xdr:to>
    <xdr:cxnSp macro="">
      <xdr:nvCxnSpPr>
        <xdr:cNvPr id="24" name="Rechte verbindingslijn met pijl 23">
          <a:extLst>
            <a:ext uri="{FF2B5EF4-FFF2-40B4-BE49-F238E27FC236}">
              <a16:creationId xmlns:a16="http://schemas.microsoft.com/office/drawing/2014/main" id="{405898F6-2890-4D8B-AE62-DF95611E2D7B}"/>
            </a:ext>
          </a:extLst>
        </xdr:cNvPr>
        <xdr:cNvCxnSpPr/>
      </xdr:nvCxnSpPr>
      <xdr:spPr>
        <a:xfrm>
          <a:off x="6165850" y="1473200"/>
          <a:ext cx="1219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596900</xdr:colOff>
      <xdr:row>34</xdr:row>
      <xdr:rowOff>0</xdr:rowOff>
    </xdr:from>
    <xdr:to>
      <xdr:col>7</xdr:col>
      <xdr:colOff>590550</xdr:colOff>
      <xdr:row>34</xdr:row>
      <xdr:rowOff>6350</xdr:rowOff>
    </xdr:to>
    <xdr:cxnSp macro="">
      <xdr:nvCxnSpPr>
        <xdr:cNvPr id="40" name="Rechte verbindingslijn met pijl 39">
          <a:extLst>
            <a:ext uri="{FF2B5EF4-FFF2-40B4-BE49-F238E27FC236}">
              <a16:creationId xmlns:a16="http://schemas.microsoft.com/office/drawing/2014/main" id="{8365DE11-6529-46E0-94D5-71173A971B80}"/>
            </a:ext>
          </a:extLst>
        </xdr:cNvPr>
        <xdr:cNvCxnSpPr/>
      </xdr:nvCxnSpPr>
      <xdr:spPr>
        <a:xfrm>
          <a:off x="3659841" y="1494118"/>
          <a:ext cx="1218827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587077</xdr:colOff>
      <xdr:row>34</xdr:row>
      <xdr:rowOff>1</xdr:rowOff>
    </xdr:from>
    <xdr:to>
      <xdr:col>8</xdr:col>
      <xdr:colOff>0</xdr:colOff>
      <xdr:row>48</xdr:row>
      <xdr:rowOff>167735</xdr:rowOff>
    </xdr:to>
    <xdr:cxnSp macro="">
      <xdr:nvCxnSpPr>
        <xdr:cNvPr id="41" name="Verbindingslijn: gebogen 40">
          <a:extLst>
            <a:ext uri="{FF2B5EF4-FFF2-40B4-BE49-F238E27FC236}">
              <a16:creationId xmlns:a16="http://schemas.microsoft.com/office/drawing/2014/main" id="{9561A6B5-9001-4131-8564-174AE232B293}"/>
            </a:ext>
          </a:extLst>
        </xdr:cNvPr>
        <xdr:cNvCxnSpPr/>
      </xdr:nvCxnSpPr>
      <xdr:spPr>
        <a:xfrm rot="16200000" flipH="1">
          <a:off x="2893445" y="6967029"/>
          <a:ext cx="3414621" cy="623017"/>
        </a:xfrm>
        <a:prstGeom prst="bentConnector3">
          <a:avLst>
            <a:gd name="adj1" fmla="val 1001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587075</xdr:colOff>
      <xdr:row>42</xdr:row>
      <xdr:rowOff>171450</xdr:rowOff>
    </xdr:from>
    <xdr:to>
      <xdr:col>7</xdr:col>
      <xdr:colOff>591269</xdr:colOff>
      <xdr:row>43</xdr:row>
      <xdr:rowOff>0</xdr:rowOff>
    </xdr:to>
    <xdr:cxnSp macro="">
      <xdr:nvCxnSpPr>
        <xdr:cNvPr id="42" name="Rechte verbindingslijn met pijl 41">
          <a:extLst>
            <a:ext uri="{FF2B5EF4-FFF2-40B4-BE49-F238E27FC236}">
              <a16:creationId xmlns:a16="http://schemas.microsoft.com/office/drawing/2014/main" id="{EB4A2522-935A-4A4D-B9D9-21E4E7A3C82C}"/>
            </a:ext>
          </a:extLst>
        </xdr:cNvPr>
        <xdr:cNvCxnSpPr/>
      </xdr:nvCxnSpPr>
      <xdr:spPr>
        <a:xfrm flipV="1">
          <a:off x="4289245" y="7192393"/>
          <a:ext cx="603250" cy="82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1192545</xdr:colOff>
      <xdr:row>43</xdr:row>
      <xdr:rowOff>0</xdr:rowOff>
    </xdr:from>
    <xdr:to>
      <xdr:col>12</xdr:col>
      <xdr:colOff>11982</xdr:colOff>
      <xdr:row>43</xdr:row>
      <xdr:rowOff>1</xdr:rowOff>
    </xdr:to>
    <xdr:cxnSp macro="">
      <xdr:nvCxnSpPr>
        <xdr:cNvPr id="43" name="Rechte verbindingslijn met pijl 42">
          <a:extLst>
            <a:ext uri="{FF2B5EF4-FFF2-40B4-BE49-F238E27FC236}">
              <a16:creationId xmlns:a16="http://schemas.microsoft.com/office/drawing/2014/main" id="{DC66C08C-E567-4062-A728-6C07FFD12BB0}"/>
            </a:ext>
          </a:extLst>
        </xdr:cNvPr>
        <xdr:cNvCxnSpPr/>
      </xdr:nvCxnSpPr>
      <xdr:spPr>
        <a:xfrm>
          <a:off x="6955470" y="7200660"/>
          <a:ext cx="12396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1</xdr:rowOff>
    </xdr:from>
    <xdr:to>
      <xdr:col>7</xdr:col>
      <xdr:colOff>599225</xdr:colOff>
      <xdr:row>20</xdr:row>
      <xdr:rowOff>8945</xdr:rowOff>
    </xdr:to>
    <xdr:cxnSp macro="">
      <xdr:nvCxnSpPr>
        <xdr:cNvPr id="29" name="Verbindingslijn: gebogen 28">
          <a:extLst>
            <a:ext uri="{FF2B5EF4-FFF2-40B4-BE49-F238E27FC236}">
              <a16:creationId xmlns:a16="http://schemas.microsoft.com/office/drawing/2014/main" id="{09A8F267-3097-4686-B60C-C46B217E002F}"/>
            </a:ext>
          </a:extLst>
        </xdr:cNvPr>
        <xdr:cNvCxnSpPr/>
      </xdr:nvCxnSpPr>
      <xdr:spPr>
        <a:xfrm rot="5400000" flipH="1" flipV="1">
          <a:off x="4185634" y="831762"/>
          <a:ext cx="760211" cy="599225"/>
        </a:xfrm>
        <a:prstGeom prst="bentConnector3">
          <a:avLst>
            <a:gd name="adj1" fmla="val 10176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3757</xdr:colOff>
      <xdr:row>24</xdr:row>
      <xdr:rowOff>1</xdr:rowOff>
    </xdr:from>
    <xdr:to>
      <xdr:col>16</xdr:col>
      <xdr:colOff>3757</xdr:colOff>
      <xdr:row>24</xdr:row>
      <xdr:rowOff>6351</xdr:rowOff>
    </xdr:to>
    <xdr:cxnSp macro="">
      <xdr:nvCxnSpPr>
        <xdr:cNvPr id="2" name="Rechte verbindingslijn met pijl 38">
          <a:extLst>
            <a:ext uri="{FF2B5EF4-FFF2-40B4-BE49-F238E27FC236}">
              <a16:creationId xmlns:a16="http://schemas.microsoft.com/office/drawing/2014/main" id="{5F9BE7DD-4027-49AA-9B7F-2BAC621D1A73}"/>
            </a:ext>
          </a:extLst>
        </xdr:cNvPr>
        <xdr:cNvCxnSpPr/>
      </xdr:nvCxnSpPr>
      <xdr:spPr>
        <a:xfrm>
          <a:off x="9609250" y="4883240"/>
          <a:ext cx="121633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599075</xdr:colOff>
      <xdr:row>19</xdr:row>
      <xdr:rowOff>186913</xdr:rowOff>
    </xdr:from>
    <xdr:to>
      <xdr:col>11</xdr:col>
      <xdr:colOff>599075</xdr:colOff>
      <xdr:row>24</xdr:row>
      <xdr:rowOff>15795</xdr:rowOff>
    </xdr:to>
    <xdr:cxnSp macro="">
      <xdr:nvCxnSpPr>
        <xdr:cNvPr id="3" name="Verbindingslijn: gebogen 45">
          <a:extLst>
            <a:ext uri="{FF2B5EF4-FFF2-40B4-BE49-F238E27FC236}">
              <a16:creationId xmlns:a16="http://schemas.microsoft.com/office/drawing/2014/main" id="{6910B6B9-B2E2-4BA4-91D2-A38760E61DFE}"/>
            </a:ext>
          </a:extLst>
        </xdr:cNvPr>
        <xdr:cNvCxnSpPr/>
      </xdr:nvCxnSpPr>
      <xdr:spPr>
        <a:xfrm rot="16200000" flipH="1">
          <a:off x="7217979" y="1581530"/>
          <a:ext cx="767967" cy="608169"/>
        </a:xfrm>
        <a:prstGeom prst="bentConnector3">
          <a:avLst>
            <a:gd name="adj1" fmla="val 9915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11969</xdr:colOff>
      <xdr:row>19</xdr:row>
      <xdr:rowOff>187273</xdr:rowOff>
    </xdr:from>
    <xdr:to>
      <xdr:col>7</xdr:col>
      <xdr:colOff>599932</xdr:colOff>
      <xdr:row>24</xdr:row>
      <xdr:rowOff>16156</xdr:rowOff>
    </xdr:to>
    <xdr:cxnSp macro="">
      <xdr:nvCxnSpPr>
        <xdr:cNvPr id="48" name="Verbindingslijn: gebogen 47">
          <a:extLst>
            <a:ext uri="{FF2B5EF4-FFF2-40B4-BE49-F238E27FC236}">
              <a16:creationId xmlns:a16="http://schemas.microsoft.com/office/drawing/2014/main" id="{A1D913EF-A4D3-4581-AB94-588A8EC8EF72}"/>
            </a:ext>
          </a:extLst>
        </xdr:cNvPr>
        <xdr:cNvCxnSpPr/>
      </xdr:nvCxnSpPr>
      <xdr:spPr>
        <a:xfrm rot="16200000" flipH="1">
          <a:off x="4260306" y="3288473"/>
          <a:ext cx="769624" cy="587963"/>
        </a:xfrm>
        <a:prstGeom prst="bentConnector3">
          <a:avLst>
            <a:gd name="adj1" fmla="val 9915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211670</xdr:colOff>
      <xdr:row>24</xdr:row>
      <xdr:rowOff>23522</xdr:rowOff>
    </xdr:from>
    <xdr:to>
      <xdr:col>15</xdr:col>
      <xdr:colOff>724126</xdr:colOff>
      <xdr:row>28</xdr:row>
      <xdr:rowOff>11143</xdr:rowOff>
    </xdr:to>
    <xdr:cxnSp macro="">
      <xdr:nvCxnSpPr>
        <xdr:cNvPr id="10" name="Verbindingslijn: gebogen 67">
          <a:extLst>
            <a:ext uri="{FF2B5EF4-FFF2-40B4-BE49-F238E27FC236}">
              <a16:creationId xmlns:a16="http://schemas.microsoft.com/office/drawing/2014/main" id="{90F7F40E-C2A7-44E2-A5A5-B9B0EEE259C1}"/>
            </a:ext>
          </a:extLst>
        </xdr:cNvPr>
        <xdr:cNvCxnSpPr/>
      </xdr:nvCxnSpPr>
      <xdr:spPr>
        <a:xfrm rot="16200000" flipH="1">
          <a:off x="11892328" y="4088512"/>
          <a:ext cx="740214" cy="512456"/>
        </a:xfrm>
        <a:prstGeom prst="bentConnector3">
          <a:avLst>
            <a:gd name="adj1" fmla="val 9924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585197</xdr:colOff>
      <xdr:row>38</xdr:row>
      <xdr:rowOff>4</xdr:rowOff>
    </xdr:from>
    <xdr:to>
      <xdr:col>11</xdr:col>
      <xdr:colOff>575095</xdr:colOff>
      <xdr:row>43</xdr:row>
      <xdr:rowOff>12451</xdr:rowOff>
    </xdr:to>
    <xdr:cxnSp macro="">
      <xdr:nvCxnSpPr>
        <xdr:cNvPr id="13" name="Verbindingslijn: gebogen 45">
          <a:extLst>
            <a:ext uri="{FF2B5EF4-FFF2-40B4-BE49-F238E27FC236}">
              <a16:creationId xmlns:a16="http://schemas.microsoft.com/office/drawing/2014/main" id="{C03AED7D-CE3B-4491-91FC-9155F147711C}"/>
            </a:ext>
          </a:extLst>
        </xdr:cNvPr>
        <xdr:cNvCxnSpPr/>
      </xdr:nvCxnSpPr>
      <xdr:spPr>
        <a:xfrm rot="5400000" flipH="1" flipV="1">
          <a:off x="11057647" y="7083436"/>
          <a:ext cx="946271" cy="599996"/>
        </a:xfrm>
        <a:prstGeom prst="bentConnector3">
          <a:avLst>
            <a:gd name="adj1" fmla="val 101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1063735</xdr:colOff>
      <xdr:row>43</xdr:row>
      <xdr:rowOff>-1</xdr:rowOff>
    </xdr:from>
    <xdr:to>
      <xdr:col>16</xdr:col>
      <xdr:colOff>3004</xdr:colOff>
      <xdr:row>43</xdr:row>
      <xdr:rowOff>2454</xdr:rowOff>
    </xdr:to>
    <xdr:cxnSp macro="">
      <xdr:nvCxnSpPr>
        <xdr:cNvPr id="49" name="Rechte verbindingslijn met pijl 48">
          <a:extLst>
            <a:ext uri="{FF2B5EF4-FFF2-40B4-BE49-F238E27FC236}">
              <a16:creationId xmlns:a16="http://schemas.microsoft.com/office/drawing/2014/main" id="{7B97659A-0514-40EA-8327-19315C17B2CC}"/>
            </a:ext>
          </a:extLst>
        </xdr:cNvPr>
        <xdr:cNvCxnSpPr/>
      </xdr:nvCxnSpPr>
      <xdr:spPr>
        <a:xfrm flipV="1">
          <a:off x="12362356" y="7444827"/>
          <a:ext cx="1380734" cy="24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372242</xdr:colOff>
      <xdr:row>33</xdr:row>
      <xdr:rowOff>153279</xdr:rowOff>
    </xdr:from>
    <xdr:to>
      <xdr:col>16</xdr:col>
      <xdr:colOff>10946</xdr:colOff>
      <xdr:row>38</xdr:row>
      <xdr:rowOff>0</xdr:rowOff>
    </xdr:to>
    <xdr:cxnSp macro="">
      <xdr:nvCxnSpPr>
        <xdr:cNvPr id="50" name="Verbindingslijn: gebogen 49">
          <a:extLst>
            <a:ext uri="{FF2B5EF4-FFF2-40B4-BE49-F238E27FC236}">
              <a16:creationId xmlns:a16="http://schemas.microsoft.com/office/drawing/2014/main" id="{A9DC5256-FD7C-4435-8DB8-30494A4DEA53}"/>
            </a:ext>
          </a:extLst>
        </xdr:cNvPr>
        <xdr:cNvCxnSpPr/>
      </xdr:nvCxnSpPr>
      <xdr:spPr>
        <a:xfrm rot="5400000" flipH="1" flipV="1">
          <a:off x="15201681" y="6183954"/>
          <a:ext cx="759078" cy="375888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372245</xdr:colOff>
      <xdr:row>37</xdr:row>
      <xdr:rowOff>175177</xdr:rowOff>
    </xdr:from>
    <xdr:to>
      <xdr:col>15</xdr:col>
      <xdr:colOff>733539</xdr:colOff>
      <xdr:row>43</xdr:row>
      <xdr:rowOff>76638</xdr:rowOff>
    </xdr:to>
    <xdr:cxnSp macro="">
      <xdr:nvCxnSpPr>
        <xdr:cNvPr id="51" name="Verbindingslijn: gebogen 50">
          <a:extLst>
            <a:ext uri="{FF2B5EF4-FFF2-40B4-BE49-F238E27FC236}">
              <a16:creationId xmlns:a16="http://schemas.microsoft.com/office/drawing/2014/main" id="{A5E5B438-7194-43DE-9B14-7DCEE7637D10}"/>
            </a:ext>
          </a:extLst>
        </xdr:cNvPr>
        <xdr:cNvCxnSpPr/>
      </xdr:nvCxnSpPr>
      <xdr:spPr>
        <a:xfrm rot="5400000" flipH="1" flipV="1">
          <a:off x="13039402" y="6831726"/>
          <a:ext cx="1018186" cy="361294"/>
        </a:xfrm>
        <a:prstGeom prst="bentConnector3">
          <a:avLst>
            <a:gd name="adj1" fmla="val 9946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21649</xdr:colOff>
      <xdr:row>42</xdr:row>
      <xdr:rowOff>184274</xdr:rowOff>
    </xdr:from>
    <xdr:to>
      <xdr:col>15</xdr:col>
      <xdr:colOff>721560</xdr:colOff>
      <xdr:row>45</xdr:row>
      <xdr:rowOff>0</xdr:rowOff>
    </xdr:to>
    <xdr:cxnSp macro="">
      <xdr:nvCxnSpPr>
        <xdr:cNvPr id="53" name="Verbindingslijn: gebogen 52">
          <a:extLst>
            <a:ext uri="{FF2B5EF4-FFF2-40B4-BE49-F238E27FC236}">
              <a16:creationId xmlns:a16="http://schemas.microsoft.com/office/drawing/2014/main" id="{F3223118-011E-44E8-BA00-44F8DEFB7D9E}"/>
            </a:ext>
          </a:extLst>
        </xdr:cNvPr>
        <xdr:cNvCxnSpPr/>
      </xdr:nvCxnSpPr>
      <xdr:spPr>
        <a:xfrm>
          <a:off x="14993758" y="7913415"/>
          <a:ext cx="699911" cy="3812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23518</xdr:colOff>
      <xdr:row>48</xdr:row>
      <xdr:rowOff>172469</xdr:rowOff>
    </xdr:from>
    <xdr:to>
      <xdr:col>12</xdr:col>
      <xdr:colOff>8038</xdr:colOff>
      <xdr:row>48</xdr:row>
      <xdr:rowOff>176836</xdr:rowOff>
    </xdr:to>
    <xdr:cxnSp macro="">
      <xdr:nvCxnSpPr>
        <xdr:cNvPr id="56" name="Verbindingslijn: gebogen 55">
          <a:extLst>
            <a:ext uri="{FF2B5EF4-FFF2-40B4-BE49-F238E27FC236}">
              <a16:creationId xmlns:a16="http://schemas.microsoft.com/office/drawing/2014/main" id="{D89553DC-3919-41F4-9F3C-48CB05A1EFB1}"/>
            </a:ext>
          </a:extLst>
        </xdr:cNvPr>
        <xdr:cNvCxnSpPr/>
      </xdr:nvCxnSpPr>
      <xdr:spPr>
        <a:xfrm>
          <a:off x="2252368" y="356619"/>
          <a:ext cx="1203720" cy="43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345633</xdr:colOff>
      <xdr:row>48</xdr:row>
      <xdr:rowOff>160760</xdr:rowOff>
    </xdr:from>
    <xdr:to>
      <xdr:col>12</xdr:col>
      <xdr:colOff>0</xdr:colOff>
      <xdr:row>53</xdr:row>
      <xdr:rowOff>0</xdr:rowOff>
    </xdr:to>
    <xdr:cxnSp macro="">
      <xdr:nvCxnSpPr>
        <xdr:cNvPr id="58" name="Verbindingslijn: gebogen 57">
          <a:extLst>
            <a:ext uri="{FF2B5EF4-FFF2-40B4-BE49-F238E27FC236}">
              <a16:creationId xmlns:a16="http://schemas.microsoft.com/office/drawing/2014/main" id="{311F688E-B741-4EC7-B5EB-49ED15325F30}"/>
            </a:ext>
          </a:extLst>
        </xdr:cNvPr>
        <xdr:cNvCxnSpPr/>
      </xdr:nvCxnSpPr>
      <xdr:spPr>
        <a:xfrm>
          <a:off x="2574483" y="344910"/>
          <a:ext cx="873567" cy="759990"/>
        </a:xfrm>
        <a:prstGeom prst="bentConnector3">
          <a:avLst>
            <a:gd name="adj1" fmla="val 137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56</xdr:row>
      <xdr:rowOff>172329</xdr:rowOff>
    </xdr:from>
    <xdr:to>
      <xdr:col>24</xdr:col>
      <xdr:colOff>5411</xdr:colOff>
      <xdr:row>56</xdr:row>
      <xdr:rowOff>172357</xdr:rowOff>
    </xdr:to>
    <xdr:cxnSp macro="">
      <xdr:nvCxnSpPr>
        <xdr:cNvPr id="60" name="Rechte verbindingslijn met pijl 59">
          <a:extLst>
            <a:ext uri="{FF2B5EF4-FFF2-40B4-BE49-F238E27FC236}">
              <a16:creationId xmlns:a16="http://schemas.microsoft.com/office/drawing/2014/main" id="{BC075C73-3CD5-442E-8BFE-39715795F336}"/>
            </a:ext>
          </a:extLst>
        </xdr:cNvPr>
        <xdr:cNvCxnSpPr/>
      </xdr:nvCxnSpPr>
      <xdr:spPr>
        <a:xfrm flipV="1">
          <a:off x="20710071" y="10894758"/>
          <a:ext cx="731126" cy="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1008532</xdr:colOff>
      <xdr:row>24</xdr:row>
      <xdr:rowOff>152825</xdr:rowOff>
    </xdr:from>
    <xdr:to>
      <xdr:col>23</xdr:col>
      <xdr:colOff>1</xdr:colOff>
      <xdr:row>56</xdr:row>
      <xdr:rowOff>171621</xdr:rowOff>
    </xdr:to>
    <xdr:cxnSp macro="">
      <xdr:nvCxnSpPr>
        <xdr:cNvPr id="16" name="Verbindingslijn: gebogen 66">
          <a:extLst>
            <a:ext uri="{FF2B5EF4-FFF2-40B4-BE49-F238E27FC236}">
              <a16:creationId xmlns:a16="http://schemas.microsoft.com/office/drawing/2014/main" id="{DF21977D-2605-42C4-A63E-03FB8BCEC19C}"/>
            </a:ext>
          </a:extLst>
        </xdr:cNvPr>
        <xdr:cNvCxnSpPr/>
      </xdr:nvCxnSpPr>
      <xdr:spPr>
        <a:xfrm rot="16200000" flipV="1">
          <a:off x="16223989" y="5952435"/>
          <a:ext cx="6531837" cy="3221942"/>
        </a:xfrm>
        <a:prstGeom prst="bentConnector3">
          <a:avLst>
            <a:gd name="adj1" fmla="val 9985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1008278</xdr:colOff>
      <xdr:row>40</xdr:row>
      <xdr:rowOff>179762</xdr:rowOff>
    </xdr:from>
    <xdr:to>
      <xdr:col>23</xdr:col>
      <xdr:colOff>20376</xdr:colOff>
      <xdr:row>40</xdr:row>
      <xdr:rowOff>179762</xdr:rowOff>
    </xdr:to>
    <xdr:cxnSp macro="">
      <xdr:nvCxnSpPr>
        <xdr:cNvPr id="68" name="Verbindingslijn: gebogen 67">
          <a:extLst>
            <a:ext uri="{FF2B5EF4-FFF2-40B4-BE49-F238E27FC236}">
              <a16:creationId xmlns:a16="http://schemas.microsoft.com/office/drawing/2014/main" id="{DA3E642F-97D6-4F9E-A8CB-FFA2D2038137}"/>
            </a:ext>
          </a:extLst>
        </xdr:cNvPr>
        <xdr:cNvCxnSpPr/>
      </xdr:nvCxnSpPr>
      <xdr:spPr>
        <a:xfrm rot="10800000" flipV="1">
          <a:off x="17840818" y="7265556"/>
          <a:ext cx="3245431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1065152</xdr:colOff>
      <xdr:row>53</xdr:row>
      <xdr:rowOff>14561</xdr:rowOff>
    </xdr:from>
    <xdr:to>
      <xdr:col>16</xdr:col>
      <xdr:colOff>12029</xdr:colOff>
      <xdr:row>53</xdr:row>
      <xdr:rowOff>17016</xdr:rowOff>
    </xdr:to>
    <xdr:cxnSp macro="">
      <xdr:nvCxnSpPr>
        <xdr:cNvPr id="82" name="Rechte verbindingslijn met pijl 81">
          <a:extLst>
            <a:ext uri="{FF2B5EF4-FFF2-40B4-BE49-F238E27FC236}">
              <a16:creationId xmlns:a16="http://schemas.microsoft.com/office/drawing/2014/main" id="{D6CD65CB-37E5-40DF-9F5B-B2888D6B64A4}"/>
            </a:ext>
          </a:extLst>
        </xdr:cNvPr>
        <xdr:cNvCxnSpPr/>
      </xdr:nvCxnSpPr>
      <xdr:spPr>
        <a:xfrm flipV="1">
          <a:off x="11031423" y="9916256"/>
          <a:ext cx="1379250" cy="24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587559</xdr:colOff>
      <xdr:row>52</xdr:row>
      <xdr:rowOff>180417</xdr:rowOff>
    </xdr:from>
    <xdr:to>
      <xdr:col>16</xdr:col>
      <xdr:colOff>10763</xdr:colOff>
      <xdr:row>57</xdr:row>
      <xdr:rowOff>10763</xdr:rowOff>
    </xdr:to>
    <xdr:cxnSp macro="">
      <xdr:nvCxnSpPr>
        <xdr:cNvPr id="83" name="Verbindingslijn: gebogen 82">
          <a:extLst>
            <a:ext uri="{FF2B5EF4-FFF2-40B4-BE49-F238E27FC236}">
              <a16:creationId xmlns:a16="http://schemas.microsoft.com/office/drawing/2014/main" id="{92C81C6A-D775-4E64-8683-4CD8CBCADCB5}"/>
            </a:ext>
          </a:extLst>
        </xdr:cNvPr>
        <xdr:cNvCxnSpPr/>
      </xdr:nvCxnSpPr>
      <xdr:spPr>
        <a:xfrm>
          <a:off x="11630101" y="9899146"/>
          <a:ext cx="779306" cy="745176"/>
        </a:xfrm>
        <a:prstGeom prst="bentConnector3">
          <a:avLst>
            <a:gd name="adj1" fmla="val 166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589281</xdr:colOff>
      <xdr:row>56</xdr:row>
      <xdr:rowOff>171377</xdr:rowOff>
    </xdr:from>
    <xdr:to>
      <xdr:col>16</xdr:col>
      <xdr:colOff>21124</xdr:colOff>
      <xdr:row>62</xdr:row>
      <xdr:rowOff>7528</xdr:rowOff>
    </xdr:to>
    <xdr:cxnSp macro="">
      <xdr:nvCxnSpPr>
        <xdr:cNvPr id="84" name="Verbindingslijn: gebogen 83">
          <a:extLst>
            <a:ext uri="{FF2B5EF4-FFF2-40B4-BE49-F238E27FC236}">
              <a16:creationId xmlns:a16="http://schemas.microsoft.com/office/drawing/2014/main" id="{D0C1B1F7-F7D5-4E0B-8BA5-3C5A9EB0C8CE}"/>
            </a:ext>
          </a:extLst>
        </xdr:cNvPr>
        <xdr:cNvCxnSpPr/>
      </xdr:nvCxnSpPr>
      <xdr:spPr>
        <a:xfrm>
          <a:off x="11631823" y="10621970"/>
          <a:ext cx="787945" cy="750982"/>
        </a:xfrm>
        <a:prstGeom prst="bentConnector3">
          <a:avLst>
            <a:gd name="adj1" fmla="val 106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12128</xdr:colOff>
      <xdr:row>53</xdr:row>
      <xdr:rowOff>0</xdr:rowOff>
    </xdr:from>
    <xdr:to>
      <xdr:col>20</xdr:col>
      <xdr:colOff>0</xdr:colOff>
      <xdr:row>53</xdr:row>
      <xdr:rowOff>7976</xdr:rowOff>
    </xdr:to>
    <xdr:cxnSp macro="">
      <xdr:nvCxnSpPr>
        <xdr:cNvPr id="90" name="Rechte verbindingslijn met pijl 89">
          <a:extLst>
            <a:ext uri="{FF2B5EF4-FFF2-40B4-BE49-F238E27FC236}">
              <a16:creationId xmlns:a16="http://schemas.microsoft.com/office/drawing/2014/main" id="{4D59C601-7D3F-4AD6-AEB9-500A578A4328}"/>
            </a:ext>
          </a:extLst>
        </xdr:cNvPr>
        <xdr:cNvCxnSpPr/>
      </xdr:nvCxnSpPr>
      <xdr:spPr>
        <a:xfrm flipV="1">
          <a:off x="14541789" y="9901695"/>
          <a:ext cx="1613042" cy="79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998263</xdr:colOff>
      <xdr:row>52</xdr:row>
      <xdr:rowOff>171376</xdr:rowOff>
    </xdr:from>
    <xdr:to>
      <xdr:col>19</xdr:col>
      <xdr:colOff>590903</xdr:colOff>
      <xdr:row>57</xdr:row>
      <xdr:rowOff>26459</xdr:rowOff>
    </xdr:to>
    <xdr:cxnSp macro="">
      <xdr:nvCxnSpPr>
        <xdr:cNvPr id="92" name="Verbindingslijn: gebogen 91">
          <a:extLst>
            <a:ext uri="{FF2B5EF4-FFF2-40B4-BE49-F238E27FC236}">
              <a16:creationId xmlns:a16="http://schemas.microsoft.com/office/drawing/2014/main" id="{30D5BB4D-8A39-4CFD-9FE3-103F936F562E}"/>
            </a:ext>
          </a:extLst>
        </xdr:cNvPr>
        <xdr:cNvCxnSpPr/>
      </xdr:nvCxnSpPr>
      <xdr:spPr>
        <a:xfrm rot="16200000" flipH="1">
          <a:off x="15419125" y="10092181"/>
          <a:ext cx="781124" cy="606876"/>
        </a:xfrm>
        <a:prstGeom prst="bentConnector3">
          <a:avLst>
            <a:gd name="adj1" fmla="val 9855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993108</xdr:colOff>
      <xdr:row>56</xdr:row>
      <xdr:rowOff>168464</xdr:rowOff>
    </xdr:from>
    <xdr:to>
      <xdr:col>19</xdr:col>
      <xdr:colOff>599722</xdr:colOff>
      <xdr:row>62</xdr:row>
      <xdr:rowOff>0</xdr:rowOff>
    </xdr:to>
    <xdr:cxnSp macro="">
      <xdr:nvCxnSpPr>
        <xdr:cNvPr id="97" name="Verbindingslijn: gebogen 96">
          <a:extLst>
            <a:ext uri="{FF2B5EF4-FFF2-40B4-BE49-F238E27FC236}">
              <a16:creationId xmlns:a16="http://schemas.microsoft.com/office/drawing/2014/main" id="{B725376D-E9AE-4EB5-B819-11E48C193734}"/>
            </a:ext>
          </a:extLst>
        </xdr:cNvPr>
        <xdr:cNvCxnSpPr/>
      </xdr:nvCxnSpPr>
      <xdr:spPr>
        <a:xfrm rot="16200000" flipH="1">
          <a:off x="15432730" y="10811342"/>
          <a:ext cx="757578" cy="620850"/>
        </a:xfrm>
        <a:prstGeom prst="bentConnector3">
          <a:avLst>
            <a:gd name="adj1" fmla="val 10005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995578</xdr:colOff>
      <xdr:row>61</xdr:row>
      <xdr:rowOff>170934</xdr:rowOff>
    </xdr:from>
    <xdr:to>
      <xdr:col>19</xdr:col>
      <xdr:colOff>602192</xdr:colOff>
      <xdr:row>67</xdr:row>
      <xdr:rowOff>2470</xdr:rowOff>
    </xdr:to>
    <xdr:cxnSp macro="">
      <xdr:nvCxnSpPr>
        <xdr:cNvPr id="17" name="Verbindingslijn: gebogen 105">
          <a:extLst>
            <a:ext uri="{FF2B5EF4-FFF2-40B4-BE49-F238E27FC236}">
              <a16:creationId xmlns:a16="http://schemas.microsoft.com/office/drawing/2014/main" id="{DA3ADA79-CB29-4866-86AA-4BC1C2A861B2}"/>
            </a:ext>
          </a:extLst>
        </xdr:cNvPr>
        <xdr:cNvCxnSpPr/>
      </xdr:nvCxnSpPr>
      <xdr:spPr>
        <a:xfrm rot="16200000" flipH="1">
          <a:off x="15435200" y="11554645"/>
          <a:ext cx="757578" cy="620850"/>
        </a:xfrm>
        <a:prstGeom prst="bentConnector3">
          <a:avLst>
            <a:gd name="adj1" fmla="val 10005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19150</xdr:colOff>
      <xdr:row>57</xdr:row>
      <xdr:rowOff>0</xdr:rowOff>
    </xdr:from>
    <xdr:to>
      <xdr:col>28</xdr:col>
      <xdr:colOff>9072</xdr:colOff>
      <xdr:row>57</xdr:row>
      <xdr:rowOff>5040</xdr:rowOff>
    </xdr:to>
    <xdr:cxnSp macro="">
      <xdr:nvCxnSpPr>
        <xdr:cNvPr id="107" name="Rechte verbindingslijn met pijl 106">
          <a:extLst>
            <a:ext uri="{FF2B5EF4-FFF2-40B4-BE49-F238E27FC236}">
              <a16:creationId xmlns:a16="http://schemas.microsoft.com/office/drawing/2014/main" id="{09DA72D4-B254-4D16-A56D-723F1C395B1C}"/>
            </a:ext>
          </a:extLst>
        </xdr:cNvPr>
        <xdr:cNvCxnSpPr/>
      </xdr:nvCxnSpPr>
      <xdr:spPr>
        <a:xfrm flipV="1">
          <a:off x="19904218" y="10429658"/>
          <a:ext cx="755402" cy="50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</xdr:colOff>
      <xdr:row>57</xdr:row>
      <xdr:rowOff>18141</xdr:rowOff>
    </xdr:from>
    <xdr:to>
      <xdr:col>27</xdr:col>
      <xdr:colOff>423334</xdr:colOff>
      <xdr:row>61</xdr:row>
      <xdr:rowOff>10582</xdr:rowOff>
    </xdr:to>
    <xdr:cxnSp macro="">
      <xdr:nvCxnSpPr>
        <xdr:cNvPr id="38" name="Verbindingslijn: gebogen 107">
          <a:extLst>
            <a:ext uri="{FF2B5EF4-FFF2-40B4-BE49-F238E27FC236}">
              <a16:creationId xmlns:a16="http://schemas.microsoft.com/office/drawing/2014/main" id="{CCCD56BC-AC7D-43FF-95BA-46384CEB8BBE}"/>
            </a:ext>
          </a:extLst>
        </xdr:cNvPr>
        <xdr:cNvCxnSpPr/>
      </xdr:nvCxnSpPr>
      <xdr:spPr>
        <a:xfrm rot="16200000" flipH="1">
          <a:off x="23943281" y="11264446"/>
          <a:ext cx="754441" cy="423331"/>
        </a:xfrm>
        <a:prstGeom prst="bentConnector3">
          <a:avLst>
            <a:gd name="adj1" fmla="val 1005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10585</xdr:colOff>
      <xdr:row>60</xdr:row>
      <xdr:rowOff>126999</xdr:rowOff>
    </xdr:from>
    <xdr:to>
      <xdr:col>27</xdr:col>
      <xdr:colOff>412751</xdr:colOff>
      <xdr:row>64</xdr:row>
      <xdr:rowOff>190499</xdr:rowOff>
    </xdr:to>
    <xdr:cxnSp macro="">
      <xdr:nvCxnSpPr>
        <xdr:cNvPr id="47" name="Verbindingslijn: gebogen 108">
          <a:extLst>
            <a:ext uri="{FF2B5EF4-FFF2-40B4-BE49-F238E27FC236}">
              <a16:creationId xmlns:a16="http://schemas.microsoft.com/office/drawing/2014/main" id="{D10F2A3D-7FC0-481C-8466-A113ACF27100}"/>
            </a:ext>
          </a:extLst>
        </xdr:cNvPr>
        <xdr:cNvCxnSpPr/>
      </xdr:nvCxnSpPr>
      <xdr:spPr>
        <a:xfrm rot="16200000" flipH="1">
          <a:off x="23902459" y="11996208"/>
          <a:ext cx="836083" cy="402166"/>
        </a:xfrm>
        <a:prstGeom prst="bentConnector3">
          <a:avLst>
            <a:gd name="adj1" fmla="val 993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492280</xdr:colOff>
      <xdr:row>64</xdr:row>
      <xdr:rowOff>147564</xdr:rowOff>
    </xdr:from>
    <xdr:to>
      <xdr:col>27</xdr:col>
      <xdr:colOff>428779</xdr:colOff>
      <xdr:row>68</xdr:row>
      <xdr:rowOff>138493</xdr:rowOff>
    </xdr:to>
    <xdr:cxnSp macro="">
      <xdr:nvCxnSpPr>
        <xdr:cNvPr id="52" name="Verbindingslijn: gebogen 109">
          <a:extLst>
            <a:ext uri="{FF2B5EF4-FFF2-40B4-BE49-F238E27FC236}">
              <a16:creationId xmlns:a16="http://schemas.microsoft.com/office/drawing/2014/main" id="{CE4CB4B3-73C0-434F-A595-2B7670991176}"/>
            </a:ext>
          </a:extLst>
        </xdr:cNvPr>
        <xdr:cNvCxnSpPr/>
      </xdr:nvCxnSpPr>
      <xdr:spPr>
        <a:xfrm rot="16200000" flipH="1">
          <a:off x="23938898" y="12737196"/>
          <a:ext cx="763513" cy="433915"/>
        </a:xfrm>
        <a:prstGeom prst="bentConnector3">
          <a:avLst>
            <a:gd name="adj1" fmla="val 1006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11759</xdr:rowOff>
    </xdr:from>
    <xdr:to>
      <xdr:col>11</xdr:col>
      <xdr:colOff>576204</xdr:colOff>
      <xdr:row>11</xdr:row>
      <xdr:rowOff>176389</xdr:rowOff>
    </xdr:to>
    <xdr:cxnSp macro="">
      <xdr:nvCxnSpPr>
        <xdr:cNvPr id="4" name="Verbindingslijn: gebogen 28">
          <a:extLst>
            <a:ext uri="{FF2B5EF4-FFF2-40B4-BE49-F238E27FC236}">
              <a16:creationId xmlns:a16="http://schemas.microsoft.com/office/drawing/2014/main" id="{A36CD379-7B86-4849-A193-92DCA2139E62}"/>
            </a:ext>
          </a:extLst>
        </xdr:cNvPr>
        <xdr:cNvCxnSpPr/>
      </xdr:nvCxnSpPr>
      <xdr:spPr>
        <a:xfrm rot="5400000" flipH="1" flipV="1">
          <a:off x="7955139" y="1028935"/>
          <a:ext cx="729074" cy="5762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15</xdr:row>
      <xdr:rowOff>176389</xdr:rowOff>
    </xdr:from>
    <xdr:to>
      <xdr:col>11</xdr:col>
      <xdr:colOff>582930</xdr:colOff>
      <xdr:row>15</xdr:row>
      <xdr:rowOff>184009</xdr:rowOff>
    </xdr:to>
    <xdr:cxnSp macro="">
      <xdr:nvCxnSpPr>
        <xdr:cNvPr id="140" name="Straight Arrow Connector 2">
          <a:extLst>
            <a:ext uri="{FF2B5EF4-FFF2-40B4-BE49-F238E27FC236}">
              <a16:creationId xmlns:a16="http://schemas.microsoft.com/office/drawing/2014/main" id="{ABD472D1-BFB4-4FCD-995F-A34621DF4F8A}"/>
            </a:ext>
          </a:extLst>
        </xdr:cNvPr>
        <xdr:cNvCxnSpPr/>
      </xdr:nvCxnSpPr>
      <xdr:spPr>
        <a:xfrm flipV="1">
          <a:off x="7427713" y="2434167"/>
          <a:ext cx="1186791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11</xdr:row>
      <xdr:rowOff>175260</xdr:rowOff>
    </xdr:from>
    <xdr:to>
      <xdr:col>15</xdr:col>
      <xdr:colOff>868680</xdr:colOff>
      <xdr:row>12</xdr:row>
      <xdr:rowOff>0</xdr:rowOff>
    </xdr:to>
    <xdr:cxnSp macro="">
      <xdr:nvCxnSpPr>
        <xdr:cNvPr id="7" name="Straight Arrow Connector 3">
          <a:extLst>
            <a:ext uri="{FF2B5EF4-FFF2-40B4-BE49-F238E27FC236}">
              <a16:creationId xmlns:a16="http://schemas.microsoft.com/office/drawing/2014/main" id="{0A7C078B-932F-4502-9A17-84DC6F1F2111}"/>
            </a:ext>
          </a:extLst>
        </xdr:cNvPr>
        <xdr:cNvCxnSpPr/>
      </xdr:nvCxnSpPr>
      <xdr:spPr>
        <a:xfrm flipV="1">
          <a:off x="6275070" y="1280160"/>
          <a:ext cx="1756410" cy="88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10949</xdr:colOff>
      <xdr:row>11</xdr:row>
      <xdr:rowOff>160575</xdr:rowOff>
    </xdr:from>
    <xdr:to>
      <xdr:col>14</xdr:col>
      <xdr:colOff>430632</xdr:colOff>
      <xdr:row>38</xdr:row>
      <xdr:rowOff>32847</xdr:rowOff>
    </xdr:to>
    <xdr:cxnSp macro="">
      <xdr:nvCxnSpPr>
        <xdr:cNvPr id="142" name="Verbindingslijn: gebogen 28">
          <a:extLst>
            <a:ext uri="{FF2B5EF4-FFF2-40B4-BE49-F238E27FC236}">
              <a16:creationId xmlns:a16="http://schemas.microsoft.com/office/drawing/2014/main" id="{007EC86E-7A21-46A5-AADB-80CF09EB5797}"/>
            </a:ext>
          </a:extLst>
        </xdr:cNvPr>
        <xdr:cNvCxnSpPr/>
      </xdr:nvCxnSpPr>
      <xdr:spPr>
        <a:xfrm rot="5400000">
          <a:off x="12229224" y="4174944"/>
          <a:ext cx="4798996" cy="419683"/>
        </a:xfrm>
        <a:prstGeom prst="bentConnector3">
          <a:avLst>
            <a:gd name="adj1" fmla="val 995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599725</xdr:colOff>
      <xdr:row>12</xdr:row>
      <xdr:rowOff>1</xdr:rowOff>
    </xdr:from>
    <xdr:to>
      <xdr:col>11</xdr:col>
      <xdr:colOff>564446</xdr:colOff>
      <xdr:row>16</xdr:row>
      <xdr:rowOff>0</xdr:rowOff>
    </xdr:to>
    <xdr:cxnSp macro="">
      <xdr:nvCxnSpPr>
        <xdr:cNvPr id="143" name="Verbindingslijn: gebogen 28">
          <a:extLst>
            <a:ext uri="{FF2B5EF4-FFF2-40B4-BE49-F238E27FC236}">
              <a16:creationId xmlns:a16="http://schemas.microsoft.com/office/drawing/2014/main" id="{5429065B-EE5B-434D-BB62-4B47CF4108F1}"/>
            </a:ext>
          </a:extLst>
        </xdr:cNvPr>
        <xdr:cNvCxnSpPr/>
      </xdr:nvCxnSpPr>
      <xdr:spPr>
        <a:xfrm rot="5400000" flipH="1" flipV="1">
          <a:off x="7931623" y="1781529"/>
          <a:ext cx="752592" cy="57620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11</xdr:row>
      <xdr:rowOff>175260</xdr:rowOff>
    </xdr:from>
    <xdr:to>
      <xdr:col>19</xdr:col>
      <xdr:colOff>868680</xdr:colOff>
      <xdr:row>12</xdr:row>
      <xdr:rowOff>0</xdr:rowOff>
    </xdr:to>
    <xdr:cxnSp macro="">
      <xdr:nvCxnSpPr>
        <xdr:cNvPr id="144" name="Straight Arrow Connector 6">
          <a:extLst>
            <a:ext uri="{FF2B5EF4-FFF2-40B4-BE49-F238E27FC236}">
              <a16:creationId xmlns:a16="http://schemas.microsoft.com/office/drawing/2014/main" id="{3E2210B2-1E26-44FC-8182-0450A9CB9323}"/>
            </a:ext>
          </a:extLst>
        </xdr:cNvPr>
        <xdr:cNvCxnSpPr/>
      </xdr:nvCxnSpPr>
      <xdr:spPr>
        <a:xfrm flipV="1">
          <a:off x="9856470" y="1280160"/>
          <a:ext cx="1756410" cy="88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15242</xdr:colOff>
      <xdr:row>12</xdr:row>
      <xdr:rowOff>0</xdr:rowOff>
    </xdr:from>
    <xdr:to>
      <xdr:col>20</xdr:col>
      <xdr:colOff>15243</xdr:colOff>
      <xdr:row>16</xdr:row>
      <xdr:rowOff>7623</xdr:rowOff>
    </xdr:to>
    <xdr:cxnSp macro="">
      <xdr:nvCxnSpPr>
        <xdr:cNvPr id="145" name="Verbindingslijn: gebogen 28">
          <a:extLst>
            <a:ext uri="{FF2B5EF4-FFF2-40B4-BE49-F238E27FC236}">
              <a16:creationId xmlns:a16="http://schemas.microsoft.com/office/drawing/2014/main" id="{BD79907D-F442-4647-90BB-9F785A9BAEDC}"/>
            </a:ext>
          </a:extLst>
        </xdr:cNvPr>
        <xdr:cNvCxnSpPr/>
      </xdr:nvCxnSpPr>
      <xdr:spPr>
        <a:xfrm>
          <a:off x="10759442" y="1289050"/>
          <a:ext cx="895351" cy="744223"/>
        </a:xfrm>
        <a:prstGeom prst="bentConnector3">
          <a:avLst>
            <a:gd name="adj1" fmla="val -30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7622</xdr:colOff>
      <xdr:row>15</xdr:row>
      <xdr:rowOff>167640</xdr:rowOff>
    </xdr:from>
    <xdr:to>
      <xdr:col>20</xdr:col>
      <xdr:colOff>7623</xdr:colOff>
      <xdr:row>19</xdr:row>
      <xdr:rowOff>175263</xdr:rowOff>
    </xdr:to>
    <xdr:cxnSp macro="">
      <xdr:nvCxnSpPr>
        <xdr:cNvPr id="146" name="Verbindingslijn: gebogen 28">
          <a:extLst>
            <a:ext uri="{FF2B5EF4-FFF2-40B4-BE49-F238E27FC236}">
              <a16:creationId xmlns:a16="http://schemas.microsoft.com/office/drawing/2014/main" id="{10E06B36-6DF9-4CE3-A0F2-CA9CAF0F70C8}"/>
            </a:ext>
          </a:extLst>
        </xdr:cNvPr>
        <xdr:cNvCxnSpPr/>
      </xdr:nvCxnSpPr>
      <xdr:spPr>
        <a:xfrm>
          <a:off x="10751822" y="2009140"/>
          <a:ext cx="895351" cy="744223"/>
        </a:xfrm>
        <a:prstGeom prst="bentConnector3">
          <a:avLst>
            <a:gd name="adj1" fmla="val -304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2998</xdr:colOff>
      <xdr:row>48</xdr:row>
      <xdr:rowOff>145711</xdr:rowOff>
    </xdr:from>
    <xdr:to>
      <xdr:col>8</xdr:col>
      <xdr:colOff>9339</xdr:colOff>
      <xdr:row>52</xdr:row>
      <xdr:rowOff>168088</xdr:rowOff>
    </xdr:to>
    <xdr:cxnSp macro="">
      <xdr:nvCxnSpPr>
        <xdr:cNvPr id="167" name="Verbindingslijn: gebogen 166">
          <a:extLst>
            <a:ext uri="{FF2B5EF4-FFF2-40B4-BE49-F238E27FC236}">
              <a16:creationId xmlns:a16="http://schemas.microsoft.com/office/drawing/2014/main" id="{EA306496-5AED-4B0C-8A69-95F4AC0C5211}"/>
            </a:ext>
          </a:extLst>
        </xdr:cNvPr>
        <xdr:cNvCxnSpPr/>
      </xdr:nvCxnSpPr>
      <xdr:spPr>
        <a:xfrm rot="16200000" flipH="1">
          <a:off x="5079649" y="9375237"/>
          <a:ext cx="769435" cy="613326"/>
        </a:xfrm>
        <a:prstGeom prst="bentConnector3">
          <a:avLst>
            <a:gd name="adj1" fmla="val 9976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66</xdr:row>
      <xdr:rowOff>0</xdr:rowOff>
    </xdr:from>
    <xdr:ext cx="304800" cy="305004"/>
    <xdr:sp macro="" textlink="">
      <xdr:nvSpPr>
        <xdr:cNvPr id="18" name="AutoShape 44">
          <a:extLst>
            <a:ext uri="{FF2B5EF4-FFF2-40B4-BE49-F238E27FC236}">
              <a16:creationId xmlns:a16="http://schemas.microsoft.com/office/drawing/2014/main" id="{8D061B7C-0594-49C9-909C-0EF4E8089524}"/>
            </a:ext>
            <a:ext uri="{147F2762-F138-4A5C-976F-8EAC2B608ADB}">
              <a16:predDERef xmlns:a16="http://schemas.microsoft.com/office/drawing/2014/main" pred="{EA306496-5AED-4B0C-8A69-95F4AC0C52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102316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4850883C-A298-4046-8D60-93FBA6E139CE}"/>
            </a:ext>
          </a:extLst>
        </xdr:cNvPr>
        <xdr:cNvSpPr>
          <a:spLocks noChangeAspect="1" noChangeArrowheads="1"/>
        </xdr:cNvSpPr>
      </xdr:nvSpPr>
      <xdr:spPr bwMode="auto">
        <a:xfrm>
          <a:off x="6096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94</xdr:colOff>
      <xdr:row>4</xdr:row>
      <xdr:rowOff>30480</xdr:rowOff>
    </xdr:from>
    <xdr:to>
      <xdr:col>11</xdr:col>
      <xdr:colOff>568678</xdr:colOff>
      <xdr:row>8</xdr:row>
      <xdr:rowOff>12230</xdr:rowOff>
    </xdr:to>
    <xdr:cxnSp macro="">
      <xdr:nvCxnSpPr>
        <xdr:cNvPr id="5" name="Verbindingslijn: gebogen 28">
          <a:extLst>
            <a:ext uri="{FF2B5EF4-FFF2-40B4-BE49-F238E27FC236}">
              <a16:creationId xmlns:a16="http://schemas.microsoft.com/office/drawing/2014/main" id="{3ECB7777-2E3C-4F96-BCD4-87DBAED86726}"/>
            </a:ext>
          </a:extLst>
        </xdr:cNvPr>
        <xdr:cNvCxnSpPr/>
      </xdr:nvCxnSpPr>
      <xdr:spPr>
        <a:xfrm rot="5400000" flipH="1" flipV="1">
          <a:off x="9003171" y="651463"/>
          <a:ext cx="713270" cy="56858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19743</xdr:colOff>
      <xdr:row>8</xdr:row>
      <xdr:rowOff>0</xdr:rowOff>
    </xdr:from>
    <xdr:to>
      <xdr:col>15</xdr:col>
      <xdr:colOff>727364</xdr:colOff>
      <xdr:row>8</xdr:row>
      <xdr:rowOff>8082</xdr:rowOff>
    </xdr:to>
    <xdr:cxnSp macro="">
      <xdr:nvCxnSpPr>
        <xdr:cNvPr id="57" name="Straight Arrow Connector 6">
          <a:extLst>
            <a:ext uri="{FF2B5EF4-FFF2-40B4-BE49-F238E27FC236}">
              <a16:creationId xmlns:a16="http://schemas.microsoft.com/office/drawing/2014/main" id="{1B724C9E-1275-4AF2-89C6-9EFA49113D16}"/>
            </a:ext>
          </a:extLst>
        </xdr:cNvPr>
        <xdr:cNvCxnSpPr/>
      </xdr:nvCxnSpPr>
      <xdr:spPr>
        <a:xfrm flipV="1">
          <a:off x="12396470" y="1293091"/>
          <a:ext cx="1319530" cy="80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1001472</xdr:colOff>
      <xdr:row>24</xdr:row>
      <xdr:rowOff>11760</xdr:rowOff>
    </xdr:from>
    <xdr:to>
      <xdr:col>27</xdr:col>
      <xdr:colOff>376296</xdr:colOff>
      <xdr:row>24</xdr:row>
      <xdr:rowOff>14907</xdr:rowOff>
    </xdr:to>
    <xdr:cxnSp macro="">
      <xdr:nvCxnSpPr>
        <xdr:cNvPr id="59" name="Rechte verbindingslijn met pijl 38">
          <a:extLst>
            <a:ext uri="{FF2B5EF4-FFF2-40B4-BE49-F238E27FC236}">
              <a16:creationId xmlns:a16="http://schemas.microsoft.com/office/drawing/2014/main" id="{965B05EE-9D36-4590-A327-0D095B54E7EA}"/>
            </a:ext>
          </a:extLst>
        </xdr:cNvPr>
        <xdr:cNvCxnSpPr/>
      </xdr:nvCxnSpPr>
      <xdr:spPr>
        <a:xfrm flipV="1">
          <a:off x="15841657" y="4339167"/>
          <a:ext cx="6112880" cy="31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10410</xdr:colOff>
      <xdr:row>24</xdr:row>
      <xdr:rowOff>31230</xdr:rowOff>
    </xdr:from>
    <xdr:to>
      <xdr:col>28</xdr:col>
      <xdr:colOff>11759</xdr:colOff>
      <xdr:row>28</xdr:row>
      <xdr:rowOff>0</xdr:rowOff>
    </xdr:to>
    <xdr:cxnSp macro="">
      <xdr:nvCxnSpPr>
        <xdr:cNvPr id="19" name="Verbindingslijn: gebogen 28">
          <a:extLst>
            <a:ext uri="{FF2B5EF4-FFF2-40B4-BE49-F238E27FC236}">
              <a16:creationId xmlns:a16="http://schemas.microsoft.com/office/drawing/2014/main" id="{0AB0E0B7-791E-48FA-B0AE-6DAFF6F6745C}"/>
            </a:ext>
          </a:extLst>
        </xdr:cNvPr>
        <xdr:cNvCxnSpPr/>
      </xdr:nvCxnSpPr>
      <xdr:spPr>
        <a:xfrm rot="16200000" flipH="1">
          <a:off x="23485265" y="4496375"/>
          <a:ext cx="718278" cy="407332"/>
        </a:xfrm>
        <a:prstGeom prst="bentConnector3">
          <a:avLst>
            <a:gd name="adj1" fmla="val 992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9527</xdr:colOff>
      <xdr:row>19</xdr:row>
      <xdr:rowOff>114301</xdr:rowOff>
    </xdr:from>
    <xdr:to>
      <xdr:col>30</xdr:col>
      <xdr:colOff>10081</xdr:colOff>
      <xdr:row>24</xdr:row>
      <xdr:rowOff>10081</xdr:rowOff>
    </xdr:to>
    <xdr:cxnSp macro="">
      <xdr:nvCxnSpPr>
        <xdr:cNvPr id="37" name="Verbindingslijn: gebogen 28">
          <a:extLst>
            <a:ext uri="{FF2B5EF4-FFF2-40B4-BE49-F238E27FC236}">
              <a16:creationId xmlns:a16="http://schemas.microsoft.com/office/drawing/2014/main" id="{35CAB256-9E55-4F89-9C51-0303B48914CF}"/>
            </a:ext>
            <a:ext uri="{147F2762-F138-4A5C-976F-8EAC2B608ADB}">
              <a16:predDERef xmlns:a16="http://schemas.microsoft.com/office/drawing/2014/main" pred="{0AB0E0B7-791E-48FA-B0AE-6DAFF6F6745C}"/>
            </a:ext>
          </a:extLst>
        </xdr:cNvPr>
        <xdr:cNvCxnSpPr>
          <a:cxnSpLocks/>
        </xdr:cNvCxnSpPr>
      </xdr:nvCxnSpPr>
      <xdr:spPr>
        <a:xfrm rot="10800000">
          <a:off x="20722622" y="3380015"/>
          <a:ext cx="5221665" cy="802923"/>
        </a:xfrm>
        <a:prstGeom prst="bentConnector3">
          <a:avLst>
            <a:gd name="adj1" fmla="val -1157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594683</xdr:colOff>
      <xdr:row>24</xdr:row>
      <xdr:rowOff>102</xdr:rowOff>
    </xdr:from>
    <xdr:to>
      <xdr:col>32</xdr:col>
      <xdr:colOff>8971</xdr:colOff>
      <xdr:row>24</xdr:row>
      <xdr:rowOff>10080</xdr:rowOff>
    </xdr:to>
    <xdr:cxnSp macro="">
      <xdr:nvCxnSpPr>
        <xdr:cNvPr id="71" name="Rechte verbindingslijn met pijl 38">
          <a:extLst>
            <a:ext uri="{FF2B5EF4-FFF2-40B4-BE49-F238E27FC236}">
              <a16:creationId xmlns:a16="http://schemas.microsoft.com/office/drawing/2014/main" id="{C640E091-25CB-4E4B-89CE-D8F7D56E9139}"/>
            </a:ext>
            <a:ext uri="{147F2762-F138-4A5C-976F-8EAC2B608ADB}">
              <a16:predDERef xmlns:a16="http://schemas.microsoft.com/office/drawing/2014/main" pred="{35CAB256-9E55-4F89-9C51-0303B48914CF}"/>
            </a:ext>
          </a:extLst>
        </xdr:cNvPr>
        <xdr:cNvCxnSpPr>
          <a:cxnSpLocks/>
        </xdr:cNvCxnSpPr>
      </xdr:nvCxnSpPr>
      <xdr:spPr>
        <a:xfrm>
          <a:off x="26528889" y="4172959"/>
          <a:ext cx="623812" cy="99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576204</xdr:colOff>
      <xdr:row>27</xdr:row>
      <xdr:rowOff>176389</xdr:rowOff>
    </xdr:from>
    <xdr:to>
      <xdr:col>31</xdr:col>
      <xdr:colOff>599722</xdr:colOff>
      <xdr:row>28</xdr:row>
      <xdr:rowOff>0</xdr:rowOff>
    </xdr:to>
    <xdr:cxnSp macro="">
      <xdr:nvCxnSpPr>
        <xdr:cNvPr id="76" name="Rechte verbindingslijn met pijl 38">
          <a:extLst>
            <a:ext uri="{FF2B5EF4-FFF2-40B4-BE49-F238E27FC236}">
              <a16:creationId xmlns:a16="http://schemas.microsoft.com/office/drawing/2014/main" id="{375F668D-AF1D-4C3D-929E-5B76A8A6B59E}"/>
            </a:ext>
          </a:extLst>
        </xdr:cNvPr>
        <xdr:cNvCxnSpPr/>
      </xdr:nvCxnSpPr>
      <xdr:spPr>
        <a:xfrm>
          <a:off x="23177500" y="5068241"/>
          <a:ext cx="1246481" cy="117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</xdr:colOff>
      <xdr:row>29</xdr:row>
      <xdr:rowOff>9202</xdr:rowOff>
    </xdr:from>
    <xdr:to>
      <xdr:col>29</xdr:col>
      <xdr:colOff>1</xdr:colOff>
      <xdr:row>42</xdr:row>
      <xdr:rowOff>18404</xdr:rowOff>
    </xdr:to>
    <xdr:cxnSp macro="">
      <xdr:nvCxnSpPr>
        <xdr:cNvPr id="96" name="Verbindingslijn: gebogen 28">
          <a:extLst>
            <a:ext uri="{FF2B5EF4-FFF2-40B4-BE49-F238E27FC236}">
              <a16:creationId xmlns:a16="http://schemas.microsoft.com/office/drawing/2014/main" id="{131F7825-DD08-4CBD-B92C-2F45B6CA3350}"/>
            </a:ext>
          </a:extLst>
        </xdr:cNvPr>
        <xdr:cNvCxnSpPr/>
      </xdr:nvCxnSpPr>
      <xdr:spPr>
        <a:xfrm rot="10800000" flipV="1">
          <a:off x="15819786" y="5162825"/>
          <a:ext cx="6736519" cy="2411159"/>
        </a:xfrm>
        <a:prstGeom prst="bentConnector3">
          <a:avLst>
            <a:gd name="adj1" fmla="val -1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24</xdr:row>
      <xdr:rowOff>177426</xdr:rowOff>
    </xdr:from>
    <xdr:to>
      <xdr:col>29</xdr:col>
      <xdr:colOff>597648</xdr:colOff>
      <xdr:row>41</xdr:row>
      <xdr:rowOff>84044</xdr:rowOff>
    </xdr:to>
    <xdr:cxnSp macro="">
      <xdr:nvCxnSpPr>
        <xdr:cNvPr id="102" name="Verbindingslijn: gebogen 28">
          <a:extLst>
            <a:ext uri="{FF2B5EF4-FFF2-40B4-BE49-F238E27FC236}">
              <a16:creationId xmlns:a16="http://schemas.microsoft.com/office/drawing/2014/main" id="{3654CA8C-FD9B-4365-BD74-8E344065CCFF}"/>
            </a:ext>
          </a:extLst>
        </xdr:cNvPr>
        <xdr:cNvCxnSpPr/>
      </xdr:nvCxnSpPr>
      <xdr:spPr>
        <a:xfrm rot="10800000" flipV="1">
          <a:off x="15837648" y="4473014"/>
          <a:ext cx="7330515" cy="3081618"/>
        </a:xfrm>
        <a:prstGeom prst="bentConnector3">
          <a:avLst>
            <a:gd name="adj1" fmla="val -324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18678</xdr:colOff>
      <xdr:row>27</xdr:row>
      <xdr:rowOff>168088</xdr:rowOff>
    </xdr:from>
    <xdr:to>
      <xdr:col>31</xdr:col>
      <xdr:colOff>597648</xdr:colOff>
      <xdr:row>32</xdr:row>
      <xdr:rowOff>28013</xdr:rowOff>
    </xdr:to>
    <xdr:cxnSp macro="">
      <xdr:nvCxnSpPr>
        <xdr:cNvPr id="111" name="Verbindingslijn: gebogen 28">
          <a:extLst>
            <a:ext uri="{FF2B5EF4-FFF2-40B4-BE49-F238E27FC236}">
              <a16:creationId xmlns:a16="http://schemas.microsoft.com/office/drawing/2014/main" id="{B67ACE0D-F08F-450E-A808-06A956FFA52F}"/>
            </a:ext>
          </a:extLst>
        </xdr:cNvPr>
        <xdr:cNvCxnSpPr/>
      </xdr:nvCxnSpPr>
      <xdr:spPr>
        <a:xfrm rot="16200000" flipH="1">
          <a:off x="23695773" y="5131360"/>
          <a:ext cx="793749" cy="578970"/>
        </a:xfrm>
        <a:prstGeom prst="bentConnector3">
          <a:avLst>
            <a:gd name="adj1" fmla="val 9705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21667</xdr:colOff>
      <xdr:row>32</xdr:row>
      <xdr:rowOff>2988</xdr:rowOff>
    </xdr:from>
    <xdr:to>
      <xdr:col>32</xdr:col>
      <xdr:colOff>4</xdr:colOff>
      <xdr:row>36</xdr:row>
      <xdr:rowOff>9205</xdr:rowOff>
    </xdr:to>
    <xdr:cxnSp macro="">
      <xdr:nvCxnSpPr>
        <xdr:cNvPr id="116" name="Verbindingslijn: gebogen 28">
          <a:extLst>
            <a:ext uri="{FF2B5EF4-FFF2-40B4-BE49-F238E27FC236}">
              <a16:creationId xmlns:a16="http://schemas.microsoft.com/office/drawing/2014/main" id="{A6294DF5-2070-4EF7-8DEF-A9BB431B1AA4}"/>
            </a:ext>
          </a:extLst>
        </xdr:cNvPr>
        <xdr:cNvCxnSpPr/>
      </xdr:nvCxnSpPr>
      <xdr:spPr>
        <a:xfrm rot="16200000" flipH="1">
          <a:off x="23714393" y="5787146"/>
          <a:ext cx="742449" cy="585728"/>
        </a:xfrm>
        <a:prstGeom prst="bentConnector3">
          <a:avLst>
            <a:gd name="adj1" fmla="val 10082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605233</xdr:colOff>
      <xdr:row>23</xdr:row>
      <xdr:rowOff>176756</xdr:rowOff>
    </xdr:from>
    <xdr:to>
      <xdr:col>36</xdr:col>
      <xdr:colOff>23517</xdr:colOff>
      <xdr:row>24</xdr:row>
      <xdr:rowOff>368</xdr:rowOff>
    </xdr:to>
    <xdr:cxnSp macro="">
      <xdr:nvCxnSpPr>
        <xdr:cNvPr id="120" name="Rechte verbindingslijn met pijl 38">
          <a:extLst>
            <a:ext uri="{FF2B5EF4-FFF2-40B4-BE49-F238E27FC236}">
              <a16:creationId xmlns:a16="http://schemas.microsoft.com/office/drawing/2014/main" id="{2C3EC510-36E3-4F66-BDC4-F17B4A30EA13}"/>
            </a:ext>
          </a:extLst>
        </xdr:cNvPr>
        <xdr:cNvCxnSpPr/>
      </xdr:nvCxnSpPr>
      <xdr:spPr>
        <a:xfrm>
          <a:off x="25568671" y="4324100"/>
          <a:ext cx="1233987" cy="121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24</xdr:row>
      <xdr:rowOff>8248</xdr:rowOff>
    </xdr:from>
    <xdr:to>
      <xdr:col>35</xdr:col>
      <xdr:colOff>-1</xdr:colOff>
      <xdr:row>28</xdr:row>
      <xdr:rowOff>1</xdr:rowOff>
    </xdr:to>
    <xdr:cxnSp macro="">
      <xdr:nvCxnSpPr>
        <xdr:cNvPr id="105" name="Verbindingslijn: gebogen 104">
          <a:extLst>
            <a:ext uri="{FF2B5EF4-FFF2-40B4-BE49-F238E27FC236}">
              <a16:creationId xmlns:a16="http://schemas.microsoft.com/office/drawing/2014/main" id="{176441A2-81F4-46AD-A0B3-00213DDFF88A}"/>
            </a:ext>
          </a:extLst>
        </xdr:cNvPr>
        <xdr:cNvCxnSpPr/>
      </xdr:nvCxnSpPr>
      <xdr:spPr>
        <a:xfrm rot="5400000" flipH="1" flipV="1">
          <a:off x="25585552" y="4234709"/>
          <a:ext cx="717467" cy="610259"/>
        </a:xfrm>
        <a:prstGeom prst="bentConnector3">
          <a:avLst>
            <a:gd name="adj1" fmla="val -57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605972</xdr:colOff>
      <xdr:row>28</xdr:row>
      <xdr:rowOff>3960</xdr:rowOff>
    </xdr:from>
    <xdr:to>
      <xdr:col>34</xdr:col>
      <xdr:colOff>605971</xdr:colOff>
      <xdr:row>31</xdr:row>
      <xdr:rowOff>177141</xdr:rowOff>
    </xdr:to>
    <xdr:cxnSp macro="">
      <xdr:nvCxnSpPr>
        <xdr:cNvPr id="127" name="Verbindingslijn: gebogen 126">
          <a:extLst>
            <a:ext uri="{FF2B5EF4-FFF2-40B4-BE49-F238E27FC236}">
              <a16:creationId xmlns:a16="http://schemas.microsoft.com/office/drawing/2014/main" id="{9E71E2AD-96C0-48E8-A99C-BF813B5D1633}"/>
            </a:ext>
          </a:extLst>
        </xdr:cNvPr>
        <xdr:cNvCxnSpPr/>
      </xdr:nvCxnSpPr>
      <xdr:spPr>
        <a:xfrm rot="5400000" flipH="1" flipV="1">
          <a:off x="25581264" y="4956135"/>
          <a:ext cx="717467" cy="610259"/>
        </a:xfrm>
        <a:prstGeom prst="bentConnector3">
          <a:avLst>
            <a:gd name="adj1" fmla="val -57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601684</xdr:colOff>
      <xdr:row>32</xdr:row>
      <xdr:rowOff>7917</xdr:rowOff>
    </xdr:from>
    <xdr:to>
      <xdr:col>34</xdr:col>
      <xdr:colOff>601683</xdr:colOff>
      <xdr:row>35</xdr:row>
      <xdr:rowOff>181099</xdr:rowOff>
    </xdr:to>
    <xdr:cxnSp macro="">
      <xdr:nvCxnSpPr>
        <xdr:cNvPr id="128" name="Verbindingslijn: gebogen 127">
          <a:extLst>
            <a:ext uri="{FF2B5EF4-FFF2-40B4-BE49-F238E27FC236}">
              <a16:creationId xmlns:a16="http://schemas.microsoft.com/office/drawing/2014/main" id="{99D803FD-E128-483F-96A7-E85A85E31196}"/>
            </a:ext>
          </a:extLst>
        </xdr:cNvPr>
        <xdr:cNvCxnSpPr/>
      </xdr:nvCxnSpPr>
      <xdr:spPr>
        <a:xfrm rot="5400000" flipH="1" flipV="1">
          <a:off x="25576976" y="5685807"/>
          <a:ext cx="717467" cy="610259"/>
        </a:xfrm>
        <a:prstGeom prst="bentConnector3">
          <a:avLst>
            <a:gd name="adj1" fmla="val -57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1063626</xdr:colOff>
      <xdr:row>3</xdr:row>
      <xdr:rowOff>123824</xdr:rowOff>
    </xdr:from>
    <xdr:to>
      <xdr:col>14</xdr:col>
      <xdr:colOff>578649</xdr:colOff>
      <xdr:row>42</xdr:row>
      <xdr:rowOff>111125</xdr:rowOff>
    </xdr:to>
    <xdr:cxnSp macro="">
      <xdr:nvCxnSpPr>
        <xdr:cNvPr id="70" name="Verbindingslijn: gebogen 28">
          <a:extLst>
            <a:ext uri="{FF2B5EF4-FFF2-40B4-BE49-F238E27FC236}">
              <a16:creationId xmlns:a16="http://schemas.microsoft.com/office/drawing/2014/main" id="{F5BB9023-650D-424C-B4C9-515857F5459D}"/>
            </a:ext>
          </a:extLst>
        </xdr:cNvPr>
        <xdr:cNvCxnSpPr/>
      </xdr:nvCxnSpPr>
      <xdr:spPr>
        <a:xfrm rot="5400000">
          <a:off x="11289112" y="3582588"/>
          <a:ext cx="6813551" cy="594523"/>
        </a:xfrm>
        <a:prstGeom prst="bentConnector3">
          <a:avLst>
            <a:gd name="adj1" fmla="val 998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158750</xdr:rowOff>
    </xdr:from>
    <xdr:to>
      <xdr:col>14</xdr:col>
      <xdr:colOff>571500</xdr:colOff>
      <xdr:row>3</xdr:row>
      <xdr:rowOff>161925</xdr:rowOff>
    </xdr:to>
    <xdr:cxnSp macro="">
      <xdr:nvCxnSpPr>
        <xdr:cNvPr id="33" name="Rechte verbindingslijn 13">
          <a:extLst>
            <a:ext uri="{FF2B5EF4-FFF2-40B4-BE49-F238E27FC236}">
              <a16:creationId xmlns:a16="http://schemas.microsoft.com/office/drawing/2014/main" id="{C8736CFB-F6D4-4DBB-BDA0-8447DE01FA2B}"/>
            </a:ext>
          </a:extLst>
        </xdr:cNvPr>
        <xdr:cNvCxnSpPr/>
      </xdr:nvCxnSpPr>
      <xdr:spPr>
        <a:xfrm>
          <a:off x="14414500" y="508000"/>
          <a:ext cx="571500" cy="3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10242</xdr:colOff>
      <xdr:row>7</xdr:row>
      <xdr:rowOff>165652</xdr:rowOff>
    </xdr:from>
    <xdr:to>
      <xdr:col>27</xdr:col>
      <xdr:colOff>377319</xdr:colOff>
      <xdr:row>16</xdr:row>
      <xdr:rowOff>1</xdr:rowOff>
    </xdr:to>
    <xdr:cxnSp macro="">
      <xdr:nvCxnSpPr>
        <xdr:cNvPr id="27" name="Verbindingslijn: gebogen 28">
          <a:extLst>
            <a:ext uri="{FF2B5EF4-FFF2-40B4-BE49-F238E27FC236}">
              <a16:creationId xmlns:a16="http://schemas.microsoft.com/office/drawing/2014/main" id="{A3D758AC-9561-46BA-923D-9F183B3E8ADD}"/>
            </a:ext>
          </a:extLst>
        </xdr:cNvPr>
        <xdr:cNvCxnSpPr/>
      </xdr:nvCxnSpPr>
      <xdr:spPr>
        <a:xfrm flipV="1">
          <a:off x="20716764" y="1270000"/>
          <a:ext cx="3367222" cy="1490871"/>
        </a:xfrm>
        <a:prstGeom prst="bentConnector3">
          <a:avLst>
            <a:gd name="adj1" fmla="val 4152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337344</xdr:colOff>
      <xdr:row>11</xdr:row>
      <xdr:rowOff>178594</xdr:rowOff>
    </xdr:from>
    <xdr:to>
      <xdr:col>28</xdr:col>
      <xdr:colOff>27609</xdr:colOff>
      <xdr:row>12</xdr:row>
      <xdr:rowOff>1</xdr:rowOff>
    </xdr:to>
    <xdr:cxnSp macro="">
      <xdr:nvCxnSpPr>
        <xdr:cNvPr id="23" name="Straight Arrow Connector 6">
          <a:extLst>
            <a:ext uri="{FF2B5EF4-FFF2-40B4-BE49-F238E27FC236}">
              <a16:creationId xmlns:a16="http://schemas.microsoft.com/office/drawing/2014/main" id="{EB039432-A76D-4152-8B4E-537E011A88EB}"/>
            </a:ext>
          </a:extLst>
        </xdr:cNvPr>
        <xdr:cNvCxnSpPr/>
      </xdr:nvCxnSpPr>
      <xdr:spPr>
        <a:xfrm>
          <a:off x="20865703" y="2480469"/>
          <a:ext cx="1496047" cy="9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317500</xdr:colOff>
      <xdr:row>15</xdr:row>
      <xdr:rowOff>168671</xdr:rowOff>
    </xdr:from>
    <xdr:to>
      <xdr:col>28</xdr:col>
      <xdr:colOff>5154</xdr:colOff>
      <xdr:row>15</xdr:row>
      <xdr:rowOff>170806</xdr:rowOff>
    </xdr:to>
    <xdr:cxnSp macro="">
      <xdr:nvCxnSpPr>
        <xdr:cNvPr id="75" name="Straight Arrow Connector 6">
          <a:extLst>
            <a:ext uri="{FF2B5EF4-FFF2-40B4-BE49-F238E27FC236}">
              <a16:creationId xmlns:a16="http://schemas.microsoft.com/office/drawing/2014/main" id="{DD45D24B-3F64-43B5-A0E6-A2FBBC62CB6B}"/>
            </a:ext>
          </a:extLst>
        </xdr:cNvPr>
        <xdr:cNvCxnSpPr/>
      </xdr:nvCxnSpPr>
      <xdr:spPr>
        <a:xfrm>
          <a:off x="20845859" y="3224609"/>
          <a:ext cx="1493436" cy="21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599722</xdr:colOff>
      <xdr:row>16</xdr:row>
      <xdr:rowOff>105834</xdr:rowOff>
    </xdr:from>
    <xdr:to>
      <xdr:col>36</xdr:col>
      <xdr:colOff>611037</xdr:colOff>
      <xdr:row>22</xdr:row>
      <xdr:rowOff>167735</xdr:rowOff>
    </xdr:to>
    <xdr:cxnSp macro="">
      <xdr:nvCxnSpPr>
        <xdr:cNvPr id="45" name="Verbindingslijn: gebogen 28">
          <a:extLst>
            <a:ext uri="{FF2B5EF4-FFF2-40B4-BE49-F238E27FC236}">
              <a16:creationId xmlns:a16="http://schemas.microsoft.com/office/drawing/2014/main" id="{6CDA588A-D812-4AF0-A0FC-B9D94C9D013D}"/>
            </a:ext>
          </a:extLst>
        </xdr:cNvPr>
        <xdr:cNvCxnSpPr/>
      </xdr:nvCxnSpPr>
      <xdr:spPr>
        <a:xfrm>
          <a:off x="25846852" y="2928056"/>
          <a:ext cx="4691500" cy="1190790"/>
        </a:xfrm>
        <a:prstGeom prst="bentConnector3">
          <a:avLst>
            <a:gd name="adj1" fmla="val 9987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988058</xdr:colOff>
      <xdr:row>44</xdr:row>
      <xdr:rowOff>178246</xdr:rowOff>
    </xdr:from>
    <xdr:to>
      <xdr:col>20</xdr:col>
      <xdr:colOff>0</xdr:colOff>
      <xdr:row>44</xdr:row>
      <xdr:rowOff>183774</xdr:rowOff>
    </xdr:to>
    <xdr:cxnSp macro="">
      <xdr:nvCxnSpPr>
        <xdr:cNvPr id="74" name="Rechte verbindingslijn met pijl 73">
          <a:extLst>
            <a:ext uri="{FF2B5EF4-FFF2-40B4-BE49-F238E27FC236}">
              <a16:creationId xmlns:a16="http://schemas.microsoft.com/office/drawing/2014/main" id="{CD0E8506-50BD-4748-9116-29B2D89F7431}"/>
            </a:ext>
          </a:extLst>
        </xdr:cNvPr>
        <xdr:cNvCxnSpPr/>
      </xdr:nvCxnSpPr>
      <xdr:spPr>
        <a:xfrm flipV="1">
          <a:off x="17854549" y="8321842"/>
          <a:ext cx="994925" cy="55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8050</xdr:colOff>
      <xdr:row>44</xdr:row>
      <xdr:rowOff>153492</xdr:rowOff>
    </xdr:from>
    <xdr:to>
      <xdr:col>20</xdr:col>
      <xdr:colOff>11143</xdr:colOff>
      <xdr:row>49</xdr:row>
      <xdr:rowOff>22283</xdr:rowOff>
    </xdr:to>
    <xdr:cxnSp macro="">
      <xdr:nvCxnSpPr>
        <xdr:cNvPr id="78" name="Verbindingslijn: gebogen 67">
          <a:extLst>
            <a:ext uri="{FF2B5EF4-FFF2-40B4-BE49-F238E27FC236}">
              <a16:creationId xmlns:a16="http://schemas.microsoft.com/office/drawing/2014/main" id="{3EEAE0E3-8D5D-4598-91B5-2F1191A41A34}"/>
            </a:ext>
          </a:extLst>
        </xdr:cNvPr>
        <xdr:cNvCxnSpPr/>
      </xdr:nvCxnSpPr>
      <xdr:spPr>
        <a:xfrm rot="16200000" flipH="1">
          <a:off x="18144850" y="8397042"/>
          <a:ext cx="815721" cy="615813"/>
        </a:xfrm>
        <a:prstGeom prst="bentConnector3">
          <a:avLst>
            <a:gd name="adj1" fmla="val 978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678295</xdr:colOff>
      <xdr:row>16</xdr:row>
      <xdr:rowOff>182164</xdr:rowOff>
    </xdr:from>
    <xdr:to>
      <xdr:col>28</xdr:col>
      <xdr:colOff>1002111</xdr:colOff>
      <xdr:row>19</xdr:row>
      <xdr:rowOff>7216</xdr:rowOff>
    </xdr:to>
    <xdr:cxnSp macro="">
      <xdr:nvCxnSpPr>
        <xdr:cNvPr id="85" name="Verbindingslijn: gebogen 28">
          <a:extLst>
            <a:ext uri="{FF2B5EF4-FFF2-40B4-BE49-F238E27FC236}">
              <a16:creationId xmlns:a16="http://schemas.microsoft.com/office/drawing/2014/main" id="{95425E26-76F1-4414-9103-961BF5373C46}"/>
            </a:ext>
          </a:extLst>
        </xdr:cNvPr>
        <xdr:cNvCxnSpPr/>
      </xdr:nvCxnSpPr>
      <xdr:spPr>
        <a:xfrm rot="10800000" flipV="1">
          <a:off x="20695227" y="2996369"/>
          <a:ext cx="4415236" cy="387892"/>
        </a:xfrm>
        <a:prstGeom prst="bentConnector3">
          <a:avLst>
            <a:gd name="adj1" fmla="val -1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8468</xdr:colOff>
      <xdr:row>20</xdr:row>
      <xdr:rowOff>186264</xdr:rowOff>
    </xdr:from>
    <xdr:to>
      <xdr:col>25</xdr:col>
      <xdr:colOff>3</xdr:colOff>
      <xdr:row>37</xdr:row>
      <xdr:rowOff>2</xdr:rowOff>
    </xdr:to>
    <xdr:cxnSp macro="">
      <xdr:nvCxnSpPr>
        <xdr:cNvPr id="103" name="Verbindingslijn: gebogen 28">
          <a:extLst>
            <a:ext uri="{FF2B5EF4-FFF2-40B4-BE49-F238E27FC236}">
              <a16:creationId xmlns:a16="http://schemas.microsoft.com/office/drawing/2014/main" id="{0B944A62-DB43-439D-8F2F-DA385DB7E776}"/>
            </a:ext>
          </a:extLst>
        </xdr:cNvPr>
        <xdr:cNvCxnSpPr/>
      </xdr:nvCxnSpPr>
      <xdr:spPr>
        <a:xfrm rot="16200000" flipH="1">
          <a:off x="19939000" y="4512732"/>
          <a:ext cx="2980271" cy="1405469"/>
        </a:xfrm>
        <a:prstGeom prst="bentConnector3">
          <a:avLst>
            <a:gd name="adj1" fmla="val 28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10242</xdr:colOff>
      <xdr:row>39</xdr:row>
      <xdr:rowOff>1002</xdr:rowOff>
    </xdr:from>
    <xdr:to>
      <xdr:col>24</xdr:col>
      <xdr:colOff>660402</xdr:colOff>
      <xdr:row>44</xdr:row>
      <xdr:rowOff>30725</xdr:rowOff>
    </xdr:to>
    <xdr:cxnSp macro="">
      <xdr:nvCxnSpPr>
        <xdr:cNvPr id="106" name="Verbindingslijn: gebogen 28">
          <a:extLst>
            <a:ext uri="{FF2B5EF4-FFF2-40B4-BE49-F238E27FC236}">
              <a16:creationId xmlns:a16="http://schemas.microsoft.com/office/drawing/2014/main" id="{2D91E3AD-2DB6-45A6-BE89-C8E4FE5DE355}"/>
            </a:ext>
          </a:extLst>
        </xdr:cNvPr>
        <xdr:cNvCxnSpPr/>
      </xdr:nvCxnSpPr>
      <xdr:spPr>
        <a:xfrm rot="10800000" flipV="1">
          <a:off x="20739919" y="7016728"/>
          <a:ext cx="1377338" cy="951497"/>
        </a:xfrm>
        <a:prstGeom prst="bentConnector3">
          <a:avLst>
            <a:gd name="adj1" fmla="val -279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838</xdr:colOff>
      <xdr:row>16</xdr:row>
      <xdr:rowOff>135326</xdr:rowOff>
    </xdr:from>
    <xdr:to>
      <xdr:col>26</xdr:col>
      <xdr:colOff>225321</xdr:colOff>
      <xdr:row>44</xdr:row>
      <xdr:rowOff>153629</xdr:rowOff>
    </xdr:to>
    <xdr:cxnSp macro="">
      <xdr:nvCxnSpPr>
        <xdr:cNvPr id="87" name="Verbindingslijn: gebogen 86">
          <a:extLst>
            <a:ext uri="{FF2B5EF4-FFF2-40B4-BE49-F238E27FC236}">
              <a16:creationId xmlns:a16="http://schemas.microsoft.com/office/drawing/2014/main" id="{0ABC9A0C-DA7D-4F53-8137-EA2AC8AC7484}"/>
            </a:ext>
          </a:extLst>
        </xdr:cNvPr>
        <xdr:cNvCxnSpPr/>
      </xdr:nvCxnSpPr>
      <xdr:spPr>
        <a:xfrm rot="16200000" flipH="1">
          <a:off x="19251227" y="4379937"/>
          <a:ext cx="5190480" cy="2231903"/>
        </a:xfrm>
        <a:prstGeom prst="bentConnector3">
          <a:avLst>
            <a:gd name="adj1" fmla="val 12984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10241</xdr:colOff>
      <xdr:row>44</xdr:row>
      <xdr:rowOff>153629</xdr:rowOff>
    </xdr:from>
    <xdr:to>
      <xdr:col>26</xdr:col>
      <xdr:colOff>215080</xdr:colOff>
      <xdr:row>44</xdr:row>
      <xdr:rowOff>174113</xdr:rowOff>
    </xdr:to>
    <xdr:cxnSp macro="">
      <xdr:nvCxnSpPr>
        <xdr:cNvPr id="123" name="Straight Arrow Connector 6">
          <a:extLst>
            <a:ext uri="{FF2B5EF4-FFF2-40B4-BE49-F238E27FC236}">
              <a16:creationId xmlns:a16="http://schemas.microsoft.com/office/drawing/2014/main" id="{86D81DAD-C791-4C40-959C-7C01C897501A}"/>
            </a:ext>
          </a:extLst>
        </xdr:cNvPr>
        <xdr:cNvCxnSpPr/>
      </xdr:nvCxnSpPr>
      <xdr:spPr>
        <a:xfrm flipH="1">
          <a:off x="20739918" y="8091129"/>
          <a:ext cx="2212259" cy="204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1007937</xdr:colOff>
      <xdr:row>42</xdr:row>
      <xdr:rowOff>161271</xdr:rowOff>
    </xdr:from>
    <xdr:to>
      <xdr:col>20</xdr:col>
      <xdr:colOff>1159131</xdr:colOff>
      <xdr:row>43</xdr:row>
      <xdr:rowOff>171354</xdr:rowOff>
    </xdr:to>
    <xdr:cxnSp macro="">
      <xdr:nvCxnSpPr>
        <xdr:cNvPr id="129" name="Verbindingslijn: gebogen 67">
          <a:extLst>
            <a:ext uri="{FF2B5EF4-FFF2-40B4-BE49-F238E27FC236}">
              <a16:creationId xmlns:a16="http://schemas.microsoft.com/office/drawing/2014/main" id="{58178B94-72E9-4F38-9E6C-EDE3664E0F4E}"/>
            </a:ext>
          </a:extLst>
        </xdr:cNvPr>
        <xdr:cNvCxnSpPr/>
      </xdr:nvCxnSpPr>
      <xdr:spPr>
        <a:xfrm rot="10800000">
          <a:off x="17840477" y="7609922"/>
          <a:ext cx="2136829" cy="191511"/>
        </a:xfrm>
        <a:prstGeom prst="bentConnector3">
          <a:avLst>
            <a:gd name="adj1" fmla="val -55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3251</xdr:colOff>
      <xdr:row>34</xdr:row>
      <xdr:rowOff>134697</xdr:rowOff>
    </xdr:from>
    <xdr:to>
      <xdr:col>12</xdr:col>
      <xdr:colOff>3</xdr:colOff>
      <xdr:row>37</xdr:row>
      <xdr:rowOff>167818</xdr:rowOff>
    </xdr:to>
    <xdr:cxnSp macro="">
      <xdr:nvCxnSpPr>
        <xdr:cNvPr id="86" name="Verbindingslijn: gebogen 45">
          <a:extLst>
            <a:ext uri="{FF2B5EF4-FFF2-40B4-BE49-F238E27FC236}">
              <a16:creationId xmlns:a16="http://schemas.microsoft.com/office/drawing/2014/main" id="{F0C00411-9229-4069-80F7-84214BDA1F97}"/>
            </a:ext>
          </a:extLst>
        </xdr:cNvPr>
        <xdr:cNvCxnSpPr/>
      </xdr:nvCxnSpPr>
      <xdr:spPr>
        <a:xfrm flipV="1">
          <a:off x="9614842" y="6600152"/>
          <a:ext cx="583646" cy="581530"/>
        </a:xfrm>
        <a:prstGeom prst="bentConnector3">
          <a:avLst>
            <a:gd name="adj1" fmla="val 5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18406</xdr:rowOff>
    </xdr:from>
    <xdr:to>
      <xdr:col>9</xdr:col>
      <xdr:colOff>9203</xdr:colOff>
      <xdr:row>29</xdr:row>
      <xdr:rowOff>20159</xdr:rowOff>
    </xdr:to>
    <xdr:cxnSp macro="">
      <xdr:nvCxnSpPr>
        <xdr:cNvPr id="26" name="Rechte verbindingslijn 25">
          <a:extLst>
            <a:ext uri="{FF2B5EF4-FFF2-40B4-BE49-F238E27FC236}">
              <a16:creationId xmlns:a16="http://schemas.microsoft.com/office/drawing/2014/main" id="{A9DD214F-A9F9-42AB-9ABF-2F434C434AE7}"/>
            </a:ext>
          </a:extLst>
        </xdr:cNvPr>
        <xdr:cNvCxnSpPr/>
      </xdr:nvCxnSpPr>
      <xdr:spPr>
        <a:xfrm flipH="1">
          <a:off x="9414127" y="4372692"/>
          <a:ext cx="9203" cy="7274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29</xdr:row>
      <xdr:rowOff>22281</xdr:rowOff>
    </xdr:from>
    <xdr:to>
      <xdr:col>12</xdr:col>
      <xdr:colOff>1459386</xdr:colOff>
      <xdr:row>33</xdr:row>
      <xdr:rowOff>0</xdr:rowOff>
    </xdr:to>
    <xdr:cxnSp macro="">
      <xdr:nvCxnSpPr>
        <xdr:cNvPr id="88" name="Verbindingslijn: gebogen 45">
          <a:extLst>
            <a:ext uri="{FF2B5EF4-FFF2-40B4-BE49-F238E27FC236}">
              <a16:creationId xmlns:a16="http://schemas.microsoft.com/office/drawing/2014/main" id="{1F0CBDE7-408D-4079-B08F-A8702A308B6A}"/>
            </a:ext>
          </a:extLst>
        </xdr:cNvPr>
        <xdr:cNvCxnSpPr/>
      </xdr:nvCxnSpPr>
      <xdr:spPr>
        <a:xfrm>
          <a:off x="9435877" y="5325088"/>
          <a:ext cx="3876842" cy="735263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1238250</xdr:colOff>
      <xdr:row>0</xdr:row>
      <xdr:rowOff>108857</xdr:rowOff>
    </xdr:from>
    <xdr:ext cx="304800" cy="305004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5C828A7E-BEFF-4A0D-8B75-553ACEEBA803}"/>
            </a:ext>
          </a:extLst>
        </xdr:cNvPr>
        <xdr:cNvSpPr>
          <a:spLocks noChangeAspect="1" noChangeArrowheads="1"/>
        </xdr:cNvSpPr>
      </xdr:nvSpPr>
      <xdr:spPr bwMode="auto">
        <a:xfrm>
          <a:off x="3143250" y="108857"/>
          <a:ext cx="304800" cy="305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296568"/>
    <xdr:sp macro="" textlink="">
      <xdr:nvSpPr>
        <xdr:cNvPr id="80" name="AutoShape 45">
          <a:extLst>
            <a:ext uri="{FF2B5EF4-FFF2-40B4-BE49-F238E27FC236}">
              <a16:creationId xmlns:a16="http://schemas.microsoft.com/office/drawing/2014/main" id="{17687801-430A-4C59-AEF5-26647FE711B8}"/>
            </a:ext>
          </a:extLst>
        </xdr:cNvPr>
        <xdr:cNvSpPr>
          <a:spLocks noChangeAspect="1" noChangeArrowheads="1"/>
        </xdr:cNvSpPr>
      </xdr:nvSpPr>
      <xdr:spPr bwMode="auto">
        <a:xfrm>
          <a:off x="611909" y="9802091"/>
          <a:ext cx="304800" cy="296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6351</xdr:colOff>
      <xdr:row>1</xdr:row>
      <xdr:rowOff>195895</xdr:rowOff>
    </xdr:from>
    <xdr:to>
      <xdr:col>9</xdr:col>
      <xdr:colOff>468650</xdr:colOff>
      <xdr:row>19</xdr:row>
      <xdr:rowOff>9525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1758652D-56E2-4BBB-AC8E-F9AD90D78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726" y="386395"/>
          <a:ext cx="4129424" cy="333788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4EEF-82E4-42B9-8797-071B628421FA}">
  <dimension ref="A1:AN78"/>
  <sheetViews>
    <sheetView tabSelected="1" topLeftCell="A14" zoomScale="70" zoomScaleNormal="70" workbookViewId="0">
      <selection activeCell="I44" sqref="I44"/>
    </sheetView>
  </sheetViews>
  <sheetFormatPr defaultRowHeight="15"/>
  <cols>
    <col min="1" max="1" width="8.85546875" customWidth="1"/>
    <col min="2" max="2" width="29.140625" bestFit="1" customWidth="1"/>
    <col min="3" max="3" width="7.42578125" bestFit="1" customWidth="1"/>
    <col min="4" max="4" width="11.28515625" bestFit="1" customWidth="1"/>
    <col min="5" max="5" width="7" bestFit="1" customWidth="1"/>
    <col min="6" max="6" width="7.42578125" bestFit="1" customWidth="1"/>
    <col min="7" max="7" width="8.5703125" customWidth="1"/>
    <col min="9" max="9" width="30.42578125" bestFit="1" customWidth="1"/>
    <col min="10" max="10" width="10.140625" bestFit="1" customWidth="1"/>
    <col min="12" max="12" width="8.42578125" customWidth="1"/>
    <col min="13" max="13" width="36.42578125" bestFit="1" customWidth="1"/>
    <col min="14" max="14" width="7.42578125" bestFit="1" customWidth="1"/>
    <col min="16" max="16" width="10.5703125" customWidth="1"/>
    <col min="17" max="17" width="22.5703125" bestFit="1" customWidth="1"/>
    <col min="18" max="18" width="7.28515625" bestFit="1" customWidth="1"/>
    <col min="19" max="19" width="5.28515625" customWidth="1"/>
    <col min="21" max="21" width="25.85546875" bestFit="1" customWidth="1"/>
    <col min="22" max="22" width="5.42578125" bestFit="1" customWidth="1"/>
    <col min="23" max="23" width="5.5703125" customWidth="1"/>
    <col min="24" max="24" width="4.7109375" customWidth="1"/>
    <col min="25" max="25" width="11.28515625" bestFit="1" customWidth="1"/>
    <col min="26" max="26" width="2.5703125" bestFit="1" customWidth="1"/>
    <col min="27" max="27" width="6.42578125" bestFit="1" customWidth="1"/>
    <col min="28" max="28" width="5.7109375" customWidth="1"/>
    <col min="29" max="29" width="17.28515625" bestFit="1" customWidth="1"/>
    <col min="30" max="30" width="6.42578125" bestFit="1" customWidth="1"/>
    <col min="33" max="33" width="19.140625" customWidth="1"/>
    <col min="34" max="34" width="6.5703125" bestFit="1" customWidth="1"/>
    <col min="37" max="37" width="12" bestFit="1" customWidth="1"/>
    <col min="38" max="38" width="2.85546875" bestFit="1" customWidth="1"/>
  </cols>
  <sheetData>
    <row r="1" spans="2:40">
      <c r="I1" s="48"/>
    </row>
    <row r="2" spans="2:40" ht="26.25">
      <c r="B2" s="176" t="s">
        <v>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2:40">
      <c r="I3" s="48"/>
    </row>
    <row r="4" spans="2:40">
      <c r="M4" s="179" t="s">
        <v>1</v>
      </c>
      <c r="N4" s="180"/>
      <c r="Q4" s="161"/>
      <c r="R4" s="161"/>
    </row>
    <row r="5" spans="2:40" ht="21">
      <c r="B5" s="140"/>
      <c r="C5" s="140"/>
      <c r="D5" s="140"/>
      <c r="E5" s="140"/>
      <c r="F5" s="140"/>
      <c r="G5" s="140"/>
      <c r="M5" s="55">
        <f>M44*3.6*D53</f>
        <v>21728.133365423982</v>
      </c>
      <c r="N5" s="56" t="s">
        <v>2</v>
      </c>
      <c r="Q5" s="74"/>
      <c r="R5" s="48"/>
      <c r="T5" s="147"/>
      <c r="U5" s="147"/>
      <c r="V5" s="70"/>
    </row>
    <row r="6" spans="2:40">
      <c r="M6" s="70"/>
      <c r="Q6" s="70"/>
    </row>
    <row r="7" spans="2:40"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U7" s="70"/>
      <c r="V7" s="48"/>
      <c r="AN7" s="70"/>
    </row>
    <row r="8" spans="2:40">
      <c r="E8" s="48"/>
      <c r="F8" s="48"/>
      <c r="G8" s="48"/>
      <c r="H8" s="48"/>
      <c r="I8" s="48"/>
      <c r="J8" s="48"/>
      <c r="K8" s="48"/>
      <c r="L8" s="48"/>
      <c r="M8" s="179" t="s">
        <v>3</v>
      </c>
      <c r="N8" s="180"/>
      <c r="O8" s="48"/>
      <c r="P8" s="48"/>
      <c r="Q8" s="179" t="s">
        <v>4</v>
      </c>
      <c r="R8" s="180"/>
      <c r="S8" s="48"/>
      <c r="T8" s="48"/>
      <c r="U8" s="48"/>
      <c r="V8" s="48"/>
      <c r="AC8" s="37" t="s">
        <v>5</v>
      </c>
      <c r="AD8" s="38"/>
    </row>
    <row r="9" spans="2:40">
      <c r="E9" s="48"/>
      <c r="F9" s="48"/>
      <c r="G9" s="48"/>
      <c r="H9" s="48"/>
      <c r="I9" s="70"/>
      <c r="J9" s="48"/>
      <c r="K9" s="48"/>
      <c r="L9" s="48"/>
      <c r="M9" s="55">
        <f>862.4*9.80665*Q9</f>
        <v>3212.9269196115979</v>
      </c>
      <c r="N9" s="56" t="s">
        <v>6</v>
      </c>
      <c r="O9" s="48"/>
      <c r="P9" s="48"/>
      <c r="Q9" s="55">
        <f>D43+D62</f>
        <v>0.37990186352518318</v>
      </c>
      <c r="R9" s="56" t="s">
        <v>7</v>
      </c>
      <c r="S9" s="48"/>
      <c r="T9" s="48"/>
      <c r="U9" s="48"/>
      <c r="V9" s="48"/>
      <c r="AC9" s="121">
        <f>D50</f>
        <v>1200</v>
      </c>
      <c r="AD9" s="39"/>
    </row>
    <row r="10" spans="2:40"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2:40"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2:40">
      <c r="E12" s="48"/>
      <c r="F12" s="48"/>
      <c r="G12" s="48"/>
      <c r="H12" s="48"/>
      <c r="I12" s="70"/>
      <c r="J12" s="48"/>
      <c r="K12" s="48"/>
      <c r="L12" s="48"/>
      <c r="M12" s="179" t="s">
        <v>8</v>
      </c>
      <c r="N12" s="180"/>
      <c r="O12" s="48"/>
      <c r="P12" s="48"/>
      <c r="Q12" s="179" t="s">
        <v>9</v>
      </c>
      <c r="R12" s="180"/>
      <c r="S12" s="48"/>
      <c r="T12" s="48"/>
      <c r="U12" s="184" t="s">
        <v>10</v>
      </c>
      <c r="V12" s="185"/>
      <c r="AC12" s="179" t="s">
        <v>11</v>
      </c>
      <c r="AD12" s="180"/>
      <c r="AG12" s="161"/>
      <c r="AH12" s="161"/>
    </row>
    <row r="13" spans="2:40">
      <c r="E13" s="48"/>
      <c r="F13" s="48"/>
      <c r="G13" s="48"/>
      <c r="H13" s="48"/>
      <c r="J13" s="48"/>
      <c r="K13" s="48"/>
      <c r="L13" s="48"/>
      <c r="M13" s="64">
        <f>Q13*M39</f>
        <v>388.29327916246876</v>
      </c>
      <c r="N13" s="56" t="s">
        <v>12</v>
      </c>
      <c r="O13" s="48"/>
      <c r="P13" s="48"/>
      <c r="Q13" s="55">
        <f>U13*U21*U17</f>
        <v>2.4701770386433616E-4</v>
      </c>
      <c r="R13" s="56" t="s">
        <v>12</v>
      </c>
      <c r="S13" s="48"/>
      <c r="T13" s="48"/>
      <c r="U13" s="95">
        <f>D42</f>
        <v>1</v>
      </c>
      <c r="V13" s="73" t="s">
        <v>7</v>
      </c>
      <c r="AC13" s="55">
        <f xml:space="preserve"> (((0.00000000001856*EXP((4209/(AK25+273))+(0.04527*(AK25+273))+(-0.00003376*(AK25+273)^2)))/  (( 1 - (AK25+288.9414)/(508929 * (AK25+68.12963)) * (AK25-3.9863)^2)))*2.5)/ (1*10^6)</f>
        <v>4.1169617310722691E-7</v>
      </c>
      <c r="AD13" s="56" t="s">
        <v>13</v>
      </c>
      <c r="AG13" s="116"/>
      <c r="AH13" s="48"/>
    </row>
    <row r="14" spans="2:40">
      <c r="B14" s="2" t="s">
        <v>14</v>
      </c>
      <c r="C14" s="3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63"/>
      <c r="R14" s="48"/>
      <c r="S14" s="48"/>
      <c r="T14" s="48"/>
      <c r="U14" s="48"/>
      <c r="V14" s="48"/>
    </row>
    <row r="15" spans="2:40">
      <c r="B15" s="65">
        <f>E21+E35</f>
        <v>1.4208232558253737</v>
      </c>
      <c r="C15" s="1" t="s">
        <v>15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2:40">
      <c r="E16" s="48"/>
      <c r="F16" s="48"/>
      <c r="G16" s="48"/>
      <c r="H16" s="48"/>
      <c r="I16" s="58" t="s">
        <v>16</v>
      </c>
      <c r="J16" s="59"/>
      <c r="K16" s="48"/>
      <c r="L16" s="48"/>
      <c r="M16" s="179" t="s">
        <v>17</v>
      </c>
      <c r="N16" s="180"/>
      <c r="O16" s="48"/>
      <c r="P16" s="48"/>
      <c r="Q16" s="161"/>
      <c r="R16" s="161"/>
      <c r="S16" s="48"/>
      <c r="T16" s="48"/>
      <c r="U16" s="179" t="s">
        <v>18</v>
      </c>
      <c r="V16" s="180"/>
      <c r="AC16" s="179" t="s">
        <v>19</v>
      </c>
      <c r="AD16" s="180"/>
      <c r="AG16" s="161"/>
      <c r="AH16" s="161"/>
    </row>
    <row r="17" spans="5:38">
      <c r="E17" s="48"/>
      <c r="F17" s="48"/>
      <c r="G17" s="48"/>
      <c r="H17" s="48"/>
      <c r="I17" s="64">
        <f>((M9*M13)/(M17/100)/1000 ) / M5</f>
        <v>6.379634429315488E-2</v>
      </c>
      <c r="J17" s="56" t="s">
        <v>20</v>
      </c>
      <c r="K17" s="48"/>
      <c r="L17" s="48"/>
      <c r="M17" s="41">
        <v>90</v>
      </c>
      <c r="N17" s="56" t="s">
        <v>21</v>
      </c>
      <c r="O17" s="48"/>
      <c r="P17" s="48"/>
      <c r="Q17" s="60"/>
      <c r="R17" s="48"/>
      <c r="S17" s="48"/>
      <c r="T17" s="48"/>
      <c r="U17" s="143">
        <f>(AC9*AC13)/(AC17)</f>
        <v>2.0584808655361345E-2</v>
      </c>
      <c r="V17" s="56" t="s">
        <v>22</v>
      </c>
      <c r="AC17" s="55">
        <f>2*U21</f>
        <v>2.4E-2</v>
      </c>
      <c r="AD17" s="56" t="s">
        <v>7</v>
      </c>
      <c r="AG17" s="116"/>
      <c r="AH17" s="48"/>
    </row>
    <row r="18" spans="5:38"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5:38"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5:38">
      <c r="E20" s="58" t="s">
        <v>23</v>
      </c>
      <c r="F20" s="59"/>
      <c r="G20" s="48"/>
      <c r="H20" s="48"/>
      <c r="I20" s="58" t="s">
        <v>24</v>
      </c>
      <c r="J20" s="59"/>
      <c r="K20" s="48"/>
      <c r="L20" s="48"/>
      <c r="M20" s="35" t="s">
        <v>25</v>
      </c>
      <c r="N20" s="36"/>
      <c r="O20" s="48"/>
      <c r="P20" s="48"/>
      <c r="Q20" s="48"/>
      <c r="R20" s="48"/>
      <c r="S20" s="48"/>
      <c r="T20" s="48"/>
      <c r="U20" s="174" t="s">
        <v>26</v>
      </c>
      <c r="V20" s="175"/>
    </row>
    <row r="21" spans="5:38">
      <c r="E21" s="144">
        <f>(I17+I21)*I25</f>
        <v>0.98322172035370548</v>
      </c>
      <c r="F21" s="56" t="s">
        <v>15</v>
      </c>
      <c r="G21" s="48"/>
      <c r="H21" s="48"/>
      <c r="I21" s="41">
        <f>1000000/M5</f>
        <v>46.02328157610178</v>
      </c>
      <c r="J21" s="56" t="s">
        <v>20</v>
      </c>
      <c r="K21" s="48"/>
      <c r="L21" s="48"/>
      <c r="M21" s="4" t="s">
        <v>27</v>
      </c>
      <c r="N21" s="5"/>
      <c r="O21" s="48"/>
      <c r="P21" s="48"/>
      <c r="Q21" s="48"/>
      <c r="R21" s="48"/>
      <c r="S21" s="48"/>
      <c r="T21" s="48"/>
      <c r="U21" s="128">
        <f>D41</f>
        <v>1.2E-2</v>
      </c>
      <c r="V21" s="57" t="s">
        <v>7</v>
      </c>
    </row>
    <row r="22" spans="5:38">
      <c r="M22" s="4">
        <v>39</v>
      </c>
      <c r="N22" s="5" t="s">
        <v>28</v>
      </c>
    </row>
    <row r="23" spans="5:38">
      <c r="I23" s="54"/>
      <c r="J23" s="54"/>
    </row>
    <row r="24" spans="5:38">
      <c r="I24" s="135" t="s">
        <v>29</v>
      </c>
      <c r="J24" s="136"/>
      <c r="M24" s="6" t="s">
        <v>30</v>
      </c>
      <c r="N24" s="7"/>
      <c r="Q24" s="37" t="s">
        <v>31</v>
      </c>
      <c r="R24" s="38"/>
      <c r="AC24" s="6" t="s">
        <v>32</v>
      </c>
      <c r="AD24" s="7"/>
      <c r="AG24" s="6" t="s">
        <v>33</v>
      </c>
      <c r="AH24" s="7"/>
      <c r="AK24" s="37" t="s">
        <v>34</v>
      </c>
      <c r="AL24" s="38"/>
    </row>
    <row r="25" spans="5:38">
      <c r="I25" s="139">
        <f>D65</f>
        <v>2.1333999999999999E-2</v>
      </c>
      <c r="J25" s="137" t="s">
        <v>35</v>
      </c>
      <c r="M25" s="40">
        <f>Q29/Q25</f>
        <v>0.85508295326321981</v>
      </c>
      <c r="N25" s="34" t="s">
        <v>36</v>
      </c>
      <c r="Q25" s="138">
        <f>1.48+AC25+AC29</f>
        <v>1.7308262249316673</v>
      </c>
      <c r="R25" s="39" t="s">
        <v>37</v>
      </c>
      <c r="T25" s="33"/>
      <c r="AC25" s="4">
        <f>U21/AG25*Q43</f>
        <v>0.20287680783633721</v>
      </c>
      <c r="AD25" s="5" t="s">
        <v>37</v>
      </c>
      <c r="AG25" s="4">
        <f>(-0.000000215*AK25^3+0.0000644*AK25^2+0.007675*AK25+0.329863)*100</f>
        <v>272.08629999999999</v>
      </c>
      <c r="AH25" s="5" t="s">
        <v>38</v>
      </c>
      <c r="AK25" s="76">
        <f>D49</f>
        <v>200</v>
      </c>
      <c r="AL25" s="72" t="s">
        <v>39</v>
      </c>
    </row>
    <row r="26" spans="5:38">
      <c r="M26" s="11"/>
      <c r="N26" s="11"/>
      <c r="AK26" s="11"/>
      <c r="AL26" s="11"/>
    </row>
    <row r="28" spans="5:38">
      <c r="Q28" s="6" t="s">
        <v>40</v>
      </c>
      <c r="R28" s="7"/>
      <c r="AC28" s="6" t="s">
        <v>41</v>
      </c>
      <c r="AD28" s="7"/>
      <c r="AG28" s="6" t="s">
        <v>42</v>
      </c>
      <c r="AH28" s="7"/>
    </row>
    <row r="29" spans="5:38">
      <c r="Q29" s="4">
        <v>1.48</v>
      </c>
      <c r="R29" s="5" t="s">
        <v>37</v>
      </c>
      <c r="AC29" s="4">
        <f>AG29*(LOG10(Q43/AG33)+LOG10(Q43/AG37))</f>
        <v>4.7949417095330009E-2</v>
      </c>
      <c r="AD29" s="5" t="s">
        <v>37</v>
      </c>
      <c r="AG29" s="4">
        <f>0.0001*(AK25+273.15)</f>
        <v>4.7315000000000003E-2</v>
      </c>
      <c r="AH29" s="5" t="s">
        <v>43</v>
      </c>
    </row>
    <row r="32" spans="5:38">
      <c r="AG32" s="6" t="s">
        <v>44</v>
      </c>
      <c r="AH32" s="7"/>
    </row>
    <row r="33" spans="2:34">
      <c r="AG33" s="4">
        <f>(0.0008*EXP(-30000/8.31446*(1/(AK25+273.15)-1/298.15)))*10000</f>
        <v>703.07051910816961</v>
      </c>
      <c r="AH33" s="5" t="s">
        <v>45</v>
      </c>
    </row>
    <row r="34" spans="2:34">
      <c r="E34" s="8" t="s">
        <v>46</v>
      </c>
      <c r="F34" s="9"/>
      <c r="I34" s="8" t="s">
        <v>47</v>
      </c>
      <c r="J34" s="9"/>
      <c r="M34" s="172" t="s">
        <v>48</v>
      </c>
      <c r="N34" s="173"/>
      <c r="Q34" s="19" t="s">
        <v>49</v>
      </c>
      <c r="R34" s="20"/>
      <c r="S34" s="18"/>
    </row>
    <row r="35" spans="2:34">
      <c r="E35" s="126">
        <f>(I50*I54)/(I44*I35)</f>
        <v>0.43760153547166813</v>
      </c>
      <c r="F35" s="10" t="s">
        <v>15</v>
      </c>
      <c r="I35" s="146">
        <v>30</v>
      </c>
      <c r="J35" s="10" t="s">
        <v>50</v>
      </c>
      <c r="M35" s="75">
        <f xml:space="preserve"> 45/0.04*D65</f>
        <v>24.00075</v>
      </c>
      <c r="N35" s="21" t="s">
        <v>21</v>
      </c>
      <c r="Q35" s="75">
        <v>96485.332120000006</v>
      </c>
      <c r="R35" s="21" t="s">
        <v>51</v>
      </c>
      <c r="S35" s="18"/>
    </row>
    <row r="36" spans="2:34">
      <c r="Q36" s="18"/>
      <c r="R36" s="18"/>
      <c r="S36" s="18"/>
      <c r="AG36" s="6" t="s">
        <v>52</v>
      </c>
      <c r="AH36" s="7"/>
    </row>
    <row r="37" spans="2:34">
      <c r="Q37" s="18"/>
      <c r="R37" s="18"/>
      <c r="S37" s="18"/>
      <c r="AG37" s="4">
        <f>(0.00000000232*EXP(-125000/8.31446*(1/(AK25+273.15)-1/298.15)))*10000</f>
        <v>2918.1553239961768</v>
      </c>
      <c r="AH37" s="5" t="s">
        <v>45</v>
      </c>
    </row>
    <row r="38" spans="2:34">
      <c r="M38" s="46" t="s">
        <v>53</v>
      </c>
      <c r="N38" s="47"/>
      <c r="Q38" s="19" t="s">
        <v>54</v>
      </c>
      <c r="R38" s="20"/>
      <c r="S38" s="18"/>
      <c r="Y38" s="6" t="s">
        <v>55</v>
      </c>
      <c r="Z38" s="7"/>
    </row>
    <row r="39" spans="2:34">
      <c r="I39" s="48"/>
      <c r="L39" s="33"/>
      <c r="M39" s="68">
        <f>D53</f>
        <v>1571924.8988555174</v>
      </c>
      <c r="N39" s="67" t="s">
        <v>56</v>
      </c>
      <c r="Q39" s="75">
        <v>2.0158800000000001</v>
      </c>
      <c r="R39" s="21" t="s">
        <v>57</v>
      </c>
      <c r="S39" s="18"/>
      <c r="Y39" s="118">
        <f>(0.5733*U21*0.5)</f>
        <v>3.4398000000000002E-3</v>
      </c>
      <c r="Z39" s="5" t="s">
        <v>7</v>
      </c>
    </row>
    <row r="40" spans="2:34">
      <c r="B40" s="162" t="s">
        <v>58</v>
      </c>
      <c r="C40" s="163"/>
      <c r="D40" s="163"/>
      <c r="E40" s="164"/>
      <c r="Q40" s="18"/>
      <c r="R40" s="18"/>
      <c r="S40" s="18"/>
    </row>
    <row r="41" spans="2:34">
      <c r="B41" s="150" t="s">
        <v>59</v>
      </c>
      <c r="C41" s="151"/>
      <c r="D41" s="131">
        <v>1.2E-2</v>
      </c>
      <c r="E41" s="132" t="s">
        <v>7</v>
      </c>
      <c r="Q41" s="18"/>
      <c r="R41" s="18"/>
      <c r="S41" s="18"/>
    </row>
    <row r="42" spans="2:34">
      <c r="B42" s="150" t="s">
        <v>60</v>
      </c>
      <c r="C42" s="151"/>
      <c r="D42" s="131">
        <v>1</v>
      </c>
      <c r="E42" s="132" t="s">
        <v>7</v>
      </c>
      <c r="M42" s="49"/>
      <c r="N42" s="49"/>
      <c r="Q42" s="42" t="s">
        <v>61</v>
      </c>
      <c r="R42" s="43"/>
      <c r="S42" s="18"/>
    </row>
    <row r="43" spans="2:34">
      <c r="B43" s="159" t="s">
        <v>62</v>
      </c>
      <c r="C43" s="160"/>
      <c r="D43" s="123">
        <f>U46</f>
        <v>7.9901863525183192E-2</v>
      </c>
      <c r="E43" s="114" t="s">
        <v>7</v>
      </c>
      <c r="I43" s="8" t="s">
        <v>63</v>
      </c>
      <c r="J43" s="9"/>
      <c r="M43" s="19" t="s">
        <v>64</v>
      </c>
      <c r="N43" s="20"/>
      <c r="Q43" s="44">
        <f>D48</f>
        <v>4600</v>
      </c>
      <c r="R43" s="45" t="s">
        <v>45</v>
      </c>
      <c r="S43" s="18"/>
    </row>
    <row r="44" spans="2:34">
      <c r="B44" s="159" t="s">
        <v>65</v>
      </c>
      <c r="C44" s="160"/>
      <c r="D44" s="113">
        <f xml:space="preserve"> D42*D43</f>
        <v>7.9901863525183192E-2</v>
      </c>
      <c r="E44" s="114" t="s">
        <v>66</v>
      </c>
      <c r="I44" s="196">
        <f>(((M39*3.6)*M44)*24*365)*(M35/100)</f>
        <v>45682655.125829488</v>
      </c>
      <c r="J44" s="10" t="s">
        <v>67</v>
      </c>
      <c r="M44" s="75">
        <f xml:space="preserve"> ((Q43*Q46) / ((2*Q35)))*Q39</f>
        <v>3.8396189321137663E-3</v>
      </c>
      <c r="N44" s="21" t="s">
        <v>68</v>
      </c>
      <c r="Q44" s="18"/>
      <c r="R44" s="18"/>
      <c r="S44" s="18"/>
    </row>
    <row r="45" spans="2:34">
      <c r="B45" s="133"/>
      <c r="C45" s="113"/>
      <c r="D45" s="113"/>
      <c r="E45" s="114"/>
      <c r="Q45" s="61" t="s">
        <v>65</v>
      </c>
      <c r="R45" s="62"/>
      <c r="S45" s="18"/>
      <c r="U45" s="61" t="s">
        <v>69</v>
      </c>
      <c r="V45" s="62"/>
    </row>
    <row r="46" spans="2:34">
      <c r="B46" s="165" t="s">
        <v>70</v>
      </c>
      <c r="C46" s="166"/>
      <c r="D46" s="166"/>
      <c r="E46" s="167"/>
      <c r="Q46" s="61">
        <f>U46*U50</f>
        <v>7.9901863525183192E-2</v>
      </c>
      <c r="R46" s="62" t="s">
        <v>66</v>
      </c>
      <c r="S46" s="18"/>
      <c r="U46" s="129">
        <f>((((Y39*1000 - 0.00879)/223)^(1/0.47))*55500*U17*U21*2*Q35)/Q43</f>
        <v>7.9901863525183192E-2</v>
      </c>
      <c r="V46" s="62" t="s">
        <v>7</v>
      </c>
      <c r="AC46" s="145"/>
    </row>
    <row r="47" spans="2:34">
      <c r="B47" s="159" t="s">
        <v>31</v>
      </c>
      <c r="C47" s="160"/>
      <c r="D47" s="125">
        <f>Q25</f>
        <v>1.7308262249316673</v>
      </c>
      <c r="E47" s="114" t="s">
        <v>37</v>
      </c>
      <c r="Q47" s="18"/>
      <c r="R47" s="18"/>
      <c r="S47" s="18"/>
    </row>
    <row r="48" spans="2:34">
      <c r="B48" s="150" t="s">
        <v>71</v>
      </c>
      <c r="C48" s="151"/>
      <c r="D48" s="131">
        <v>4600</v>
      </c>
      <c r="E48" s="132" t="s">
        <v>45</v>
      </c>
      <c r="Q48" s="18"/>
      <c r="R48" s="18"/>
      <c r="S48" s="18"/>
    </row>
    <row r="49" spans="2:40">
      <c r="B49" s="150" t="s">
        <v>34</v>
      </c>
      <c r="C49" s="151"/>
      <c r="D49" s="131">
        <v>200</v>
      </c>
      <c r="E49" s="132" t="s">
        <v>39</v>
      </c>
      <c r="I49" s="17" t="s">
        <v>72</v>
      </c>
      <c r="J49" s="50"/>
      <c r="M49" s="17" t="s">
        <v>73</v>
      </c>
      <c r="N49" s="16"/>
      <c r="O49" s="12"/>
      <c r="P49" s="12"/>
      <c r="Q49" s="12"/>
      <c r="R49" s="12"/>
      <c r="S49" s="12"/>
      <c r="T49" s="12"/>
      <c r="U49" s="61" t="s">
        <v>74</v>
      </c>
      <c r="V49" s="62"/>
      <c r="W49" s="12"/>
      <c r="X49" s="12"/>
      <c r="AG49" s="122"/>
      <c r="AJ49" s="122"/>
      <c r="AN49" s="122"/>
    </row>
    <row r="50" spans="2:40">
      <c r="B50" s="150" t="s">
        <v>5</v>
      </c>
      <c r="C50" s="151"/>
      <c r="D50" s="131">
        <v>1200</v>
      </c>
      <c r="E50" s="132"/>
      <c r="I50" s="51">
        <f>M50+M54</f>
        <v>599.72400082456966</v>
      </c>
      <c r="J50" s="14" t="s">
        <v>75</v>
      </c>
      <c r="M50" s="52">
        <v>120</v>
      </c>
      <c r="N50" s="14" t="s">
        <v>75</v>
      </c>
      <c r="O50" s="12"/>
      <c r="P50" s="12"/>
      <c r="Q50" s="12"/>
      <c r="R50" s="12"/>
      <c r="S50" s="12"/>
      <c r="T50" s="12"/>
      <c r="U50" s="61">
        <f>D42</f>
        <v>1</v>
      </c>
      <c r="V50" s="62" t="s">
        <v>7</v>
      </c>
      <c r="W50" s="12"/>
      <c r="X50" s="12"/>
      <c r="Y50" s="27"/>
    </row>
    <row r="51" spans="2:40">
      <c r="B51" s="168" t="s">
        <v>76</v>
      </c>
      <c r="C51" s="169"/>
      <c r="D51" s="169"/>
      <c r="E51" s="170"/>
      <c r="I51" s="13"/>
      <c r="J51" s="12"/>
      <c r="M51" s="15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D51" s="12"/>
    </row>
    <row r="52" spans="2:40">
      <c r="B52" s="159" t="s">
        <v>65</v>
      </c>
      <c r="C52" s="160"/>
      <c r="D52" s="123">
        <f>D42*D43</f>
        <v>7.9901863525183192E-2</v>
      </c>
      <c r="E52" s="114" t="s">
        <v>66</v>
      </c>
      <c r="I52" s="12" t="s">
        <v>77</v>
      </c>
      <c r="J52" s="12" t="s">
        <v>77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2:40">
      <c r="B53" s="171" t="s">
        <v>78</v>
      </c>
      <c r="C53" s="160"/>
      <c r="D53" s="123">
        <f>1*10^9/(D44*D47*D48)</f>
        <v>1571924.8988555174</v>
      </c>
      <c r="E53" s="114" t="s">
        <v>56</v>
      </c>
      <c r="I53" s="17" t="s">
        <v>79</v>
      </c>
      <c r="J53" s="50"/>
      <c r="M53" s="22" t="s">
        <v>80</v>
      </c>
      <c r="N53" s="69"/>
      <c r="O53" s="12"/>
      <c r="P53" s="12"/>
      <c r="Q53" s="22" t="s">
        <v>81</v>
      </c>
      <c r="R53" s="69"/>
      <c r="S53" s="12"/>
      <c r="T53" s="12"/>
      <c r="U53" s="22" t="s">
        <v>82</v>
      </c>
      <c r="V53" s="69"/>
      <c r="W53" s="12"/>
      <c r="X53" s="12"/>
    </row>
    <row r="54" spans="2:40">
      <c r="B54" s="150" t="s">
        <v>83</v>
      </c>
      <c r="C54" s="151"/>
      <c r="D54" s="131">
        <f>ROUNDUP(250000/(D47*D48*D44),1)</f>
        <v>393</v>
      </c>
      <c r="E54" s="132" t="s">
        <v>56</v>
      </c>
      <c r="I54" s="66">
        <f>10^6</f>
        <v>1000000</v>
      </c>
      <c r="J54" s="14" t="s">
        <v>84</v>
      </c>
      <c r="M54" s="141">
        <f>(Q54/(100-Q58-Q63))*100</f>
        <v>479.7240008245696</v>
      </c>
      <c r="N54" s="14" t="s">
        <v>75</v>
      </c>
      <c r="O54" s="12"/>
      <c r="P54" s="28"/>
      <c r="Q54" s="25">
        <f>U54+U58+U63+U68</f>
        <v>191.88960032982786</v>
      </c>
      <c r="R54" s="14" t="s">
        <v>75</v>
      </c>
      <c r="S54" s="12"/>
      <c r="T54" s="12"/>
      <c r="U54" s="142">
        <v>18</v>
      </c>
      <c r="V54" s="14" t="s">
        <v>75</v>
      </c>
      <c r="W54" s="12"/>
      <c r="X54" s="12"/>
      <c r="Y54" s="29"/>
      <c r="AG54" s="122"/>
    </row>
    <row r="55" spans="2:40">
      <c r="B55" s="159" t="s">
        <v>85</v>
      </c>
      <c r="C55" s="160"/>
      <c r="D55" s="123">
        <f>D53/D54</f>
        <v>3999.8089029402477</v>
      </c>
      <c r="E55" s="114" t="s">
        <v>56</v>
      </c>
      <c r="I55" s="12"/>
      <c r="J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D55" s="12"/>
    </row>
    <row r="56" spans="2:40">
      <c r="B56" s="156" t="s">
        <v>86</v>
      </c>
      <c r="C56" s="157"/>
      <c r="D56" s="157"/>
      <c r="E56" s="158"/>
      <c r="I56" s="12"/>
      <c r="J56" s="12"/>
      <c r="M56" s="12"/>
      <c r="N56" s="12"/>
      <c r="O56" s="12"/>
      <c r="P56" s="12"/>
      <c r="Q56" s="12"/>
      <c r="R56" s="12"/>
      <c r="S56" s="12"/>
      <c r="T56" s="12"/>
      <c r="U56" s="26"/>
      <c r="V56" s="26"/>
      <c r="W56" s="12"/>
      <c r="X56" s="12"/>
    </row>
    <row r="57" spans="2:40">
      <c r="B57" s="159" t="s">
        <v>87</v>
      </c>
      <c r="C57" s="160"/>
      <c r="D57" s="154">
        <f>D44/D58</f>
        <v>0.18296826378207542</v>
      </c>
      <c r="E57" s="155"/>
      <c r="M57" s="23"/>
      <c r="N57" s="12"/>
      <c r="O57" s="12"/>
      <c r="P57" s="12"/>
      <c r="Q57" s="22" t="s">
        <v>88</v>
      </c>
      <c r="R57" s="69"/>
      <c r="S57" s="12"/>
      <c r="T57" s="12"/>
      <c r="U57" s="52" t="s">
        <v>89</v>
      </c>
      <c r="V57" s="53"/>
      <c r="W57" s="12"/>
      <c r="X57" s="12"/>
      <c r="Y57" s="148" t="s">
        <v>90</v>
      </c>
      <c r="Z57" s="148"/>
      <c r="AA57" s="148"/>
      <c r="AC57" s="8" t="s">
        <v>91</v>
      </c>
      <c r="AD57" s="9"/>
    </row>
    <row r="58" spans="2:40">
      <c r="B58" s="159" t="s">
        <v>92</v>
      </c>
      <c r="C58" s="160"/>
      <c r="D58" s="123">
        <f>D59*D60</f>
        <v>0.43669793806619056</v>
      </c>
      <c r="E58" s="114" t="s">
        <v>66</v>
      </c>
      <c r="M58" s="12"/>
      <c r="N58" s="12"/>
      <c r="O58" s="12"/>
      <c r="P58" s="30"/>
      <c r="Q58" s="25">
        <v>40</v>
      </c>
      <c r="R58" s="14" t="s">
        <v>21</v>
      </c>
      <c r="S58" s="12"/>
      <c r="T58" s="12"/>
      <c r="U58" s="25">
        <f>Y58*1000/(Q25*Q43)</f>
        <v>143.88960032982786</v>
      </c>
      <c r="V58" s="14" t="s">
        <v>75</v>
      </c>
      <c r="W58" s="12"/>
      <c r="X58" s="12"/>
      <c r="Y58" s="149">
        <f>AC58+AC62+AC66+AC70</f>
        <v>1145.6203112306907</v>
      </c>
      <c r="Z58" s="149"/>
      <c r="AA58" s="127" t="s">
        <v>93</v>
      </c>
      <c r="AC58" s="130">
        <f>32/D57</f>
        <v>174.89371838885481</v>
      </c>
      <c r="AD58" s="10" t="s">
        <v>93</v>
      </c>
      <c r="AG58" s="122"/>
    </row>
    <row r="59" spans="2:40">
      <c r="B59" s="159" t="s">
        <v>62</v>
      </c>
      <c r="C59" s="160"/>
      <c r="D59" s="125">
        <f>D43+2*D63+D62</f>
        <v>0.41990186352518322</v>
      </c>
      <c r="E59" s="114" t="s">
        <v>7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N59" s="122"/>
    </row>
    <row r="60" spans="2:40">
      <c r="B60" s="159" t="s">
        <v>60</v>
      </c>
      <c r="C60" s="160"/>
      <c r="D60" s="113">
        <f>D42+2*D63</f>
        <v>1.04</v>
      </c>
      <c r="E60" s="114" t="s">
        <v>7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40">
      <c r="B61" s="197" t="s">
        <v>94</v>
      </c>
      <c r="C61" s="198"/>
      <c r="D61" s="113">
        <v>1.4999999999999999E-2</v>
      </c>
      <c r="E61" s="114" t="s">
        <v>7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8" t="s">
        <v>95</v>
      </c>
      <c r="AD61" s="9"/>
    </row>
    <row r="62" spans="2:40">
      <c r="B62" s="150" t="s">
        <v>96</v>
      </c>
      <c r="C62" s="151"/>
      <c r="D62" s="131">
        <f>(0.05 * 1000 * 2 * D41) *0.25</f>
        <v>0.3</v>
      </c>
      <c r="E62" s="132" t="s">
        <v>7</v>
      </c>
      <c r="M62" s="15"/>
      <c r="N62" s="12"/>
      <c r="O62" s="12"/>
      <c r="P62" s="12"/>
      <c r="Q62" s="22" t="s">
        <v>97</v>
      </c>
      <c r="R62" s="69"/>
      <c r="S62" s="12"/>
      <c r="T62" s="12"/>
      <c r="U62" s="17" t="s">
        <v>98</v>
      </c>
      <c r="V62" s="16"/>
      <c r="W62" s="12"/>
      <c r="X62" s="12"/>
      <c r="AC62" s="130">
        <v>58</v>
      </c>
      <c r="AD62" s="10" t="s">
        <v>93</v>
      </c>
    </row>
    <row r="63" spans="2:40">
      <c r="B63" s="152" t="s">
        <v>99</v>
      </c>
      <c r="C63" s="153"/>
      <c r="D63" s="120">
        <v>0.02</v>
      </c>
      <c r="E63" s="124" t="s">
        <v>7</v>
      </c>
      <c r="M63" s="12"/>
      <c r="N63" s="12"/>
      <c r="O63" s="12"/>
      <c r="P63" s="30"/>
      <c r="Q63" s="25">
        <v>20</v>
      </c>
      <c r="R63" s="14" t="s">
        <v>21</v>
      </c>
      <c r="S63" s="12"/>
      <c r="T63" s="12"/>
      <c r="U63" s="52">
        <v>12</v>
      </c>
      <c r="V63" s="14" t="s">
        <v>75</v>
      </c>
      <c r="W63" s="12"/>
      <c r="X63" s="12"/>
      <c r="Y63" s="24"/>
      <c r="AG63" s="24"/>
    </row>
    <row r="64" spans="2:40">
      <c r="B64" s="181" t="s">
        <v>100</v>
      </c>
      <c r="C64" s="182"/>
      <c r="D64" s="182"/>
      <c r="E64" s="183"/>
      <c r="N64" s="12"/>
      <c r="O64" s="12"/>
      <c r="P64" s="30"/>
      <c r="Q64" s="30"/>
      <c r="R64" s="12"/>
      <c r="S64" s="12"/>
      <c r="T64" s="12"/>
      <c r="U64" s="15"/>
      <c r="V64" s="12"/>
      <c r="W64" s="12"/>
      <c r="X64" s="12"/>
      <c r="Y64" s="24"/>
      <c r="AC64" s="134"/>
      <c r="AG64" s="24"/>
    </row>
    <row r="65" spans="2:33">
      <c r="B65" s="199" t="s">
        <v>101</v>
      </c>
      <c r="C65" s="200"/>
      <c r="D65" s="201">
        <v>2.1333999999999999E-2</v>
      </c>
      <c r="E65" s="202" t="s">
        <v>35</v>
      </c>
      <c r="H65" s="210"/>
      <c r="I65" s="210"/>
      <c r="J65" s="210"/>
      <c r="M65" s="210"/>
      <c r="N65" s="210"/>
      <c r="O65" s="210"/>
      <c r="P65" s="210"/>
      <c r="Q65" s="30"/>
      <c r="R65" s="12"/>
      <c r="S65" s="12"/>
      <c r="T65" s="12"/>
      <c r="U65" s="15"/>
      <c r="V65" s="12"/>
      <c r="W65" s="12"/>
      <c r="X65" s="12"/>
      <c r="Y65" s="24"/>
      <c r="AC65" s="8" t="s">
        <v>102</v>
      </c>
      <c r="AD65" s="9"/>
      <c r="AG65" s="24"/>
    </row>
    <row r="66" spans="2:33">
      <c r="B66" s="204" t="s">
        <v>103</v>
      </c>
      <c r="C66" s="203"/>
      <c r="D66" s="203"/>
      <c r="E66" s="205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30">
        <f>37/D57</f>
        <v>202.22086188711336</v>
      </c>
      <c r="AD66" s="10" t="s">
        <v>93</v>
      </c>
    </row>
    <row r="67" spans="2:33">
      <c r="B67" s="206" t="s">
        <v>104</v>
      </c>
      <c r="C67" s="207"/>
      <c r="D67" s="208">
        <f xml:space="preserve"> ((((D54+1)*D61+0.5) *1.1 )* 2)/0.7</f>
        <v>20.145714285714291</v>
      </c>
      <c r="E67" s="209" t="s">
        <v>66</v>
      </c>
      <c r="I67" s="12"/>
      <c r="J67" s="12"/>
      <c r="M67" s="15"/>
      <c r="N67" s="12"/>
      <c r="O67" s="12"/>
      <c r="P67" s="12"/>
      <c r="Q67" s="12"/>
      <c r="R67" s="12"/>
      <c r="S67" s="12"/>
      <c r="T67" s="12"/>
      <c r="U67" s="17" t="s">
        <v>105</v>
      </c>
      <c r="V67" s="16"/>
      <c r="W67" s="12"/>
      <c r="X67" s="12"/>
    </row>
    <row r="68" spans="2:33">
      <c r="I68" s="12"/>
      <c r="J68" s="12"/>
      <c r="M68" s="12"/>
      <c r="N68" s="12"/>
      <c r="O68" s="12"/>
      <c r="P68" s="12"/>
      <c r="Q68" s="12"/>
      <c r="R68" s="12"/>
      <c r="S68" s="12"/>
      <c r="T68" s="12"/>
      <c r="U68" s="52">
        <v>18</v>
      </c>
      <c r="V68" s="14" t="s">
        <v>75</v>
      </c>
      <c r="W68" s="12"/>
      <c r="X68" s="12"/>
      <c r="Y68" s="24"/>
    </row>
    <row r="69" spans="2:33">
      <c r="I69" s="12"/>
      <c r="J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8" t="s">
        <v>106</v>
      </c>
      <c r="AD69" s="9"/>
      <c r="AG69" s="71"/>
    </row>
    <row r="70" spans="2:33">
      <c r="I70" s="12"/>
      <c r="J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6">
        <f>130/D57</f>
        <v>710.50573095472259</v>
      </c>
      <c r="AD70" s="10" t="s">
        <v>93</v>
      </c>
      <c r="AG70" s="71"/>
    </row>
    <row r="71" spans="2:33">
      <c r="I71" s="12"/>
      <c r="J71" s="12"/>
      <c r="M71" s="15"/>
      <c r="N71" s="12"/>
      <c r="O71" s="12"/>
      <c r="P71" s="12"/>
      <c r="Q71" s="12"/>
      <c r="R71" s="12"/>
      <c r="S71" s="12"/>
      <c r="T71" s="12"/>
      <c r="U71" s="15"/>
      <c r="V71" s="12"/>
      <c r="W71" s="12"/>
      <c r="X71" s="12"/>
      <c r="AG71" s="71"/>
    </row>
    <row r="75" spans="2:33">
      <c r="B75" s="71"/>
    </row>
    <row r="76" spans="2:33">
      <c r="AG76" s="24"/>
    </row>
    <row r="77" spans="2:33">
      <c r="C77" s="48"/>
      <c r="U77" s="70"/>
    </row>
    <row r="78" spans="2:33">
      <c r="U78" s="70"/>
    </row>
  </sheetData>
  <mergeCells count="50">
    <mergeCell ref="B61:C61"/>
    <mergeCell ref="B66:E66"/>
    <mergeCell ref="B67:C67"/>
    <mergeCell ref="B2:M2"/>
    <mergeCell ref="M65:P65"/>
    <mergeCell ref="AC12:AD12"/>
    <mergeCell ref="AC16:AD16"/>
    <mergeCell ref="B64:E64"/>
    <mergeCell ref="M4:N4"/>
    <mergeCell ref="T5:U5"/>
    <mergeCell ref="Q4:R4"/>
    <mergeCell ref="U16:V16"/>
    <mergeCell ref="M8:N8"/>
    <mergeCell ref="M12:N12"/>
    <mergeCell ref="Q12:R12"/>
    <mergeCell ref="U12:V12"/>
    <mergeCell ref="Q16:R16"/>
    <mergeCell ref="M16:N16"/>
    <mergeCell ref="Q8:R8"/>
    <mergeCell ref="AG12:AH12"/>
    <mergeCell ref="AG16:AH16"/>
    <mergeCell ref="B57:C57"/>
    <mergeCell ref="B40:E40"/>
    <mergeCell ref="B41:C41"/>
    <mergeCell ref="B42:C42"/>
    <mergeCell ref="B43:C43"/>
    <mergeCell ref="B44:C44"/>
    <mergeCell ref="B46:E46"/>
    <mergeCell ref="B47:C47"/>
    <mergeCell ref="B48:C48"/>
    <mergeCell ref="B51:E51"/>
    <mergeCell ref="B53:C53"/>
    <mergeCell ref="B52:C52"/>
    <mergeCell ref="M34:N34"/>
    <mergeCell ref="U20:V20"/>
    <mergeCell ref="H65:J65"/>
    <mergeCell ref="Y57:AA57"/>
    <mergeCell ref="Y58:Z58"/>
    <mergeCell ref="B49:C49"/>
    <mergeCell ref="B50:C50"/>
    <mergeCell ref="B63:C63"/>
    <mergeCell ref="D57:E57"/>
    <mergeCell ref="B56:E56"/>
    <mergeCell ref="B58:C58"/>
    <mergeCell ref="B62:C62"/>
    <mergeCell ref="B54:C54"/>
    <mergeCell ref="B55:C55"/>
    <mergeCell ref="B59:C59"/>
    <mergeCell ref="B60:C60"/>
    <mergeCell ref="B65:C65"/>
  </mergeCells>
  <conditionalFormatting sqref="F76:O81 D78:E83">
    <cfRule type="colorScale" priority="1">
      <colorScale>
        <cfvo type="min"/>
        <cfvo type="max"/>
        <color theme="9"/>
        <color rgb="FFFF0000"/>
      </colorScale>
    </cfRule>
    <cfRule type="colorScale" priority="2">
      <colorScale>
        <cfvo type="min"/>
        <cfvo type="max"/>
        <color theme="9"/>
        <color rgb="FFFFEF9C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3BBF-92C7-4EA1-85F2-00D7F219706C}">
  <dimension ref="B2:U45"/>
  <sheetViews>
    <sheetView zoomScale="96" workbookViewId="0">
      <selection activeCell="AH69" sqref="AH69:AH76"/>
    </sheetView>
  </sheetViews>
  <sheetFormatPr defaultColWidth="9.28515625" defaultRowHeight="15"/>
  <cols>
    <col min="1" max="1" width="9.28515625" style="18"/>
    <col min="2" max="2" width="24" style="18" bestFit="1" customWidth="1"/>
    <col min="3" max="3" width="12" style="18" bestFit="1" customWidth="1"/>
    <col min="4" max="4" width="19.42578125" style="18" bestFit="1" customWidth="1"/>
    <col min="5" max="5" width="12" style="18" bestFit="1" customWidth="1"/>
    <col min="6" max="6" width="12" style="18" customWidth="1"/>
    <col min="7" max="7" width="9.28515625" style="18"/>
    <col min="8" max="8" width="23.28515625" style="18" bestFit="1" customWidth="1"/>
    <col min="9" max="9" width="12" style="18" bestFit="1" customWidth="1"/>
    <col min="10" max="10" width="11.5703125" style="18" bestFit="1" customWidth="1"/>
    <col min="11" max="11" width="10" style="18" bestFit="1" customWidth="1"/>
    <col min="12" max="16384" width="9.28515625" style="18"/>
  </cols>
  <sheetData>
    <row r="2" spans="2:6" ht="15.75" thickBot="1"/>
    <row r="3" spans="2:6" ht="15.75" thickBot="1">
      <c r="B3" s="186" t="s">
        <v>107</v>
      </c>
      <c r="C3" s="187"/>
      <c r="D3" s="188"/>
    </row>
    <row r="4" spans="2:6">
      <c r="B4" s="91" t="s">
        <v>108</v>
      </c>
      <c r="C4" s="82">
        <v>200</v>
      </c>
      <c r="D4" s="92" t="s">
        <v>109</v>
      </c>
    </row>
    <row r="5" spans="2:6">
      <c r="B5" s="91" t="s">
        <v>110</v>
      </c>
      <c r="C5" s="82">
        <f>0.5733*0.5*C6</f>
        <v>0.57330000000000003</v>
      </c>
      <c r="D5" s="91" t="s">
        <v>111</v>
      </c>
    </row>
    <row r="6" spans="2:6">
      <c r="B6" s="91" t="s">
        <v>112</v>
      </c>
      <c r="C6" s="82">
        <v>2</v>
      </c>
      <c r="D6" s="91" t="s">
        <v>111</v>
      </c>
    </row>
    <row r="7" spans="2:6">
      <c r="B7" s="91" t="s">
        <v>113</v>
      </c>
      <c r="C7" s="82">
        <v>2E-3</v>
      </c>
      <c r="D7" s="91" t="s">
        <v>114</v>
      </c>
    </row>
    <row r="8" spans="2:6">
      <c r="B8" s="91" t="s">
        <v>115</v>
      </c>
      <c r="C8" s="82">
        <v>1000</v>
      </c>
      <c r="D8" s="91" t="s">
        <v>36</v>
      </c>
    </row>
    <row r="9" spans="2:6" ht="15.75" thickBot="1">
      <c r="B9" s="93" t="s">
        <v>116</v>
      </c>
      <c r="C9" s="94">
        <v>2.5</v>
      </c>
      <c r="D9" s="93" t="s">
        <v>36</v>
      </c>
    </row>
    <row r="10" spans="2:6" ht="15.75" thickBot="1"/>
    <row r="11" spans="2:6" ht="15.75" thickBot="1">
      <c r="B11" s="186" t="s">
        <v>117</v>
      </c>
      <c r="C11" s="187"/>
      <c r="D11" s="187"/>
      <c r="E11" s="188"/>
    </row>
    <row r="12" spans="2:6" ht="15.75" thickBot="1">
      <c r="B12" s="191" t="s">
        <v>118</v>
      </c>
      <c r="C12" s="192"/>
      <c r="D12" s="193">
        <f>(C20/E20)*C9</f>
        <v>0.41169617310722689</v>
      </c>
      <c r="E12" s="194"/>
      <c r="F12" s="84"/>
    </row>
    <row r="13" spans="2:6" ht="15.75" thickBot="1"/>
    <row r="14" spans="2:6" ht="15.75" thickBot="1">
      <c r="B14" s="189" t="s">
        <v>119</v>
      </c>
      <c r="C14" s="190"/>
      <c r="D14" s="189" t="s">
        <v>120</v>
      </c>
      <c r="E14" s="190"/>
      <c r="F14" s="85"/>
    </row>
    <row r="15" spans="2:6">
      <c r="B15" s="83" t="s">
        <v>121</v>
      </c>
      <c r="C15" s="87">
        <v>1.8559999999999998E-11</v>
      </c>
      <c r="D15" s="83" t="s">
        <v>122</v>
      </c>
      <c r="E15" s="86">
        <v>288.94139999999999</v>
      </c>
      <c r="F15" s="85"/>
    </row>
    <row r="16" spans="2:6">
      <c r="B16" s="83" t="s">
        <v>123</v>
      </c>
      <c r="C16" s="86">
        <v>4209</v>
      </c>
      <c r="D16" s="83" t="s">
        <v>124</v>
      </c>
      <c r="E16" s="86">
        <v>508929</v>
      </c>
      <c r="F16" s="85"/>
    </row>
    <row r="17" spans="2:7">
      <c r="B17" s="83" t="s">
        <v>125</v>
      </c>
      <c r="C17" s="86">
        <v>4.5269999999999998E-2</v>
      </c>
      <c r="D17" s="83" t="s">
        <v>126</v>
      </c>
      <c r="E17" s="86">
        <v>68.129630000000006</v>
      </c>
      <c r="F17" s="85"/>
    </row>
    <row r="18" spans="2:7">
      <c r="B18" s="83" t="s">
        <v>127</v>
      </c>
      <c r="C18" s="87">
        <v>-3.3760000000000002E-5</v>
      </c>
      <c r="D18" s="83" t="s">
        <v>128</v>
      </c>
      <c r="E18" s="86">
        <v>3.9863</v>
      </c>
      <c r="F18" s="85"/>
    </row>
    <row r="19" spans="2:7" ht="15.75" thickBot="1">
      <c r="B19" s="83" t="s">
        <v>129</v>
      </c>
      <c r="C19" s="86">
        <f xml:space="preserve"> C4+273</f>
        <v>473</v>
      </c>
      <c r="D19" s="83"/>
      <c r="E19" s="86"/>
      <c r="F19" s="85"/>
    </row>
    <row r="20" spans="2:7" ht="15.75" thickBot="1">
      <c r="B20" s="99" t="s">
        <v>130</v>
      </c>
      <c r="C20" s="115">
        <f>C15*EXP((C16/C19)+(C17*C19)+(C18*C19^2))</f>
        <v>0.14200779280135295</v>
      </c>
      <c r="D20" s="99" t="s">
        <v>131</v>
      </c>
      <c r="E20" s="100">
        <f xml:space="preserve"> ( 1 - (C4+E15)/(E16 * (C4+E17)) * (C4-E18)^2)</f>
        <v>0.8623336945882103</v>
      </c>
      <c r="F20" s="85"/>
    </row>
    <row r="21" spans="2:7" ht="15.75" thickBot="1"/>
    <row r="22" spans="2:7" ht="15.75" thickBot="1">
      <c r="B22" s="186" t="s">
        <v>132</v>
      </c>
      <c r="C22" s="187"/>
      <c r="D22" s="188"/>
    </row>
    <row r="23" spans="2:7">
      <c r="B23" s="81" t="s">
        <v>133</v>
      </c>
      <c r="C23" s="82">
        <f>55.5*10^-6</f>
        <v>5.5500000000000001E-5</v>
      </c>
      <c r="D23" s="91" t="s">
        <v>134</v>
      </c>
      <c r="F23" s="82">
        <f>55.5*10^-6*1000000000</f>
        <v>55500</v>
      </c>
      <c r="G23" s="18" t="s">
        <v>135</v>
      </c>
    </row>
    <row r="24" spans="2:7">
      <c r="B24" s="81" t="s">
        <v>136</v>
      </c>
      <c r="C24" s="97">
        <f>C8*D12/(2*C6)</f>
        <v>102.92404327680673</v>
      </c>
      <c r="D24" s="91" t="s">
        <v>137</v>
      </c>
    </row>
    <row r="25" spans="2:7">
      <c r="B25" s="81" t="s">
        <v>138</v>
      </c>
      <c r="C25" s="82">
        <v>2</v>
      </c>
      <c r="D25" s="91" t="s">
        <v>36</v>
      </c>
    </row>
    <row r="26" spans="2:7" ht="15.75" thickBot="1">
      <c r="B26" s="96" t="s">
        <v>139</v>
      </c>
      <c r="C26" s="94">
        <v>96485.332899999994</v>
      </c>
      <c r="D26" s="93" t="s">
        <v>140</v>
      </c>
    </row>
    <row r="27" spans="2:7" ht="15.75" thickBot="1">
      <c r="B27" s="101" t="s">
        <v>141</v>
      </c>
      <c r="C27" s="102">
        <f>((C5 - 0.00879)/223)^(1/0.47)</f>
        <v>2.9870910514118245E-6</v>
      </c>
      <c r="D27" s="103" t="s">
        <v>36</v>
      </c>
    </row>
    <row r="28" spans="2:7" ht="15.75" thickBot="1"/>
    <row r="29" spans="2:7" ht="15.75" thickBot="1">
      <c r="B29" s="186" t="s">
        <v>142</v>
      </c>
      <c r="C29" s="187"/>
      <c r="D29" s="188"/>
      <c r="F29" s="119">
        <f>(C27*C23*C24*C6)</f>
        <v>3.4126227239847272E-8</v>
      </c>
    </row>
    <row r="30" spans="2:7" ht="15.75" thickBot="1">
      <c r="B30" s="104" t="s">
        <v>143</v>
      </c>
      <c r="C30" s="117">
        <f xml:space="preserve"> (C27*C23*C24*C6)/(C7*(1/(C25*C26)))</f>
        <v>3.2926803958577122</v>
      </c>
      <c r="D30" s="103" t="s">
        <v>111</v>
      </c>
    </row>
    <row r="31" spans="2:7">
      <c r="C31" s="119">
        <f>(C23*C8*D12*C27*C26)/C7</f>
        <v>3.2926803958577122</v>
      </c>
    </row>
    <row r="45" spans="21:21">
      <c r="U45" s="18" t="e">
        <f xml:space="preserve"> ((((((Y38)*1000 - 0.00879)/'Electrode length'!C30223)^(1/0.47))*0.0000555*U16*1000*U20*1000)/((Q42/10^6)*(1/(2*Q34))))/1000</f>
        <v>#DIV/0!</v>
      </c>
    </row>
  </sheetData>
  <mergeCells count="8">
    <mergeCell ref="B3:D3"/>
    <mergeCell ref="B29:D29"/>
    <mergeCell ref="B14:C14"/>
    <mergeCell ref="D14:E14"/>
    <mergeCell ref="B22:D22"/>
    <mergeCell ref="B11:E11"/>
    <mergeCell ref="B12:C12"/>
    <mergeCell ref="D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51C5-B4CC-4C75-A353-67D3D08D502D}">
  <dimension ref="B2:D19"/>
  <sheetViews>
    <sheetView workbookViewId="0">
      <selection activeCell="C12" sqref="C12"/>
    </sheetView>
  </sheetViews>
  <sheetFormatPr defaultRowHeight="15"/>
  <cols>
    <col min="2" max="2" width="24.28515625" bestFit="1" customWidth="1"/>
    <col min="3" max="3" width="12" bestFit="1" customWidth="1"/>
    <col min="4" max="4" width="9.42578125" bestFit="1" customWidth="1"/>
    <col min="5" max="5" width="13.28515625" bestFit="1" customWidth="1"/>
    <col min="6" max="6" width="16" bestFit="1" customWidth="1"/>
    <col min="7" max="7" width="19" bestFit="1" customWidth="1"/>
    <col min="8" max="8" width="14.5703125" bestFit="1" customWidth="1"/>
    <col min="9" max="9" width="5.42578125" bestFit="1" customWidth="1"/>
    <col min="10" max="10" width="24.28515625" bestFit="1" customWidth="1"/>
    <col min="11" max="11" width="7.7109375" bestFit="1" customWidth="1"/>
    <col min="13" max="13" width="22.5703125" bestFit="1" customWidth="1"/>
    <col min="14" max="14" width="7.7109375" bestFit="1" customWidth="1"/>
  </cols>
  <sheetData>
    <row r="2" spans="2:4" ht="15.75" thickBot="1"/>
    <row r="3" spans="2:4" ht="15.75" thickBot="1">
      <c r="B3" s="195" t="s">
        <v>107</v>
      </c>
      <c r="C3" s="187"/>
      <c r="D3" s="188"/>
    </row>
    <row r="4" spans="2:4">
      <c r="B4" s="98" t="s">
        <v>108</v>
      </c>
      <c r="C4" s="88">
        <v>200</v>
      </c>
      <c r="D4" s="92" t="s">
        <v>109</v>
      </c>
    </row>
    <row r="5" spans="2:4">
      <c r="B5" s="91" t="s">
        <v>112</v>
      </c>
      <c r="C5" s="89">
        <v>0.4</v>
      </c>
      <c r="D5" s="91" t="s">
        <v>144</v>
      </c>
    </row>
    <row r="6" spans="2:4" ht="15.75" thickBot="1">
      <c r="B6" s="90" t="s">
        <v>113</v>
      </c>
      <c r="C6" s="90">
        <v>1.3</v>
      </c>
      <c r="D6" s="90" t="s">
        <v>114</v>
      </c>
    </row>
    <row r="8" spans="2:4" ht="15.75" thickBot="1"/>
    <row r="9" spans="2:4" ht="15.75" thickBot="1">
      <c r="B9" s="186" t="s">
        <v>145</v>
      </c>
      <c r="C9" s="187"/>
      <c r="D9" s="188"/>
    </row>
    <row r="10" spans="2:4">
      <c r="B10" s="77" t="s">
        <v>146</v>
      </c>
      <c r="C10" s="88">
        <v>1.48</v>
      </c>
      <c r="D10" s="78"/>
    </row>
    <row r="11" spans="2:4">
      <c r="B11" s="31" t="s">
        <v>147</v>
      </c>
      <c r="C11" s="108">
        <f>0.0001*(C4+273.15)</f>
        <v>4.7315000000000003E-2</v>
      </c>
      <c r="D11" s="32" t="s">
        <v>43</v>
      </c>
    </row>
    <row r="12" spans="2:4">
      <c r="B12" s="31" t="s">
        <v>44</v>
      </c>
      <c r="C12" s="89">
        <f>0.0008*EXP(-30000/8.31446*(1/(C4+273.15)-1/298.15))</f>
        <v>7.0307051910816959E-2</v>
      </c>
      <c r="D12" s="32" t="s">
        <v>148</v>
      </c>
    </row>
    <row r="13" spans="2:4">
      <c r="B13" s="31" t="s">
        <v>52</v>
      </c>
      <c r="C13" s="89">
        <f>0.00000000232*EXP(-125000/8.31446*(1/(C4+273.15)-1/298.15))</f>
        <v>0.29181553239961766</v>
      </c>
      <c r="D13" s="32" t="s">
        <v>148</v>
      </c>
    </row>
    <row r="14" spans="2:4" ht="15.75" thickBot="1">
      <c r="B14" s="79" t="s">
        <v>149</v>
      </c>
      <c r="C14" s="109">
        <f>-0.000000215*C4^3+0.0000644*C4^2+0.007675*C4+0.329863</f>
        <v>2.720863</v>
      </c>
      <c r="D14" s="80" t="s">
        <v>150</v>
      </c>
    </row>
    <row r="15" spans="2:4">
      <c r="B15" s="77" t="s">
        <v>41</v>
      </c>
      <c r="C15" s="110">
        <f>C11*(LOG10(C6/C12)+LOG10(C6/C13))</f>
        <v>9.064510291209861E-2</v>
      </c>
      <c r="D15" s="78" t="s">
        <v>37</v>
      </c>
    </row>
    <row r="16" spans="2:4" ht="15.75" thickBot="1">
      <c r="B16" s="79" t="s">
        <v>32</v>
      </c>
      <c r="C16" s="90">
        <f>C5/C14*C6</f>
        <v>0.19111583346901334</v>
      </c>
      <c r="D16" s="80" t="s">
        <v>37</v>
      </c>
    </row>
    <row r="17" spans="2:4" ht="15.75" thickBot="1">
      <c r="B17" s="105" t="s">
        <v>151</v>
      </c>
      <c r="C17" s="107">
        <f>C15+C16</f>
        <v>0.28176093638111194</v>
      </c>
      <c r="D17" s="106" t="s">
        <v>37</v>
      </c>
    </row>
    <row r="18" spans="2:4" ht="15.75" thickBot="1">
      <c r="C18" s="70"/>
    </row>
    <row r="19" spans="2:4" ht="15.75" thickBot="1">
      <c r="B19" s="111" t="s">
        <v>152</v>
      </c>
      <c r="C19" s="112">
        <f>C10+C17</f>
        <v>1.761760936381112</v>
      </c>
      <c r="D19" s="111" t="s">
        <v>37</v>
      </c>
    </row>
  </sheetData>
  <mergeCells count="2">
    <mergeCell ref="B3:D3"/>
    <mergeCell ref="B9:D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6746809D715040921E8A7050530C52" ma:contentTypeVersion="10" ma:contentTypeDescription="Een nieuw document maken." ma:contentTypeScope="" ma:versionID="f6404f448959ba01aa53366bd3d97585">
  <xsd:schema xmlns:xsd="http://www.w3.org/2001/XMLSchema" xmlns:xs="http://www.w3.org/2001/XMLSchema" xmlns:p="http://schemas.microsoft.com/office/2006/metadata/properties" xmlns:ns2="cfbe0941-ab6d-4af5-b984-5c8134bff0c8" targetNamespace="http://schemas.microsoft.com/office/2006/metadata/properties" ma:root="true" ma:fieldsID="6b7b0c62643dca142a7bab48a601723d" ns2:_="">
    <xsd:import namespace="cfbe0941-ab6d-4af5-b984-5c8134bff0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e0941-ab6d-4af5-b984-5c8134bff0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E84789-2F3E-42EE-9B15-5AB81F65C0E9}"/>
</file>

<file path=customXml/itemProps2.xml><?xml version="1.0" encoding="utf-8"?>
<ds:datastoreItem xmlns:ds="http://schemas.openxmlformats.org/officeDocument/2006/customXml" ds:itemID="{65250063-E1CA-48F9-B30D-C2E227EEB852}"/>
</file>

<file path=customXml/itemProps3.xml><?xml version="1.0" encoding="utf-8"?>
<ds:datastoreItem xmlns:ds="http://schemas.openxmlformats.org/officeDocument/2006/customXml" ds:itemID="{F4D38824-1DDA-4FDF-9C61-5D8276B1DE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Annie chen</dc:creator>
  <cp:keywords/>
  <dc:description/>
  <cp:lastModifiedBy>Olivier ten Haven</cp:lastModifiedBy>
  <cp:revision/>
  <dcterms:created xsi:type="dcterms:W3CDTF">2021-10-13T15:42:57Z</dcterms:created>
  <dcterms:modified xsi:type="dcterms:W3CDTF">2021-10-29T18:08:16Z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0x0101008C6746809D715040921E8A7050530C52</vt:lpwstr>
  </property>
</Properties>
</file>