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Volumes/DEMI_VIS/Planning/Finance/"/>
    </mc:Choice>
  </mc:AlternateContent>
  <bookViews>
    <workbookView xWindow="51200" yWindow="0" windowWidth="51200" windowHeight="28800" activeTab="2"/>
  </bookViews>
  <sheets>
    <sheet name="Graphical Sheet" sheetId="5" r:id="rId1"/>
    <sheet name="Overview Sheet" sheetId="3" r:id="rId2"/>
    <sheet name="Details Sheet" sheetId="4" r:id="rId3"/>
    <sheet name="CEFCU Balance" sheetId="7" r:id="rId4"/>
    <sheet name="Planned Expenses" sheetId="1" r:id="rId5"/>
    <sheet name="Note For improvement" sheetId="6" r:id="rId6"/>
  </sheets>
  <definedNames>
    <definedName name="INF">'Overview Sheet'!$AG$1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AM26" i="4" l="1"/>
  <c r="AM21" i="4"/>
  <c r="AM19" i="4"/>
  <c r="AY375" i="4"/>
  <c r="AY360" i="4"/>
  <c r="AY345" i="4"/>
  <c r="AY330" i="4"/>
  <c r="AE338" i="4"/>
  <c r="AE366" i="4"/>
  <c r="AE336" i="4"/>
  <c r="AE334" i="4"/>
  <c r="AE325" i="4"/>
  <c r="AE365" i="4"/>
  <c r="AE339" i="4"/>
  <c r="AA365" i="4"/>
  <c r="AA352" i="4"/>
  <c r="AE335" i="4"/>
  <c r="AE322" i="4"/>
  <c r="AE323" i="4"/>
  <c r="AE324" i="4"/>
  <c r="AE337" i="4"/>
  <c r="AE329" i="4"/>
  <c r="AE354" i="4"/>
  <c r="AE351" i="4"/>
  <c r="AE353" i="4"/>
  <c r="AE83" i="4"/>
  <c r="AE321" i="4"/>
  <c r="AE319" i="4"/>
  <c r="AE318" i="4"/>
  <c r="AE328" i="4"/>
  <c r="AA335" i="4"/>
  <c r="AA337" i="4"/>
  <c r="AA334" i="4"/>
  <c r="AA325" i="4"/>
  <c r="AA336" i="4"/>
  <c r="AA328" i="4"/>
  <c r="AA322" i="4"/>
  <c r="AA338" i="4"/>
  <c r="AA324" i="4"/>
  <c r="AA327" i="4"/>
  <c r="W320" i="4"/>
  <c r="AA320" i="4"/>
  <c r="AA348" i="4"/>
  <c r="AA351" i="4"/>
  <c r="AA321" i="4"/>
  <c r="AA333" i="4"/>
  <c r="AA363" i="4"/>
  <c r="AA364" i="4"/>
  <c r="AA323" i="4"/>
  <c r="AA318" i="4"/>
  <c r="W351" i="4"/>
  <c r="W338" i="4"/>
  <c r="W325" i="4"/>
  <c r="W326" i="4"/>
  <c r="W337" i="4"/>
  <c r="W365" i="4"/>
  <c r="W322" i="4"/>
  <c r="W335" i="4"/>
  <c r="W366" i="4"/>
  <c r="W324" i="4"/>
  <c r="W321" i="4"/>
  <c r="W350" i="4"/>
  <c r="W333" i="4"/>
  <c r="W364" i="4"/>
  <c r="W349" i="4"/>
  <c r="W323" i="4"/>
  <c r="W348" i="4"/>
  <c r="W318" i="4"/>
  <c r="AQ377" i="4"/>
  <c r="AR377" i="4"/>
  <c r="AQ362" i="4"/>
  <c r="AR362" i="4"/>
  <c r="AQ347" i="4"/>
  <c r="AR347" i="4"/>
  <c r="AM377" i="4"/>
  <c r="AL4" i="4"/>
  <c r="AL5" i="4"/>
  <c r="AL6" i="4"/>
  <c r="AL7" i="4"/>
  <c r="AL8" i="4"/>
  <c r="AL9" i="4"/>
  <c r="AL10" i="4"/>
  <c r="AL11" i="4"/>
  <c r="AL12" i="4"/>
  <c r="AL13" i="4"/>
  <c r="AL14" i="4"/>
  <c r="AN377" i="4"/>
  <c r="AM362" i="4"/>
  <c r="AN362" i="4"/>
  <c r="AM347" i="4"/>
  <c r="AN347" i="4"/>
  <c r="AI377" i="4"/>
  <c r="AH4" i="4"/>
  <c r="AH5" i="4"/>
  <c r="AH6" i="4"/>
  <c r="AH7" i="4"/>
  <c r="AH8" i="4"/>
  <c r="AH9" i="4"/>
  <c r="AH10" i="4"/>
  <c r="AH11" i="4"/>
  <c r="AH12" i="4"/>
  <c r="AH13" i="4"/>
  <c r="AH14" i="4"/>
  <c r="AJ377" i="4"/>
  <c r="AI362" i="4"/>
  <c r="AJ362" i="4"/>
  <c r="AI347" i="4"/>
  <c r="AJ347" i="4"/>
  <c r="AE377" i="4"/>
  <c r="AD4" i="4"/>
  <c r="AD5" i="4"/>
  <c r="AD6" i="4"/>
  <c r="AD7" i="4"/>
  <c r="AD8" i="4"/>
  <c r="AD9" i="4"/>
  <c r="AD10" i="4"/>
  <c r="AD11" i="4"/>
  <c r="AD12" i="4"/>
  <c r="AD13" i="4"/>
  <c r="AD14" i="4"/>
  <c r="AF377" i="4"/>
  <c r="AE362" i="4"/>
  <c r="AF362" i="4"/>
  <c r="AE347" i="4"/>
  <c r="AF347" i="4"/>
  <c r="AA377" i="4"/>
  <c r="Z4" i="4"/>
  <c r="Z5" i="4"/>
  <c r="Z6" i="4"/>
  <c r="Z7" i="4"/>
  <c r="Z8" i="4"/>
  <c r="Z9" i="4"/>
  <c r="Z10" i="4"/>
  <c r="Z11" i="4"/>
  <c r="Z12" i="4"/>
  <c r="Z13" i="4"/>
  <c r="Z14" i="4"/>
  <c r="AB377" i="4"/>
  <c r="AA362" i="4"/>
  <c r="AB362" i="4"/>
  <c r="AA347" i="4"/>
  <c r="AB347" i="4"/>
  <c r="W377" i="4"/>
  <c r="V4" i="4"/>
  <c r="V5" i="4"/>
  <c r="V6" i="4"/>
  <c r="V7" i="4"/>
  <c r="V8" i="4"/>
  <c r="V9" i="4"/>
  <c r="V10" i="4"/>
  <c r="V11" i="4"/>
  <c r="V12" i="4"/>
  <c r="V13" i="4"/>
  <c r="V14" i="4"/>
  <c r="X377" i="4"/>
  <c r="W362" i="4"/>
  <c r="X362" i="4"/>
  <c r="W347" i="4"/>
  <c r="X347" i="4"/>
  <c r="S377" i="4"/>
  <c r="T377" i="4"/>
  <c r="S362" i="4"/>
  <c r="T362" i="4"/>
  <c r="S347" i="4"/>
  <c r="T347" i="4"/>
  <c r="O377" i="4"/>
  <c r="P377" i="4"/>
  <c r="O362" i="4"/>
  <c r="P362" i="4"/>
  <c r="O347" i="4"/>
  <c r="P347" i="4"/>
  <c r="K377" i="4"/>
  <c r="L377" i="4"/>
  <c r="K362" i="4"/>
  <c r="L362" i="4"/>
  <c r="K347" i="4"/>
  <c r="L347" i="4"/>
  <c r="G377" i="4"/>
  <c r="H377" i="4"/>
  <c r="G362" i="4"/>
  <c r="H362" i="4"/>
  <c r="G347" i="4"/>
  <c r="H347" i="4"/>
  <c r="C377" i="4"/>
  <c r="D377" i="4"/>
  <c r="C362" i="4"/>
  <c r="D362" i="4"/>
  <c r="C347" i="4"/>
  <c r="D347" i="4"/>
  <c r="AU362" i="4"/>
  <c r="AV362" i="4"/>
  <c r="AU377" i="4"/>
  <c r="AV377" i="4"/>
  <c r="AU347" i="4"/>
  <c r="AV347" i="4"/>
  <c r="AU332" i="4"/>
  <c r="AV332" i="4"/>
  <c r="AQ332" i="4"/>
  <c r="AR332" i="4"/>
  <c r="AM332" i="4"/>
  <c r="AN332" i="4"/>
  <c r="AI332" i="4"/>
  <c r="AJ332" i="4"/>
  <c r="AE332" i="4"/>
  <c r="AF332" i="4"/>
  <c r="AA332" i="4"/>
  <c r="AB332" i="4"/>
  <c r="W332" i="4"/>
  <c r="X332" i="4"/>
  <c r="S332" i="4"/>
  <c r="T332" i="4"/>
  <c r="O332" i="4"/>
  <c r="P332" i="4"/>
  <c r="K332" i="4"/>
  <c r="L332" i="4"/>
  <c r="G332" i="4"/>
  <c r="H332" i="4"/>
  <c r="D332" i="4"/>
  <c r="C332" i="4"/>
  <c r="AB59" i="7"/>
  <c r="AB61" i="7"/>
  <c r="M5" i="7"/>
  <c r="M6" i="7"/>
  <c r="O5" i="7"/>
  <c r="O6" i="7"/>
  <c r="Q5" i="7"/>
  <c r="Q6" i="7"/>
  <c r="S5" i="7"/>
  <c r="S6" i="7"/>
  <c r="U5" i="7"/>
  <c r="U6" i="7"/>
  <c r="W6" i="7"/>
  <c r="Y6" i="7"/>
  <c r="K6" i="7"/>
  <c r="I6" i="7"/>
  <c r="G6" i="7"/>
  <c r="E6" i="7"/>
  <c r="C6" i="7"/>
  <c r="B6" i="7"/>
  <c r="B5" i="7"/>
  <c r="AA6" i="7"/>
  <c r="AA5" i="7"/>
  <c r="Y5" i="7"/>
  <c r="W5" i="7"/>
  <c r="K5" i="7"/>
  <c r="I5" i="7"/>
  <c r="G5" i="7"/>
  <c r="E5" i="7"/>
  <c r="C5" i="7"/>
  <c r="T95" i="1"/>
  <c r="AA4" i="3"/>
  <c r="Q95" i="1"/>
  <c r="Z4" i="3"/>
  <c r="AD4" i="3"/>
  <c r="T96" i="1"/>
  <c r="AA7" i="3"/>
  <c r="Q96" i="1"/>
  <c r="Z7" i="3"/>
  <c r="AD7" i="3"/>
  <c r="T97" i="1"/>
  <c r="AA10" i="3"/>
  <c r="Q97" i="1"/>
  <c r="Z10" i="3"/>
  <c r="AD10" i="3"/>
  <c r="T98" i="1"/>
  <c r="AA13" i="3"/>
  <c r="Q98" i="1"/>
  <c r="Z13" i="3"/>
  <c r="AD13" i="3"/>
  <c r="T99" i="1"/>
  <c r="AA16" i="3"/>
  <c r="Q99" i="1"/>
  <c r="Z16" i="3"/>
  <c r="AD16" i="3"/>
  <c r="T100" i="1"/>
  <c r="AA19" i="3"/>
  <c r="Q100" i="1"/>
  <c r="Z19" i="3"/>
  <c r="AD19" i="3"/>
  <c r="T101" i="1"/>
  <c r="AA22" i="3"/>
  <c r="Q101" i="1"/>
  <c r="Z22" i="3"/>
  <c r="AD22" i="3"/>
  <c r="T102" i="1"/>
  <c r="AA25" i="3"/>
  <c r="Q102" i="1"/>
  <c r="Z25" i="3"/>
  <c r="AD25" i="3"/>
  <c r="T103" i="1"/>
  <c r="AA28" i="3"/>
  <c r="Q103" i="1"/>
  <c r="Z28" i="3"/>
  <c r="AD28" i="3"/>
  <c r="T104" i="1"/>
  <c r="AA31" i="3"/>
  <c r="Q104" i="1"/>
  <c r="Z31" i="3"/>
  <c r="AD31" i="3"/>
  <c r="AD38" i="3"/>
  <c r="AE4" i="3"/>
  <c r="AE7" i="3"/>
  <c r="AE10" i="3"/>
  <c r="AE13" i="3"/>
  <c r="AE16" i="3"/>
  <c r="AE19" i="3"/>
  <c r="AE22" i="3"/>
  <c r="AE25" i="3"/>
  <c r="AE28" i="3"/>
  <c r="AE31" i="3"/>
  <c r="AE38" i="3"/>
  <c r="T105" i="1"/>
  <c r="AA34" i="3"/>
  <c r="Q105" i="1"/>
  <c r="Z34" i="3"/>
  <c r="AE34" i="3"/>
  <c r="AE33" i="3"/>
  <c r="AE35" i="3"/>
  <c r="AE30" i="3"/>
  <c r="AE32" i="3"/>
  <c r="AE27" i="3"/>
  <c r="AE29" i="3"/>
  <c r="AE24" i="3"/>
  <c r="AE26" i="3"/>
  <c r="AE21" i="3"/>
  <c r="AE23" i="3"/>
  <c r="AE18" i="3"/>
  <c r="AE20" i="3"/>
  <c r="AE15" i="3"/>
  <c r="AE17" i="3"/>
  <c r="AE12" i="3"/>
  <c r="AE14" i="3"/>
  <c r="AE9" i="3"/>
  <c r="AE11" i="3"/>
  <c r="AE6" i="3"/>
  <c r="AE8" i="3"/>
  <c r="AE5" i="3"/>
  <c r="AE3" i="3"/>
  <c r="AC35" i="3"/>
  <c r="AB35" i="3"/>
  <c r="AA35" i="3"/>
  <c r="Z35" i="3"/>
  <c r="Y35" i="3"/>
  <c r="X35" i="3"/>
  <c r="W35" i="3"/>
  <c r="V35" i="3"/>
  <c r="U35" i="3"/>
  <c r="T35" i="3"/>
  <c r="S35" i="3"/>
  <c r="R35" i="3"/>
  <c r="AC32" i="3"/>
  <c r="AB32" i="3"/>
  <c r="AA32" i="3"/>
  <c r="Z32" i="3"/>
  <c r="Y32" i="3"/>
  <c r="X32" i="3"/>
  <c r="W32" i="3"/>
  <c r="V32" i="3"/>
  <c r="U32" i="3"/>
  <c r="T32" i="3"/>
  <c r="S32" i="3"/>
  <c r="R32" i="3"/>
  <c r="AC29" i="3"/>
  <c r="AB29" i="3"/>
  <c r="AA29" i="3"/>
  <c r="Z29" i="3"/>
  <c r="Y29" i="3"/>
  <c r="X29" i="3"/>
  <c r="W29" i="3"/>
  <c r="V29" i="3"/>
  <c r="U29" i="3"/>
  <c r="T29" i="3"/>
  <c r="S29" i="3"/>
  <c r="R29" i="3"/>
  <c r="AC26" i="3"/>
  <c r="AB26" i="3"/>
  <c r="AA26" i="3"/>
  <c r="Z26" i="3"/>
  <c r="Y26" i="3"/>
  <c r="X26" i="3"/>
  <c r="W26" i="3"/>
  <c r="V26" i="3"/>
  <c r="U26" i="3"/>
  <c r="T26" i="3"/>
  <c r="S26" i="3"/>
  <c r="R26" i="3"/>
  <c r="AC23" i="3"/>
  <c r="AB23" i="3"/>
  <c r="AA23" i="3"/>
  <c r="Z23" i="3"/>
  <c r="Y23" i="3"/>
  <c r="X23" i="3"/>
  <c r="W23" i="3"/>
  <c r="V23" i="3"/>
  <c r="U23" i="3"/>
  <c r="T23" i="3"/>
  <c r="S23" i="3"/>
  <c r="R23" i="3"/>
  <c r="AC20" i="3"/>
  <c r="AB20" i="3"/>
  <c r="AA20" i="3"/>
  <c r="Z20" i="3"/>
  <c r="Y20" i="3"/>
  <c r="X20" i="3"/>
  <c r="W20" i="3"/>
  <c r="V20" i="3"/>
  <c r="U20" i="3"/>
  <c r="T20" i="3"/>
  <c r="S20" i="3"/>
  <c r="R20" i="3"/>
  <c r="AC17" i="3"/>
  <c r="AB17" i="3"/>
  <c r="AA17" i="3"/>
  <c r="Z17" i="3"/>
  <c r="Y17" i="3"/>
  <c r="X17" i="3"/>
  <c r="W17" i="3"/>
  <c r="V17" i="3"/>
  <c r="U17" i="3"/>
  <c r="T17" i="3"/>
  <c r="S17" i="3"/>
  <c r="R17" i="3"/>
  <c r="AC14" i="3"/>
  <c r="AB14" i="3"/>
  <c r="AA14" i="3"/>
  <c r="Z14" i="3"/>
  <c r="Y14" i="3"/>
  <c r="X14" i="3"/>
  <c r="W14" i="3"/>
  <c r="V14" i="3"/>
  <c r="U14" i="3"/>
  <c r="T14" i="3"/>
  <c r="S14" i="3"/>
  <c r="R14" i="3"/>
  <c r="AC11" i="3"/>
  <c r="AB11" i="3"/>
  <c r="AA11" i="3"/>
  <c r="Z11" i="3"/>
  <c r="Y11" i="3"/>
  <c r="X11" i="3"/>
  <c r="W11" i="3"/>
  <c r="V11" i="3"/>
  <c r="U11" i="3"/>
  <c r="T11" i="3"/>
  <c r="S11" i="3"/>
  <c r="R11" i="3"/>
  <c r="AD34" i="3"/>
  <c r="AD35" i="3"/>
  <c r="AD30" i="3"/>
  <c r="AD32" i="3"/>
  <c r="AD27" i="3"/>
  <c r="AD29" i="3"/>
  <c r="AD24" i="3"/>
  <c r="AD26" i="3"/>
  <c r="AD21" i="3"/>
  <c r="AD23" i="3"/>
  <c r="AD18" i="3"/>
  <c r="AD20" i="3"/>
  <c r="AD15" i="3"/>
  <c r="AD17" i="3"/>
  <c r="AD12" i="3"/>
  <c r="AD14" i="3"/>
  <c r="AD9" i="3"/>
  <c r="AD11" i="3"/>
  <c r="AD6" i="3"/>
  <c r="AD8" i="3"/>
  <c r="AD5" i="3"/>
  <c r="AD3" i="3"/>
  <c r="AD33" i="3"/>
  <c r="AC33" i="3"/>
  <c r="AB33" i="3"/>
  <c r="AA33" i="3"/>
  <c r="Z33" i="3"/>
  <c r="Y33" i="3"/>
  <c r="X33" i="3"/>
  <c r="W33" i="3"/>
  <c r="V33" i="3"/>
  <c r="U33" i="3"/>
  <c r="T33" i="3"/>
  <c r="S33" i="3"/>
  <c r="AC30" i="3"/>
  <c r="AB30" i="3"/>
  <c r="AA30" i="3"/>
  <c r="Z30" i="3"/>
  <c r="Y30" i="3"/>
  <c r="X30" i="3"/>
  <c r="W30" i="3"/>
  <c r="V30" i="3"/>
  <c r="U30" i="3"/>
  <c r="T30" i="3"/>
  <c r="S30" i="3"/>
  <c r="AC27" i="3"/>
  <c r="AB27" i="3"/>
  <c r="AA27" i="3"/>
  <c r="Z27" i="3"/>
  <c r="Y27" i="3"/>
  <c r="X27" i="3"/>
  <c r="W27" i="3"/>
  <c r="V27" i="3"/>
  <c r="U27" i="3"/>
  <c r="T27" i="3"/>
  <c r="S27" i="3"/>
  <c r="AC24" i="3"/>
  <c r="AB24" i="3"/>
  <c r="AA24" i="3"/>
  <c r="Z24" i="3"/>
  <c r="Y24" i="3"/>
  <c r="X24" i="3"/>
  <c r="W24" i="3"/>
  <c r="V24" i="3"/>
  <c r="U24" i="3"/>
  <c r="T24" i="3"/>
  <c r="S24" i="3"/>
  <c r="AC21" i="3"/>
  <c r="AB21" i="3"/>
  <c r="AA21" i="3"/>
  <c r="Z21" i="3"/>
  <c r="Y21" i="3"/>
  <c r="X21" i="3"/>
  <c r="W21" i="3"/>
  <c r="V21" i="3"/>
  <c r="U21" i="3"/>
  <c r="T21" i="3"/>
  <c r="S21" i="3"/>
  <c r="AC18" i="3"/>
  <c r="AB18" i="3"/>
  <c r="AA18" i="3"/>
  <c r="Z18" i="3"/>
  <c r="Y18" i="3"/>
  <c r="X18" i="3"/>
  <c r="W18" i="3"/>
  <c r="V18" i="3"/>
  <c r="U18" i="3"/>
  <c r="T18" i="3"/>
  <c r="S18" i="3"/>
  <c r="AC15" i="3"/>
  <c r="AB15" i="3"/>
  <c r="AA15" i="3"/>
  <c r="Z15" i="3"/>
  <c r="Y15" i="3"/>
  <c r="X15" i="3"/>
  <c r="W15" i="3"/>
  <c r="V15" i="3"/>
  <c r="U15" i="3"/>
  <c r="T15" i="3"/>
  <c r="S15" i="3"/>
  <c r="AC12" i="3"/>
  <c r="AB12" i="3"/>
  <c r="AA12" i="3"/>
  <c r="Z12" i="3"/>
  <c r="Y12" i="3"/>
  <c r="X12" i="3"/>
  <c r="W12" i="3"/>
  <c r="V12" i="3"/>
  <c r="U12" i="3"/>
  <c r="T12" i="3"/>
  <c r="S12" i="3"/>
  <c r="AC9" i="3"/>
  <c r="AB9" i="3"/>
  <c r="AA9" i="3"/>
  <c r="Z9" i="3"/>
  <c r="Y9" i="3"/>
  <c r="X9" i="3"/>
  <c r="W9" i="3"/>
  <c r="V9" i="3"/>
  <c r="U9" i="3"/>
  <c r="T9" i="3"/>
  <c r="S9" i="3"/>
  <c r="AC6" i="3"/>
  <c r="AB6" i="3"/>
  <c r="AA6" i="3"/>
  <c r="Z6" i="3"/>
  <c r="Y6" i="3"/>
  <c r="X6" i="3"/>
  <c r="W6" i="3"/>
  <c r="V6" i="3"/>
  <c r="U6" i="3"/>
  <c r="T6" i="3"/>
  <c r="S6" i="3"/>
  <c r="AC3" i="3"/>
  <c r="AB3" i="3"/>
  <c r="AA3" i="3"/>
  <c r="Z3" i="3"/>
  <c r="Y3" i="3"/>
  <c r="X3" i="3"/>
  <c r="W3" i="3"/>
  <c r="V3" i="3"/>
  <c r="U3" i="3"/>
  <c r="T3" i="3"/>
  <c r="S3" i="3"/>
  <c r="R33" i="3"/>
  <c r="R30" i="3"/>
  <c r="R27" i="3"/>
  <c r="R24" i="3"/>
  <c r="R21" i="3"/>
  <c r="R18" i="3"/>
  <c r="R15" i="3"/>
  <c r="R12" i="3"/>
  <c r="R9" i="3"/>
  <c r="R6" i="3"/>
  <c r="R3" i="3"/>
  <c r="AC8" i="3"/>
  <c r="AB8" i="3"/>
  <c r="AA8" i="3"/>
  <c r="Z8" i="3"/>
  <c r="Y8" i="3"/>
  <c r="X8" i="3"/>
  <c r="W8" i="3"/>
  <c r="V8" i="3"/>
  <c r="U8" i="3"/>
  <c r="T8" i="3"/>
  <c r="S8" i="3"/>
  <c r="R8" i="3"/>
  <c r="S5" i="3"/>
  <c r="T5" i="3"/>
  <c r="U5" i="3"/>
  <c r="V5" i="3"/>
  <c r="W5" i="3"/>
  <c r="X5" i="3"/>
  <c r="Y5" i="3"/>
  <c r="Z5" i="3"/>
  <c r="AA5" i="3"/>
  <c r="AB5" i="3"/>
  <c r="AC5" i="3"/>
  <c r="R5" i="3"/>
  <c r="AC34" i="3"/>
  <c r="AB34" i="3"/>
  <c r="Y34" i="3"/>
  <c r="X34" i="3"/>
  <c r="W34" i="3"/>
  <c r="V34" i="3"/>
  <c r="U34" i="3"/>
  <c r="T34" i="3"/>
  <c r="S34" i="3"/>
  <c r="R34" i="3"/>
  <c r="AC31" i="3"/>
  <c r="AB31" i="3"/>
  <c r="Y31" i="3"/>
  <c r="X31" i="3"/>
  <c r="W31" i="3"/>
  <c r="V31" i="3"/>
  <c r="U31" i="3"/>
  <c r="T31" i="3"/>
  <c r="S31" i="3"/>
  <c r="R31" i="3"/>
  <c r="AC28" i="3"/>
  <c r="AB28" i="3"/>
  <c r="Y28" i="3"/>
  <c r="X28" i="3"/>
  <c r="W28" i="3"/>
  <c r="V28" i="3"/>
  <c r="U28" i="3"/>
  <c r="T28" i="3"/>
  <c r="S28" i="3"/>
  <c r="R28" i="3"/>
  <c r="AC25" i="3"/>
  <c r="AB25" i="3"/>
  <c r="Y25" i="3"/>
  <c r="X25" i="3"/>
  <c r="W25" i="3"/>
  <c r="V25" i="3"/>
  <c r="U25" i="3"/>
  <c r="T25" i="3"/>
  <c r="S25" i="3"/>
  <c r="R25" i="3"/>
  <c r="AC22" i="3"/>
  <c r="AB22" i="3"/>
  <c r="Y22" i="3"/>
  <c r="X22" i="3"/>
  <c r="W22" i="3"/>
  <c r="V22" i="3"/>
  <c r="U22" i="3"/>
  <c r="T22" i="3"/>
  <c r="S22" i="3"/>
  <c r="R22" i="3"/>
  <c r="AC19" i="3"/>
  <c r="AB19" i="3"/>
  <c r="Y19" i="3"/>
  <c r="X19" i="3"/>
  <c r="W19" i="3"/>
  <c r="V19" i="3"/>
  <c r="U19" i="3"/>
  <c r="T19" i="3"/>
  <c r="S19" i="3"/>
  <c r="R19" i="3"/>
  <c r="AC16" i="3"/>
  <c r="AB16" i="3"/>
  <c r="Y16" i="3"/>
  <c r="X16" i="3"/>
  <c r="W16" i="3"/>
  <c r="V16" i="3"/>
  <c r="U16" i="3"/>
  <c r="T16" i="3"/>
  <c r="S16" i="3"/>
  <c r="R16" i="3"/>
  <c r="AC13" i="3"/>
  <c r="AB13" i="3"/>
  <c r="Y13" i="3"/>
  <c r="X13" i="3"/>
  <c r="W13" i="3"/>
  <c r="V13" i="3"/>
  <c r="U13" i="3"/>
  <c r="T13" i="3"/>
  <c r="S13" i="3"/>
  <c r="R13" i="3"/>
  <c r="AC10" i="3"/>
  <c r="AB10" i="3"/>
  <c r="Y10" i="3"/>
  <c r="X10" i="3"/>
  <c r="W10" i="3"/>
  <c r="V10" i="3"/>
  <c r="U10" i="3"/>
  <c r="T10" i="3"/>
  <c r="S10" i="3"/>
  <c r="R10" i="3"/>
  <c r="AC7" i="3"/>
  <c r="AB7" i="3"/>
  <c r="Y7" i="3"/>
  <c r="X7" i="3"/>
  <c r="W7" i="3"/>
  <c r="V7" i="3"/>
  <c r="U7" i="3"/>
  <c r="T7" i="3"/>
  <c r="S7" i="3"/>
  <c r="R7" i="3"/>
  <c r="AC4" i="3"/>
  <c r="AB4" i="3"/>
  <c r="Y4" i="3"/>
  <c r="X4" i="3"/>
  <c r="W4" i="3"/>
  <c r="V4" i="3"/>
  <c r="U4" i="3"/>
  <c r="T4" i="3"/>
  <c r="S4" i="3"/>
  <c r="R4" i="3"/>
  <c r="M3" i="3"/>
  <c r="L3" i="3"/>
  <c r="K3" i="3"/>
  <c r="J3" i="3"/>
  <c r="I3" i="3"/>
  <c r="H3" i="3"/>
  <c r="G3" i="3"/>
  <c r="F3" i="3"/>
  <c r="E3" i="3"/>
  <c r="D3" i="3"/>
  <c r="C3" i="3"/>
  <c r="Z95" i="1"/>
  <c r="Z96" i="1"/>
  <c r="Z97" i="1"/>
  <c r="Z98" i="1"/>
  <c r="Z99" i="1"/>
  <c r="Z100" i="1"/>
  <c r="Z101" i="1"/>
  <c r="Z102" i="1"/>
  <c r="Z103" i="1"/>
  <c r="Z104" i="1"/>
  <c r="Z105" i="1"/>
  <c r="AA105" i="1"/>
  <c r="W95" i="1"/>
  <c r="W96" i="1"/>
  <c r="W97" i="1"/>
  <c r="W98" i="1"/>
  <c r="W99" i="1"/>
  <c r="W100" i="1"/>
  <c r="W101" i="1"/>
  <c r="W102" i="1"/>
  <c r="W103" i="1"/>
  <c r="W104" i="1"/>
  <c r="W105" i="1"/>
  <c r="X105" i="1"/>
  <c r="U105" i="1"/>
  <c r="R105" i="1"/>
  <c r="N95" i="1"/>
  <c r="N96" i="1"/>
  <c r="N97" i="1"/>
  <c r="N98" i="1"/>
  <c r="N99" i="1"/>
  <c r="N100" i="1"/>
  <c r="N101" i="1"/>
  <c r="N102" i="1"/>
  <c r="N103" i="1"/>
  <c r="N104" i="1"/>
  <c r="N105" i="1"/>
  <c r="O105" i="1"/>
  <c r="L105" i="1"/>
  <c r="AA59" i="1"/>
  <c r="X59" i="1"/>
  <c r="U59" i="1"/>
  <c r="R59" i="1"/>
  <c r="O59" i="1"/>
  <c r="L59" i="1"/>
  <c r="AI67" i="4"/>
  <c r="AI53" i="4"/>
  <c r="AI51" i="4"/>
  <c r="AI50" i="4"/>
  <c r="AI49" i="4"/>
  <c r="AI48" i="4"/>
  <c r="AI46" i="4"/>
  <c r="AI43" i="4"/>
  <c r="AI21" i="4"/>
  <c r="AE30" i="4"/>
  <c r="AE65" i="4"/>
  <c r="AE56" i="4"/>
  <c r="AE53" i="4"/>
  <c r="D31" i="1"/>
  <c r="D39" i="1"/>
  <c r="N3" i="1"/>
  <c r="Q3" i="1"/>
  <c r="D26" i="1"/>
  <c r="D30" i="1"/>
  <c r="D32" i="1"/>
  <c r="D33" i="1"/>
  <c r="D18" i="1"/>
  <c r="D19" i="1"/>
  <c r="D20" i="1"/>
  <c r="D21" i="1"/>
  <c r="D22" i="1"/>
  <c r="D23" i="1"/>
  <c r="D24" i="1"/>
  <c r="D25" i="1"/>
  <c r="D27" i="1"/>
  <c r="B28" i="1"/>
  <c r="D28" i="1"/>
  <c r="D29" i="1"/>
  <c r="B34" i="1"/>
  <c r="D34" i="1"/>
  <c r="D35" i="1"/>
  <c r="D36" i="1"/>
  <c r="D37" i="1"/>
  <c r="D38" i="1"/>
  <c r="D40" i="1"/>
  <c r="D41" i="1"/>
  <c r="D42" i="1"/>
  <c r="D43" i="1"/>
  <c r="D44" i="1"/>
  <c r="D45" i="1"/>
  <c r="D46" i="1"/>
  <c r="D47" i="1"/>
  <c r="D48" i="1"/>
  <c r="D49" i="1"/>
  <c r="D50" i="1"/>
  <c r="N4" i="1"/>
  <c r="Q4" i="1"/>
  <c r="N5" i="1"/>
  <c r="Q5" i="1"/>
  <c r="N6" i="1"/>
  <c r="Q6" i="1"/>
  <c r="N7" i="1"/>
  <c r="Q7" i="1"/>
  <c r="N8" i="1"/>
  <c r="Q8" i="1"/>
  <c r="N9" i="1"/>
  <c r="Q9" i="1"/>
  <c r="N10" i="1"/>
  <c r="Q10" i="1"/>
  <c r="N11" i="1"/>
  <c r="Q11" i="1"/>
  <c r="N12" i="1"/>
  <c r="Q12" i="1"/>
  <c r="D3" i="1"/>
  <c r="D4" i="1"/>
  <c r="D5" i="1"/>
  <c r="D6" i="1"/>
  <c r="B6" i="1"/>
  <c r="B7" i="1"/>
  <c r="B8" i="1"/>
  <c r="B9" i="1"/>
  <c r="B10" i="1"/>
  <c r="D10" i="1"/>
  <c r="I7" i="1"/>
  <c r="N13" i="1"/>
  <c r="Q13" i="1"/>
  <c r="AA11" i="1"/>
  <c r="F42" i="1"/>
  <c r="E42" i="1"/>
  <c r="F41" i="1"/>
  <c r="E41" i="1"/>
  <c r="F40" i="1"/>
  <c r="E40" i="1"/>
  <c r="AE21" i="4"/>
  <c r="E37" i="1"/>
  <c r="F37" i="1"/>
  <c r="E38" i="1"/>
  <c r="F38" i="1"/>
  <c r="E39" i="1"/>
  <c r="F39" i="1"/>
  <c r="E32" i="1"/>
  <c r="F32" i="1"/>
  <c r="E33" i="1"/>
  <c r="F33" i="1"/>
  <c r="E34" i="1"/>
  <c r="F34" i="1"/>
  <c r="E35" i="1"/>
  <c r="F35" i="1"/>
  <c r="E36" i="1"/>
  <c r="F36" i="1"/>
  <c r="AA88" i="4"/>
  <c r="AA89" i="4"/>
  <c r="AA90" i="4"/>
  <c r="AA87" i="4"/>
  <c r="W18" i="4"/>
  <c r="W76" i="4"/>
  <c r="W75" i="4"/>
  <c r="W73" i="4"/>
  <c r="W78" i="4"/>
  <c r="AA85" i="4"/>
  <c r="AA21" i="4"/>
  <c r="E30" i="1"/>
  <c r="F30" i="1"/>
  <c r="E31" i="1"/>
  <c r="F31" i="1"/>
  <c r="AA61" i="4"/>
  <c r="AA57" i="4"/>
  <c r="AY26" i="4"/>
  <c r="I25" i="3"/>
  <c r="H25" i="3"/>
  <c r="R11" i="4"/>
  <c r="G25" i="3"/>
  <c r="N11" i="4"/>
  <c r="F25" i="3"/>
  <c r="J11" i="4"/>
  <c r="E25" i="3"/>
  <c r="F11" i="4"/>
  <c r="D25" i="3"/>
  <c r="B11" i="4"/>
  <c r="C25" i="3"/>
  <c r="C44" i="3"/>
  <c r="D44" i="3"/>
  <c r="E44" i="3"/>
  <c r="F44" i="3"/>
  <c r="G44" i="3"/>
  <c r="H44" i="3"/>
  <c r="I44" i="3"/>
  <c r="J25" i="3"/>
  <c r="J44" i="3"/>
  <c r="K25" i="3"/>
  <c r="K44" i="3"/>
  <c r="L25" i="3"/>
  <c r="L44" i="3"/>
  <c r="AP11" i="4"/>
  <c r="M25" i="3"/>
  <c r="M44" i="3"/>
  <c r="AT11" i="4"/>
  <c r="N25" i="3"/>
  <c r="N44" i="3"/>
  <c r="O45" i="3"/>
  <c r="AY28" i="4"/>
  <c r="H31" i="3"/>
  <c r="Z58" i="1"/>
  <c r="H30" i="3"/>
  <c r="H59" i="3"/>
  <c r="N20" i="1"/>
  <c r="N50" i="1"/>
  <c r="D6" i="3"/>
  <c r="AY20" i="4"/>
  <c r="F5" i="4"/>
  <c r="D7" i="3"/>
  <c r="D51" i="3"/>
  <c r="Q20" i="1"/>
  <c r="Q50" i="1"/>
  <c r="E6" i="3"/>
  <c r="J5" i="4"/>
  <c r="E7" i="3"/>
  <c r="E51" i="3"/>
  <c r="T20" i="1"/>
  <c r="T50" i="1"/>
  <c r="F6" i="3"/>
  <c r="N5" i="4"/>
  <c r="F7" i="3"/>
  <c r="F51" i="3"/>
  <c r="W20" i="1"/>
  <c r="W50" i="1"/>
  <c r="G6" i="3"/>
  <c r="R5" i="4"/>
  <c r="G7" i="3"/>
  <c r="G51" i="3"/>
  <c r="H7" i="3"/>
  <c r="Z50" i="1"/>
  <c r="H6" i="3"/>
  <c r="H51" i="3"/>
  <c r="I7" i="3"/>
  <c r="K96" i="1"/>
  <c r="I6" i="3"/>
  <c r="I51" i="3"/>
  <c r="J7" i="3"/>
  <c r="J6" i="3"/>
  <c r="J51" i="3"/>
  <c r="K6" i="3"/>
  <c r="K7" i="3"/>
  <c r="K51" i="3"/>
  <c r="L6" i="3"/>
  <c r="L7" i="3"/>
  <c r="L51" i="3"/>
  <c r="M6" i="3"/>
  <c r="AP5" i="4"/>
  <c r="M7" i="3"/>
  <c r="M51" i="3"/>
  <c r="N6" i="3"/>
  <c r="AT5" i="4"/>
  <c r="N7" i="3"/>
  <c r="N51" i="3"/>
  <c r="B5" i="4"/>
  <c r="AX5" i="4"/>
  <c r="C7" i="3"/>
  <c r="O7" i="3"/>
  <c r="K20" i="1"/>
  <c r="K50" i="1"/>
  <c r="C6" i="3"/>
  <c r="O6" i="3"/>
  <c r="O51" i="3"/>
  <c r="N22" i="1"/>
  <c r="N51" i="1"/>
  <c r="D9" i="3"/>
  <c r="AY21" i="4"/>
  <c r="F6" i="4"/>
  <c r="D10" i="3"/>
  <c r="D52" i="3"/>
  <c r="Q22" i="1"/>
  <c r="Q51" i="1"/>
  <c r="E9" i="3"/>
  <c r="J6" i="4"/>
  <c r="E10" i="3"/>
  <c r="E52" i="3"/>
  <c r="T22" i="1"/>
  <c r="T51" i="1"/>
  <c r="F9" i="3"/>
  <c r="O21" i="4"/>
  <c r="O31" i="4"/>
  <c r="O54" i="4"/>
  <c r="O56" i="4"/>
  <c r="N6" i="4"/>
  <c r="F10" i="3"/>
  <c r="F52" i="3"/>
  <c r="W22" i="1"/>
  <c r="W51" i="1"/>
  <c r="G9" i="3"/>
  <c r="S40" i="4"/>
  <c r="R6" i="4"/>
  <c r="G10" i="3"/>
  <c r="G52" i="3"/>
  <c r="W38" i="4"/>
  <c r="H10" i="3"/>
  <c r="Z51" i="1"/>
  <c r="H9" i="3"/>
  <c r="H52" i="3"/>
  <c r="I10" i="3"/>
  <c r="K97" i="1"/>
  <c r="I9" i="3"/>
  <c r="I52" i="3"/>
  <c r="J10" i="3"/>
  <c r="J9" i="3"/>
  <c r="J52" i="3"/>
  <c r="K9" i="3"/>
  <c r="K10" i="3"/>
  <c r="K52" i="3"/>
  <c r="L9" i="3"/>
  <c r="L10" i="3"/>
  <c r="L52" i="3"/>
  <c r="M9" i="3"/>
  <c r="AP6" i="4"/>
  <c r="M10" i="3"/>
  <c r="M52" i="3"/>
  <c r="N9" i="3"/>
  <c r="AT6" i="4"/>
  <c r="N10" i="3"/>
  <c r="N52" i="3"/>
  <c r="B6" i="4"/>
  <c r="AX6" i="4"/>
  <c r="C10" i="3"/>
  <c r="O10" i="3"/>
  <c r="K22" i="1"/>
  <c r="K51" i="1"/>
  <c r="C9" i="3"/>
  <c r="O9" i="3"/>
  <c r="O52" i="3"/>
  <c r="N24" i="1"/>
  <c r="N52" i="1"/>
  <c r="D12" i="3"/>
  <c r="AY22" i="4"/>
  <c r="F7" i="4"/>
  <c r="D13" i="3"/>
  <c r="D53" i="3"/>
  <c r="Q24" i="1"/>
  <c r="Q52" i="1"/>
  <c r="E12" i="3"/>
  <c r="J7" i="4"/>
  <c r="E13" i="3"/>
  <c r="E53" i="3"/>
  <c r="T24" i="1"/>
  <c r="T52" i="1"/>
  <c r="F12" i="3"/>
  <c r="O25" i="4"/>
  <c r="N7" i="4"/>
  <c r="F13" i="3"/>
  <c r="F53" i="3"/>
  <c r="W24" i="1"/>
  <c r="W52" i="1"/>
  <c r="G12" i="3"/>
  <c r="R7" i="4"/>
  <c r="G13" i="3"/>
  <c r="G53" i="3"/>
  <c r="H13" i="3"/>
  <c r="Z52" i="1"/>
  <c r="H12" i="3"/>
  <c r="H53" i="3"/>
  <c r="I13" i="3"/>
  <c r="K98" i="1"/>
  <c r="I12" i="3"/>
  <c r="I53" i="3"/>
  <c r="J13" i="3"/>
  <c r="J12" i="3"/>
  <c r="J53" i="3"/>
  <c r="K12" i="3"/>
  <c r="K13" i="3"/>
  <c r="K53" i="3"/>
  <c r="L12" i="3"/>
  <c r="L13" i="3"/>
  <c r="L53" i="3"/>
  <c r="M12" i="3"/>
  <c r="AP7" i="4"/>
  <c r="M13" i="3"/>
  <c r="M53" i="3"/>
  <c r="N12" i="3"/>
  <c r="AT7" i="4"/>
  <c r="N13" i="3"/>
  <c r="N53" i="3"/>
  <c r="B7" i="4"/>
  <c r="AX7" i="4"/>
  <c r="C13" i="3"/>
  <c r="O13" i="3"/>
  <c r="K24" i="1"/>
  <c r="K52" i="1"/>
  <c r="C12" i="3"/>
  <c r="O12" i="3"/>
  <c r="O53" i="3"/>
  <c r="N26" i="1"/>
  <c r="N53" i="1"/>
  <c r="D15" i="3"/>
  <c r="AY23" i="4"/>
  <c r="F8" i="4"/>
  <c r="D16" i="3"/>
  <c r="D54" i="3"/>
  <c r="Q26" i="1"/>
  <c r="Q53" i="1"/>
  <c r="E15" i="3"/>
  <c r="J8" i="4"/>
  <c r="E16" i="3"/>
  <c r="E54" i="3"/>
  <c r="T26" i="1"/>
  <c r="T53" i="1"/>
  <c r="F15" i="3"/>
  <c r="N8" i="4"/>
  <c r="F16" i="3"/>
  <c r="F54" i="3"/>
  <c r="W26" i="1"/>
  <c r="W53" i="1"/>
  <c r="G15" i="3"/>
  <c r="R8" i="4"/>
  <c r="G16" i="3"/>
  <c r="G54" i="3"/>
  <c r="W54" i="4"/>
  <c r="H16" i="3"/>
  <c r="Z53" i="1"/>
  <c r="H15" i="3"/>
  <c r="H54" i="3"/>
  <c r="I16" i="3"/>
  <c r="K99" i="1"/>
  <c r="I15" i="3"/>
  <c r="I54" i="3"/>
  <c r="J16" i="3"/>
  <c r="J15" i="3"/>
  <c r="J54" i="3"/>
  <c r="K15" i="3"/>
  <c r="K16" i="3"/>
  <c r="K54" i="3"/>
  <c r="L15" i="3"/>
  <c r="L16" i="3"/>
  <c r="L54" i="3"/>
  <c r="M15" i="3"/>
  <c r="AP8" i="4"/>
  <c r="M16" i="3"/>
  <c r="M54" i="3"/>
  <c r="N15" i="3"/>
  <c r="AT8" i="4"/>
  <c r="N16" i="3"/>
  <c r="N54" i="3"/>
  <c r="B8" i="4"/>
  <c r="AX8" i="4"/>
  <c r="C16" i="3"/>
  <c r="O16" i="3"/>
  <c r="K26" i="1"/>
  <c r="K53" i="1"/>
  <c r="C15" i="3"/>
  <c r="O15" i="3"/>
  <c r="O54" i="3"/>
  <c r="N28" i="1"/>
  <c r="N54" i="1"/>
  <c r="D18" i="3"/>
  <c r="AY24" i="4"/>
  <c r="G21" i="4"/>
  <c r="F9" i="4"/>
  <c r="D19" i="3"/>
  <c r="D55" i="3"/>
  <c r="Q28" i="1"/>
  <c r="Q54" i="1"/>
  <c r="E18" i="3"/>
  <c r="J9" i="4"/>
  <c r="E19" i="3"/>
  <c r="E55" i="3"/>
  <c r="T28" i="1"/>
  <c r="T54" i="1"/>
  <c r="F18" i="3"/>
  <c r="N9" i="4"/>
  <c r="F19" i="3"/>
  <c r="F55" i="3"/>
  <c r="W28" i="1"/>
  <c r="W54" i="1"/>
  <c r="G18" i="3"/>
  <c r="R9" i="4"/>
  <c r="G19" i="3"/>
  <c r="G55" i="3"/>
  <c r="H19" i="3"/>
  <c r="Z54" i="1"/>
  <c r="H18" i="3"/>
  <c r="H55" i="3"/>
  <c r="I19" i="3"/>
  <c r="K100" i="1"/>
  <c r="I18" i="3"/>
  <c r="I55" i="3"/>
  <c r="J19" i="3"/>
  <c r="J18" i="3"/>
  <c r="J55" i="3"/>
  <c r="K18" i="3"/>
  <c r="K19" i="3"/>
  <c r="K55" i="3"/>
  <c r="L18" i="3"/>
  <c r="L19" i="3"/>
  <c r="L55" i="3"/>
  <c r="M18" i="3"/>
  <c r="AP9" i="4"/>
  <c r="M19" i="3"/>
  <c r="M55" i="3"/>
  <c r="N18" i="3"/>
  <c r="AT9" i="4"/>
  <c r="N19" i="3"/>
  <c r="N55" i="3"/>
  <c r="B9" i="4"/>
  <c r="AX9" i="4"/>
  <c r="C19" i="3"/>
  <c r="O19" i="3"/>
  <c r="K28" i="1"/>
  <c r="K54" i="1"/>
  <c r="C18" i="3"/>
  <c r="O18" i="3"/>
  <c r="O55" i="3"/>
  <c r="N30" i="1"/>
  <c r="N55" i="1"/>
  <c r="D21" i="3"/>
  <c r="AY25" i="4"/>
  <c r="F10" i="4"/>
  <c r="D22" i="3"/>
  <c r="D56" i="3"/>
  <c r="Q30" i="1"/>
  <c r="Q55" i="1"/>
  <c r="E21" i="3"/>
  <c r="J10" i="4"/>
  <c r="E22" i="3"/>
  <c r="E56" i="3"/>
  <c r="T30" i="1"/>
  <c r="T55" i="1"/>
  <c r="F21" i="3"/>
  <c r="N10" i="4"/>
  <c r="F22" i="3"/>
  <c r="F56" i="3"/>
  <c r="W30" i="1"/>
  <c r="W55" i="1"/>
  <c r="G21" i="3"/>
  <c r="R10" i="4"/>
  <c r="G22" i="3"/>
  <c r="G56" i="3"/>
  <c r="H22" i="3"/>
  <c r="Z55" i="1"/>
  <c r="H21" i="3"/>
  <c r="H56" i="3"/>
  <c r="I22" i="3"/>
  <c r="K101" i="1"/>
  <c r="I21" i="3"/>
  <c r="I56" i="3"/>
  <c r="J22" i="3"/>
  <c r="J21" i="3"/>
  <c r="J56" i="3"/>
  <c r="K21" i="3"/>
  <c r="K22" i="3"/>
  <c r="K56" i="3"/>
  <c r="L21" i="3"/>
  <c r="L22" i="3"/>
  <c r="L56" i="3"/>
  <c r="M21" i="3"/>
  <c r="AP10" i="4"/>
  <c r="M22" i="3"/>
  <c r="M56" i="3"/>
  <c r="N21" i="3"/>
  <c r="AT10" i="4"/>
  <c r="N22" i="3"/>
  <c r="N56" i="3"/>
  <c r="B10" i="4"/>
  <c r="AX10" i="4"/>
  <c r="C22" i="3"/>
  <c r="O22" i="3"/>
  <c r="K30" i="1"/>
  <c r="K55" i="1"/>
  <c r="C21" i="3"/>
  <c r="O21" i="3"/>
  <c r="O56" i="3"/>
  <c r="N32" i="1"/>
  <c r="N56" i="1"/>
  <c r="D24" i="3"/>
  <c r="D57" i="3"/>
  <c r="Q32" i="1"/>
  <c r="Q56" i="1"/>
  <c r="E24" i="3"/>
  <c r="E57" i="3"/>
  <c r="T32" i="1"/>
  <c r="T56" i="1"/>
  <c r="F24" i="3"/>
  <c r="F57" i="3"/>
  <c r="W32" i="1"/>
  <c r="W56" i="1"/>
  <c r="G24" i="3"/>
  <c r="G57" i="3"/>
  <c r="Z56" i="1"/>
  <c r="H24" i="3"/>
  <c r="H57" i="3"/>
  <c r="K102" i="1"/>
  <c r="I24" i="3"/>
  <c r="I57" i="3"/>
  <c r="J24" i="3"/>
  <c r="J57" i="3"/>
  <c r="K24" i="3"/>
  <c r="K57" i="3"/>
  <c r="L24" i="3"/>
  <c r="L57" i="3"/>
  <c r="M24" i="3"/>
  <c r="M57" i="3"/>
  <c r="N24" i="3"/>
  <c r="N57" i="3"/>
  <c r="AX11" i="4"/>
  <c r="O25" i="3"/>
  <c r="K32" i="1"/>
  <c r="K56" i="1"/>
  <c r="C24" i="3"/>
  <c r="O24" i="3"/>
  <c r="O57" i="3"/>
  <c r="N34" i="1"/>
  <c r="N57" i="1"/>
  <c r="D27" i="3"/>
  <c r="AY27" i="4"/>
  <c r="F12" i="4"/>
  <c r="D28" i="3"/>
  <c r="D58" i="3"/>
  <c r="Q34" i="1"/>
  <c r="Q57" i="1"/>
  <c r="E27" i="3"/>
  <c r="J12" i="4"/>
  <c r="E28" i="3"/>
  <c r="E58" i="3"/>
  <c r="T34" i="1"/>
  <c r="T57" i="1"/>
  <c r="F27" i="3"/>
  <c r="N12" i="4"/>
  <c r="F28" i="3"/>
  <c r="F58" i="3"/>
  <c r="W34" i="1"/>
  <c r="W57" i="1"/>
  <c r="G27" i="3"/>
  <c r="R12" i="4"/>
  <c r="G28" i="3"/>
  <c r="G58" i="3"/>
  <c r="H28" i="3"/>
  <c r="Z57" i="1"/>
  <c r="H27" i="3"/>
  <c r="H58" i="3"/>
  <c r="I28" i="3"/>
  <c r="K103" i="1"/>
  <c r="I27" i="3"/>
  <c r="I58" i="3"/>
  <c r="J28" i="3"/>
  <c r="J27" i="3"/>
  <c r="J58" i="3"/>
  <c r="K27" i="3"/>
  <c r="K28" i="3"/>
  <c r="K58" i="3"/>
  <c r="L27" i="3"/>
  <c r="L28" i="3"/>
  <c r="L58" i="3"/>
  <c r="M27" i="3"/>
  <c r="AP12" i="4"/>
  <c r="M28" i="3"/>
  <c r="M58" i="3"/>
  <c r="N27" i="3"/>
  <c r="AT12" i="4"/>
  <c r="N28" i="3"/>
  <c r="N58" i="3"/>
  <c r="B12" i="4"/>
  <c r="AX12" i="4"/>
  <c r="C28" i="3"/>
  <c r="O28" i="3"/>
  <c r="K34" i="1"/>
  <c r="K57" i="1"/>
  <c r="C27" i="3"/>
  <c r="O27" i="3"/>
  <c r="O58" i="3"/>
  <c r="N36" i="1"/>
  <c r="N58" i="1"/>
  <c r="D30" i="3"/>
  <c r="F13" i="4"/>
  <c r="D31" i="3"/>
  <c r="D59" i="3"/>
  <c r="Q36" i="1"/>
  <c r="Q58" i="1"/>
  <c r="E30" i="3"/>
  <c r="J13" i="4"/>
  <c r="E31" i="3"/>
  <c r="E59" i="3"/>
  <c r="T36" i="1"/>
  <c r="T58" i="1"/>
  <c r="F30" i="3"/>
  <c r="N13" i="4"/>
  <c r="F31" i="3"/>
  <c r="F59" i="3"/>
  <c r="W36" i="1"/>
  <c r="W58" i="1"/>
  <c r="G30" i="3"/>
  <c r="R13" i="4"/>
  <c r="G31" i="3"/>
  <c r="G59" i="3"/>
  <c r="I31" i="3"/>
  <c r="K104" i="1"/>
  <c r="I30" i="3"/>
  <c r="I59" i="3"/>
  <c r="J31" i="3"/>
  <c r="J30" i="3"/>
  <c r="J59" i="3"/>
  <c r="K30" i="3"/>
  <c r="K31" i="3"/>
  <c r="K59" i="3"/>
  <c r="L30" i="3"/>
  <c r="L31" i="3"/>
  <c r="L59" i="3"/>
  <c r="M30" i="3"/>
  <c r="AP13" i="4"/>
  <c r="M31" i="3"/>
  <c r="M59" i="3"/>
  <c r="N30" i="3"/>
  <c r="AT13" i="4"/>
  <c r="N31" i="3"/>
  <c r="N59" i="3"/>
  <c r="B13" i="4"/>
  <c r="AX13" i="4"/>
  <c r="C31" i="3"/>
  <c r="O31" i="3"/>
  <c r="K36" i="1"/>
  <c r="K58" i="1"/>
  <c r="C30" i="3"/>
  <c r="O30" i="3"/>
  <c r="O59" i="3"/>
  <c r="N18" i="1"/>
  <c r="N49" i="1"/>
  <c r="D33" i="3"/>
  <c r="AY19" i="4"/>
  <c r="F4" i="4"/>
  <c r="D4" i="3"/>
  <c r="D34" i="3"/>
  <c r="D60" i="3"/>
  <c r="Q18" i="1"/>
  <c r="Q49" i="1"/>
  <c r="E33" i="3"/>
  <c r="J4" i="4"/>
  <c r="E4" i="3"/>
  <c r="E34" i="3"/>
  <c r="E60" i="3"/>
  <c r="T18" i="1"/>
  <c r="T49" i="1"/>
  <c r="F33" i="3"/>
  <c r="N4" i="4"/>
  <c r="F4" i="3"/>
  <c r="F34" i="3"/>
  <c r="F60" i="3"/>
  <c r="W18" i="1"/>
  <c r="W49" i="1"/>
  <c r="G33" i="3"/>
  <c r="R4" i="4"/>
  <c r="G4" i="3"/>
  <c r="G34" i="3"/>
  <c r="G60" i="3"/>
  <c r="H4" i="3"/>
  <c r="H34" i="3"/>
  <c r="Z49" i="1"/>
  <c r="H33" i="3"/>
  <c r="H60" i="3"/>
  <c r="I4" i="3"/>
  <c r="I34" i="3"/>
  <c r="K95" i="1"/>
  <c r="I33" i="3"/>
  <c r="I60" i="3"/>
  <c r="J4" i="3"/>
  <c r="J34" i="3"/>
  <c r="J33" i="3"/>
  <c r="J60" i="3"/>
  <c r="K33" i="3"/>
  <c r="K4" i="3"/>
  <c r="K34" i="3"/>
  <c r="K60" i="3"/>
  <c r="L33" i="3"/>
  <c r="L4" i="3"/>
  <c r="L34" i="3"/>
  <c r="L60" i="3"/>
  <c r="M33" i="3"/>
  <c r="AP4" i="4"/>
  <c r="M4" i="3"/>
  <c r="M34" i="3"/>
  <c r="M60" i="3"/>
  <c r="N3" i="3"/>
  <c r="N33" i="3"/>
  <c r="AT4" i="4"/>
  <c r="N4" i="3"/>
  <c r="N34" i="3"/>
  <c r="N60" i="3"/>
  <c r="B4" i="4"/>
  <c r="AX4" i="4"/>
  <c r="C4" i="3"/>
  <c r="O4" i="3"/>
  <c r="C34" i="3"/>
  <c r="O34" i="3"/>
  <c r="K18" i="1"/>
  <c r="K49" i="1"/>
  <c r="C33" i="3"/>
  <c r="O3" i="3"/>
  <c r="O33" i="3"/>
  <c r="O60" i="3"/>
  <c r="C60" i="3"/>
  <c r="C59" i="3"/>
  <c r="C58" i="3"/>
  <c r="C57" i="3"/>
  <c r="C56" i="3"/>
  <c r="C55" i="3"/>
  <c r="C54" i="3"/>
  <c r="C53" i="3"/>
  <c r="C52" i="3"/>
  <c r="C51" i="3"/>
  <c r="D50" i="3"/>
  <c r="E50" i="3"/>
  <c r="F50" i="3"/>
  <c r="G50" i="3"/>
  <c r="H50" i="3"/>
  <c r="I50" i="3"/>
  <c r="J50" i="3"/>
  <c r="K50" i="3"/>
  <c r="L50" i="3"/>
  <c r="M50" i="3"/>
  <c r="N50" i="3"/>
  <c r="O50" i="3"/>
  <c r="C50" i="3"/>
  <c r="E19" i="1"/>
  <c r="E20" i="1"/>
  <c r="E21" i="1"/>
  <c r="E22" i="1"/>
  <c r="E23" i="1"/>
  <c r="E24" i="1"/>
  <c r="E25" i="1"/>
  <c r="E26" i="1"/>
  <c r="E27" i="1"/>
  <c r="E28" i="1"/>
  <c r="E29" i="1"/>
  <c r="E43" i="1"/>
  <c r="E44" i="1"/>
  <c r="E45" i="1"/>
  <c r="E46" i="1"/>
  <c r="E47" i="1"/>
  <c r="E48" i="1"/>
  <c r="E49" i="1"/>
  <c r="E50" i="1"/>
  <c r="E18" i="1"/>
  <c r="AV5" i="4"/>
  <c r="AR5" i="4"/>
  <c r="AN5" i="4"/>
  <c r="AJ5" i="4"/>
  <c r="AF5" i="4"/>
  <c r="AB5" i="4"/>
  <c r="X5" i="4"/>
  <c r="T5" i="4"/>
  <c r="P5" i="4"/>
  <c r="L5" i="4"/>
  <c r="H5" i="4"/>
  <c r="D5" i="4"/>
  <c r="T4" i="1"/>
  <c r="AZ5" i="4"/>
  <c r="AV6" i="4"/>
  <c r="AR6" i="4"/>
  <c r="AN6" i="4"/>
  <c r="AJ6" i="4"/>
  <c r="AF6" i="4"/>
  <c r="AB6" i="4"/>
  <c r="X6" i="4"/>
  <c r="T6" i="4"/>
  <c r="P6" i="4"/>
  <c r="L6" i="4"/>
  <c r="H6" i="4"/>
  <c r="D6" i="4"/>
  <c r="T5" i="1"/>
  <c r="AZ6" i="4"/>
  <c r="AV7" i="4"/>
  <c r="AR7" i="4"/>
  <c r="AN7" i="4"/>
  <c r="AJ7" i="4"/>
  <c r="AF7" i="4"/>
  <c r="AB7" i="4"/>
  <c r="X7" i="4"/>
  <c r="T7" i="4"/>
  <c r="P7" i="4"/>
  <c r="L7" i="4"/>
  <c r="H7" i="4"/>
  <c r="D7" i="4"/>
  <c r="T6" i="1"/>
  <c r="AZ7" i="4"/>
  <c r="AV8" i="4"/>
  <c r="AR8" i="4"/>
  <c r="AN8" i="4"/>
  <c r="AJ8" i="4"/>
  <c r="AF8" i="4"/>
  <c r="AB8" i="4"/>
  <c r="X8" i="4"/>
  <c r="T8" i="4"/>
  <c r="P8" i="4"/>
  <c r="L8" i="4"/>
  <c r="H8" i="4"/>
  <c r="D8" i="4"/>
  <c r="T7" i="1"/>
  <c r="AZ8" i="4"/>
  <c r="AV9" i="4"/>
  <c r="AR9" i="4"/>
  <c r="AN9" i="4"/>
  <c r="AJ9" i="4"/>
  <c r="AF9" i="4"/>
  <c r="AB9" i="4"/>
  <c r="X9" i="4"/>
  <c r="T9" i="4"/>
  <c r="P9" i="4"/>
  <c r="L9" i="4"/>
  <c r="H9" i="4"/>
  <c r="D9" i="4"/>
  <c r="T8" i="1"/>
  <c r="AZ9" i="4"/>
  <c r="AV10" i="4"/>
  <c r="AR10" i="4"/>
  <c r="AN10" i="4"/>
  <c r="AJ10" i="4"/>
  <c r="AF10" i="4"/>
  <c r="AB10" i="4"/>
  <c r="X10" i="4"/>
  <c r="T10" i="4"/>
  <c r="P10" i="4"/>
  <c r="L10" i="4"/>
  <c r="H10" i="4"/>
  <c r="D10" i="4"/>
  <c r="T9" i="1"/>
  <c r="AZ10" i="4"/>
  <c r="AV11" i="4"/>
  <c r="AR11" i="4"/>
  <c r="AN11" i="4"/>
  <c r="AJ11" i="4"/>
  <c r="AF11" i="4"/>
  <c r="AB11" i="4"/>
  <c r="X11" i="4"/>
  <c r="T11" i="4"/>
  <c r="P11" i="4"/>
  <c r="L11" i="4"/>
  <c r="H11" i="4"/>
  <c r="D11" i="4"/>
  <c r="T10" i="1"/>
  <c r="AZ11" i="4"/>
  <c r="AV12" i="4"/>
  <c r="AR12" i="4"/>
  <c r="AN12" i="4"/>
  <c r="AJ12" i="4"/>
  <c r="AF12" i="4"/>
  <c r="AB12" i="4"/>
  <c r="X12" i="4"/>
  <c r="T12" i="4"/>
  <c r="P12" i="4"/>
  <c r="L12" i="4"/>
  <c r="H12" i="4"/>
  <c r="D12" i="4"/>
  <c r="T11" i="1"/>
  <c r="AZ12" i="4"/>
  <c r="AV13" i="4"/>
  <c r="AR13" i="4"/>
  <c r="AN13" i="4"/>
  <c r="AJ13" i="4"/>
  <c r="AF13" i="4"/>
  <c r="AB13" i="4"/>
  <c r="X13" i="4"/>
  <c r="T13" i="4"/>
  <c r="P13" i="4"/>
  <c r="L13" i="4"/>
  <c r="H13" i="4"/>
  <c r="D13" i="4"/>
  <c r="T12" i="1"/>
  <c r="AZ13" i="4"/>
  <c r="AV4" i="4"/>
  <c r="AV14" i="4"/>
  <c r="AR4" i="4"/>
  <c r="AR14" i="4"/>
  <c r="AN4" i="4"/>
  <c r="AN14" i="4"/>
  <c r="AJ4" i="4"/>
  <c r="AJ14" i="4"/>
  <c r="AF4" i="4"/>
  <c r="AF14" i="4"/>
  <c r="AB4" i="4"/>
  <c r="AB14" i="4"/>
  <c r="X4" i="4"/>
  <c r="X14" i="4"/>
  <c r="T4" i="4"/>
  <c r="T14" i="4"/>
  <c r="P4" i="4"/>
  <c r="P14" i="4"/>
  <c r="L4" i="4"/>
  <c r="L14" i="4"/>
  <c r="H4" i="4"/>
  <c r="H14" i="4"/>
  <c r="D4" i="4"/>
  <c r="D14" i="4"/>
  <c r="T3" i="1"/>
  <c r="B14" i="4"/>
  <c r="F14" i="4"/>
  <c r="J14" i="4"/>
  <c r="N14" i="4"/>
  <c r="R14" i="4"/>
  <c r="AT14" i="4"/>
  <c r="AP14" i="4"/>
  <c r="AX14" i="4"/>
  <c r="AZ4" i="4"/>
  <c r="F43" i="1"/>
  <c r="F44" i="1"/>
  <c r="E10" i="1"/>
  <c r="E4" i="1"/>
  <c r="E5" i="1"/>
  <c r="E6" i="1"/>
  <c r="D7" i="1"/>
  <c r="E7" i="1"/>
  <c r="D8" i="1"/>
  <c r="E8" i="1"/>
  <c r="D9" i="1"/>
  <c r="E9" i="1"/>
  <c r="E3" i="1"/>
  <c r="A30" i="3"/>
  <c r="A27" i="3"/>
  <c r="A12" i="4"/>
  <c r="A13" i="4"/>
  <c r="F11" i="1"/>
  <c r="F45" i="1"/>
  <c r="F3" i="1"/>
  <c r="F50" i="1"/>
  <c r="F49" i="1"/>
  <c r="F28" i="1"/>
  <c r="F29" i="1"/>
  <c r="F47" i="1"/>
  <c r="F46" i="1"/>
  <c r="A11" i="4"/>
  <c r="F24" i="1"/>
  <c r="F19" i="1"/>
  <c r="F21" i="1"/>
  <c r="F20" i="1"/>
  <c r="F25" i="1"/>
  <c r="F26" i="1"/>
  <c r="F23" i="1"/>
  <c r="F22" i="1"/>
  <c r="F27" i="1"/>
  <c r="F4" i="1"/>
  <c r="A9" i="4"/>
  <c r="A5" i="4"/>
  <c r="F48" i="1"/>
  <c r="A8" i="4"/>
  <c r="C32" i="3"/>
  <c r="K29" i="3"/>
  <c r="A7" i="4"/>
  <c r="F5" i="1"/>
  <c r="F18" i="1"/>
  <c r="A10" i="4"/>
  <c r="A6" i="4"/>
  <c r="A12" i="3"/>
  <c r="A18" i="3"/>
  <c r="A15" i="3"/>
  <c r="A21" i="3"/>
  <c r="A24" i="3"/>
  <c r="A3" i="3"/>
  <c r="A6" i="3"/>
  <c r="A9" i="3"/>
  <c r="K32" i="3"/>
  <c r="H32" i="3"/>
  <c r="I29" i="3"/>
  <c r="N32" i="3"/>
  <c r="J32" i="3"/>
  <c r="F32" i="3"/>
  <c r="N29" i="3"/>
  <c r="L29" i="3"/>
  <c r="D32" i="3"/>
  <c r="G32" i="3"/>
  <c r="M32" i="3"/>
  <c r="I32" i="3"/>
  <c r="L32" i="3"/>
  <c r="E32" i="3"/>
  <c r="H29" i="3"/>
  <c r="M29" i="3"/>
  <c r="C29" i="3"/>
  <c r="D29" i="3"/>
  <c r="G29" i="3"/>
  <c r="E29" i="3"/>
  <c r="J29" i="3"/>
  <c r="A4" i="4"/>
  <c r="C8" i="3"/>
  <c r="F6" i="1"/>
  <c r="G26" i="3"/>
  <c r="K11" i="3"/>
  <c r="C17" i="3"/>
  <c r="M5" i="3"/>
  <c r="D23" i="3"/>
  <c r="F23" i="3"/>
  <c r="C23" i="3"/>
  <c r="C20" i="3"/>
  <c r="N23" i="3"/>
  <c r="E14" i="3"/>
  <c r="C14" i="3"/>
  <c r="E23" i="3"/>
  <c r="G23" i="3"/>
  <c r="L23" i="3"/>
  <c r="I23" i="3"/>
  <c r="H23" i="3"/>
  <c r="D14" i="3"/>
  <c r="J23" i="3"/>
  <c r="M23" i="3"/>
  <c r="C11" i="3"/>
  <c r="D11" i="3"/>
  <c r="O32" i="3"/>
  <c r="E11" i="3"/>
  <c r="F29" i="3"/>
  <c r="O29" i="3"/>
  <c r="E17" i="3"/>
  <c r="E8" i="3"/>
  <c r="D17" i="3"/>
  <c r="E26" i="3"/>
  <c r="D20" i="3"/>
  <c r="D26" i="3"/>
  <c r="D8" i="3"/>
  <c r="E20" i="3"/>
  <c r="C26" i="3"/>
  <c r="I5" i="3"/>
  <c r="G14" i="3"/>
  <c r="F9" i="1"/>
  <c r="F7" i="1"/>
  <c r="F8" i="1"/>
  <c r="K23" i="3"/>
  <c r="L26" i="3"/>
  <c r="I26" i="3"/>
  <c r="H26" i="3"/>
  <c r="F11" i="3"/>
  <c r="J17" i="3"/>
  <c r="M11" i="3"/>
  <c r="N14" i="3"/>
  <c r="H8" i="3"/>
  <c r="K17" i="3"/>
  <c r="F17" i="3"/>
  <c r="J26" i="3"/>
  <c r="K20" i="3"/>
  <c r="G17" i="3"/>
  <c r="L8" i="3"/>
  <c r="H11" i="3"/>
  <c r="I11" i="3"/>
  <c r="I14" i="3"/>
  <c r="H14" i="3"/>
  <c r="H17" i="3"/>
  <c r="I17" i="3"/>
  <c r="L17" i="3"/>
  <c r="M17" i="3"/>
  <c r="N17" i="3"/>
  <c r="O17" i="3"/>
  <c r="I20" i="3"/>
  <c r="M8" i="3"/>
  <c r="J14" i="3"/>
  <c r="M14" i="3"/>
  <c r="K8" i="3"/>
  <c r="M26" i="3"/>
  <c r="N11" i="3"/>
  <c r="G8" i="3"/>
  <c r="G11" i="3"/>
  <c r="F14" i="3"/>
  <c r="K14" i="3"/>
  <c r="N8" i="3"/>
  <c r="F26" i="3"/>
  <c r="I8" i="3"/>
  <c r="N20" i="3"/>
  <c r="H20" i="3"/>
  <c r="F20" i="3"/>
  <c r="J20" i="3"/>
  <c r="N26" i="3"/>
  <c r="K26" i="3"/>
  <c r="J8" i="3"/>
  <c r="M20" i="3"/>
  <c r="L20" i="3"/>
  <c r="G20" i="3"/>
  <c r="L11" i="3"/>
  <c r="F8" i="3"/>
  <c r="J11" i="3"/>
  <c r="L14" i="3"/>
  <c r="D5" i="3"/>
  <c r="L5" i="3"/>
  <c r="E5" i="3"/>
  <c r="C5" i="3"/>
  <c r="C35" i="3"/>
  <c r="O23" i="3"/>
  <c r="H5" i="3"/>
  <c r="G35" i="3"/>
  <c r="O11" i="3"/>
  <c r="L35" i="3"/>
  <c r="F35" i="3"/>
  <c r="J35" i="3"/>
  <c r="I35" i="3"/>
  <c r="K35" i="3"/>
  <c r="H35" i="3"/>
  <c r="E35" i="3"/>
  <c r="N35" i="3"/>
  <c r="M35" i="3"/>
  <c r="F5" i="3"/>
  <c r="N5" i="3"/>
  <c r="J5" i="3"/>
  <c r="G5" i="3"/>
  <c r="K5" i="3"/>
  <c r="O8" i="3"/>
  <c r="O20" i="3"/>
  <c r="O14" i="3"/>
  <c r="O26" i="3"/>
  <c r="D35" i="3"/>
  <c r="O5" i="3"/>
  <c r="F10" i="1"/>
  <c r="O35" i="3"/>
  <c r="I4" i="1"/>
  <c r="I3" i="1"/>
  <c r="K59" i="1"/>
  <c r="N59" i="1"/>
  <c r="Q59" i="1"/>
  <c r="T59" i="1"/>
  <c r="W59" i="1"/>
  <c r="Z59" i="1"/>
  <c r="K105" i="1"/>
  <c r="T13" i="1"/>
  <c r="AZ14" i="4"/>
  <c r="I6" i="1"/>
  <c r="I5" i="1"/>
</calcChain>
</file>

<file path=xl/sharedStrings.xml><?xml version="1.0" encoding="utf-8"?>
<sst xmlns="http://schemas.openxmlformats.org/spreadsheetml/2006/main" count="5544" uniqueCount="550">
  <si>
    <t>Notes</t>
  </si>
  <si>
    <t>Housing</t>
  </si>
  <si>
    <t>Pre-Tax Medical</t>
  </si>
  <si>
    <t>Food</t>
  </si>
  <si>
    <t>Pre-Tax Retirement</t>
  </si>
  <si>
    <t>Student Loans</t>
  </si>
  <si>
    <t>Monthly</t>
  </si>
  <si>
    <t>Transportation</t>
  </si>
  <si>
    <t>Savings</t>
  </si>
  <si>
    <t>Bi-Weekly</t>
  </si>
  <si>
    <t>Car Payment</t>
  </si>
  <si>
    <t>Weekly</t>
  </si>
  <si>
    <t>Base Pay</t>
  </si>
  <si>
    <t>Category</t>
  </si>
  <si>
    <t>Annual</t>
  </si>
  <si>
    <t>Taxable Income</t>
  </si>
  <si>
    <t>Taxes - Federal</t>
  </si>
  <si>
    <t>Other</t>
  </si>
  <si>
    <t>Bi-Monthly</t>
  </si>
  <si>
    <t>Spendable Income</t>
  </si>
  <si>
    <t>Value Name</t>
  </si>
  <si>
    <t>Value</t>
  </si>
  <si>
    <t>Time Period</t>
  </si>
  <si>
    <t>Dividing Factor</t>
  </si>
  <si>
    <t>Expense</t>
  </si>
  <si>
    <t>Expense Name</t>
  </si>
  <si>
    <t>Rent</t>
  </si>
  <si>
    <t>405 E Fairview</t>
  </si>
  <si>
    <t>Extra in Budget</t>
  </si>
  <si>
    <t>Internet</t>
  </si>
  <si>
    <t>Gas</t>
  </si>
  <si>
    <t>Car Insurance</t>
  </si>
  <si>
    <t>Renters Insurance</t>
  </si>
  <si>
    <t>National Average is ~$1000 so round up</t>
  </si>
  <si>
    <t>Electric car, before Tesla gas covered by extra insurance money</t>
  </si>
  <si>
    <t>Random Guess</t>
  </si>
  <si>
    <t>Amazon Prime</t>
  </si>
  <si>
    <t>Netflix</t>
  </si>
  <si>
    <t>Audible</t>
  </si>
  <si>
    <t>Car Maintinance</t>
  </si>
  <si>
    <t>Misc Entertainment</t>
  </si>
  <si>
    <t>Lump Sum - $800/mo leads to about 3 years till  done</t>
  </si>
  <si>
    <t>Personal Savings</t>
  </si>
  <si>
    <t>Adjustable Estimate</t>
  </si>
  <si>
    <t>Health and Wellness</t>
  </si>
  <si>
    <t>Time Periods</t>
  </si>
  <si>
    <t>Categories</t>
  </si>
  <si>
    <t>Monthly Subscriptions</t>
  </si>
  <si>
    <t>Education</t>
  </si>
  <si>
    <t>ALL</t>
  </si>
  <si>
    <t>Planned</t>
  </si>
  <si>
    <t>Actual</t>
  </si>
  <si>
    <t>Diff</t>
  </si>
  <si>
    <t>Janurary</t>
  </si>
  <si>
    <t>February</t>
  </si>
  <si>
    <t>March</t>
  </si>
  <si>
    <t>April</t>
  </si>
  <si>
    <t>May</t>
  </si>
  <si>
    <t>June</t>
  </si>
  <si>
    <t>July</t>
  </si>
  <si>
    <t>August</t>
  </si>
  <si>
    <t>September</t>
  </si>
  <si>
    <t>October</t>
  </si>
  <si>
    <t>November</t>
  </si>
  <si>
    <t>December</t>
  </si>
  <si>
    <t>Total</t>
  </si>
  <si>
    <t>Superstition Guild</t>
  </si>
  <si>
    <t>Mead</t>
  </si>
  <si>
    <t>Estimate allowance</t>
  </si>
  <si>
    <t>TOTAL</t>
  </si>
  <si>
    <t>2017 Spending</t>
  </si>
  <si>
    <t>Month</t>
  </si>
  <si>
    <t>Month Subtotal</t>
  </si>
  <si>
    <t>END OF USEFUL DATA ENTRY. IF YOU NEED MORE MUST EXTEND EQUATIONS</t>
  </si>
  <si>
    <t>Cost</t>
  </si>
  <si>
    <t>Account</t>
  </si>
  <si>
    <t>January</t>
  </si>
  <si>
    <t>Accounts</t>
  </si>
  <si>
    <t>Midfirst Checking</t>
  </si>
  <si>
    <t>BofA Credit</t>
  </si>
  <si>
    <t>BofA Debit Shared</t>
  </si>
  <si>
    <t>Discover Credit</t>
  </si>
  <si>
    <t>Vacation</t>
  </si>
  <si>
    <t>Vacations</t>
  </si>
  <si>
    <t>Expense Description</t>
  </si>
  <si>
    <t/>
  </si>
  <si>
    <t>Annual Total</t>
  </si>
  <si>
    <t>Reserved for Changes to income</t>
  </si>
  <si>
    <t>Monthly Subtotal</t>
  </si>
  <si>
    <t>Amount Left</t>
  </si>
  <si>
    <t>Category Subtotal</t>
  </si>
  <si>
    <t>Category Diff</t>
  </si>
  <si>
    <t>Highlight any transfers between categories in yellow and bold</t>
  </si>
  <si>
    <t>Cell Phone</t>
  </si>
  <si>
    <t>The following expenses are summaries from previous version of this sheet in google doc form. See original at https://docs.google.com/spreadsheets/d/17XtD97p5YBjpznjpmEVKTlZQQuj8n-w99ZX1TLn_ebw/edit#gid=0</t>
  </si>
  <si>
    <t>Entertainment</t>
  </si>
  <si>
    <t>School Expenses</t>
  </si>
  <si>
    <t>Rent Expenses</t>
  </si>
  <si>
    <t>Spring Break Tickets</t>
  </si>
  <si>
    <t>Taxes - SS and Medicare</t>
  </si>
  <si>
    <t>Taxes - State + Disability</t>
  </si>
  <si>
    <t>Need to Check</t>
  </si>
  <si>
    <t>McDonalds</t>
  </si>
  <si>
    <t>Progressive Insurance Apr - Oct</t>
  </si>
  <si>
    <t>Scholars Café</t>
  </si>
  <si>
    <t>McDonalds, Travel to From Ridgecrest</t>
  </si>
  <si>
    <t>Cash</t>
  </si>
  <si>
    <t>Taco Bell</t>
  </si>
  <si>
    <t>Food Fundraiseer on Campus</t>
  </si>
  <si>
    <t>food</t>
  </si>
  <si>
    <t>Parking, HHUNT Trip, JPL</t>
  </si>
  <si>
    <t>Gas For Rental Car, HHUNT Trip, JPL</t>
  </si>
  <si>
    <t>Student Loan Interest</t>
  </si>
  <si>
    <t>Panera</t>
  </si>
  <si>
    <t>Liquor Deli</t>
  </si>
  <si>
    <t>The Point Bar</t>
  </si>
  <si>
    <t>Pasadena Reservation Hold, Frys Money Order</t>
  </si>
  <si>
    <t>Robeks</t>
  </si>
  <si>
    <t>Olive Garden</t>
  </si>
  <si>
    <t>Aioli Burger Phoenix</t>
  </si>
  <si>
    <t>Autozone, Air Filter + Oil</t>
  </si>
  <si>
    <t>CVS Phrmacy</t>
  </si>
  <si>
    <t>Road Trip Snachs</t>
  </si>
  <si>
    <t>Walmart in Ridgecrest, Food</t>
  </si>
  <si>
    <t>Big 5 Camping Stuff</t>
  </si>
  <si>
    <t>Coffee Bean and Tea Leaf</t>
  </si>
  <si>
    <t>Cash for Camping</t>
  </si>
  <si>
    <t>Walmart food for camping</t>
  </si>
  <si>
    <t>Gas 5/15</t>
  </si>
  <si>
    <t>More Camping Stuff, Big 5</t>
  </si>
  <si>
    <t>Home Depot Ridgecrest</t>
  </si>
  <si>
    <t>Road Trip Snacks</t>
  </si>
  <si>
    <t>Search for Marie for Background Check</t>
  </si>
  <si>
    <t>Snacks At Gas Station</t>
  </si>
  <si>
    <t>DMV For New License</t>
  </si>
  <si>
    <t>Chick Fil A</t>
  </si>
  <si>
    <t>Snacks At Gas Station, Arco</t>
  </si>
  <si>
    <t>Cash for AmericaFest</t>
  </si>
  <si>
    <t>Lunch at Work</t>
  </si>
  <si>
    <t>Final Rent ot Jason</t>
  </si>
  <si>
    <t>Final Utilities to Jason</t>
  </si>
  <si>
    <t>soCalGas</t>
  </si>
  <si>
    <t>June Rent (prorated)</t>
  </si>
  <si>
    <t>July Rent</t>
  </si>
  <si>
    <t>SoCalGas</t>
  </si>
  <si>
    <t>Midfirst Savings</t>
  </si>
  <si>
    <t>Yogurtland Santa Barbra</t>
  </si>
  <si>
    <t>Panda Express</t>
  </si>
  <si>
    <t>Gas 4/4</t>
  </si>
  <si>
    <t>Gas 4/4 Kingman</t>
  </si>
  <si>
    <t>Frys Food</t>
  </si>
  <si>
    <t>HHUNT Rental Car, JPL</t>
  </si>
  <si>
    <t>Mcdonalds</t>
  </si>
  <si>
    <t>Gas for Rental Car, HHUNT Trip, JPL</t>
  </si>
  <si>
    <t>Parking in Hollywood</t>
  </si>
  <si>
    <t>Roadtrip Snacks</t>
  </si>
  <si>
    <t>Gas 4/17</t>
  </si>
  <si>
    <t>Autozone</t>
  </si>
  <si>
    <t>Gas 4/22</t>
  </si>
  <si>
    <t>Frys</t>
  </si>
  <si>
    <t>Gas 5/5</t>
  </si>
  <si>
    <t>Gas 5/8</t>
  </si>
  <si>
    <t>Superstition Mead</t>
  </si>
  <si>
    <t>Gas 5/11</t>
  </si>
  <si>
    <t>Gas 5/13</t>
  </si>
  <si>
    <t>Hotel Sequoia Trip</t>
  </si>
  <si>
    <t>Sizzler</t>
  </si>
  <si>
    <t>Gas 5/20</t>
  </si>
  <si>
    <t>Gas 5/22</t>
  </si>
  <si>
    <t>Humble Bundle One-Month</t>
  </si>
  <si>
    <t>Walmart, unknown what for</t>
  </si>
  <si>
    <t>Chilis</t>
  </si>
  <si>
    <t>Home Depot</t>
  </si>
  <si>
    <t>Breakfast food!</t>
  </si>
  <si>
    <t>Gas 5/30</t>
  </si>
  <si>
    <t>Gas 5/31</t>
  </si>
  <si>
    <t>Ralphs</t>
  </si>
  <si>
    <t>99-Cent Store, Home Goods</t>
  </si>
  <si>
    <t>Gas 6/3</t>
  </si>
  <si>
    <t>AT&amp;T Bill</t>
  </si>
  <si>
    <t>Bikes, Venice-Santa Monica</t>
  </si>
  <si>
    <t>Printing - FedEx</t>
  </si>
  <si>
    <t>Goodwill, home goods</t>
  </si>
  <si>
    <t>Trader Joes</t>
  </si>
  <si>
    <t>Lunch at work</t>
  </si>
  <si>
    <t>Gas 6/10</t>
  </si>
  <si>
    <t>Winder Woman, Movie</t>
  </si>
  <si>
    <t>Central Grille</t>
  </si>
  <si>
    <t>Ralphs Groceries</t>
  </si>
  <si>
    <t>Breeze Bikes?</t>
  </si>
  <si>
    <t>Starbucks</t>
  </si>
  <si>
    <t>Open Savings Account, Caltech Credit Union</t>
  </si>
  <si>
    <t>King Taco</t>
  </si>
  <si>
    <t>New Watch</t>
  </si>
  <si>
    <t>Pizza Hut</t>
  </si>
  <si>
    <t>Interest for Debt</t>
  </si>
  <si>
    <t>Carls Jr</t>
  </si>
  <si>
    <t>Gas 6/26</t>
  </si>
  <si>
    <t>Target, Misc Home Stuff</t>
  </si>
  <si>
    <t>Gas 7/1</t>
  </si>
  <si>
    <t>Toasted Bun</t>
  </si>
  <si>
    <t>Target, Food</t>
  </si>
  <si>
    <t>Redbox</t>
  </si>
  <si>
    <t>Gas 7/8</t>
  </si>
  <si>
    <t>Gamestop, Battlefront</t>
  </si>
  <si>
    <t>Vons Groceries</t>
  </si>
  <si>
    <t>Audible Subscription</t>
  </si>
  <si>
    <t>audible, Ready Player One</t>
  </si>
  <si>
    <t>Jack in the Box</t>
  </si>
  <si>
    <t>Gas 6/22</t>
  </si>
  <si>
    <t>Chipotle</t>
  </si>
  <si>
    <t>Drinks in Six Flags</t>
  </si>
  <si>
    <t>Bucca Di Bepo HHUNT</t>
  </si>
  <si>
    <t>BevMo HHUNT</t>
  </si>
  <si>
    <t>Habit Burger HHUNT</t>
  </si>
  <si>
    <t>Target, Swimwear</t>
  </si>
  <si>
    <t>Teri &amp; Yaki Lunch HHUN</t>
  </si>
  <si>
    <t>Ice Cream HHUNT</t>
  </si>
  <si>
    <t>Amazon</t>
  </si>
  <si>
    <t>In N Out</t>
  </si>
  <si>
    <t>Subway</t>
  </si>
  <si>
    <t>Red Lobster</t>
  </si>
  <si>
    <t>Car AC and Radiatior Repairs, Biel</t>
  </si>
  <si>
    <t>Jerome</t>
  </si>
  <si>
    <t>Far from Folsom</t>
  </si>
  <si>
    <t>IHOP, Sequoia Trip</t>
  </si>
  <si>
    <t>National Parks Pass</t>
  </si>
  <si>
    <t>Joskua's Dads Hat</t>
  </si>
  <si>
    <t>Oreilly Auto</t>
  </si>
  <si>
    <t>Fridge and Microwave</t>
  </si>
  <si>
    <t>Target Groceries</t>
  </si>
  <si>
    <t>Home Depot, Counter Extension</t>
  </si>
  <si>
    <t>Home Depot, more counter</t>
  </si>
  <si>
    <t>Health Bill from Cardio in Iowa</t>
  </si>
  <si>
    <t>Amazon, mom tooth stuff</t>
  </si>
  <si>
    <t>Home Depot, Coffee table</t>
  </si>
  <si>
    <t>Amazon, headphones</t>
  </si>
  <si>
    <t>Target, Misc Clothing and Stuff</t>
  </si>
  <si>
    <t>Home Depot, Window bar</t>
  </si>
  <si>
    <t>Crabby Crab</t>
  </si>
  <si>
    <t>Amazon, OTHER 2 ECHOS</t>
  </si>
  <si>
    <t>Contribution starting 14July2017</t>
  </si>
  <si>
    <t>7.08%, from 30Jun2017 Check, confirmed 14Jul2017</t>
  </si>
  <si>
    <t>7.85%, from 30Jun2017 Check, confirmed 14Jul2017</t>
  </si>
  <si>
    <t>16.7%, from 30Jun2017 Check, confirmed 14Jul2017</t>
  </si>
  <si>
    <t>Expenses, "normal" month and annual amounts spead over all months of a year</t>
  </si>
  <si>
    <t>Adjustment Amount</t>
  </si>
  <si>
    <t>Adjustment Name/Reason</t>
  </si>
  <si>
    <t>January Expense Adjustments</t>
  </si>
  <si>
    <t>January Adjusted Expected Expenses</t>
  </si>
  <si>
    <t>Unadjusted Monthly Totals 
for Each Category</t>
  </si>
  <si>
    <t>Unadjusted Annual Totals
 for Each Category</t>
  </si>
  <si>
    <t>Removing Real-Life Expenses</t>
  </si>
  <si>
    <t>Adding School Expenses</t>
  </si>
  <si>
    <t>May Expense Adjustments</t>
  </si>
  <si>
    <t>April Expense Adjustments</t>
  </si>
  <si>
    <t>February Expense Adjustments</t>
  </si>
  <si>
    <t>March Expense Adjustments</t>
  </si>
  <si>
    <t>June Expense Adjustments</t>
  </si>
  <si>
    <t>February Adjusted Expected Expenses</t>
  </si>
  <si>
    <t>March Adjusted Expected Expenses</t>
  </si>
  <si>
    <t>April Adjusted Expected Expenses</t>
  </si>
  <si>
    <t>May Adjusted Expected Expenses</t>
  </si>
  <si>
    <t>June Adjusted Expected Expenses</t>
  </si>
  <si>
    <t>July Expense Adjustments</t>
  </si>
  <si>
    <t>August Expense Adjustments</t>
  </si>
  <si>
    <t>September Expense Adjustments</t>
  </si>
  <si>
    <t>October Expense Adjustments</t>
  </si>
  <si>
    <t>November Expense Adjustments</t>
  </si>
  <si>
    <t>December Expense Adjustments</t>
  </si>
  <si>
    <t>July Adjusted Expected Expenses</t>
  </si>
  <si>
    <t>August Adjusted Expected Expenses</t>
  </si>
  <si>
    <t>September Adjusted Expected Expenses</t>
  </si>
  <si>
    <t>October Adjusted Expected Expenses</t>
  </si>
  <si>
    <t>November Adjusted Expected Expenses</t>
  </si>
  <si>
    <t>December Adjusted Expected Expenses</t>
  </si>
  <si>
    <t>Adjusted Annual Totals
 for Each Category</t>
  </si>
  <si>
    <t>TODO:</t>
  </si>
  <si>
    <t>Fix conditional formatting (some diff cells red when zero some not)</t>
  </si>
  <si>
    <t>Note that Jan through May were months of no budgeting and in different location (in school)</t>
  </si>
  <si>
    <t>Had to pay AT&amp;T twice because of transition and one included internet setup costs</t>
  </si>
  <si>
    <t>Unexpected Bill from cardiologist in Iowa that insurance didn't cover for some reason</t>
  </si>
  <si>
    <t>Write VBA script to pull out inter-category loan information and analyze it</t>
  </si>
  <si>
    <t>No Educational Spending right now (student loans start in Nov/Dec), so out of education for all of following loans</t>
  </si>
  <si>
    <t>----- REVIEWED AND CLOSED -----</t>
  </si>
  <si>
    <t>----- REVIEWED AND CLOSED -----
NOTE THAT THIS MONTH WAS PRE-BUDGE CREATION (IN SCHOOL)</t>
  </si>
  <si>
    <t>INF =</t>
  </si>
  <si>
    <t>Amount added to savings</t>
  </si>
  <si>
    <t>\/             EVERYTHING BELOW THIS FOR GRAPHING             \/</t>
  </si>
  <si>
    <t>Personal Loan</t>
  </si>
  <si>
    <t>Gun Registration</t>
  </si>
  <si>
    <t>Graduation gift from Aunt Sue and Uncle Leo</t>
  </si>
  <si>
    <t>Relocation Reimbursement and Lump Sum</t>
  </si>
  <si>
    <t>Gas Bill</t>
  </si>
  <si>
    <t>Gas 7/13</t>
  </si>
  <si>
    <t>Smoothies in Mall</t>
  </si>
  <si>
    <t>Parking Glendale</t>
  </si>
  <si>
    <t>Walgreens</t>
  </si>
  <si>
    <t>Food at work</t>
  </si>
  <si>
    <t>Kiwi Crate for Jess/Summer</t>
  </si>
  <si>
    <t>Gas 7/25</t>
  </si>
  <si>
    <t>Interest on BofA Balance</t>
  </si>
  <si>
    <t>Paying off My Phone</t>
  </si>
  <si>
    <t>Paying off Moms Phone</t>
  </si>
  <si>
    <t>Watch Valarian and Snacks</t>
  </si>
  <si>
    <t>Home Depot, Paint and Caluk</t>
  </si>
  <si>
    <t>5k sign up</t>
  </si>
  <si>
    <t>Whale watching drinks</t>
  </si>
  <si>
    <t>Parking Little Tokyo</t>
  </si>
  <si>
    <t>Ice Cream, Little Tokyo</t>
  </si>
  <si>
    <t>Combined with cell phone in Monthly Subscriptions because only one AT&amp;T bill, but actually housing</t>
  </si>
  <si>
    <t>From AT&amp;T Bill for Jun-July</t>
  </si>
  <si>
    <t>Power and Fees</t>
  </si>
  <si>
    <t>Based on pessemistic Estimate from May-Jun Bill</t>
  </si>
  <si>
    <t>Based on Average from May-Jul bills</t>
  </si>
  <si>
    <t>Verified with expenses</t>
  </si>
  <si>
    <t>Interest on Discover Balance</t>
  </si>
  <si>
    <t>New Phone</t>
  </si>
  <si>
    <t>JPL Store Merch (shirts)</t>
  </si>
  <si>
    <t>Notes on things to improve for next year's sheet</t>
  </si>
  <si>
    <t>Add category for gifts/donations</t>
  </si>
  <si>
    <t>Add category (or switchup housing into monthly expenses) for clothing and cleaning supplies and whatnot</t>
  </si>
  <si>
    <t>Ashoka Tano Book</t>
  </si>
  <si>
    <t>Little Tokyo Sushi</t>
  </si>
  <si>
    <t>Last Updated ___</t>
  </si>
  <si>
    <t>Return of Deposit, The Legacy, 1/4 of it</t>
  </si>
  <si>
    <t>Power and Water</t>
  </si>
  <si>
    <t>Loan from June for 2-month Power bill</t>
  </si>
  <si>
    <t>Loan to next month for 2-month period on power bill</t>
  </si>
  <si>
    <t>Paying off Phones to lower monthly AT&amp;T bill</t>
  </si>
  <si>
    <t>Interest before Personal Loan</t>
  </si>
  <si>
    <t>New Phone since old one broke</t>
  </si>
  <si>
    <t>Loans should only be for legitmate unexpected expenses, not for slight overspending!</t>
  </si>
  <si>
    <t>Unexpected 2 echo dots, money for mom's tooth, find marie info for background check</t>
  </si>
  <si>
    <t>Other Expenses with leftovers</t>
  </si>
  <si>
    <t>Savings, amount I expected + gift from sue and leo</t>
  </si>
  <si>
    <t>Payment back to Personal Loan in August</t>
  </si>
  <si>
    <t>To keep from Perosnal loan throwing off this months      \/ Numbers \/</t>
  </si>
  <si>
    <t>YMCA Membership</t>
  </si>
  <si>
    <t>Playstation Plus</t>
  </si>
  <si>
    <t>Adjusted based on Jun/Jul values and rounded down for goal</t>
  </si>
  <si>
    <t>"Other"</t>
  </si>
  <si>
    <t>Clean up conditional Formatting rules on planned expenses sheet</t>
  </si>
  <si>
    <t>Savings/Loan Payment</t>
  </si>
  <si>
    <t>O/D fee</t>
  </si>
  <si>
    <t>Gas (8/2) Arco</t>
  </si>
  <si>
    <t>Cash for Food (lunch n learn and stuff)</t>
  </si>
  <si>
    <t>Cash for bikes on the beach</t>
  </si>
  <si>
    <t>Cavities (x3)</t>
  </si>
  <si>
    <t>Gas (8/18) arco</t>
  </si>
  <si>
    <t>Drive to Ridgecrest Snacks</t>
  </si>
  <si>
    <t>Paintball tickets (x5)</t>
  </si>
  <si>
    <t>Tickets for Antelope Valley Fair</t>
  </si>
  <si>
    <t>Drive from Ridgecrest snacks</t>
  </si>
  <si>
    <t>Gas (8/22) Arco</t>
  </si>
  <si>
    <t>Drinks while whale watching</t>
  </si>
  <si>
    <t>Parking in LA</t>
  </si>
  <si>
    <t>Walgreens Food</t>
  </si>
  <si>
    <t>Walgreens Food and batteries</t>
  </si>
  <si>
    <t>Food in SB</t>
  </si>
  <si>
    <t>Roadtrip snacks</t>
  </si>
  <si>
    <t>23 and me for Joskua</t>
  </si>
  <si>
    <t>gorceries</t>
  </si>
  <si>
    <t>Target Lamp and Other home goods</t>
  </si>
  <si>
    <t>Eye appointment</t>
  </si>
  <si>
    <t>Homedepot paint to finish coffe table</t>
  </si>
  <si>
    <t>Gas (8/14)</t>
  </si>
  <si>
    <t>Walgreens sunscreen and other things for beach days</t>
  </si>
  <si>
    <t>Trader Joes Food</t>
  </si>
  <si>
    <t>YMCA first month</t>
  </si>
  <si>
    <t>Berry White day tickets</t>
  </si>
  <si>
    <t>Verified with expenses, monthly but for health and wellness</t>
  </si>
  <si>
    <t>Extra in savings for loan payment</t>
  </si>
  <si>
    <t>No renters insurance</t>
  </si>
  <si>
    <t>FroYo in SB</t>
  </si>
  <si>
    <t>Drinks and food at Trivia</t>
  </si>
  <si>
    <t>Extension Chord, Amazon</t>
  </si>
  <si>
    <t>Food and Coffee/Tea at work</t>
  </si>
  <si>
    <t>Indian Food</t>
  </si>
  <si>
    <t>Dinner In Redondo Beach</t>
  </si>
  <si>
    <t>Waterproof headphones, amazon</t>
  </si>
  <si>
    <t>FireTV stick, Amazon</t>
  </si>
  <si>
    <t>August Rent</t>
  </si>
  <si>
    <t>Magic Bullet, Amazon</t>
  </si>
  <si>
    <t>Grocery</t>
  </si>
  <si>
    <t>ATT Bill</t>
  </si>
  <si>
    <t>Interest on Credit cards</t>
  </si>
  <si>
    <t>AutoZone oil and filters</t>
  </si>
  <si>
    <t>BevMo Ice Cider and Champagne</t>
  </si>
  <si>
    <t>Hawaiian BBQ</t>
  </si>
  <si>
    <t>Target</t>
  </si>
  <si>
    <t>PSN Annual Subscription</t>
  </si>
  <si>
    <t>Gas (8/30), Arco</t>
  </si>
  <si>
    <t>Gas (8/31), Arco</t>
  </si>
  <si>
    <t>CEFCU</t>
  </si>
  <si>
    <t>No new car insurance</t>
  </si>
  <si>
    <t>Initial Health&amp;Well Catchup</t>
  </si>
  <si>
    <t>No Student Loan Payments Yet</t>
  </si>
  <si>
    <t>PSN Annual Subscription Refund</t>
  </si>
  <si>
    <t>Coffee Bean Tea Leaf</t>
  </si>
  <si>
    <t>Cash for Uncle Matt in town</t>
  </si>
  <si>
    <t>7-Eleven Drinks</t>
  </si>
  <si>
    <t>Breakfast (Chevron)</t>
  </si>
  <si>
    <t>Trivia Night @ Blind Donkey</t>
  </si>
  <si>
    <t>Ice Cream</t>
  </si>
  <si>
    <t>Drinks at Movies</t>
  </si>
  <si>
    <t>Keys at Home Depot</t>
  </si>
  <si>
    <t>Agua Fresca</t>
  </si>
  <si>
    <t>Chick-Fil-A</t>
  </si>
  <si>
    <t>Last Updated 9-24</t>
  </si>
  <si>
    <t>RAC Bed</t>
  </si>
  <si>
    <t>Chevron Gas (9/4)</t>
  </si>
  <si>
    <t>Contact Lenses</t>
  </si>
  <si>
    <t>Mexico Christmas Tickets</t>
  </si>
  <si>
    <t>Gas (9/8)</t>
  </si>
  <si>
    <t>Galco's w Uncle Matt</t>
  </si>
  <si>
    <t>Uber to Rental car for Panel at ERAU</t>
  </si>
  <si>
    <t>Roadtrip Snacks from JPL Panel</t>
  </si>
  <si>
    <t>Gas (9/16) JPL Panel</t>
  </si>
  <si>
    <t>Gas (9/18) JPL Panel</t>
  </si>
  <si>
    <t>In-N-Out</t>
  </si>
  <si>
    <t>Uber from Rental car for Panel at ERAU</t>
  </si>
  <si>
    <t>7-Eleven Gas (9/20)</t>
  </si>
  <si>
    <t>Movies W ATMOS</t>
  </si>
  <si>
    <t>BofA Cashback Rewards Credit</t>
  </si>
  <si>
    <t>California Pizza Kitchen</t>
  </si>
  <si>
    <t>Sheet set, Amazon</t>
  </si>
  <si>
    <t>Chipotle, SB</t>
  </si>
  <si>
    <t>Rental Car, Panel at ERAU</t>
  </si>
  <si>
    <t>Mead, Superstition</t>
  </si>
  <si>
    <t>Sushi Station, Phx</t>
  </si>
  <si>
    <t>Einstein Bagels</t>
  </si>
  <si>
    <t>Target, Misc Cleaning</t>
  </si>
  <si>
    <t>Target, Clothing</t>
  </si>
  <si>
    <t>JCPenny, Clothing</t>
  </si>
  <si>
    <t>September Rent, September</t>
  </si>
  <si>
    <t>From Joskua for Mexico Ticket</t>
  </si>
  <si>
    <t>Misc Housing Expenses</t>
  </si>
  <si>
    <t>Contact Lenses for the year</t>
  </si>
  <si>
    <t>Extra in budet to savings</t>
  </si>
  <si>
    <t>Extra in Budget to Savings</t>
  </si>
  <si>
    <t>Adusted Plan</t>
  </si>
  <si>
    <t>Unadusted Plan</t>
  </si>
  <si>
    <t>Diff (raw, %)</t>
  </si>
  <si>
    <t>Total (budgeted)</t>
  </si>
  <si>
    <t>Average Adjustment</t>
  </si>
  <si>
    <t xml:space="preserve">Gelato at Beach </t>
  </si>
  <si>
    <t>Loan Payment</t>
  </si>
  <si>
    <t>Transaction</t>
  </si>
  <si>
    <t>Amount</t>
  </si>
  <si>
    <t>Transactions</t>
  </si>
  <si>
    <t>Month Net</t>
  </si>
  <si>
    <t>Running Balance</t>
  </si>
  <si>
    <t>Initialize</t>
  </si>
  <si>
    <t>EOY Total</t>
  </si>
  <si>
    <t>Initial Entry (6/17)</t>
  </si>
  <si>
    <t>Membership Fee</t>
  </si>
  <si>
    <t>Loan Disbursement</t>
  </si>
  <si>
    <t>Check Disbursed</t>
  </si>
  <si>
    <t>Direct Deposit (7/28)</t>
  </si>
  <si>
    <t>Dividends</t>
  </si>
  <si>
    <t>Direct Deposit (8/11)</t>
  </si>
  <si>
    <t>Direct Deposit (8/25)</t>
  </si>
  <si>
    <t>Direct Deposit (9/8)</t>
  </si>
  <si>
    <t>Direct Deposit (9/22)</t>
  </si>
  <si>
    <t>Deposits to the account should not be marked as expenses in Details sheet but expenses from it should be. 
All transactions from the savings account should be outlined here to keep an acurate balance over time. If the running balance does not match the actual balance of the account at any time there is an issue.</t>
  </si>
  <si>
    <t>Amount made from Dividends (free money!)</t>
  </si>
  <si>
    <t>Annual Fee</t>
  </si>
  <si>
    <t>Net</t>
  </si>
  <si>
    <t>Monthly Audit:</t>
  </si>
  <si>
    <t>New-Adult Startup
Expenses
(special case of inscidenal)</t>
  </si>
  <si>
    <t>Incidental 
Expenses</t>
  </si>
  <si>
    <t>Reducable 
Expenses</t>
  </si>
  <si>
    <t>Unavoidable 
Expenses</t>
  </si>
  <si>
    <t>Expense Group</t>
  </si>
  <si>
    <t>Note</t>
  </si>
  <si>
    <t>AT&amp;T</t>
  </si>
  <si>
    <t>Water and Power (total/2 per 2 months)</t>
  </si>
  <si>
    <t>Car Gas</t>
  </si>
  <si>
    <t>Reasonable Entertainment</t>
  </si>
  <si>
    <t>Extra Entertainment</t>
  </si>
  <si>
    <t>Food Out</t>
  </si>
  <si>
    <t>Parking</t>
  </si>
  <si>
    <t>Gifts</t>
  </si>
  <si>
    <t>New ATT service costs</t>
  </si>
  <si>
    <t>Extra Month of ATT</t>
  </si>
  <si>
    <t>Final Utilities</t>
  </si>
  <si>
    <t>New CA License</t>
  </si>
  <si>
    <t>Iowa Cardiologist Bill</t>
  </si>
  <si>
    <t>Clothing</t>
  </si>
  <si>
    <t>Things for new Job</t>
  </si>
  <si>
    <t>New stuff for new home</t>
  </si>
  <si>
    <t>Misc Gadets</t>
  </si>
  <si>
    <t>Credit Card Debt Interest</t>
  </si>
  <si>
    <t>New Gun Registration</t>
  </si>
  <si>
    <t>ATT Phone Payments</t>
  </si>
  <si>
    <t>New Phone (broken)</t>
  </si>
  <si>
    <t>Home Fixing</t>
  </si>
  <si>
    <t>`-4300</t>
  </si>
  <si>
    <t>`-100</t>
  </si>
  <si>
    <t>`=-(3506.06-2186.89)</t>
  </si>
  <si>
    <t>`3300</t>
  </si>
  <si>
    <t>O/D Fee</t>
  </si>
  <si>
    <t>Alcohol</t>
  </si>
  <si>
    <t>Credit Carrd Interest</t>
  </si>
  <si>
    <t>Car Maintinence</t>
  </si>
  <si>
    <t>YMCA</t>
  </si>
  <si>
    <t>YMCA August-Sept</t>
  </si>
  <si>
    <t>New Stuff for rNew Home</t>
  </si>
  <si>
    <t>New Stuff for New Home</t>
  </si>
  <si>
    <t>Misc Gadgets</t>
  </si>
  <si>
    <t>Sunscreen by the bunches</t>
  </si>
  <si>
    <t>Monthly Average</t>
  </si>
  <si>
    <t>Food at Work</t>
  </si>
  <si>
    <t>Parking, SF</t>
  </si>
  <si>
    <t>Breakfast, SF</t>
  </si>
  <si>
    <t>Mead, SF</t>
  </si>
  <si>
    <t>Melting Pot, SF</t>
  </si>
  <si>
    <t>Lunch, SF</t>
  </si>
  <si>
    <t>Six Flags Parking</t>
  </si>
  <si>
    <t>Dennys after Six Flags</t>
  </si>
  <si>
    <t>Parking, Glendale</t>
  </si>
  <si>
    <t>Earthquake Insurance</t>
  </si>
  <si>
    <t>Road Trip Coffee</t>
  </si>
  <si>
    <t>Last Updated 16 Oct</t>
  </si>
  <si>
    <t>Dental Work check</t>
  </si>
  <si>
    <t>October Rent</t>
  </si>
  <si>
    <t>Interest on BofA Credit</t>
  </si>
  <si>
    <t>Gas (10/02)</t>
  </si>
  <si>
    <t>Ridgecrest Grocery</t>
  </si>
  <si>
    <t>Gas (10/04)</t>
  </si>
  <si>
    <t>Gas (10/5)</t>
  </si>
  <si>
    <t>Uber, SF</t>
  </si>
  <si>
    <t>Ben and Jerrys, SF</t>
  </si>
  <si>
    <t>Chips n Water, SF</t>
  </si>
  <si>
    <t>Rental Car, SF</t>
  </si>
  <si>
    <t>Trader Joes, Milk</t>
  </si>
  <si>
    <t>Chinese Food</t>
  </si>
  <si>
    <t>Gas (10/15)</t>
  </si>
  <si>
    <t>Gas (10/12)</t>
  </si>
  <si>
    <t>Audible Subsription</t>
  </si>
  <si>
    <t>Audible Book</t>
  </si>
  <si>
    <t>CA Car Insurance first payment</t>
  </si>
  <si>
    <t>Dinner, LV</t>
  </si>
  <si>
    <t>Fat Tuesdays, LV</t>
  </si>
  <si>
    <t>Shake Shack, LV</t>
  </si>
  <si>
    <t>Direct Deposit (10/6)</t>
  </si>
  <si>
    <t>SF Vacation</t>
  </si>
  <si>
    <t>LV Vacation</t>
  </si>
  <si>
    <t>Student Loan Insterest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</si>
</sst>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4" formatCode="&quot;$&quot;#,##0.00"/>
    <numFmt numFmtId="165" formatCode="[Green]\+&quot;$&quot;#,##0.00;[Red]\-&quot;$&quot;#,###.00"/>
    <numFmt numFmtId="166" formatCode="[Green]\+&quot;$&quot;#,##0.00;[Red]\-&quot;$&quot;#,##0.00"/>
    <numFmt numFmtId="167" formatCode="\(&quot;$&quot;#,##0.00\);\(\-&quot;$&quot;#,##0.00\)"/>
  </numFmts>
  <fonts count="27"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sz val="11"/>
      <name val="Calibri"/>
      <family val="2"/>
      <scheme val="minor"/>
    </font>
    <font>
      <b/>
      <i/>
      <sz val="11"/>
      <color theme="1"/>
      <name val="Calibri"/>
      <family val="2"/>
      <scheme val="minor"/>
    </font>
    <font>
      <b/>
      <sz val="16"/>
      <color theme="1"/>
      <name val="Calibri"/>
      <family val="2"/>
      <scheme val="minor"/>
    </font>
    <font>
      <b/>
      <sz val="22"/>
      <color theme="1"/>
      <name val="Calibri"/>
      <family val="2"/>
      <scheme val="minor"/>
    </font>
    <font>
      <sz val="11"/>
      <color rgb="FF00B050"/>
      <name val="Calibri"/>
      <family val="2"/>
      <scheme val="minor"/>
    </font>
    <font>
      <sz val="11"/>
      <color rgb="FFFF0000"/>
      <name val="Calibri"/>
      <family val="2"/>
      <scheme val="minor"/>
    </font>
    <font>
      <b/>
      <sz val="10"/>
      <color theme="1"/>
      <name val="Calibri"/>
      <family val="2"/>
      <scheme val="minor"/>
    </font>
    <font>
      <b/>
      <sz val="12"/>
      <color theme="1"/>
      <name val="Calibri"/>
      <family val="2"/>
      <scheme val="minor"/>
    </font>
    <font>
      <b/>
      <sz val="11"/>
      <name val="Calibri"/>
      <family val="2"/>
      <scheme val="minor"/>
    </font>
    <font>
      <sz val="14"/>
      <color theme="1"/>
      <name val="Calibri"/>
      <family val="2"/>
      <scheme val="minor"/>
    </font>
    <font>
      <u/>
      <sz val="11"/>
      <color theme="10"/>
      <name val="Calibri"/>
      <family val="2"/>
      <scheme val="minor"/>
    </font>
    <font>
      <u/>
      <sz val="11"/>
      <color theme="11"/>
      <name val="Calibri"/>
      <family val="2"/>
      <scheme val="minor"/>
    </font>
    <font>
      <i/>
      <sz val="11"/>
      <name val="Calibri"/>
      <family val="2"/>
      <scheme val="minor"/>
    </font>
    <font>
      <b/>
      <sz val="16"/>
      <color theme="0"/>
      <name val="Calibri"/>
      <family val="2"/>
      <scheme val="minor"/>
    </font>
    <font>
      <b/>
      <sz val="18"/>
      <color theme="1"/>
      <name val="Calibri"/>
      <scheme val="minor"/>
    </font>
    <font>
      <b/>
      <sz val="11"/>
      <color rgb="FF000000"/>
      <name val="Calibri"/>
      <family val="2"/>
      <scheme val="minor"/>
    </font>
    <font>
      <b/>
      <sz val="14"/>
      <color rgb="FF000000"/>
      <name val="Calibri"/>
      <family val="2"/>
      <scheme val="minor"/>
    </font>
    <font>
      <sz val="11"/>
      <color rgb="FF00B0F0"/>
      <name val="Calibri"/>
      <family val="2"/>
      <scheme val="minor"/>
    </font>
    <font>
      <sz val="11"/>
      <color rgb="FF000000"/>
      <name val="Calibri"/>
      <family val="2"/>
      <scheme val="minor"/>
    </font>
    <font>
      <sz val="11"/>
      <color theme="0" tint="-0.34998626667073579"/>
      <name val="Calibri"/>
      <family val="2"/>
      <scheme val="minor"/>
    </font>
    <font>
      <b/>
      <i/>
      <sz val="16"/>
      <color theme="1"/>
      <name val="Calibri"/>
      <scheme val="minor"/>
    </font>
    <font>
      <sz val="16"/>
      <color theme="1"/>
      <name val="Calibri"/>
      <family val="2"/>
      <scheme val="minor"/>
    </font>
  </fonts>
  <fills count="22">
    <fill>
      <patternFill patternType="none"/>
    </fill>
    <fill>
      <patternFill patternType="gray125"/>
    </fill>
    <fill>
      <patternFill patternType="solid">
        <fgColor theme="7" tint="0.59999389629810485"/>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6" tint="0.39997558519241921"/>
        <bgColor indexed="64"/>
      </patternFill>
    </fill>
    <fill>
      <patternFill patternType="solid">
        <fgColor theme="8" tint="-0.249977111117893"/>
        <bgColor indexed="64"/>
      </patternFill>
    </fill>
    <fill>
      <patternFill patternType="solid">
        <fgColor theme="9" tint="0.39997558519241921"/>
        <bgColor indexed="64"/>
      </patternFill>
    </fill>
    <fill>
      <patternFill patternType="solid">
        <fgColor rgb="FF0070C0"/>
        <bgColor indexed="64"/>
      </patternFill>
    </fill>
    <fill>
      <patternFill patternType="solid">
        <fgColor rgb="FF7030A0"/>
        <bgColor indexed="64"/>
      </patternFill>
    </fill>
    <fill>
      <patternFill patternType="solid">
        <fgColor theme="6"/>
        <bgColor indexed="64"/>
      </patternFill>
    </fill>
    <fill>
      <patternFill patternType="solid">
        <fgColor theme="0" tint="-0.249977111117893"/>
        <bgColor indexed="64"/>
      </patternFill>
    </fill>
    <fill>
      <patternFill patternType="solid">
        <fgColor rgb="FF00B050"/>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rgb="FFFFC000"/>
        <bgColor indexed="64"/>
      </patternFill>
    </fill>
    <fill>
      <patternFill patternType="lightUp"/>
    </fill>
    <fill>
      <patternFill patternType="solid">
        <fgColor theme="1"/>
        <bgColor indexed="64"/>
      </patternFill>
    </fill>
    <fill>
      <patternFill patternType="solid">
        <fgColor theme="9"/>
        <bgColor indexed="64"/>
      </patternFill>
    </fill>
    <fill>
      <patternFill patternType="solid">
        <fgColor rgb="FFFFFF00"/>
        <bgColor rgb="FF000000"/>
      </patternFill>
    </fill>
    <fill>
      <patternFill patternType="solid">
        <fgColor theme="6" tint="0.79998168889431442"/>
        <bgColor indexed="64"/>
      </patternFill>
    </fill>
  </fills>
  <borders count="56">
    <border>
      <left/>
      <right/>
      <top/>
      <bottom/>
      <diagonal/>
    </border>
    <border>
      <left/>
      <right/>
      <top style="medium">
        <color auto="1"/>
      </top>
      <bottom style="medium">
        <color auto="1"/>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top/>
      <bottom style="thin">
        <color auto="1"/>
      </bottom>
      <diagonal/>
    </border>
    <border>
      <left/>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style="thin">
        <color auto="1"/>
      </top>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style="thin">
        <color auto="1"/>
      </top>
      <bottom style="thin">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auto="1"/>
      </bottom>
      <diagonal/>
    </border>
    <border>
      <left style="thin">
        <color auto="1"/>
      </left>
      <right style="medium">
        <color auto="1"/>
      </right>
      <top/>
      <bottom style="medium">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thin">
        <color auto="1"/>
      </top>
      <bottom style="thin">
        <color auto="1"/>
      </bottom>
      <diagonal/>
    </border>
    <border>
      <left/>
      <right style="medium">
        <color auto="1"/>
      </right>
      <top style="thin">
        <color auto="1"/>
      </top>
      <bottom/>
      <diagonal/>
    </border>
    <border>
      <left style="medium">
        <color auto="1"/>
      </left>
      <right style="thin">
        <color auto="1"/>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thin">
        <color auto="1"/>
      </top>
      <bottom/>
      <diagonal/>
    </border>
    <border>
      <left/>
      <right style="thin">
        <color auto="1"/>
      </right>
      <top style="medium">
        <color auto="1"/>
      </top>
      <bottom/>
      <diagonal/>
    </border>
    <border>
      <left style="medium">
        <color auto="1"/>
      </left>
      <right style="medium">
        <color auto="1"/>
      </right>
      <top/>
      <bottom style="thin">
        <color auto="1"/>
      </bottom>
      <diagonal/>
    </border>
  </borders>
  <cellStyleXfs count="9">
    <xf numFmtId="0" fontId="0" fillId="0" borderId="0"/>
    <xf numFmtId="44" fontId="1" fillId="0" borderId="0" applyFont="0" applyFill="0" applyBorder="0" applyAlignment="0" applyProtection="0"/>
    <xf numFmtId="9" fontId="1"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495">
    <xf numFmtId="0" fontId="0" fillId="0" borderId="0" xfId="0"/>
    <xf numFmtId="164" fontId="0" fillId="0" borderId="4" xfId="0" applyNumberFormat="1" applyBorder="1" applyAlignment="1">
      <alignment horizontal="center" vertical="center"/>
    </xf>
    <xf numFmtId="0" fontId="2" fillId="0" borderId="0" xfId="0" applyFont="1"/>
    <xf numFmtId="0" fontId="2" fillId="0" borderId="0" xfId="0" applyFont="1" applyAlignment="1">
      <alignment horizontal="center"/>
    </xf>
    <xf numFmtId="0" fontId="0" fillId="0" borderId="0" xfId="0" applyAlignment="1">
      <alignment horizontal="center"/>
    </xf>
    <xf numFmtId="164" fontId="0" fillId="0" borderId="0" xfId="0" applyNumberFormat="1" applyAlignment="1">
      <alignment horizontal="center"/>
    </xf>
    <xf numFmtId="0" fontId="0" fillId="0" borderId="0" xfId="0" applyAlignment="1">
      <alignment vertical="center"/>
    </xf>
    <xf numFmtId="0" fontId="0" fillId="0" borderId="0" xfId="0" applyAlignment="1">
      <alignment horizontal="center" vertical="center"/>
    </xf>
    <xf numFmtId="0" fontId="0" fillId="0" borderId="0" xfId="0" applyBorder="1" applyAlignment="1">
      <alignment horizontal="left" vertical="center" wrapText="1"/>
    </xf>
    <xf numFmtId="0" fontId="0" fillId="0" borderId="0" xfId="0" applyBorder="1" applyAlignment="1">
      <alignment vertical="center" wrapText="1"/>
    </xf>
    <xf numFmtId="164" fontId="0" fillId="0" borderId="0" xfId="1" applyNumberFormat="1" applyFont="1" applyAlignment="1">
      <alignment horizontal="center" vertical="center"/>
    </xf>
    <xf numFmtId="164" fontId="2" fillId="0" borderId="0" xfId="0" applyNumberFormat="1" applyFont="1" applyAlignment="1">
      <alignment horizontal="center" vertical="center"/>
    </xf>
    <xf numFmtId="0" fontId="2" fillId="0" borderId="0" xfId="0" applyFont="1" applyAlignment="1">
      <alignment horizontal="left" vertical="center" wrapText="1"/>
    </xf>
    <xf numFmtId="0" fontId="2" fillId="0" borderId="5" xfId="0" applyFont="1" applyBorder="1" applyAlignment="1">
      <alignment vertical="center"/>
    </xf>
    <xf numFmtId="164" fontId="2" fillId="0" borderId="5" xfId="1" applyNumberFormat="1" applyFont="1" applyBorder="1" applyAlignment="1">
      <alignment horizontal="center" vertical="center"/>
    </xf>
    <xf numFmtId="0" fontId="2" fillId="0" borderId="5" xfId="0" applyFont="1" applyBorder="1" applyAlignment="1">
      <alignment horizontal="center" vertical="center"/>
    </xf>
    <xf numFmtId="164" fontId="2" fillId="0" borderId="5" xfId="0" applyNumberFormat="1" applyFont="1" applyBorder="1" applyAlignment="1">
      <alignment horizontal="center" vertical="center"/>
    </xf>
    <xf numFmtId="0" fontId="2" fillId="0" borderId="5" xfId="0" applyFont="1" applyBorder="1" applyAlignment="1">
      <alignment horizontal="left" vertical="center" wrapText="1"/>
    </xf>
    <xf numFmtId="164" fontId="0" fillId="0" borderId="0" xfId="0" applyNumberFormat="1" applyAlignment="1">
      <alignment horizontal="center" vertical="center"/>
    </xf>
    <xf numFmtId="0" fontId="0" fillId="0" borderId="0" xfId="0" applyAlignment="1">
      <alignment horizontal="left" vertical="center" wrapText="1"/>
    </xf>
    <xf numFmtId="0" fontId="0" fillId="0" borderId="5" xfId="0" applyBorder="1" applyAlignment="1">
      <alignment vertical="center"/>
    </xf>
    <xf numFmtId="0" fontId="0" fillId="0" borderId="5" xfId="0" applyBorder="1" applyAlignment="1">
      <alignment horizontal="center" vertical="center"/>
    </xf>
    <xf numFmtId="164" fontId="0" fillId="0" borderId="5" xfId="0" applyNumberFormat="1" applyBorder="1" applyAlignment="1">
      <alignment horizontal="center" vertical="center"/>
    </xf>
    <xf numFmtId="0" fontId="4" fillId="0" borderId="5" xfId="0" applyFont="1" applyBorder="1" applyAlignment="1">
      <alignment vertical="center"/>
    </xf>
    <xf numFmtId="164" fontId="0" fillId="4" borderId="5" xfId="1" applyNumberFormat="1" applyFont="1" applyFill="1" applyBorder="1" applyAlignment="1">
      <alignment horizontal="center" vertical="center"/>
    </xf>
    <xf numFmtId="0" fontId="0" fillId="4" borderId="5" xfId="0" applyFill="1" applyBorder="1" applyAlignment="1">
      <alignment horizontal="center" vertical="center"/>
    </xf>
    <xf numFmtId="0" fontId="0" fillId="0" borderId="5" xfId="0" applyBorder="1" applyAlignment="1">
      <alignment horizontal="left" vertical="center" wrapText="1"/>
    </xf>
    <xf numFmtId="0" fontId="0" fillId="0" borderId="2" xfId="0" applyBorder="1" applyAlignment="1">
      <alignment vertical="center"/>
    </xf>
    <xf numFmtId="0" fontId="0" fillId="0" borderId="3" xfId="0" applyBorder="1" applyAlignment="1">
      <alignment vertical="center"/>
    </xf>
    <xf numFmtId="164" fontId="0" fillId="0" borderId="4" xfId="1" applyNumberFormat="1" applyFont="1" applyBorder="1" applyAlignment="1">
      <alignment horizontal="center" vertical="center"/>
    </xf>
    <xf numFmtId="0" fontId="0" fillId="0" borderId="4" xfId="0" applyBorder="1" applyAlignment="1">
      <alignment horizontal="center" vertical="center"/>
    </xf>
    <xf numFmtId="0" fontId="4" fillId="0" borderId="1" xfId="0" applyFont="1" applyBorder="1" applyAlignment="1">
      <alignment vertical="center"/>
    </xf>
    <xf numFmtId="164" fontId="0" fillId="4" borderId="1" xfId="1" applyNumberFormat="1" applyFont="1" applyFill="1" applyBorder="1" applyAlignment="1">
      <alignment horizontal="center" vertical="center"/>
    </xf>
    <xf numFmtId="0" fontId="0" fillId="4" borderId="1" xfId="0" applyFill="1" applyBorder="1"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horizontal="left" vertical="center" wrapText="1"/>
    </xf>
    <xf numFmtId="0" fontId="0" fillId="5" borderId="0" xfId="0" applyFill="1" applyAlignment="1">
      <alignment horizontal="left" vertical="center" wrapText="1"/>
    </xf>
    <xf numFmtId="0" fontId="0" fillId="0" borderId="0" xfId="0" applyAlignment="1">
      <alignment wrapText="1"/>
    </xf>
    <xf numFmtId="0" fontId="2" fillId="0" borderId="0" xfId="0" applyFont="1" applyAlignment="1">
      <alignment wrapText="1"/>
    </xf>
    <xf numFmtId="164" fontId="2" fillId="0" borderId="5" xfId="0" applyNumberFormat="1" applyFont="1" applyFill="1" applyBorder="1" applyAlignment="1">
      <alignment horizontal="center" wrapText="1"/>
    </xf>
    <xf numFmtId="0" fontId="0" fillId="0" borderId="0" xfId="0" applyAlignment="1">
      <alignment horizontal="center" vertical="center" wrapText="1"/>
    </xf>
    <xf numFmtId="0" fontId="0" fillId="0" borderId="7" xfId="0" applyBorder="1"/>
    <xf numFmtId="164" fontId="0" fillId="0" borderId="11" xfId="0" applyNumberFormat="1" applyBorder="1" applyAlignment="1">
      <alignment horizontal="center"/>
    </xf>
    <xf numFmtId="164" fontId="0" fillId="0" borderId="7" xfId="0" applyNumberFormat="1" applyBorder="1" applyAlignment="1">
      <alignment horizontal="center"/>
    </xf>
    <xf numFmtId="164" fontId="0" fillId="0" borderId="10" xfId="0" applyNumberFormat="1" applyBorder="1" applyAlignment="1">
      <alignment horizontal="center"/>
    </xf>
    <xf numFmtId="0" fontId="2" fillId="0" borderId="0" xfId="0" applyFont="1" applyAlignment="1">
      <alignment horizontal="right" vertical="center"/>
    </xf>
    <xf numFmtId="164" fontId="0" fillId="0" borderId="5" xfId="0" applyNumberFormat="1" applyBorder="1" applyAlignment="1">
      <alignment horizontal="center"/>
    </xf>
    <xf numFmtId="0" fontId="0" fillId="2" borderId="7" xfId="0" applyFill="1" applyBorder="1" applyAlignment="1">
      <alignment horizontal="right"/>
    </xf>
    <xf numFmtId="0" fontId="0" fillId="7" borderId="7" xfId="0" applyFill="1" applyBorder="1" applyAlignment="1">
      <alignment horizontal="right"/>
    </xf>
    <xf numFmtId="0" fontId="0" fillId="8" borderId="7" xfId="0" applyFill="1" applyBorder="1" applyAlignment="1">
      <alignment horizontal="right"/>
    </xf>
    <xf numFmtId="0" fontId="0" fillId="10" borderId="7" xfId="0" applyFill="1" applyBorder="1" applyAlignment="1">
      <alignment horizontal="right"/>
    </xf>
    <xf numFmtId="0" fontId="0" fillId="11" borderId="7" xfId="0" applyFill="1" applyBorder="1" applyAlignment="1">
      <alignment horizontal="right"/>
    </xf>
    <xf numFmtId="0" fontId="0" fillId="12" borderId="7" xfId="0" applyFill="1" applyBorder="1" applyAlignment="1">
      <alignment horizontal="right"/>
    </xf>
    <xf numFmtId="0" fontId="0" fillId="5" borderId="7" xfId="0" applyFill="1" applyBorder="1" applyAlignment="1">
      <alignment horizontal="right"/>
    </xf>
    <xf numFmtId="0" fontId="0" fillId="13" borderId="7" xfId="0" applyFill="1" applyBorder="1" applyAlignment="1">
      <alignment horizontal="right"/>
    </xf>
    <xf numFmtId="164" fontId="4" fillId="0" borderId="8" xfId="0" applyNumberFormat="1" applyFont="1" applyBorder="1" applyAlignment="1">
      <alignment horizontal="center"/>
    </xf>
    <xf numFmtId="164" fontId="4" fillId="0" borderId="9" xfId="0" applyNumberFormat="1" applyFont="1" applyBorder="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xf numFmtId="164" fontId="0" fillId="15" borderId="0" xfId="0" applyNumberFormat="1" applyFill="1" applyAlignment="1">
      <alignment horizontal="center" vertical="center"/>
    </xf>
    <xf numFmtId="0" fontId="0" fillId="15" borderId="0" xfId="0" applyFill="1" applyAlignment="1">
      <alignment horizontal="center" vertical="center"/>
    </xf>
    <xf numFmtId="0" fontId="0" fillId="16" borderId="7" xfId="0" applyFill="1" applyBorder="1" applyAlignment="1">
      <alignment horizontal="right"/>
    </xf>
    <xf numFmtId="0" fontId="0" fillId="9" borderId="8" xfId="0" applyFill="1" applyBorder="1" applyAlignment="1">
      <alignment horizontal="right"/>
    </xf>
    <xf numFmtId="164" fontId="0" fillId="15" borderId="0" xfId="0" applyNumberFormat="1" applyFill="1" applyAlignment="1">
      <alignment horizontal="center" vertical="center" wrapText="1"/>
    </xf>
    <xf numFmtId="164" fontId="2" fillId="0" borderId="5" xfId="0" applyNumberFormat="1" applyFont="1" applyBorder="1" applyAlignment="1">
      <alignment horizontal="center" vertical="center" wrapText="1"/>
    </xf>
    <xf numFmtId="164" fontId="0" fillId="0" borderId="0" xfId="0" applyNumberFormat="1" applyAlignment="1">
      <alignment horizontal="center" vertical="center" wrapText="1"/>
    </xf>
    <xf numFmtId="0" fontId="2" fillId="15" borderId="5" xfId="0" applyFont="1" applyFill="1" applyBorder="1" applyAlignment="1">
      <alignment horizontal="center" vertical="center"/>
    </xf>
    <xf numFmtId="0" fontId="2" fillId="0" borderId="13" xfId="0" applyFont="1" applyBorder="1" applyAlignment="1">
      <alignment horizontal="center" vertical="center"/>
    </xf>
    <xf numFmtId="49" fontId="0" fillId="15" borderId="0" xfId="0" applyNumberFormat="1" applyFill="1" applyAlignment="1">
      <alignment horizontal="center" vertical="center" wrapText="1"/>
    </xf>
    <xf numFmtId="49" fontId="2" fillId="0" borderId="5" xfId="0" applyNumberFormat="1" applyFont="1" applyBorder="1" applyAlignment="1">
      <alignment horizontal="center" vertical="center" wrapText="1"/>
    </xf>
    <xf numFmtId="49" fontId="0" fillId="0" borderId="0" xfId="0" applyNumberFormat="1" applyAlignment="1">
      <alignment horizontal="center" vertical="center" wrapText="1"/>
    </xf>
    <xf numFmtId="49" fontId="0" fillId="0" borderId="5" xfId="0" applyNumberFormat="1" applyBorder="1" applyAlignment="1">
      <alignment horizontal="center" vertical="center" wrapText="1"/>
    </xf>
    <xf numFmtId="49" fontId="0" fillId="15" borderId="7" xfId="0" applyNumberFormat="1" applyFill="1" applyBorder="1" applyAlignment="1">
      <alignment horizontal="center" vertical="center" wrapText="1"/>
    </xf>
    <xf numFmtId="49" fontId="0" fillId="15" borderId="0" xfId="0" applyNumberFormat="1" applyFill="1" applyAlignment="1">
      <alignment horizontal="center" vertical="center"/>
    </xf>
    <xf numFmtId="49" fontId="2" fillId="0" borderId="8" xfId="0" applyNumberFormat="1" applyFont="1" applyBorder="1" applyAlignment="1">
      <alignment horizontal="center" vertical="center" wrapText="1"/>
    </xf>
    <xf numFmtId="49" fontId="2" fillId="0" borderId="5" xfId="0" applyNumberFormat="1" applyFont="1" applyBorder="1" applyAlignment="1">
      <alignment horizontal="center" vertical="center"/>
    </xf>
    <xf numFmtId="49" fontId="0" fillId="0" borderId="7" xfId="0" applyNumberFormat="1" applyBorder="1" applyAlignment="1">
      <alignment horizontal="center" vertical="center" wrapText="1"/>
    </xf>
    <xf numFmtId="49" fontId="0" fillId="0" borderId="0" xfId="0" applyNumberFormat="1" applyAlignment="1">
      <alignment horizontal="center" vertical="center"/>
    </xf>
    <xf numFmtId="49" fontId="0" fillId="0" borderId="5" xfId="0" applyNumberFormat="1" applyBorder="1" applyAlignment="1">
      <alignment horizontal="center" vertical="center"/>
    </xf>
    <xf numFmtId="49" fontId="0" fillId="15" borderId="7" xfId="0" applyNumberFormat="1" applyFill="1" applyBorder="1" applyAlignment="1">
      <alignment horizontal="center" vertical="center"/>
    </xf>
    <xf numFmtId="49" fontId="2" fillId="0" borderId="8" xfId="0" applyNumberFormat="1" applyFont="1" applyBorder="1" applyAlignment="1">
      <alignment horizontal="center" vertical="center"/>
    </xf>
    <xf numFmtId="49" fontId="2" fillId="17" borderId="0" xfId="0" applyNumberFormat="1" applyFont="1" applyFill="1" applyAlignment="1">
      <alignment horizontal="center" vertical="center" wrapText="1"/>
    </xf>
    <xf numFmtId="164" fontId="2" fillId="17" borderId="0" xfId="0" applyNumberFormat="1" applyFont="1" applyFill="1" applyAlignment="1">
      <alignment horizontal="center" vertical="center" wrapText="1"/>
    </xf>
    <xf numFmtId="49" fontId="2" fillId="17" borderId="7" xfId="0" applyNumberFormat="1" applyFont="1" applyFill="1" applyBorder="1" applyAlignment="1">
      <alignment horizontal="center" vertical="center" wrapText="1"/>
    </xf>
    <xf numFmtId="164" fontId="2" fillId="17" borderId="0" xfId="0" applyNumberFormat="1" applyFont="1" applyFill="1" applyAlignment="1">
      <alignment horizontal="center" vertical="center"/>
    </xf>
    <xf numFmtId="164" fontId="2" fillId="0" borderId="10" xfId="0" applyNumberFormat="1" applyFont="1" applyBorder="1" applyAlignment="1">
      <alignment horizontal="center"/>
    </xf>
    <xf numFmtId="164" fontId="6" fillId="0" borderId="8" xfId="0" applyNumberFormat="1" applyFont="1" applyBorder="1" applyAlignment="1">
      <alignment horizontal="center"/>
    </xf>
    <xf numFmtId="164" fontId="6" fillId="0" borderId="9" xfId="0" applyNumberFormat="1" applyFont="1" applyBorder="1" applyAlignment="1">
      <alignment horizontal="center"/>
    </xf>
    <xf numFmtId="164" fontId="2" fillId="0" borderId="9" xfId="0" applyNumberFormat="1" applyFont="1" applyBorder="1" applyAlignment="1">
      <alignment horizontal="center"/>
    </xf>
    <xf numFmtId="164" fontId="2" fillId="0" borderId="7" xfId="0" applyNumberFormat="1" applyFont="1" applyBorder="1" applyAlignment="1">
      <alignment horizontal="center"/>
    </xf>
    <xf numFmtId="164" fontId="4" fillId="0" borderId="20" xfId="0" applyNumberFormat="1" applyFont="1" applyBorder="1" applyAlignment="1">
      <alignment horizontal="center"/>
    </xf>
    <xf numFmtId="164" fontId="4" fillId="0" borderId="21" xfId="0" applyNumberFormat="1" applyFont="1" applyBorder="1" applyAlignment="1">
      <alignment horizontal="center"/>
    </xf>
    <xf numFmtId="164" fontId="2" fillId="0" borderId="8" xfId="0" applyNumberFormat="1" applyFont="1" applyBorder="1" applyAlignment="1">
      <alignment horizontal="center"/>
    </xf>
    <xf numFmtId="164" fontId="0" fillId="0" borderId="23" xfId="0" applyNumberFormat="1" applyBorder="1" applyAlignment="1">
      <alignment horizontal="center"/>
    </xf>
    <xf numFmtId="164" fontId="4" fillId="0" borderId="24" xfId="0" applyNumberFormat="1" applyFont="1" applyBorder="1" applyAlignment="1">
      <alignment horizontal="center"/>
    </xf>
    <xf numFmtId="164" fontId="4" fillId="0" borderId="25" xfId="0" applyNumberFormat="1" applyFont="1" applyBorder="1" applyAlignment="1">
      <alignment horizontal="center"/>
    </xf>
    <xf numFmtId="0" fontId="2" fillId="0" borderId="26" xfId="0" applyFont="1" applyBorder="1" applyAlignment="1">
      <alignment horizontal="center"/>
    </xf>
    <xf numFmtId="0" fontId="8" fillId="0" borderId="7" xfId="0" applyFont="1" applyBorder="1" applyAlignment="1">
      <alignment horizontal="center" vertical="center"/>
    </xf>
    <xf numFmtId="49" fontId="0" fillId="0" borderId="7" xfId="0" applyNumberForma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15" borderId="7" xfId="0" applyFont="1" applyFill="1" applyBorder="1" applyAlignment="1">
      <alignment horizontal="center" vertical="center"/>
    </xf>
    <xf numFmtId="0" fontId="2" fillId="15" borderId="0" xfId="0" applyFont="1" applyFill="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7" fillId="0" borderId="14" xfId="0" applyFont="1" applyBorder="1" applyAlignment="1">
      <alignment horizontal="left" vertical="center"/>
    </xf>
    <xf numFmtId="0" fontId="2" fillId="0" borderId="7" xfId="0" applyFont="1" applyBorder="1" applyAlignment="1">
      <alignment horizontal="left" vertical="center"/>
    </xf>
    <xf numFmtId="0" fontId="2" fillId="0" borderId="8" xfId="0" applyFont="1" applyBorder="1" applyAlignment="1">
      <alignment horizontal="left" vertical="center"/>
    </xf>
    <xf numFmtId="0" fontId="2" fillId="5" borderId="7" xfId="0" applyFont="1" applyFill="1" applyBorder="1" applyAlignment="1">
      <alignment horizontal="center" vertical="center" wrapText="1"/>
    </xf>
    <xf numFmtId="164" fontId="9" fillId="0" borderId="0" xfId="1" applyNumberFormat="1" applyFont="1" applyAlignment="1">
      <alignment horizontal="center" vertical="center"/>
    </xf>
    <xf numFmtId="9" fontId="9" fillId="0" borderId="5" xfId="0" applyNumberFormat="1" applyFont="1" applyBorder="1" applyAlignment="1">
      <alignment horizontal="left" vertical="center" wrapText="1"/>
    </xf>
    <xf numFmtId="164" fontId="9" fillId="0" borderId="5" xfId="1" applyNumberFormat="1" applyFont="1" applyBorder="1" applyAlignment="1">
      <alignment horizontal="center" vertical="center"/>
    </xf>
    <xf numFmtId="49" fontId="2" fillId="5" borderId="0" xfId="0" applyNumberFormat="1" applyFont="1" applyFill="1" applyAlignment="1">
      <alignment horizontal="center" vertical="center" wrapText="1"/>
    </xf>
    <xf numFmtId="49" fontId="0" fillId="0" borderId="0" xfId="0" applyNumberFormat="1" applyFont="1" applyFill="1" applyAlignment="1">
      <alignment horizontal="center" vertical="center" wrapText="1"/>
    </xf>
    <xf numFmtId="164" fontId="0" fillId="0" borderId="0" xfId="0" applyNumberFormat="1" applyFont="1" applyFill="1" applyAlignment="1">
      <alignment horizontal="center" vertical="center" wrapText="1"/>
    </xf>
    <xf numFmtId="9" fontId="9" fillId="0" borderId="0" xfId="0" applyNumberFormat="1" applyFont="1" applyAlignment="1">
      <alignment horizontal="left" vertical="center" wrapText="1"/>
    </xf>
    <xf numFmtId="10" fontId="9" fillId="0" borderId="0" xfId="0" applyNumberFormat="1" applyFont="1" applyAlignment="1">
      <alignment horizontal="left" vertical="center" wrapText="1"/>
    </xf>
    <xf numFmtId="9" fontId="9" fillId="0" borderId="4" xfId="0" applyNumberFormat="1" applyFont="1" applyBorder="1" applyAlignment="1">
      <alignment horizontal="left" vertical="center" wrapText="1"/>
    </xf>
    <xf numFmtId="164" fontId="0" fillId="0" borderId="5" xfId="0" applyNumberFormat="1" applyBorder="1" applyAlignment="1">
      <alignment horizontal="center" vertical="center"/>
    </xf>
    <xf numFmtId="0" fontId="9" fillId="0" borderId="0" xfId="0" applyFont="1" applyAlignment="1">
      <alignment horizontal="left" vertical="center" wrapText="1"/>
    </xf>
    <xf numFmtId="9" fontId="0" fillId="0" borderId="0" xfId="2" applyFont="1" applyFill="1" applyBorder="1" applyAlignment="1">
      <alignment horizontal="center" vertical="center"/>
    </xf>
    <xf numFmtId="9" fontId="2" fillId="0" borderId="0" xfId="2" applyFont="1" applyFill="1" applyBorder="1" applyAlignment="1">
      <alignment horizontal="center" vertical="center"/>
    </xf>
    <xf numFmtId="0" fontId="0" fillId="0" borderId="0" xfId="0" applyFill="1" applyBorder="1"/>
    <xf numFmtId="0" fontId="2" fillId="0" borderId="0" xfId="0" applyFont="1" applyFill="1" applyBorder="1" applyAlignment="1">
      <alignment vertical="center" wrapText="1"/>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9" fontId="0" fillId="0" borderId="0" xfId="0" applyNumberFormat="1" applyFill="1" applyBorder="1" applyAlignment="1">
      <alignment horizontal="center" vertical="center"/>
    </xf>
    <xf numFmtId="0" fontId="10" fillId="0" borderId="0" xfId="0" quotePrefix="1" applyFont="1" applyFill="1" applyBorder="1" applyAlignment="1">
      <alignment wrapText="1"/>
    </xf>
    <xf numFmtId="0" fontId="10" fillId="0" borderId="0" xfId="0" applyFont="1" applyFill="1" applyBorder="1" applyAlignment="1">
      <alignment wrapText="1"/>
    </xf>
    <xf numFmtId="9" fontId="2" fillId="0" borderId="0" xfId="2" applyFont="1" applyFill="1" applyBorder="1" applyAlignment="1">
      <alignment vertical="center"/>
    </xf>
    <xf numFmtId="0" fontId="0" fillId="2" borderId="10" xfId="0" applyFill="1" applyBorder="1" applyAlignment="1">
      <alignment horizontal="right"/>
    </xf>
    <xf numFmtId="0" fontId="0" fillId="8" borderId="10" xfId="0" applyFill="1" applyBorder="1" applyAlignment="1">
      <alignment horizontal="right"/>
    </xf>
    <xf numFmtId="0" fontId="0" fillId="11" borderId="10" xfId="0" applyFill="1" applyBorder="1" applyAlignment="1">
      <alignment horizontal="right"/>
    </xf>
    <xf numFmtId="0" fontId="0" fillId="10" borderId="10" xfId="0" applyFill="1" applyBorder="1" applyAlignment="1">
      <alignment horizontal="right"/>
    </xf>
    <xf numFmtId="0" fontId="0" fillId="7" borderId="10" xfId="0" applyFill="1" applyBorder="1" applyAlignment="1">
      <alignment horizontal="right"/>
    </xf>
    <xf numFmtId="0" fontId="0" fillId="5" borderId="10" xfId="0" applyFill="1" applyBorder="1" applyAlignment="1">
      <alignment horizontal="right"/>
    </xf>
    <xf numFmtId="0" fontId="0" fillId="13" borderId="10" xfId="0" applyFill="1" applyBorder="1" applyAlignment="1">
      <alignment horizontal="right"/>
    </xf>
    <xf numFmtId="0" fontId="0" fillId="12" borderId="10" xfId="0" applyFill="1" applyBorder="1" applyAlignment="1">
      <alignment horizontal="right"/>
    </xf>
    <xf numFmtId="0" fontId="0" fillId="16" borderId="10" xfId="0" applyFill="1" applyBorder="1" applyAlignment="1">
      <alignment horizontal="right"/>
    </xf>
    <xf numFmtId="0" fontId="0" fillId="0" borderId="18" xfId="0" applyBorder="1" applyAlignment="1">
      <alignment vertical="center"/>
    </xf>
    <xf numFmtId="0" fontId="0" fillId="0" borderId="16" xfId="0" applyBorder="1" applyAlignment="1">
      <alignment vertical="center"/>
    </xf>
    <xf numFmtId="0" fontId="2" fillId="0" borderId="19" xfId="0" applyFont="1" applyBorder="1" applyAlignment="1">
      <alignment horizontal="right" vertical="center"/>
    </xf>
    <xf numFmtId="165" fontId="0" fillId="0" borderId="0" xfId="0" applyNumberFormat="1" applyBorder="1" applyAlignment="1">
      <alignment vertical="center"/>
    </xf>
    <xf numFmtId="165" fontId="0" fillId="0" borderId="5" xfId="0" applyNumberFormat="1" applyBorder="1" applyAlignment="1">
      <alignment vertical="center"/>
    </xf>
    <xf numFmtId="166" fontId="0" fillId="0" borderId="0" xfId="0" applyNumberFormat="1" applyBorder="1" applyAlignment="1">
      <alignment vertical="center"/>
    </xf>
    <xf numFmtId="166" fontId="0" fillId="0" borderId="5" xfId="0" applyNumberFormat="1" applyBorder="1" applyAlignment="1">
      <alignment vertical="center"/>
    </xf>
    <xf numFmtId="0" fontId="5" fillId="0" borderId="0" xfId="0" applyFont="1" applyFill="1" applyBorder="1" applyAlignment="1">
      <alignment horizontal="right"/>
    </xf>
    <xf numFmtId="164" fontId="5" fillId="0" borderId="0" xfId="0" applyNumberFormat="1" applyFont="1" applyFill="1" applyBorder="1" applyAlignment="1">
      <alignment horizontal="center"/>
    </xf>
    <xf numFmtId="0" fontId="13" fillId="0" borderId="0" xfId="0" applyFont="1" applyFill="1" applyBorder="1" applyAlignment="1">
      <alignment horizontal="right" vertical="center"/>
    </xf>
    <xf numFmtId="164" fontId="13" fillId="0" borderId="0" xfId="0" applyNumberFormat="1" applyFont="1" applyFill="1" applyBorder="1" applyAlignment="1">
      <alignment horizontal="center" vertical="center"/>
    </xf>
    <xf numFmtId="0" fontId="0" fillId="9" borderId="10" xfId="0" applyFill="1" applyBorder="1" applyAlignment="1">
      <alignment horizontal="right"/>
    </xf>
    <xf numFmtId="164" fontId="2" fillId="0" borderId="13" xfId="0" applyNumberFormat="1" applyFont="1" applyBorder="1" applyAlignment="1">
      <alignment horizontal="center" vertical="center"/>
    </xf>
    <xf numFmtId="164" fontId="0" fillId="0" borderId="0" xfId="0" applyNumberFormat="1" applyBorder="1" applyAlignment="1">
      <alignment horizontal="center"/>
    </xf>
    <xf numFmtId="0" fontId="0" fillId="0" borderId="0" xfId="0" applyBorder="1"/>
    <xf numFmtId="0" fontId="0" fillId="0" borderId="0" xfId="0" applyAlignment="1">
      <alignment horizontal="right"/>
    </xf>
    <xf numFmtId="0" fontId="0" fillId="0" borderId="0" xfId="0" applyAlignment="1">
      <alignment horizontal="left"/>
    </xf>
    <xf numFmtId="164" fontId="5" fillId="0" borderId="0" xfId="0" applyNumberFormat="1" applyFont="1" applyFill="1" applyAlignment="1">
      <alignment horizontal="center" vertical="center" wrapText="1"/>
    </xf>
    <xf numFmtId="49" fontId="5" fillId="0" borderId="0" xfId="0" applyNumberFormat="1" applyFont="1" applyFill="1" applyAlignment="1">
      <alignment horizontal="center" vertical="center" wrapText="1"/>
    </xf>
    <xf numFmtId="164" fontId="5" fillId="0" borderId="0" xfId="0" applyNumberFormat="1" applyFont="1" applyFill="1" applyAlignment="1">
      <alignment horizontal="center" vertical="center"/>
    </xf>
    <xf numFmtId="164" fontId="0" fillId="0" borderId="0" xfId="0" applyNumberFormat="1" applyFont="1" applyAlignment="1">
      <alignment horizontal="center" vertical="center" wrapText="1"/>
    </xf>
    <xf numFmtId="49" fontId="0" fillId="0" borderId="0" xfId="0" applyNumberFormat="1" applyFont="1" applyAlignment="1">
      <alignment horizontal="center" vertical="center" wrapText="1"/>
    </xf>
    <xf numFmtId="49" fontId="0" fillId="0" borderId="7" xfId="0" applyNumberFormat="1" applyFont="1" applyBorder="1" applyAlignment="1">
      <alignment horizontal="center" vertical="center" wrapText="1"/>
    </xf>
    <xf numFmtId="49" fontId="0" fillId="0" borderId="0" xfId="0" applyNumberFormat="1" applyFont="1" applyAlignment="1">
      <alignment horizontal="center" vertical="center"/>
    </xf>
    <xf numFmtId="164" fontId="0" fillId="0" borderId="0" xfId="0" applyNumberFormat="1" applyFont="1" applyAlignment="1">
      <alignment horizontal="center" vertical="center"/>
    </xf>
    <xf numFmtId="0" fontId="0" fillId="0" borderId="31" xfId="0" applyBorder="1" applyAlignment="1">
      <alignment vertical="center"/>
    </xf>
    <xf numFmtId="0" fontId="0" fillId="2" borderId="35" xfId="0" applyFill="1" applyBorder="1" applyAlignment="1">
      <alignment horizontal="right"/>
    </xf>
    <xf numFmtId="0" fontId="0" fillId="8" borderId="35" xfId="0" applyFill="1" applyBorder="1" applyAlignment="1">
      <alignment horizontal="right"/>
    </xf>
    <xf numFmtId="0" fontId="0" fillId="11" borderId="35" xfId="0" applyFill="1" applyBorder="1" applyAlignment="1">
      <alignment horizontal="right"/>
    </xf>
    <xf numFmtId="0" fontId="0" fillId="0" borderId="30" xfId="0" applyBorder="1"/>
    <xf numFmtId="0" fontId="0" fillId="10" borderId="35" xfId="0" applyFill="1" applyBorder="1" applyAlignment="1">
      <alignment horizontal="right"/>
    </xf>
    <xf numFmtId="0" fontId="0" fillId="7" borderId="35" xfId="0" applyFill="1" applyBorder="1" applyAlignment="1">
      <alignment horizontal="right"/>
    </xf>
    <xf numFmtId="0" fontId="0" fillId="5" borderId="35" xfId="0" applyFill="1" applyBorder="1" applyAlignment="1">
      <alignment horizontal="right"/>
    </xf>
    <xf numFmtId="0" fontId="0" fillId="13" borderId="35" xfId="0" applyFill="1" applyBorder="1" applyAlignment="1">
      <alignment horizontal="right"/>
    </xf>
    <xf numFmtId="0" fontId="0" fillId="12" borderId="35" xfId="0" applyFill="1" applyBorder="1" applyAlignment="1">
      <alignment horizontal="right"/>
    </xf>
    <xf numFmtId="0" fontId="0" fillId="16" borderId="35" xfId="0" applyFill="1" applyBorder="1" applyAlignment="1">
      <alignment horizontal="right"/>
    </xf>
    <xf numFmtId="0" fontId="0" fillId="9" borderId="36" xfId="0" applyFill="1" applyBorder="1" applyAlignment="1">
      <alignment horizontal="right"/>
    </xf>
    <xf numFmtId="0" fontId="0" fillId="0" borderId="32" xfId="0" applyBorder="1"/>
    <xf numFmtId="0" fontId="2" fillId="0" borderId="33" xfId="0" applyFont="1" applyBorder="1" applyAlignment="1">
      <alignment horizontal="right" vertical="center"/>
    </xf>
    <xf numFmtId="0" fontId="0" fillId="0" borderId="2" xfId="0" applyBorder="1"/>
    <xf numFmtId="0" fontId="2" fillId="0" borderId="38" xfId="0" applyFont="1" applyBorder="1" applyAlignment="1">
      <alignment horizontal="right" vertical="center"/>
    </xf>
    <xf numFmtId="164" fontId="2" fillId="0" borderId="39" xfId="0" applyNumberFormat="1" applyFont="1" applyBorder="1" applyAlignment="1">
      <alignment horizontal="center" vertical="center"/>
    </xf>
    <xf numFmtId="0" fontId="2" fillId="0" borderId="41" xfId="0" applyFont="1" applyBorder="1" applyAlignment="1">
      <alignment horizontal="right" vertical="center"/>
    </xf>
    <xf numFmtId="0" fontId="0" fillId="12" borderId="2" xfId="0" applyFill="1" applyBorder="1"/>
    <xf numFmtId="0" fontId="0" fillId="12" borderId="0" xfId="0" applyFill="1" applyBorder="1"/>
    <xf numFmtId="0" fontId="0" fillId="12" borderId="30" xfId="0" applyFill="1" applyBorder="1"/>
    <xf numFmtId="0" fontId="5" fillId="0" borderId="0" xfId="0" applyFont="1" applyFill="1" applyBorder="1" applyAlignment="1">
      <alignment horizontal="center" vertical="center"/>
    </xf>
    <xf numFmtId="0" fontId="13" fillId="0" borderId="0" xfId="0" applyFont="1" applyFill="1" applyBorder="1" applyAlignment="1">
      <alignment horizontal="center" vertical="center"/>
    </xf>
    <xf numFmtId="0" fontId="5" fillId="0" borderId="0" xfId="0" applyFont="1" applyFill="1" applyBorder="1" applyAlignment="1">
      <alignment vertical="center"/>
    </xf>
    <xf numFmtId="0" fontId="0" fillId="0" borderId="5" xfId="0" applyBorder="1"/>
    <xf numFmtId="164" fontId="5" fillId="0" borderId="0" xfId="0" applyNumberFormat="1" applyFont="1" applyFill="1" applyBorder="1" applyAlignment="1">
      <alignment vertical="center"/>
    </xf>
    <xf numFmtId="11" fontId="5" fillId="0" borderId="0" xfId="0" applyNumberFormat="1" applyFont="1" applyFill="1" applyBorder="1" applyAlignment="1">
      <alignment vertical="center"/>
    </xf>
    <xf numFmtId="0" fontId="0" fillId="0" borderId="2" xfId="0" applyBorder="1" applyAlignment="1">
      <alignment vertical="center" wrapText="1"/>
    </xf>
    <xf numFmtId="0" fontId="0" fillId="0" borderId="6" xfId="0" applyBorder="1"/>
    <xf numFmtId="0" fontId="0" fillId="0" borderId="4" xfId="0" applyBorder="1"/>
    <xf numFmtId="0" fontId="2" fillId="0" borderId="0" xfId="0" applyFont="1" applyBorder="1"/>
    <xf numFmtId="0" fontId="2" fillId="0" borderId="5" xfId="0" applyFont="1" applyBorder="1"/>
    <xf numFmtId="0" fontId="0" fillId="0" borderId="43" xfId="0" applyBorder="1"/>
    <xf numFmtId="0" fontId="0" fillId="0" borderId="44" xfId="0" applyBorder="1"/>
    <xf numFmtId="0" fontId="0" fillId="0" borderId="45" xfId="0" applyBorder="1"/>
    <xf numFmtId="0" fontId="2" fillId="0" borderId="46" xfId="0" applyFont="1" applyBorder="1" applyAlignment="1">
      <alignment horizontal="center"/>
    </xf>
    <xf numFmtId="164" fontId="0" fillId="0" borderId="37" xfId="0" applyNumberFormat="1" applyBorder="1" applyAlignment="1">
      <alignment horizontal="center"/>
    </xf>
    <xf numFmtId="164" fontId="0" fillId="0" borderId="47" xfId="0" applyNumberFormat="1" applyBorder="1" applyAlignment="1">
      <alignment horizontal="center"/>
    </xf>
    <xf numFmtId="164" fontId="0" fillId="0" borderId="35" xfId="0" applyNumberFormat="1" applyBorder="1" applyAlignment="1">
      <alignment horizontal="center"/>
    </xf>
    <xf numFmtId="164" fontId="4" fillId="0" borderId="36" xfId="0" applyNumberFormat="1" applyFont="1" applyBorder="1" applyAlignment="1">
      <alignment horizontal="center"/>
    </xf>
    <xf numFmtId="164" fontId="4" fillId="0" borderId="48" xfId="0" applyNumberFormat="1" applyFont="1" applyBorder="1" applyAlignment="1">
      <alignment horizontal="center"/>
    </xf>
    <xf numFmtId="164" fontId="2" fillId="0" borderId="35" xfId="0" applyNumberFormat="1" applyFont="1" applyBorder="1" applyAlignment="1">
      <alignment horizontal="center"/>
    </xf>
    <xf numFmtId="164" fontId="2" fillId="0" borderId="23" xfId="0" applyNumberFormat="1" applyFont="1" applyBorder="1" applyAlignment="1">
      <alignment horizontal="center"/>
    </xf>
    <xf numFmtId="164" fontId="6" fillId="0" borderId="36" xfId="0" applyNumberFormat="1" applyFont="1" applyBorder="1" applyAlignment="1">
      <alignment horizontal="center"/>
    </xf>
    <xf numFmtId="164" fontId="6" fillId="0" borderId="24" xfId="0" applyNumberFormat="1" applyFont="1" applyBorder="1" applyAlignment="1">
      <alignment horizontal="center"/>
    </xf>
    <xf numFmtId="0" fontId="14" fillId="0" borderId="0" xfId="0" applyFont="1" applyFill="1" applyAlignment="1">
      <alignment vertical="center" wrapText="1"/>
    </xf>
    <xf numFmtId="164" fontId="17" fillId="0" borderId="24" xfId="0" applyNumberFormat="1" applyFont="1" applyFill="1" applyBorder="1" applyAlignment="1">
      <alignment horizontal="center"/>
    </xf>
    <xf numFmtId="9" fontId="0" fillId="0" borderId="0" xfId="2" applyFont="1"/>
    <xf numFmtId="11" fontId="0" fillId="0" borderId="0" xfId="0" applyNumberFormat="1"/>
    <xf numFmtId="9" fontId="2" fillId="0" borderId="5" xfId="2" applyFont="1" applyFill="1" applyBorder="1" applyAlignment="1">
      <alignment horizontal="center" vertical="center"/>
    </xf>
    <xf numFmtId="9" fontId="0" fillId="0" borderId="5" xfId="2" applyFont="1" applyFill="1" applyBorder="1" applyAlignment="1">
      <alignment horizontal="center" vertical="center"/>
    </xf>
    <xf numFmtId="164" fontId="0" fillId="0" borderId="0" xfId="2" applyNumberFormat="1" applyFont="1" applyFill="1" applyBorder="1" applyAlignment="1">
      <alignment horizontal="center" vertical="center"/>
    </xf>
    <xf numFmtId="164" fontId="0" fillId="0" borderId="0" xfId="0" applyNumberFormat="1" applyFill="1" applyBorder="1" applyAlignment="1">
      <alignment horizontal="center" vertical="center"/>
    </xf>
    <xf numFmtId="164" fontId="2" fillId="0" borderId="0" xfId="0" applyNumberFormat="1" applyFont="1" applyFill="1" applyBorder="1" applyAlignment="1">
      <alignment horizontal="center" vertical="center"/>
    </xf>
    <xf numFmtId="9" fontId="1" fillId="0" borderId="5" xfId="2" applyFont="1" applyFill="1" applyBorder="1" applyAlignment="1">
      <alignment horizontal="center" vertical="center"/>
    </xf>
    <xf numFmtId="0" fontId="9" fillId="0" borderId="0" xfId="0" applyFont="1" applyFill="1" applyBorder="1" applyAlignment="1">
      <alignment vertical="center" wrapText="1"/>
    </xf>
    <xf numFmtId="0" fontId="9" fillId="0" borderId="0" xfId="0" applyFont="1" applyAlignment="1">
      <alignment vertical="center" wrapText="1"/>
    </xf>
    <xf numFmtId="0" fontId="9" fillId="0" borderId="0" xfId="0" applyFont="1" applyFill="1" applyAlignment="1">
      <alignment horizontal="left" vertical="center" wrapText="1"/>
    </xf>
    <xf numFmtId="0" fontId="14" fillId="0" borderId="0" xfId="0" applyFont="1" applyAlignment="1">
      <alignment wrapText="1"/>
    </xf>
    <xf numFmtId="0" fontId="19" fillId="0" borderId="0" xfId="0" applyFont="1" applyAlignment="1">
      <alignment wrapText="1"/>
    </xf>
    <xf numFmtId="49" fontId="0" fillId="0" borderId="0" xfId="0" applyNumberFormat="1" applyFont="1" applyFill="1" applyAlignment="1">
      <alignment horizontal="center" vertical="center"/>
    </xf>
    <xf numFmtId="49" fontId="0" fillId="19" borderId="7" xfId="0" applyNumberFormat="1" applyFill="1" applyBorder="1" applyAlignment="1">
      <alignment horizontal="center" vertical="center" wrapText="1"/>
    </xf>
    <xf numFmtId="49" fontId="2" fillId="5" borderId="0" xfId="0" applyNumberFormat="1" applyFont="1" applyFill="1" applyAlignment="1">
      <alignment horizontal="center" vertical="center"/>
    </xf>
    <xf numFmtId="0" fontId="2" fillId="0" borderId="7" xfId="0" applyFont="1" applyFill="1" applyBorder="1" applyAlignment="1">
      <alignment horizontal="center" wrapText="1"/>
    </xf>
    <xf numFmtId="0" fontId="20" fillId="20" borderId="7" xfId="0" applyFont="1" applyFill="1" applyBorder="1" applyAlignment="1">
      <alignment horizontal="center" vertical="center" wrapText="1"/>
    </xf>
    <xf numFmtId="0" fontId="20" fillId="0" borderId="7" xfId="0" applyFont="1" applyBorder="1" applyAlignment="1">
      <alignment horizontal="center" wrapText="1"/>
    </xf>
    <xf numFmtId="0" fontId="20" fillId="0" borderId="7" xfId="0" applyFont="1" applyBorder="1" applyAlignment="1">
      <alignment horizontal="center" vertical="center"/>
    </xf>
    <xf numFmtId="49" fontId="0" fillId="0" borderId="0" xfId="0" applyNumberFormat="1" applyAlignment="1">
      <alignment horizontal="center" vertical="center" wrapText="1"/>
    </xf>
    <xf numFmtId="0" fontId="9" fillId="0" borderId="0" xfId="0" applyFont="1" applyBorder="1" applyAlignment="1">
      <alignment vertical="center" wrapText="1"/>
    </xf>
    <xf numFmtId="0" fontId="23" fillId="0" borderId="18" xfId="0" applyFont="1" applyBorder="1" applyAlignment="1">
      <alignment vertical="center"/>
    </xf>
    <xf numFmtId="0" fontId="23" fillId="0" borderId="7" xfId="0" applyFont="1" applyBorder="1" applyAlignment="1">
      <alignment horizontal="center" vertical="center" wrapText="1"/>
    </xf>
    <xf numFmtId="49" fontId="0" fillId="0" borderId="0" xfId="0" applyNumberFormat="1" applyAlignment="1">
      <alignment horizontal="center" vertical="center" wrapText="1"/>
    </xf>
    <xf numFmtId="164" fontId="0" fillId="0" borderId="0" xfId="0" applyNumberFormat="1" applyBorder="1" applyAlignment="1">
      <alignment horizontal="center" vertical="center"/>
    </xf>
    <xf numFmtId="164" fontId="0" fillId="0" borderId="5" xfId="0" applyNumberFormat="1" applyBorder="1" applyAlignment="1">
      <alignment horizontal="center" vertical="center"/>
    </xf>
    <xf numFmtId="164" fontId="0" fillId="0" borderId="8" xfId="0" applyNumberFormat="1" applyBorder="1" applyAlignment="1">
      <alignment horizontal="center" vertical="center"/>
    </xf>
    <xf numFmtId="164" fontId="0" fillId="0" borderId="7" xfId="0" applyNumberFormat="1" applyBorder="1" applyAlignment="1">
      <alignment horizontal="center" vertical="center"/>
    </xf>
    <xf numFmtId="49" fontId="0" fillId="0" borderId="0" xfId="0" applyNumberFormat="1" applyAlignment="1">
      <alignment horizontal="center" vertical="center" wrapText="1"/>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18" xfId="0" applyBorder="1" applyAlignment="1">
      <alignment horizontal="center" vertical="center" wrapText="1"/>
    </xf>
    <xf numFmtId="0" fontId="0" fillId="0" borderId="16" xfId="0" applyBorder="1" applyAlignment="1">
      <alignment horizontal="center" vertical="center" wrapText="1"/>
    </xf>
    <xf numFmtId="0" fontId="0" fillId="0" borderId="30" xfId="0" applyBorder="1" applyAlignment="1">
      <alignment horizontal="center" vertical="center" wrapText="1"/>
    </xf>
    <xf numFmtId="0" fontId="0" fillId="0" borderId="32" xfId="0" applyBorder="1" applyAlignment="1">
      <alignment horizontal="center" vertical="center" wrapText="1"/>
    </xf>
    <xf numFmtId="49" fontId="0" fillId="0" borderId="0" xfId="0" applyNumberFormat="1" applyAlignment="1">
      <alignment horizontal="center" vertical="center" wrapText="1"/>
    </xf>
    <xf numFmtId="164" fontId="0" fillId="0" borderId="5" xfId="0" applyNumberFormat="1" applyBorder="1" applyAlignment="1">
      <alignment horizontal="center" vertical="center" wrapText="1"/>
    </xf>
    <xf numFmtId="164" fontId="0" fillId="0" borderId="5" xfId="0" applyNumberFormat="1" applyBorder="1" applyAlignment="1">
      <alignment horizontal="center" vertical="center"/>
    </xf>
    <xf numFmtId="167" fontId="24" fillId="0" borderId="14" xfId="0" applyNumberFormat="1" applyFont="1" applyBorder="1" applyAlignment="1">
      <alignment horizontal="center"/>
    </xf>
    <xf numFmtId="167" fontId="24" fillId="0" borderId="34" xfId="0" applyNumberFormat="1" applyFont="1" applyBorder="1" applyAlignment="1">
      <alignment horizontal="center"/>
    </xf>
    <xf numFmtId="166" fontId="23" fillId="0" borderId="0" xfId="0" applyNumberFormat="1" applyFont="1" applyBorder="1" applyAlignment="1">
      <alignment vertical="center"/>
    </xf>
    <xf numFmtId="167" fontId="24" fillId="0" borderId="40" xfId="0" applyNumberFormat="1" applyFont="1" applyBorder="1" applyAlignment="1">
      <alignment horizontal="center"/>
    </xf>
    <xf numFmtId="167" fontId="24" fillId="0" borderId="42" xfId="0" applyNumberFormat="1" applyFont="1" applyBorder="1" applyAlignment="1">
      <alignment horizontal="center"/>
    </xf>
    <xf numFmtId="0" fontId="5" fillId="0" borderId="18" xfId="0" applyFont="1" applyFill="1" applyBorder="1" applyAlignment="1"/>
    <xf numFmtId="0" fontId="0" fillId="0" borderId="10" xfId="0" applyBorder="1"/>
    <xf numFmtId="0" fontId="0" fillId="0" borderId="9" xfId="0" applyBorder="1"/>
    <xf numFmtId="0" fontId="2" fillId="0" borderId="28" xfId="0" applyFont="1" applyBorder="1" applyAlignment="1">
      <alignment horizontal="center"/>
    </xf>
    <xf numFmtId="0" fontId="2" fillId="0" borderId="29" xfId="0" applyFont="1" applyBorder="1" applyAlignment="1">
      <alignment horizontal="center"/>
    </xf>
    <xf numFmtId="0" fontId="2" fillId="0" borderId="45" xfId="0" applyFont="1" applyBorder="1" applyAlignment="1">
      <alignment horizontal="center"/>
    </xf>
    <xf numFmtId="164" fontId="0" fillId="0" borderId="0" xfId="0" applyNumberFormat="1" applyBorder="1" applyAlignment="1">
      <alignment horizontal="left"/>
    </xf>
    <xf numFmtId="164" fontId="0" fillId="0" borderId="0" xfId="0" applyNumberFormat="1" applyBorder="1" applyAlignment="1">
      <alignment horizontal="right"/>
    </xf>
    <xf numFmtId="164" fontId="0" fillId="0" borderId="23" xfId="0" applyNumberFormat="1" applyBorder="1" applyAlignment="1">
      <alignment horizontal="center" vertical="center"/>
    </xf>
    <xf numFmtId="164" fontId="0" fillId="0" borderId="25" xfId="0" applyNumberFormat="1" applyBorder="1" applyAlignment="1">
      <alignment horizontal="center" vertical="center"/>
    </xf>
    <xf numFmtId="164" fontId="0" fillId="0" borderId="10" xfId="0" applyNumberFormat="1" applyBorder="1" applyAlignment="1">
      <alignment horizontal="center" vertical="center"/>
    </xf>
    <xf numFmtId="164" fontId="0" fillId="0" borderId="50" xfId="0" applyNumberFormat="1" applyBorder="1" applyAlignment="1">
      <alignment horizontal="center" vertical="center"/>
    </xf>
    <xf numFmtId="164" fontId="0" fillId="0" borderId="52" xfId="0" applyNumberFormat="1" applyBorder="1" applyAlignment="1">
      <alignment horizontal="center" vertical="center"/>
    </xf>
    <xf numFmtId="164" fontId="0" fillId="0" borderId="51" xfId="0" applyNumberFormat="1" applyBorder="1" applyAlignment="1">
      <alignment horizontal="center" vertical="center"/>
    </xf>
    <xf numFmtId="0" fontId="0" fillId="0" borderId="43" xfId="0" applyFill="1" applyBorder="1" applyAlignment="1">
      <alignment horizontal="right"/>
    </xf>
    <xf numFmtId="0" fontId="0" fillId="0" borderId="53" xfId="0" applyFill="1" applyBorder="1" applyAlignment="1">
      <alignment horizontal="center"/>
    </xf>
    <xf numFmtId="164" fontId="5" fillId="0" borderId="2" xfId="0" applyNumberFormat="1" applyFont="1" applyFill="1" applyBorder="1" applyAlignment="1">
      <alignment horizontal="center"/>
    </xf>
    <xf numFmtId="0" fontId="5" fillId="0" borderId="31" xfId="0" applyFont="1" applyFill="1" applyBorder="1" applyAlignment="1">
      <alignment horizontal="center"/>
    </xf>
    <xf numFmtId="0" fontId="5" fillId="0" borderId="3" xfId="0" applyFont="1" applyFill="1" applyBorder="1" applyAlignment="1">
      <alignment horizontal="center"/>
    </xf>
    <xf numFmtId="0" fontId="2" fillId="0" borderId="54" xfId="0" applyFont="1" applyBorder="1" applyAlignment="1">
      <alignment horizontal="center"/>
    </xf>
    <xf numFmtId="0" fontId="2" fillId="0" borderId="27" xfId="0" applyFont="1" applyBorder="1" applyAlignment="1">
      <alignment horizontal="center"/>
    </xf>
    <xf numFmtId="164" fontId="0" fillId="0" borderId="35" xfId="0" applyNumberFormat="1" applyBorder="1" applyAlignment="1">
      <alignment horizontal="center" vertical="center"/>
    </xf>
    <xf numFmtId="0" fontId="2" fillId="0" borderId="50" xfId="0" applyFont="1" applyBorder="1" applyAlignment="1">
      <alignment horizontal="center"/>
    </xf>
    <xf numFmtId="164" fontId="0" fillId="0" borderId="55" xfId="0" applyNumberFormat="1" applyBorder="1" applyAlignment="1">
      <alignment horizontal="center" vertical="center"/>
    </xf>
    <xf numFmtId="164" fontId="5" fillId="0" borderId="48" xfId="0" applyNumberFormat="1" applyFont="1" applyFill="1" applyBorder="1" applyAlignment="1">
      <alignment horizontal="center" vertical="center"/>
    </xf>
    <xf numFmtId="164" fontId="5" fillId="0" borderId="21" xfId="0" applyNumberFormat="1" applyFont="1" applyFill="1" applyBorder="1" applyAlignment="1">
      <alignment horizontal="center" vertical="center"/>
    </xf>
    <xf numFmtId="164" fontId="5" fillId="0" borderId="25" xfId="0" applyNumberFormat="1" applyFont="1" applyFill="1" applyBorder="1" applyAlignment="1">
      <alignment horizontal="center" vertical="center"/>
    </xf>
    <xf numFmtId="164" fontId="5" fillId="0" borderId="20" xfId="0" applyNumberFormat="1" applyFont="1" applyFill="1" applyBorder="1" applyAlignment="1">
      <alignment horizontal="center" vertical="center"/>
    </xf>
    <xf numFmtId="0" fontId="5" fillId="0" borderId="2" xfId="0" applyFont="1" applyFill="1" applyBorder="1" applyAlignment="1">
      <alignment horizontal="center"/>
    </xf>
    <xf numFmtId="0" fontId="0" fillId="0" borderId="43" xfId="0" applyFill="1" applyBorder="1" applyAlignment="1">
      <alignment horizontal="center"/>
    </xf>
    <xf numFmtId="164" fontId="0" fillId="0" borderId="27" xfId="0" applyNumberFormat="1" applyBorder="1" applyAlignment="1">
      <alignment horizontal="center" vertical="center"/>
    </xf>
    <xf numFmtId="164" fontId="0" fillId="0" borderId="28" xfId="0" applyNumberFormat="1" applyBorder="1" applyAlignment="1">
      <alignment horizontal="center" vertical="center"/>
    </xf>
    <xf numFmtId="164" fontId="0" fillId="0" borderId="29" xfId="0" applyNumberFormat="1" applyBorder="1" applyAlignment="1">
      <alignment horizontal="center" vertical="center"/>
    </xf>
    <xf numFmtId="164" fontId="0" fillId="0" borderId="54" xfId="0" applyNumberFormat="1" applyBorder="1" applyAlignment="1">
      <alignment horizontal="center" vertical="center"/>
    </xf>
    <xf numFmtId="164" fontId="24" fillId="0" borderId="37" xfId="0" applyNumberFormat="1" applyFont="1" applyBorder="1" applyAlignment="1">
      <alignment horizontal="center" vertical="center"/>
    </xf>
    <xf numFmtId="164" fontId="24" fillId="0" borderId="12" xfId="0" applyNumberFormat="1" applyFont="1" applyBorder="1" applyAlignment="1">
      <alignment horizontal="center" vertical="center"/>
    </xf>
    <xf numFmtId="164" fontId="24" fillId="0" borderId="22" xfId="0" applyNumberFormat="1" applyFont="1" applyBorder="1" applyAlignment="1">
      <alignment horizontal="center" vertical="center"/>
    </xf>
    <xf numFmtId="164" fontId="24" fillId="0" borderId="11" xfId="0" applyNumberFormat="1" applyFont="1" applyBorder="1" applyAlignment="1">
      <alignment horizontal="center" vertical="center"/>
    </xf>
    <xf numFmtId="164" fontId="24" fillId="0" borderId="47" xfId="0" applyNumberFormat="1" applyFont="1" applyBorder="1" applyAlignment="1">
      <alignment horizontal="center" vertical="center"/>
    </xf>
    <xf numFmtId="164" fontId="24" fillId="0" borderId="35" xfId="0" applyNumberFormat="1" applyFont="1" applyFill="1" applyBorder="1" applyAlignment="1">
      <alignment horizontal="center" vertical="center"/>
    </xf>
    <xf numFmtId="164" fontId="24" fillId="0" borderId="10" xfId="0" applyNumberFormat="1" applyFont="1" applyFill="1" applyBorder="1" applyAlignment="1">
      <alignment horizontal="center" vertical="center"/>
    </xf>
    <xf numFmtId="164" fontId="24" fillId="0" borderId="23" xfId="0" applyNumberFormat="1" applyFont="1" applyFill="1" applyBorder="1" applyAlignment="1">
      <alignment horizontal="center" vertical="center"/>
    </xf>
    <xf numFmtId="164" fontId="24" fillId="0" borderId="7" xfId="0" applyNumberFormat="1" applyFont="1" applyFill="1" applyBorder="1" applyAlignment="1">
      <alignment horizontal="center" vertical="center"/>
    </xf>
    <xf numFmtId="164" fontId="24" fillId="0" borderId="23" xfId="0" applyNumberFormat="1" applyFont="1" applyBorder="1" applyAlignment="1">
      <alignment horizontal="center" vertical="center"/>
    </xf>
    <xf numFmtId="164" fontId="24" fillId="0" borderId="30" xfId="0" applyNumberFormat="1" applyFont="1" applyBorder="1" applyAlignment="1">
      <alignment horizontal="center" vertical="center"/>
    </xf>
    <xf numFmtId="164" fontId="24" fillId="0" borderId="36" xfId="0" applyNumberFormat="1" applyFont="1" applyFill="1" applyBorder="1" applyAlignment="1">
      <alignment horizontal="center" vertical="center"/>
    </xf>
    <xf numFmtId="164" fontId="24" fillId="0" borderId="9" xfId="0" applyNumberFormat="1" applyFont="1" applyFill="1" applyBorder="1" applyAlignment="1">
      <alignment horizontal="center" vertical="center"/>
    </xf>
    <xf numFmtId="164" fontId="24" fillId="0" borderId="24" xfId="0" applyNumberFormat="1" applyFont="1" applyFill="1" applyBorder="1" applyAlignment="1">
      <alignment horizontal="center" vertical="center"/>
    </xf>
    <xf numFmtId="164" fontId="24" fillId="0" borderId="8" xfId="0" applyNumberFormat="1" applyFont="1" applyFill="1" applyBorder="1" applyAlignment="1">
      <alignment horizontal="center" vertical="center"/>
    </xf>
    <xf numFmtId="164" fontId="24" fillId="0" borderId="24" xfId="0" applyNumberFormat="1" applyFont="1" applyBorder="1" applyAlignment="1">
      <alignment horizontal="center" vertical="center"/>
    </xf>
    <xf numFmtId="9" fontId="0" fillId="0" borderId="0" xfId="2" applyFont="1" applyAlignment="1">
      <alignment horizontal="center" vertical="center"/>
    </xf>
    <xf numFmtId="0" fontId="19" fillId="0" borderId="0" xfId="0" applyFont="1" applyAlignment="1">
      <alignment horizontal="center" vertical="center"/>
    </xf>
    <xf numFmtId="0" fontId="14" fillId="0" borderId="0" xfId="0" applyFont="1" applyAlignment="1">
      <alignment horizontal="center" vertical="center"/>
    </xf>
    <xf numFmtId="0" fontId="2" fillId="0" borderId="13" xfId="0" applyFont="1" applyBorder="1" applyAlignment="1">
      <alignment horizontal="center" vertical="center" wrapText="1"/>
    </xf>
    <xf numFmtId="164" fontId="2" fillId="0" borderId="14" xfId="0" applyNumberFormat="1" applyFont="1" applyBorder="1" applyAlignment="1">
      <alignment horizontal="center" vertical="center"/>
    </xf>
    <xf numFmtId="0" fontId="19" fillId="0" borderId="12" xfId="0" applyFont="1" applyBorder="1" applyAlignment="1">
      <alignment horizontal="center" vertical="center"/>
    </xf>
    <xf numFmtId="0" fontId="14" fillId="0" borderId="10" xfId="0" applyFont="1" applyBorder="1" applyAlignment="1">
      <alignment horizontal="left" vertical="center"/>
    </xf>
    <xf numFmtId="0" fontId="14" fillId="0" borderId="10" xfId="0" applyFont="1" applyBorder="1"/>
    <xf numFmtId="164" fontId="19" fillId="0" borderId="6" xfId="0" applyNumberFormat="1" applyFont="1" applyBorder="1" applyAlignment="1">
      <alignment horizontal="center" vertical="center"/>
    </xf>
    <xf numFmtId="164" fontId="14" fillId="0" borderId="0" xfId="0" applyNumberFormat="1" applyFont="1" applyBorder="1" applyAlignment="1">
      <alignment horizontal="center" vertical="center"/>
    </xf>
    <xf numFmtId="0" fontId="2" fillId="0" borderId="19" xfId="0" applyFont="1" applyBorder="1" applyAlignment="1">
      <alignment horizontal="center" vertical="center" wrapText="1"/>
    </xf>
    <xf numFmtId="0" fontId="0" fillId="15" borderId="10" xfId="0" applyFill="1" applyBorder="1"/>
    <xf numFmtId="164" fontId="0" fillId="15" borderId="0" xfId="0" applyNumberFormat="1" applyFill="1" applyBorder="1" applyAlignment="1">
      <alignment horizontal="center" vertical="center"/>
    </xf>
    <xf numFmtId="0" fontId="0" fillId="15" borderId="18" xfId="0" applyFill="1" applyBorder="1" applyAlignment="1">
      <alignment horizontal="center" vertical="center" wrapText="1"/>
    </xf>
    <xf numFmtId="164" fontId="0" fillId="15" borderId="7" xfId="0" applyNumberFormat="1" applyFill="1" applyBorder="1" applyAlignment="1">
      <alignment horizontal="center" vertical="center"/>
    </xf>
    <xf numFmtId="0" fontId="0" fillId="15" borderId="0" xfId="0" applyFill="1" applyBorder="1" applyAlignment="1">
      <alignment horizontal="center" vertical="center" wrapText="1"/>
    </xf>
    <xf numFmtId="164" fontId="6" fillId="0" borderId="0" xfId="0" applyNumberFormat="1" applyFont="1" applyAlignment="1">
      <alignment horizontal="center" vertical="center" wrapText="1"/>
    </xf>
    <xf numFmtId="164" fontId="6" fillId="0" borderId="0" xfId="0" applyNumberFormat="1" applyFont="1" applyAlignment="1">
      <alignment horizontal="center" vertical="center"/>
    </xf>
    <xf numFmtId="49" fontId="0" fillId="0" borderId="0" xfId="0" applyNumberFormat="1" applyAlignment="1">
      <alignment horizontal="center" vertical="center" wrapText="1"/>
    </xf>
    <xf numFmtId="0" fontId="0" fillId="0" borderId="7" xfId="0" applyBorder="1" applyAlignment="1">
      <alignment horizontal="center" vertical="center" wrapText="1"/>
    </xf>
    <xf numFmtId="49" fontId="0" fillId="0" borderId="8" xfId="0" applyNumberFormat="1" applyBorder="1" applyAlignment="1">
      <alignment horizontal="center" vertical="center" wrapText="1"/>
    </xf>
    <xf numFmtId="0" fontId="5" fillId="0" borderId="5" xfId="0" applyFont="1" applyFill="1" applyBorder="1" applyAlignment="1">
      <alignment vertical="center"/>
    </xf>
    <xf numFmtId="0" fontId="5" fillId="15" borderId="0" xfId="0" applyFont="1" applyFill="1" applyBorder="1" applyAlignment="1">
      <alignment vertical="center"/>
    </xf>
    <xf numFmtId="0" fontId="0" fillId="15" borderId="7" xfId="0" applyFill="1" applyBorder="1" applyAlignment="1">
      <alignment horizontal="center" vertical="center"/>
    </xf>
    <xf numFmtId="49" fontId="0" fillId="0" borderId="8" xfId="0" applyNumberFormat="1" applyBorder="1" applyAlignment="1">
      <alignment horizontal="center" vertical="center"/>
    </xf>
    <xf numFmtId="0" fontId="0" fillId="0" borderId="5" xfId="0" applyNumberFormat="1" applyBorder="1" applyAlignment="1">
      <alignment horizontal="center" vertical="center" wrapText="1"/>
    </xf>
    <xf numFmtId="49" fontId="0" fillId="12" borderId="0" xfId="0" applyNumberFormat="1" applyFill="1" applyAlignment="1">
      <alignment horizontal="center" vertical="center" wrapText="1"/>
    </xf>
    <xf numFmtId="164" fontId="0" fillId="12" borderId="0" xfId="0" applyNumberFormat="1" applyFill="1" applyAlignment="1">
      <alignment horizontal="center" vertical="center" wrapText="1"/>
    </xf>
    <xf numFmtId="49" fontId="0" fillId="12" borderId="7" xfId="0" applyNumberFormat="1" applyFill="1" applyBorder="1" applyAlignment="1">
      <alignment horizontal="center" vertical="center" wrapText="1"/>
    </xf>
    <xf numFmtId="49" fontId="0" fillId="12" borderId="7" xfId="0" applyNumberFormat="1" applyFill="1" applyBorder="1" applyAlignment="1">
      <alignment horizontal="center" vertical="center"/>
    </xf>
    <xf numFmtId="49" fontId="0" fillId="12" borderId="5" xfId="0" applyNumberFormat="1" applyFill="1" applyBorder="1" applyAlignment="1">
      <alignment horizontal="center" vertical="center" wrapText="1"/>
    </xf>
    <xf numFmtId="164" fontId="0" fillId="12" borderId="5" xfId="0" applyNumberFormat="1" applyFill="1" applyBorder="1" applyAlignment="1">
      <alignment horizontal="center" vertical="center" wrapText="1"/>
    </xf>
    <xf numFmtId="0" fontId="0" fillId="12" borderId="5" xfId="0" applyNumberFormat="1" applyFill="1" applyBorder="1" applyAlignment="1">
      <alignment horizontal="center" vertical="center" wrapText="1"/>
    </xf>
    <xf numFmtId="49" fontId="0" fillId="12" borderId="8" xfId="0" applyNumberFormat="1" applyFill="1" applyBorder="1" applyAlignment="1">
      <alignment horizontal="center" vertical="center" wrapText="1"/>
    </xf>
    <xf numFmtId="49" fontId="0" fillId="12" borderId="8" xfId="0" applyNumberFormat="1" applyFill="1" applyBorder="1" applyAlignment="1">
      <alignment horizontal="center" vertical="center"/>
    </xf>
    <xf numFmtId="49" fontId="0" fillId="12" borderId="0" xfId="0" applyNumberFormat="1" applyFill="1" applyAlignment="1">
      <alignment horizontal="center" vertical="center"/>
    </xf>
    <xf numFmtId="164" fontId="0" fillId="12" borderId="0" xfId="0" applyNumberFormat="1" applyFill="1" applyAlignment="1">
      <alignment horizontal="center" vertical="center"/>
    </xf>
    <xf numFmtId="164" fontId="0" fillId="21" borderId="0" xfId="0" applyNumberFormat="1" applyFill="1" applyAlignment="1">
      <alignment horizontal="center" vertical="center"/>
    </xf>
    <xf numFmtId="164" fontId="0" fillId="21" borderId="0" xfId="0" applyNumberFormat="1" applyFont="1" applyFill="1" applyAlignment="1">
      <alignment horizontal="center" vertical="center"/>
    </xf>
    <xf numFmtId="0" fontId="2" fillId="0" borderId="13" xfId="0" applyFont="1" applyBorder="1" applyAlignment="1">
      <alignment horizontal="center"/>
    </xf>
    <xf numFmtId="0" fontId="0" fillId="3" borderId="6" xfId="0" applyFill="1" applyBorder="1" applyAlignment="1">
      <alignment horizontal="center" vertical="center" wrapText="1"/>
    </xf>
    <xf numFmtId="0" fontId="0" fillId="3" borderId="0" xfId="0" applyFill="1" applyBorder="1" applyAlignment="1">
      <alignment horizontal="center" vertical="center" wrapText="1"/>
    </xf>
    <xf numFmtId="0" fontId="0" fillId="3" borderId="5" xfId="0" applyFill="1" applyBorder="1" applyAlignment="1">
      <alignment horizontal="center" vertical="center" wrapText="1"/>
    </xf>
    <xf numFmtId="0" fontId="0" fillId="8" borderId="6" xfId="0" applyFill="1" applyBorder="1" applyAlignment="1">
      <alignment horizontal="center" vertical="center" wrapText="1"/>
    </xf>
    <xf numFmtId="0" fontId="0" fillId="8" borderId="0" xfId="0" applyFill="1" applyBorder="1" applyAlignment="1">
      <alignment horizontal="center" vertical="center" wrapText="1"/>
    </xf>
    <xf numFmtId="0" fontId="0" fillId="8" borderId="5" xfId="0" applyFill="1" applyBorder="1" applyAlignment="1">
      <alignment horizontal="center" vertical="center" wrapText="1"/>
    </xf>
    <xf numFmtId="0" fontId="0" fillId="6" borderId="6" xfId="0" applyFill="1" applyBorder="1" applyAlignment="1">
      <alignment horizontal="center" vertical="center" wrapText="1"/>
    </xf>
    <xf numFmtId="0" fontId="0" fillId="6" borderId="0" xfId="0" applyFill="1" applyBorder="1" applyAlignment="1">
      <alignment horizontal="center" vertical="center" wrapText="1"/>
    </xf>
    <xf numFmtId="0" fontId="0" fillId="6" borderId="5" xfId="0" applyFill="1" applyBorder="1" applyAlignment="1">
      <alignment horizontal="center" vertical="center" wrapText="1"/>
    </xf>
    <xf numFmtId="0" fontId="0" fillId="10" borderId="6" xfId="0" applyFill="1" applyBorder="1" applyAlignment="1">
      <alignment horizontal="center" vertical="center" wrapText="1"/>
    </xf>
    <xf numFmtId="0" fontId="0" fillId="10" borderId="0" xfId="0" applyFill="1" applyBorder="1" applyAlignment="1">
      <alignment horizontal="center" vertical="center" wrapText="1"/>
    </xf>
    <xf numFmtId="0" fontId="0" fillId="10" borderId="5" xfId="0" applyFill="1" applyBorder="1" applyAlignment="1">
      <alignment horizontal="center" vertical="center" wrapText="1"/>
    </xf>
    <xf numFmtId="0" fontId="0" fillId="7" borderId="6" xfId="0" applyFill="1" applyBorder="1" applyAlignment="1">
      <alignment horizontal="center" vertical="center" wrapText="1"/>
    </xf>
    <xf numFmtId="0" fontId="0" fillId="7" borderId="0" xfId="0" applyFill="1" applyBorder="1" applyAlignment="1">
      <alignment horizontal="center" vertical="center" wrapText="1"/>
    </xf>
    <xf numFmtId="0" fontId="0" fillId="7" borderId="5" xfId="0" applyFill="1" applyBorder="1" applyAlignment="1">
      <alignment horizontal="center" vertical="center" wrapText="1"/>
    </xf>
    <xf numFmtId="0" fontId="2" fillId="0" borderId="0" xfId="0" applyFont="1" applyBorder="1" applyAlignment="1">
      <alignment horizontal="center" vertical="center" wrapText="1"/>
    </xf>
    <xf numFmtId="0" fontId="2" fillId="0" borderId="5" xfId="0" applyFont="1" applyBorder="1" applyAlignment="1">
      <alignment horizontal="center" vertical="center" wrapText="1"/>
    </xf>
    <xf numFmtId="0" fontId="0" fillId="5" borderId="6" xfId="0" applyFill="1" applyBorder="1" applyAlignment="1">
      <alignment horizontal="center" vertical="center" wrapText="1"/>
    </xf>
    <xf numFmtId="0" fontId="0" fillId="5" borderId="0" xfId="0" applyFill="1" applyBorder="1" applyAlignment="1">
      <alignment horizontal="center" vertical="center" wrapText="1"/>
    </xf>
    <xf numFmtId="0" fontId="0" fillId="5" borderId="5" xfId="0" applyFill="1" applyBorder="1" applyAlignment="1">
      <alignment horizontal="center" vertical="center" wrapText="1"/>
    </xf>
    <xf numFmtId="0" fontId="0" fillId="13" borderId="6" xfId="0" applyFill="1" applyBorder="1" applyAlignment="1">
      <alignment horizontal="center" vertical="center" wrapText="1"/>
    </xf>
    <xf numFmtId="0" fontId="0" fillId="13" borderId="0" xfId="0" applyFill="1" applyBorder="1" applyAlignment="1">
      <alignment horizontal="center" vertical="center" wrapText="1"/>
    </xf>
    <xf numFmtId="0" fontId="0" fillId="13" borderId="5" xfId="0" applyFill="1" applyBorder="1" applyAlignment="1">
      <alignment horizontal="center" vertical="center" wrapText="1"/>
    </xf>
    <xf numFmtId="0" fontId="0" fillId="14" borderId="6" xfId="0" applyFill="1" applyBorder="1" applyAlignment="1">
      <alignment horizontal="center" vertical="center" wrapText="1"/>
    </xf>
    <xf numFmtId="0" fontId="0" fillId="14" borderId="0" xfId="0" applyFill="1" applyBorder="1" applyAlignment="1">
      <alignment horizontal="center" vertical="center" wrapText="1"/>
    </xf>
    <xf numFmtId="0" fontId="0" fillId="14" borderId="5" xfId="0" applyFill="1" applyBorder="1" applyAlignment="1">
      <alignment horizontal="center" vertical="center" wrapText="1"/>
    </xf>
    <xf numFmtId="0" fontId="5" fillId="16" borderId="6" xfId="0" applyFont="1" applyFill="1" applyBorder="1" applyAlignment="1">
      <alignment horizontal="center" vertical="center" wrapText="1"/>
    </xf>
    <xf numFmtId="0" fontId="5" fillId="16" borderId="0" xfId="0" applyFont="1" applyFill="1" applyBorder="1" applyAlignment="1">
      <alignment horizontal="center" vertical="center" wrapText="1"/>
    </xf>
    <xf numFmtId="0" fontId="5" fillId="16" borderId="5" xfId="0" applyFont="1" applyFill="1" applyBorder="1" applyAlignment="1">
      <alignment horizontal="center" vertical="center" wrapText="1"/>
    </xf>
    <xf numFmtId="0" fontId="0" fillId="9" borderId="6" xfId="0" applyFill="1" applyBorder="1" applyAlignment="1">
      <alignment horizontal="center" vertical="center" wrapText="1"/>
    </xf>
    <xf numFmtId="0" fontId="0" fillId="9" borderId="0" xfId="0" applyFill="1" applyBorder="1" applyAlignment="1">
      <alignment horizontal="center" vertical="center" wrapText="1"/>
    </xf>
    <xf numFmtId="0" fontId="0" fillId="9" borderId="4" xfId="0" applyFill="1" applyBorder="1" applyAlignment="1">
      <alignment horizontal="center" vertical="center" wrapText="1"/>
    </xf>
    <xf numFmtId="0" fontId="0" fillId="9" borderId="0" xfId="0" applyFill="1" applyBorder="1" applyAlignment="1">
      <alignment horizontal="right"/>
    </xf>
    <xf numFmtId="0" fontId="0" fillId="9" borderId="7" xfId="0" applyFill="1" applyBorder="1" applyAlignment="1">
      <alignment horizontal="right"/>
    </xf>
    <xf numFmtId="0" fontId="2" fillId="0" borderId="0" xfId="0" applyFont="1" applyAlignment="1">
      <alignment horizontal="right" vertical="center"/>
    </xf>
    <xf numFmtId="0" fontId="0" fillId="8" borderId="0" xfId="0" applyFill="1" applyBorder="1" applyAlignment="1">
      <alignment horizontal="right"/>
    </xf>
    <xf numFmtId="0" fontId="0" fillId="8" borderId="7" xfId="0" applyFill="1" applyBorder="1" applyAlignment="1">
      <alignment horizontal="right"/>
    </xf>
    <xf numFmtId="0" fontId="0" fillId="11" borderId="0" xfId="0" applyFill="1" applyBorder="1" applyAlignment="1">
      <alignment horizontal="right"/>
    </xf>
    <xf numFmtId="0" fontId="0" fillId="11" borderId="7" xfId="0" applyFill="1" applyBorder="1" applyAlignment="1">
      <alignment horizontal="right"/>
    </xf>
    <xf numFmtId="0" fontId="0" fillId="7" borderId="0" xfId="0" applyFill="1" applyBorder="1" applyAlignment="1">
      <alignment horizontal="right"/>
    </xf>
    <xf numFmtId="0" fontId="0" fillId="7" borderId="7" xfId="0" applyFill="1" applyBorder="1" applyAlignment="1">
      <alignment horizontal="right"/>
    </xf>
    <xf numFmtId="0" fontId="0" fillId="10" borderId="0" xfId="0" applyFill="1" applyBorder="1" applyAlignment="1">
      <alignment horizontal="right"/>
    </xf>
    <xf numFmtId="0" fontId="0" fillId="10" borderId="7" xfId="0" applyFill="1" applyBorder="1" applyAlignment="1">
      <alignment horizontal="right"/>
    </xf>
    <xf numFmtId="0" fontId="0" fillId="5" borderId="0" xfId="0" applyFill="1" applyBorder="1" applyAlignment="1">
      <alignment horizontal="right"/>
    </xf>
    <xf numFmtId="0" fontId="0" fillId="5" borderId="7" xfId="0" applyFill="1" applyBorder="1" applyAlignment="1">
      <alignment horizontal="right"/>
    </xf>
    <xf numFmtId="0" fontId="14" fillId="5" borderId="2" xfId="0" applyFont="1" applyFill="1" applyBorder="1" applyAlignment="1">
      <alignment horizontal="center" vertical="center" wrapText="1"/>
    </xf>
    <xf numFmtId="0" fontId="14" fillId="5" borderId="0" xfId="0" applyFont="1" applyFill="1" applyBorder="1" applyAlignment="1">
      <alignment horizontal="center" vertical="center" wrapText="1"/>
    </xf>
    <xf numFmtId="0" fontId="14" fillId="5" borderId="30" xfId="0" applyFont="1" applyFill="1" applyBorder="1" applyAlignment="1">
      <alignment horizontal="center" vertical="center" wrapText="1"/>
    </xf>
    <xf numFmtId="0" fontId="14" fillId="5" borderId="3" xfId="0" applyFont="1" applyFill="1" applyBorder="1" applyAlignment="1">
      <alignment horizontal="center" vertical="center" wrapText="1"/>
    </xf>
    <xf numFmtId="0" fontId="14" fillId="5" borderId="4" xfId="0" applyFont="1" applyFill="1" applyBorder="1" applyAlignment="1">
      <alignment horizontal="center" vertical="center" wrapText="1"/>
    </xf>
    <xf numFmtId="0" fontId="14" fillId="5" borderId="49" xfId="0" applyFont="1" applyFill="1" applyBorder="1" applyAlignment="1">
      <alignment horizontal="center" vertical="center" wrapText="1"/>
    </xf>
    <xf numFmtId="0" fontId="0" fillId="0" borderId="0" xfId="0" applyAlignment="1">
      <alignment horizontal="center"/>
    </xf>
    <xf numFmtId="0" fontId="0" fillId="13" borderId="0" xfId="0" applyFill="1" applyBorder="1" applyAlignment="1">
      <alignment horizontal="right"/>
    </xf>
    <xf numFmtId="0" fontId="0" fillId="13" borderId="7" xfId="0" applyFill="1" applyBorder="1" applyAlignment="1">
      <alignment horizontal="right"/>
    </xf>
    <xf numFmtId="0" fontId="0" fillId="12" borderId="0" xfId="0" applyFill="1" applyBorder="1" applyAlignment="1">
      <alignment horizontal="right"/>
    </xf>
    <xf numFmtId="0" fontId="0" fillId="12" borderId="7" xfId="0" applyFill="1" applyBorder="1" applyAlignment="1">
      <alignment horizontal="right"/>
    </xf>
    <xf numFmtId="0" fontId="0" fillId="16" borderId="0" xfId="0" applyFill="1" applyBorder="1" applyAlignment="1">
      <alignment horizontal="right"/>
    </xf>
    <xf numFmtId="0" fontId="0" fillId="16" borderId="7" xfId="0" applyFill="1" applyBorder="1" applyAlignment="1">
      <alignment horizontal="right"/>
    </xf>
    <xf numFmtId="0" fontId="0" fillId="2" borderId="0" xfId="0" applyFill="1" applyBorder="1" applyAlignment="1">
      <alignment horizontal="right"/>
    </xf>
    <xf numFmtId="0" fontId="0" fillId="2" borderId="7" xfId="0" applyFill="1" applyBorder="1" applyAlignment="1">
      <alignment horizontal="right"/>
    </xf>
    <xf numFmtId="0" fontId="18" fillId="18" borderId="0" xfId="0" applyFont="1" applyFill="1" applyBorder="1" applyAlignment="1">
      <alignment horizontal="center" vertical="center" wrapText="1"/>
    </xf>
    <xf numFmtId="0" fontId="26" fillId="0" borderId="7" xfId="0" applyFont="1" applyBorder="1" applyAlignment="1">
      <alignment horizontal="right" vertical="center" wrapText="1"/>
    </xf>
    <xf numFmtId="0" fontId="26" fillId="0" borderId="8" xfId="0" applyFont="1" applyBorder="1" applyAlignment="1">
      <alignment horizontal="right" vertical="center" wrapText="1"/>
    </xf>
    <xf numFmtId="0" fontId="0" fillId="0" borderId="7" xfId="0" applyBorder="1" applyAlignment="1">
      <alignment horizontal="center" vertical="center"/>
    </xf>
    <xf numFmtId="0" fontId="0" fillId="0" borderId="8" xfId="0" applyBorder="1" applyAlignment="1">
      <alignment horizontal="center" vertical="center"/>
    </xf>
    <xf numFmtId="0" fontId="21" fillId="20" borderId="7" xfId="0" applyFont="1" applyFill="1" applyBorder="1" applyAlignment="1">
      <alignment horizontal="center" vertical="center" wrapText="1"/>
    </xf>
    <xf numFmtId="49" fontId="0" fillId="0" borderId="18" xfId="0" applyNumberFormat="1" applyBorder="1" applyAlignment="1">
      <alignment horizontal="center" vertical="center" wrapText="1"/>
    </xf>
    <xf numFmtId="49" fontId="0" fillId="0" borderId="0" xfId="0" applyNumberFormat="1" applyAlignment="1">
      <alignment horizontal="center" vertical="center" wrapText="1"/>
    </xf>
    <xf numFmtId="49" fontId="9" fillId="0" borderId="16" xfId="0" applyNumberFormat="1" applyFont="1" applyBorder="1" applyAlignment="1">
      <alignment horizontal="center" vertical="center"/>
    </xf>
    <xf numFmtId="49" fontId="9" fillId="0" borderId="5" xfId="0" applyNumberFormat="1" applyFont="1" applyBorder="1" applyAlignment="1">
      <alignment horizontal="center" vertical="center"/>
    </xf>
    <xf numFmtId="49" fontId="9" fillId="0" borderId="8" xfId="0" applyNumberFormat="1" applyFont="1" applyBorder="1" applyAlignment="1">
      <alignment horizontal="center" vertical="center"/>
    </xf>
    <xf numFmtId="49" fontId="10" fillId="0" borderId="16" xfId="0" applyNumberFormat="1" applyFont="1" applyBorder="1" applyAlignment="1">
      <alignment horizontal="center" vertical="center" wrapText="1"/>
    </xf>
    <xf numFmtId="49" fontId="10" fillId="0" borderId="5" xfId="0" applyNumberFormat="1" applyFont="1" applyBorder="1" applyAlignment="1">
      <alignment horizontal="center" vertical="center" wrapText="1"/>
    </xf>
    <xf numFmtId="49" fontId="10" fillId="0" borderId="8" xfId="0" applyNumberFormat="1" applyFont="1" applyBorder="1" applyAlignment="1">
      <alignment horizontal="center" vertical="center" wrapText="1"/>
    </xf>
    <xf numFmtId="0" fontId="3" fillId="5" borderId="7" xfId="0" applyFont="1" applyFill="1" applyBorder="1" applyAlignment="1">
      <alignment horizontal="center" vertical="center" wrapText="1"/>
    </xf>
    <xf numFmtId="49" fontId="11" fillId="0" borderId="18" xfId="0" applyNumberFormat="1" applyFont="1" applyBorder="1" applyAlignment="1">
      <alignment horizontal="center" vertical="top" wrapText="1"/>
    </xf>
    <xf numFmtId="49" fontId="11" fillId="0" borderId="0" xfId="0" applyNumberFormat="1" applyFont="1" applyAlignment="1">
      <alignment horizontal="center" vertical="top" wrapText="1"/>
    </xf>
    <xf numFmtId="49" fontId="11" fillId="0" borderId="7" xfId="0" applyNumberFormat="1" applyFont="1" applyBorder="1" applyAlignment="1">
      <alignment horizontal="center" vertical="top" wrapText="1"/>
    </xf>
    <xf numFmtId="164" fontId="0" fillId="0" borderId="18" xfId="0" applyNumberFormat="1" applyBorder="1" applyAlignment="1">
      <alignment horizontal="center" vertical="center" wrapText="1"/>
    </xf>
    <xf numFmtId="164" fontId="0" fillId="0" borderId="0" xfId="0" applyNumberFormat="1" applyBorder="1" applyAlignment="1">
      <alignment horizontal="center" vertical="center" wrapText="1"/>
    </xf>
    <xf numFmtId="164" fontId="0" fillId="0" borderId="7" xfId="0" applyNumberFormat="1" applyBorder="1" applyAlignment="1">
      <alignment horizontal="center" vertical="center" wrapText="1"/>
    </xf>
    <xf numFmtId="164" fontId="0" fillId="0" borderId="16" xfId="0" applyNumberFormat="1" applyBorder="1" applyAlignment="1">
      <alignment horizontal="center" vertical="center" wrapText="1"/>
    </xf>
    <xf numFmtId="164" fontId="0" fillId="0" borderId="5" xfId="0" applyNumberFormat="1" applyBorder="1" applyAlignment="1">
      <alignment horizontal="center" vertical="center" wrapText="1"/>
    </xf>
    <xf numFmtId="164" fontId="0" fillId="0" borderId="8" xfId="0" applyNumberFormat="1" applyBorder="1" applyAlignment="1">
      <alignment horizontal="center" vertical="center" wrapText="1"/>
    </xf>
    <xf numFmtId="164" fontId="0" fillId="0" borderId="17" xfId="0" applyNumberFormat="1" applyBorder="1" applyAlignment="1">
      <alignment horizontal="center" vertical="center" wrapText="1"/>
    </xf>
    <xf numFmtId="164" fontId="0" fillId="0" borderId="6" xfId="0" applyNumberFormat="1" applyBorder="1" applyAlignment="1">
      <alignment horizontal="center" vertical="center" wrapText="1"/>
    </xf>
    <xf numFmtId="164" fontId="0" fillId="0" borderId="11" xfId="0" applyNumberFormat="1" applyBorder="1" applyAlignment="1">
      <alignment horizontal="center" vertical="center" wrapText="1"/>
    </xf>
    <xf numFmtId="49" fontId="6" fillId="0" borderId="19" xfId="0" applyNumberFormat="1" applyFont="1" applyBorder="1" applyAlignment="1">
      <alignment horizontal="center" vertical="center" wrapText="1"/>
    </xf>
    <xf numFmtId="49" fontId="6" fillId="0" borderId="13" xfId="0" applyNumberFormat="1" applyFont="1" applyBorder="1" applyAlignment="1">
      <alignment horizontal="center" vertical="center" wrapText="1"/>
    </xf>
    <xf numFmtId="49" fontId="6" fillId="0" borderId="14" xfId="0" applyNumberFormat="1" applyFont="1" applyBorder="1" applyAlignment="1">
      <alignment horizontal="center" vertical="center" wrapText="1"/>
    </xf>
    <xf numFmtId="164" fontId="0" fillId="0" borderId="6" xfId="0" applyNumberFormat="1" applyBorder="1" applyAlignment="1">
      <alignment horizontal="center" vertical="center"/>
    </xf>
    <xf numFmtId="164" fontId="0" fillId="0" borderId="11" xfId="0" applyNumberFormat="1" applyBorder="1" applyAlignment="1">
      <alignment horizontal="center" vertical="center"/>
    </xf>
    <xf numFmtId="0" fontId="3" fillId="0" borderId="19"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2" fillId="0" borderId="13" xfId="0" applyFont="1" applyBorder="1" applyAlignment="1">
      <alignment horizontal="center" vertical="center"/>
    </xf>
    <xf numFmtId="0" fontId="2" fillId="0" borderId="14" xfId="0" applyFont="1" applyBorder="1" applyAlignment="1">
      <alignment horizontal="center" vertical="center"/>
    </xf>
    <xf numFmtId="0" fontId="2" fillId="0" borderId="19" xfId="0" applyFont="1" applyBorder="1" applyAlignment="1">
      <alignment horizontal="center" vertical="center"/>
    </xf>
    <xf numFmtId="164" fontId="0" fillId="0" borderId="5" xfId="0" applyNumberFormat="1" applyBorder="1" applyAlignment="1">
      <alignment horizontal="center" vertical="center"/>
    </xf>
    <xf numFmtId="164" fontId="0" fillId="0" borderId="8" xfId="0" applyNumberFormat="1" applyBorder="1" applyAlignment="1">
      <alignment horizontal="center" vertical="center"/>
    </xf>
    <xf numFmtId="164" fontId="0" fillId="0" borderId="0" xfId="0" applyNumberFormat="1" applyBorder="1" applyAlignment="1">
      <alignment horizontal="center" vertical="center"/>
    </xf>
    <xf numFmtId="164" fontId="0" fillId="0" borderId="7" xfId="0" applyNumberFormat="1" applyBorder="1" applyAlignment="1">
      <alignment horizontal="center" vertical="center"/>
    </xf>
    <xf numFmtId="0" fontId="0" fillId="15" borderId="0" xfId="0" applyFill="1" applyBorder="1" applyAlignment="1">
      <alignment horizontal="center" vertical="center"/>
    </xf>
    <xf numFmtId="164" fontId="0" fillId="0" borderId="17" xfId="0" applyNumberFormat="1" applyBorder="1" applyAlignment="1">
      <alignment horizontal="center" vertical="center"/>
    </xf>
    <xf numFmtId="164" fontId="0" fillId="0" borderId="16" xfId="0" applyNumberFormat="1" applyBorder="1" applyAlignment="1">
      <alignment horizontal="center" vertical="center"/>
    </xf>
    <xf numFmtId="164" fontId="0" fillId="0" borderId="18" xfId="0" applyNumberFormat="1" applyBorder="1" applyAlignment="1">
      <alignment horizontal="center" vertical="center"/>
    </xf>
    <xf numFmtId="49" fontId="22" fillId="0" borderId="16" xfId="0" applyNumberFormat="1" applyFont="1" applyBorder="1" applyAlignment="1">
      <alignment horizontal="center" vertical="center" wrapText="1"/>
    </xf>
    <xf numFmtId="49" fontId="22" fillId="0" borderId="5" xfId="0" applyNumberFormat="1" applyFont="1" applyBorder="1" applyAlignment="1">
      <alignment horizontal="center" vertical="center"/>
    </xf>
    <xf numFmtId="49" fontId="22" fillId="0" borderId="8" xfId="0" applyNumberFormat="1" applyFont="1" applyBorder="1" applyAlignment="1">
      <alignment horizontal="center" vertical="center"/>
    </xf>
    <xf numFmtId="0" fontId="19" fillId="0" borderId="17" xfId="0" applyFont="1" applyBorder="1" applyAlignment="1">
      <alignment horizontal="center" vertical="center"/>
    </xf>
    <xf numFmtId="0" fontId="19" fillId="0" borderId="11" xfId="0" applyFont="1" applyBorder="1" applyAlignment="1">
      <alignment horizontal="center" vertical="center"/>
    </xf>
    <xf numFmtId="164" fontId="14" fillId="0" borderId="18" xfId="0" applyNumberFormat="1" applyFont="1" applyBorder="1" applyAlignment="1">
      <alignment horizontal="center" vertical="center"/>
    </xf>
    <xf numFmtId="0" fontId="14" fillId="0" borderId="7" xfId="0" applyFont="1" applyBorder="1" applyAlignment="1">
      <alignment horizontal="center" vertical="center"/>
    </xf>
    <xf numFmtId="0" fontId="19" fillId="0" borderId="6" xfId="0" applyFont="1" applyBorder="1" applyAlignment="1">
      <alignment horizontal="center" vertical="center"/>
    </xf>
    <xf numFmtId="164" fontId="14" fillId="0" borderId="16" xfId="0" applyNumberFormat="1" applyFont="1" applyBorder="1" applyAlignment="1">
      <alignment horizontal="center" vertical="center"/>
    </xf>
    <xf numFmtId="164" fontId="14" fillId="0" borderId="8" xfId="0" applyNumberFormat="1" applyFont="1" applyBorder="1" applyAlignment="1">
      <alignment horizontal="center" vertical="center"/>
    </xf>
    <xf numFmtId="164" fontId="25" fillId="0" borderId="0" xfId="0" applyNumberFormat="1" applyFont="1" applyAlignment="1">
      <alignment horizontal="center" vertical="center" wrapText="1"/>
    </xf>
    <xf numFmtId="164" fontId="25" fillId="0" borderId="0" xfId="0" applyNumberFormat="1" applyFont="1" applyAlignment="1">
      <alignment horizontal="center" vertical="center"/>
    </xf>
    <xf numFmtId="0" fontId="12" fillId="0" borderId="12" xfId="0" applyFont="1" applyBorder="1" applyAlignment="1">
      <alignment horizontal="center"/>
    </xf>
    <xf numFmtId="0" fontId="12" fillId="0" borderId="22" xfId="0" applyFont="1" applyBorder="1" applyAlignment="1">
      <alignment horizontal="center"/>
    </xf>
    <xf numFmtId="0" fontId="0" fillId="0" borderId="18" xfId="0" applyBorder="1" applyAlignment="1">
      <alignment horizontal="center" vertical="center" wrapText="1"/>
    </xf>
    <xf numFmtId="0" fontId="0" fillId="0" borderId="16" xfId="0" applyBorder="1" applyAlignment="1">
      <alignment horizontal="center" vertical="center" wrapText="1"/>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30" xfId="0" applyBorder="1" applyAlignment="1">
      <alignment horizontal="center" vertical="center" wrapText="1"/>
    </xf>
    <xf numFmtId="0" fontId="0" fillId="0" borderId="32" xfId="0" applyBorder="1" applyAlignment="1">
      <alignment horizontal="center" vertical="center" wrapText="1"/>
    </xf>
    <xf numFmtId="0" fontId="12" fillId="0" borderId="19" xfId="0" applyFont="1" applyBorder="1" applyAlignment="1">
      <alignment horizontal="center"/>
    </xf>
    <xf numFmtId="0" fontId="12" fillId="0" borderId="13" xfId="0" applyFont="1" applyBorder="1" applyAlignment="1">
      <alignment horizontal="center"/>
    </xf>
    <xf numFmtId="0" fontId="12" fillId="0" borderId="34" xfId="0" applyFont="1" applyBorder="1" applyAlignment="1">
      <alignment horizontal="center"/>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12" fillId="0" borderId="14" xfId="0" applyFont="1" applyBorder="1" applyAlignment="1">
      <alignment horizontal="center"/>
    </xf>
    <xf numFmtId="0" fontId="12" fillId="0" borderId="37" xfId="0" applyFont="1" applyBorder="1" applyAlignment="1">
      <alignment horizontal="center"/>
    </xf>
    <xf numFmtId="0" fontId="0" fillId="0" borderId="2" xfId="0" applyBorder="1" applyAlignment="1">
      <alignment horizontal="center" vertical="center" wrapText="1"/>
    </xf>
    <xf numFmtId="0" fontId="0" fillId="0" borderId="31" xfId="0" applyBorder="1" applyAlignment="1">
      <alignment horizontal="center" vertical="center" wrapText="1"/>
    </xf>
    <xf numFmtId="0" fontId="12" fillId="0" borderId="33" xfId="0" applyFont="1" applyBorder="1" applyAlignment="1">
      <alignment horizontal="center"/>
    </xf>
    <xf numFmtId="0" fontId="12" fillId="0" borderId="28" xfId="0" applyFont="1" applyBorder="1" applyAlignment="1">
      <alignment horizontal="center"/>
    </xf>
    <xf numFmtId="0" fontId="12" fillId="0" borderId="29" xfId="0" applyFont="1" applyBorder="1" applyAlignment="1">
      <alignment horizontal="center"/>
    </xf>
    <xf numFmtId="0" fontId="2" fillId="0" borderId="0" xfId="0" applyFont="1" applyBorder="1" applyAlignment="1">
      <alignment horizontal="center" wrapText="1"/>
    </xf>
    <xf numFmtId="0" fontId="2" fillId="0" borderId="5" xfId="0" applyFont="1" applyBorder="1" applyAlignment="1">
      <alignment horizontal="center" wrapText="1"/>
    </xf>
    <xf numFmtId="0" fontId="13" fillId="0" borderId="0" xfId="0" applyFont="1" applyFill="1" applyBorder="1" applyAlignment="1">
      <alignment horizontal="center" wrapText="1"/>
    </xf>
    <xf numFmtId="0" fontId="12" fillId="0" borderId="0" xfId="0" applyFont="1" applyAlignment="1">
      <alignment horizontal="center" vertical="center"/>
    </xf>
    <xf numFmtId="0" fontId="12" fillId="0" borderId="5" xfId="0" applyFont="1" applyBorder="1" applyAlignment="1">
      <alignment horizontal="center" vertical="center"/>
    </xf>
    <xf numFmtId="0" fontId="12" fillId="0" borderId="27" xfId="0" applyFont="1" applyBorder="1" applyAlignment="1">
      <alignment horizontal="center"/>
    </xf>
    <xf numFmtId="164" fontId="0" fillId="0" borderId="0" xfId="0" applyNumberFormat="1" applyFill="1" applyAlignment="1">
      <alignment horizontal="center" vertical="center"/>
    </xf>
    <xf numFmtId="49" fontId="0" fillId="0" borderId="0" xfId="0" applyNumberFormat="1" applyFill="1" applyAlignment="1">
      <alignment horizontal="center" vertical="center" wrapText="1"/>
    </xf>
    <xf numFmtId="49" fontId="0" fillId="0" borderId="7" xfId="0" applyNumberFormat="1" applyFill="1" applyBorder="1" applyAlignment="1">
      <alignment horizontal="center" vertical="center" wrapText="1"/>
    </xf>
  </cellXfs>
  <cellStyles count="9">
    <cellStyle name="Currency" xfId="1" builtinId="4"/>
    <cellStyle name="Followed Hyperlink" xfId="4" builtinId="9" hidden="1"/>
    <cellStyle name="Followed Hyperlink" xfId="6" builtinId="9" hidden="1"/>
    <cellStyle name="Followed Hyperlink" xfId="8" builtinId="9" hidden="1"/>
    <cellStyle name="Hyperlink" xfId="3" builtinId="8" hidden="1"/>
    <cellStyle name="Hyperlink" xfId="5" builtinId="8" hidden="1"/>
    <cellStyle name="Hyperlink" xfId="7" builtinId="8" hidden="1"/>
    <cellStyle name="Normal" xfId="0" builtinId="0"/>
    <cellStyle name="Percent" xfId="2" builtinId="5"/>
  </cellStyles>
  <dxfs count="160">
    <dxf>
      <fill>
        <patternFill patternType="darkUp">
          <bgColor rgb="FFFF0000"/>
        </patternFill>
      </fill>
    </dxf>
    <dxf>
      <font>
        <color theme="1"/>
      </font>
      <fill>
        <patternFill>
          <bgColor theme="9"/>
        </patternFill>
      </fill>
      <border>
        <left style="thin">
          <color theme="9"/>
        </left>
        <right style="thin">
          <color theme="9"/>
        </right>
        <top style="thin">
          <color theme="9"/>
        </top>
        <bottom style="thin">
          <color theme="9"/>
        </bottom>
      </border>
    </dxf>
    <dxf>
      <fill>
        <patternFill>
          <bgColor theme="7" tint="0.39994506668294322"/>
        </patternFill>
      </fill>
    </dxf>
    <dxf>
      <fill>
        <patternFill>
          <bgColor theme="9" tint="0.39994506668294322"/>
        </patternFill>
      </fill>
    </dxf>
    <dxf>
      <fill>
        <patternFill>
          <bgColor theme="6" tint="-0.24994659260841701"/>
        </patternFill>
      </fill>
    </dxf>
    <dxf>
      <fill>
        <patternFill>
          <bgColor rgb="FF7030A0"/>
        </patternFill>
      </fill>
    </dxf>
    <dxf>
      <fill>
        <patternFill>
          <bgColor theme="8" tint="-0.24994659260841701"/>
        </patternFill>
      </fill>
    </dxf>
    <dxf>
      <fill>
        <patternFill>
          <bgColor rgb="FFFFFF00"/>
        </patternFill>
      </fill>
    </dxf>
    <dxf>
      <fill>
        <patternFill>
          <bgColor rgb="FF00B050"/>
        </patternFill>
      </fill>
    </dxf>
    <dxf>
      <fill>
        <patternFill>
          <bgColor theme="0" tint="-0.34998626667073579"/>
        </patternFill>
      </fill>
    </dxf>
    <dxf>
      <fill>
        <patternFill>
          <bgColor rgb="FFFFC000"/>
        </patternFill>
      </fill>
    </dxf>
    <dxf>
      <fill>
        <patternFill>
          <bgColor rgb="FF0070C0"/>
        </patternFill>
      </fill>
    </dxf>
    <dxf>
      <fill>
        <patternFill patternType="darkUp">
          <bgColor rgb="FFFF0000"/>
        </patternFill>
      </fill>
    </dxf>
    <dxf>
      <fill>
        <patternFill patternType="darkUp">
          <bgColor rgb="FFFF0000"/>
        </patternFill>
      </fill>
    </dxf>
    <dxf>
      <fill>
        <patternFill patternType="darkUp">
          <bgColor rgb="FFFF0000"/>
        </patternFill>
      </fill>
    </dxf>
    <dxf>
      <fill>
        <patternFill patternType="darkUp">
          <bgColor rgb="FFFF0000"/>
        </patternFill>
      </fill>
    </dxf>
    <dxf>
      <fill>
        <patternFill patternType="darkUp">
          <bgColor rgb="FFFF0000"/>
        </patternFill>
      </fill>
    </dxf>
    <dxf>
      <fill>
        <patternFill patternType="darkUp">
          <bgColor rgb="FFFF0000"/>
        </patternFill>
      </fill>
    </dxf>
    <dxf>
      <fill>
        <patternFill patternType="darkUp">
          <bgColor rgb="FFFF0000"/>
        </patternFill>
      </fill>
    </dxf>
    <dxf>
      <fill>
        <patternFill patternType="darkUp">
          <bgColor rgb="FFFF0000"/>
        </patternFill>
      </fill>
    </dxf>
    <dxf>
      <fill>
        <patternFill patternType="darkUp">
          <bgColor rgb="FFFF0000"/>
        </patternFill>
      </fill>
    </dxf>
    <dxf>
      <fill>
        <patternFill patternType="darkUp">
          <bgColor rgb="FFFF0000"/>
        </patternFill>
      </fill>
    </dxf>
    <dxf>
      <fill>
        <patternFill patternType="darkUp">
          <bgColor rgb="FFFF0000"/>
        </patternFill>
      </fill>
    </dxf>
    <dxf>
      <fill>
        <patternFill patternType="darkUp">
          <bgColor rgb="FFFF0000"/>
        </patternFill>
      </fill>
    </dxf>
    <dxf>
      <fill>
        <patternFill patternType="darkUp">
          <bgColor rgb="FFFF0000"/>
        </patternFill>
      </fill>
    </dxf>
    <dxf>
      <fill>
        <patternFill patternType="darkUp">
          <bgColor rgb="FFFF0000"/>
        </patternFill>
      </fill>
    </dxf>
    <dxf>
      <fill>
        <patternFill patternType="darkUp">
          <bgColor rgb="FFFF0000"/>
        </patternFill>
      </fill>
    </dxf>
    <dxf>
      <fill>
        <patternFill patternType="darkUp">
          <bgColor rgb="FFFF0000"/>
        </patternFill>
      </fill>
    </dxf>
    <dxf>
      <fill>
        <patternFill patternType="darkUp">
          <bgColor rgb="FFFF0000"/>
        </patternFill>
      </fill>
    </dxf>
    <dxf>
      <fill>
        <patternFill patternType="darkUp">
          <bgColor rgb="FFFF0000"/>
        </patternFill>
      </fill>
    </dxf>
    <dxf>
      <fill>
        <patternFill patternType="darkUp">
          <bgColor rgb="FFFF0000"/>
        </patternFill>
      </fill>
    </dxf>
    <dxf>
      <fill>
        <patternFill patternType="darkUp">
          <bgColor rgb="FFFF0000"/>
        </patternFill>
      </fill>
    </dxf>
    <dxf>
      <fill>
        <patternFill patternType="darkUp">
          <bgColor rgb="FFFF0000"/>
        </patternFill>
      </fill>
    </dxf>
    <dxf>
      <fill>
        <patternFill patternType="darkUp">
          <bgColor rgb="FFFF0000"/>
        </patternFill>
      </fill>
    </dxf>
    <dxf>
      <fill>
        <patternFill patternType="darkUp">
          <bgColor rgb="FFFF0000"/>
        </patternFill>
      </fill>
    </dxf>
    <dxf>
      <fill>
        <patternFill patternType="darkUp">
          <bgColor rgb="FFFF0000"/>
        </patternFill>
      </fill>
    </dxf>
    <dxf>
      <fill>
        <patternFill patternType="darkUp">
          <bgColor rgb="FFFF0000"/>
        </patternFill>
      </fill>
    </dxf>
    <dxf>
      <fill>
        <patternFill patternType="darkUp">
          <bgColor rgb="FFFF0000"/>
        </patternFill>
      </fill>
    </dxf>
    <dxf>
      <fill>
        <patternFill patternType="darkUp">
          <bgColor rgb="FFFF0000"/>
        </patternFill>
      </fill>
    </dxf>
    <dxf>
      <fill>
        <patternFill patternType="darkUp">
          <bgColor rgb="FFFF0000"/>
        </patternFill>
      </fill>
    </dxf>
    <dxf>
      <fill>
        <patternFill patternType="darkUp">
          <bgColor rgb="FFFF0000"/>
        </patternFill>
      </fill>
    </dxf>
    <dxf>
      <fill>
        <patternFill patternType="darkUp">
          <bgColor rgb="FFFF0000"/>
        </patternFill>
      </fill>
    </dxf>
    <dxf>
      <fill>
        <patternFill patternType="darkUp">
          <bgColor rgb="FFFF0000"/>
        </patternFill>
      </fill>
    </dxf>
    <dxf>
      <font>
        <color rgb="FF006100"/>
      </font>
      <fill>
        <patternFill>
          <bgColor rgb="FFC6EFCE"/>
        </patternFill>
      </fill>
    </dxf>
    <dxf>
      <font>
        <color rgb="FF9C6500"/>
      </font>
      <fill>
        <patternFill>
          <bgColor rgb="FFFFEB9C"/>
        </patternFill>
      </fill>
    </dxf>
    <dxf>
      <font>
        <color theme="0"/>
      </font>
      <fill>
        <patternFill>
          <bgColor rgb="FFFF0000"/>
        </patternFill>
      </fill>
    </dxf>
    <dxf>
      <font>
        <color rgb="FF006100"/>
      </font>
      <fill>
        <patternFill>
          <bgColor rgb="FFC6EFCE"/>
        </patternFill>
      </fill>
    </dxf>
    <dxf>
      <font>
        <color rgb="FF9C6500"/>
      </font>
      <fill>
        <patternFill>
          <bgColor rgb="FFFFEB9C"/>
        </patternFill>
      </fill>
    </dxf>
    <dxf>
      <font>
        <color theme="0"/>
      </font>
      <fill>
        <patternFill>
          <bgColor rgb="FFFF0000"/>
        </patternFill>
      </fill>
    </dxf>
    <dxf>
      <font>
        <color rgb="FF006100"/>
      </font>
      <fill>
        <patternFill>
          <bgColor rgb="FFC6EFCE"/>
        </patternFill>
      </fill>
    </dxf>
    <dxf>
      <font>
        <color rgb="FF9C6500"/>
      </font>
      <fill>
        <patternFill>
          <bgColor rgb="FFFFEB9C"/>
        </patternFill>
      </fill>
    </dxf>
    <dxf>
      <font>
        <color theme="0"/>
      </font>
      <fill>
        <patternFill>
          <bgColor rgb="FFFF0000"/>
        </patternFill>
      </fill>
    </dxf>
    <dxf>
      <font>
        <color rgb="FF006100"/>
      </font>
      <fill>
        <patternFill>
          <bgColor rgb="FFC6EFCE"/>
        </patternFill>
      </fill>
    </dxf>
    <dxf>
      <font>
        <color rgb="FF9C6500"/>
      </font>
      <fill>
        <patternFill>
          <bgColor rgb="FFFFEB9C"/>
        </patternFill>
      </fill>
    </dxf>
    <dxf>
      <font>
        <color theme="0"/>
      </font>
      <fill>
        <patternFill>
          <bgColor rgb="FFFF0000"/>
        </patternFill>
      </fill>
    </dxf>
    <dxf>
      <font>
        <color rgb="FF006100"/>
      </font>
      <fill>
        <patternFill>
          <bgColor rgb="FFC6EFCE"/>
        </patternFill>
      </fill>
    </dxf>
    <dxf>
      <font>
        <color rgb="FF9C6500"/>
      </font>
      <fill>
        <patternFill>
          <bgColor rgb="FFFFEB9C"/>
        </patternFill>
      </fill>
    </dxf>
    <dxf>
      <font>
        <color theme="0"/>
      </font>
      <fill>
        <patternFill>
          <bgColor rgb="FFFF0000"/>
        </patternFill>
      </fill>
    </dxf>
    <dxf>
      <font>
        <color rgb="FF006100"/>
      </font>
      <fill>
        <patternFill>
          <bgColor rgb="FFC6EFCE"/>
        </patternFill>
      </fill>
    </dxf>
    <dxf>
      <font>
        <color rgb="FF9C6500"/>
      </font>
      <fill>
        <patternFill>
          <bgColor rgb="FFFFEB9C"/>
        </patternFill>
      </fill>
    </dxf>
    <dxf>
      <font>
        <color theme="0"/>
      </font>
      <fill>
        <patternFill>
          <bgColor rgb="FFFF0000"/>
        </patternFill>
      </fill>
    </dxf>
    <dxf>
      <font>
        <color rgb="FF006100"/>
      </font>
      <fill>
        <patternFill>
          <bgColor rgb="FFC6EFCE"/>
        </patternFill>
      </fill>
    </dxf>
    <dxf>
      <font>
        <color rgb="FF9C6500"/>
      </font>
      <fill>
        <patternFill>
          <bgColor rgb="FFFFEB9C"/>
        </patternFill>
      </fill>
    </dxf>
    <dxf>
      <font>
        <color theme="0"/>
      </font>
      <fill>
        <patternFill>
          <bgColor rgb="FFFF0000"/>
        </patternFill>
      </fill>
    </dxf>
    <dxf>
      <font>
        <color rgb="FF006100"/>
      </font>
      <fill>
        <patternFill>
          <bgColor rgb="FFC6EFCE"/>
        </patternFill>
      </fill>
    </dxf>
    <dxf>
      <font>
        <color rgb="FF9C6500"/>
      </font>
      <fill>
        <patternFill>
          <bgColor rgb="FFFFEB9C"/>
        </patternFill>
      </fill>
    </dxf>
    <dxf>
      <font>
        <color theme="0"/>
      </font>
      <fill>
        <patternFill>
          <bgColor rgb="FFFF0000"/>
        </patternFill>
      </fill>
    </dxf>
    <dxf>
      <font>
        <color rgb="FF006100"/>
      </font>
      <fill>
        <patternFill>
          <bgColor rgb="FFC6EFCE"/>
        </patternFill>
      </fill>
    </dxf>
    <dxf>
      <font>
        <color rgb="FF9C6500"/>
      </font>
      <fill>
        <patternFill>
          <bgColor rgb="FFFFEB9C"/>
        </patternFill>
      </fill>
    </dxf>
    <dxf>
      <font>
        <color theme="0"/>
      </font>
      <fill>
        <patternFill>
          <bgColor rgb="FFFF0000"/>
        </patternFill>
      </fill>
    </dxf>
    <dxf>
      <font>
        <color rgb="FF006100"/>
      </font>
      <fill>
        <patternFill>
          <bgColor rgb="FFC6EFCE"/>
        </patternFill>
      </fill>
    </dxf>
    <dxf>
      <font>
        <color rgb="FF9C6500"/>
      </font>
      <fill>
        <patternFill>
          <bgColor rgb="FFFFEB9C"/>
        </patternFill>
      </fill>
    </dxf>
    <dxf>
      <font>
        <color theme="0"/>
      </font>
      <fill>
        <patternFill>
          <bgColor rgb="FFFF0000"/>
        </patternFill>
      </fill>
    </dxf>
    <dxf>
      <font>
        <color rgb="FF006100"/>
      </font>
      <fill>
        <patternFill>
          <bgColor rgb="FFC6EFCE"/>
        </patternFill>
      </fill>
    </dxf>
    <dxf>
      <font>
        <color rgb="FF9C6500"/>
      </font>
      <fill>
        <patternFill>
          <bgColor rgb="FFFFEB9C"/>
        </patternFill>
      </fill>
    </dxf>
    <dxf>
      <font>
        <color theme="0"/>
      </font>
      <fill>
        <patternFill>
          <bgColor rgb="FFFF0000"/>
        </patternFill>
      </fill>
    </dxf>
    <dxf>
      <font>
        <color theme="0"/>
      </font>
      <fill>
        <patternFill>
          <bgColor rgb="FFFF0000"/>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theme="0"/>
      </font>
      <fill>
        <patternFill>
          <bgColor rgb="FFFF0000"/>
        </patternFill>
      </fill>
    </dxf>
    <dxf>
      <font>
        <color rgb="FF9C0006"/>
      </font>
      <fill>
        <patternFill>
          <bgColor rgb="FFFFC7CE"/>
        </patternFill>
      </fill>
    </dxf>
    <dxf>
      <fill>
        <patternFill patternType="darkUp">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C7CE"/>
        </patternFill>
      </fill>
    </dxf>
    <dxf>
      <font>
        <color theme="0"/>
      </font>
      <fill>
        <patternFill>
          <bgColor rgb="FFFF0000"/>
        </patternFill>
      </fill>
    </dxf>
    <dxf>
      <fill>
        <patternFill>
          <bgColor rgb="FFFFC7CE"/>
        </patternFill>
      </fill>
    </dxf>
  </dxfs>
  <tableStyles count="0" defaultTableStyle="TableStyleMedium2" defaultPivotStyle="PivotStyleLight16"/>
  <colors>
    <mruColors>
      <color rgb="FF99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10.xml.rels><?xml version="1.0" encoding="UTF-8" standalone="yes"?>
<Relationships xmlns="http://schemas.openxmlformats.org/package/2006/relationships"><Relationship Id="rId1" Type="http://schemas.microsoft.com/office/2011/relationships/chartStyle" Target="style10.xml"/><Relationship Id="rId2" Type="http://schemas.microsoft.com/office/2011/relationships/chartColorStyle" Target="colors10.xml"/></Relationships>
</file>

<file path=xl/charts/_rels/chart11.xml.rels><?xml version="1.0" encoding="UTF-8" standalone="yes"?>
<Relationships xmlns="http://schemas.openxmlformats.org/package/2006/relationships"><Relationship Id="rId1" Type="http://schemas.microsoft.com/office/2011/relationships/chartStyle" Target="style11.xml"/><Relationship Id="rId2" Type="http://schemas.microsoft.com/office/2011/relationships/chartColorStyle" Target="colors11.xml"/></Relationships>
</file>

<file path=xl/charts/_rels/chart12.xml.rels><?xml version="1.0" encoding="UTF-8" standalone="yes"?>
<Relationships xmlns="http://schemas.openxmlformats.org/package/2006/relationships"><Relationship Id="rId1" Type="http://schemas.microsoft.com/office/2011/relationships/chartStyle" Target="style12.xml"/><Relationship Id="rId2" Type="http://schemas.microsoft.com/office/2011/relationships/chartColorStyle" Target="colors12.xml"/></Relationships>
</file>

<file path=xl/charts/_rels/chart13.xml.rels><?xml version="1.0" encoding="UTF-8" standalone="yes"?>
<Relationships xmlns="http://schemas.openxmlformats.org/package/2006/relationships"><Relationship Id="rId1" Type="http://schemas.microsoft.com/office/2011/relationships/chartStyle" Target="style13.xml"/><Relationship Id="rId2" Type="http://schemas.microsoft.com/office/2011/relationships/chartColorStyle" Target="colors13.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_rels/chart8.xml.rels><?xml version="1.0" encoding="UTF-8" standalone="yes"?>
<Relationships xmlns="http://schemas.openxmlformats.org/package/2006/relationships"><Relationship Id="rId1" Type="http://schemas.microsoft.com/office/2011/relationships/chartStyle" Target="style8.xml"/><Relationship Id="rId2" Type="http://schemas.microsoft.com/office/2011/relationships/chartColorStyle" Target="colors8.xml"/></Relationships>
</file>

<file path=xl/charts/_rels/chart9.xml.rels><?xml version="1.0" encoding="UTF-8" standalone="yes"?>
<Relationships xmlns="http://schemas.openxmlformats.org/package/2006/relationships"><Relationship Id="rId1" Type="http://schemas.microsoft.com/office/2011/relationships/chartStyle" Target="style9.xml"/><Relationship Id="rId2" Type="http://schemas.microsoft.com/office/2011/relationships/chartColorStyle" Target="colors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 Utilization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'Overview Sheet'!$A$50:$B$50</c:f>
              <c:strCache>
                <c:ptCount val="2"/>
                <c:pt idx="0">
                  <c:v>Health and Wellness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'Overview Sheet'!$C$49:$O$49</c:f>
              <c:strCache>
                <c:ptCount val="13"/>
                <c:pt idx="0">
                  <c:v>Janurary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Total</c:v>
                </c:pt>
              </c:strCache>
            </c:strRef>
          </c:cat>
          <c:val>
            <c:numRef>
              <c:f>'Overview Sheet'!$C$50:$O$50</c:f>
              <c:numCache>
                <c:formatCode>0%</c:formatCode>
                <c:ptCount val="13"/>
                <c:pt idx="0">
                  <c:v>1.0</c:v>
                </c:pt>
                <c:pt idx="1">
                  <c:v>1.0</c:v>
                </c:pt>
                <c:pt idx="2">
                  <c:v>1.0</c:v>
                </c:pt>
                <c:pt idx="3">
                  <c:v>1.0</c:v>
                </c:pt>
                <c:pt idx="4">
                  <c:v>1.0</c:v>
                </c:pt>
                <c:pt idx="5">
                  <c:v>1.0</c:v>
                </c:pt>
                <c:pt idx="6">
                  <c:v>0.0909444444444444</c:v>
                </c:pt>
                <c:pt idx="7">
                  <c:v>0.451044117647059</c:v>
                </c:pt>
                <c:pt idx="8">
                  <c:v>0.859</c:v>
                </c:pt>
                <c:pt idx="9">
                  <c:v>0.0</c:v>
                </c:pt>
                <c:pt idx="10">
                  <c:v>0.0</c:v>
                </c:pt>
                <c:pt idx="11">
                  <c:v>0.0</c:v>
                </c:pt>
                <c:pt idx="12">
                  <c:v>0.453768880192799</c:v>
                </c:pt>
              </c:numCache>
            </c:numRef>
          </c:val>
          <c:smooth val="0"/>
        </c:ser>
        <c:ser>
          <c:idx val="1"/>
          <c:order val="1"/>
          <c:tx>
            <c:strRef>
              <c:f>'Overview Sheet'!$A$51:$B$51</c:f>
              <c:strCache>
                <c:ptCount val="2"/>
                <c:pt idx="0">
                  <c:v>Monthly Subscriptions</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'Overview Sheet'!$C$49:$O$49</c:f>
              <c:strCache>
                <c:ptCount val="13"/>
                <c:pt idx="0">
                  <c:v>Janurary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Total</c:v>
                </c:pt>
              </c:strCache>
            </c:strRef>
          </c:cat>
          <c:val>
            <c:numRef>
              <c:f>'Overview Sheet'!$C$51:$O$51</c:f>
              <c:numCache>
                <c:formatCode>0%</c:formatCode>
                <c:ptCount val="13"/>
                <c:pt idx="0">
                  <c:v>1.0</c:v>
                </c:pt>
                <c:pt idx="1">
                  <c:v>1.0</c:v>
                </c:pt>
                <c:pt idx="2">
                  <c:v>1.0</c:v>
                </c:pt>
                <c:pt idx="3">
                  <c:v>1.000000000000001</c:v>
                </c:pt>
                <c:pt idx="4">
                  <c:v>1</c:v>
                </c:pt>
                <c:pt idx="5">
                  <c:v>0.982639027307156</c:v>
                </c:pt>
                <c:pt idx="6">
                  <c:v>1.127885190352801</c:v>
                </c:pt>
                <c:pt idx="7">
                  <c:v>0.864702141191435</c:v>
                </c:pt>
                <c:pt idx="8">
                  <c:v>0.896412198525015</c:v>
                </c:pt>
                <c:pt idx="9">
                  <c:v>0.0601554713972493</c:v>
                </c:pt>
                <c:pt idx="10">
                  <c:v>0.0</c:v>
                </c:pt>
                <c:pt idx="11">
                  <c:v>0.0</c:v>
                </c:pt>
                <c:pt idx="12">
                  <c:v>0.573009895592873</c:v>
                </c:pt>
              </c:numCache>
            </c:numRef>
          </c:val>
          <c:smooth val="0"/>
        </c:ser>
        <c:ser>
          <c:idx val="2"/>
          <c:order val="2"/>
          <c:tx>
            <c:strRef>
              <c:f>'Overview Sheet'!$A$52:$B$52</c:f>
              <c:strCache>
                <c:ptCount val="2"/>
                <c:pt idx="0">
                  <c:v>Food</c:v>
                </c:pt>
              </c:strCache>
            </c:strRef>
          </c:tx>
          <c:spPr>
            <a:ln w="28575" cap="rnd">
              <a:solidFill>
                <a:srgbClr val="92D050"/>
              </a:solidFill>
              <a:round/>
            </a:ln>
            <a:effectLst/>
          </c:spPr>
          <c:marker>
            <c:symbol val="circle"/>
            <c:size val="5"/>
            <c:spPr>
              <a:solidFill>
                <a:srgbClr val="92D050"/>
              </a:solidFill>
              <a:ln w="9525">
                <a:solidFill>
                  <a:srgbClr val="92D050"/>
                </a:solidFill>
              </a:ln>
              <a:effectLst/>
            </c:spPr>
          </c:marker>
          <c:cat>
            <c:strRef>
              <c:f>'Overview Sheet'!$C$49:$O$49</c:f>
              <c:strCache>
                <c:ptCount val="13"/>
                <c:pt idx="0">
                  <c:v>Janurary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Total</c:v>
                </c:pt>
              </c:strCache>
            </c:strRef>
          </c:cat>
          <c:val>
            <c:numRef>
              <c:f>'Overview Sheet'!$C$52:$O$52</c:f>
              <c:numCache>
                <c:formatCode>0%</c:formatCode>
                <c:ptCount val="13"/>
                <c:pt idx="0">
                  <c:v>1.0</c:v>
                </c:pt>
                <c:pt idx="1">
                  <c:v>1.0</c:v>
                </c:pt>
                <c:pt idx="2">
                  <c:v>1.0</c:v>
                </c:pt>
                <c:pt idx="3">
                  <c:v>1</c:v>
                </c:pt>
                <c:pt idx="4">
                  <c:v>1</c:v>
                </c:pt>
                <c:pt idx="5">
                  <c:v>0.717746870653686</c:v>
                </c:pt>
                <c:pt idx="6">
                  <c:v>1.024122392211405</c:v>
                </c:pt>
                <c:pt idx="7">
                  <c:v>1.6282280945758</c:v>
                </c:pt>
                <c:pt idx="8">
                  <c:v>1.301457579972184</c:v>
                </c:pt>
                <c:pt idx="9">
                  <c:v>1.078464534075104</c:v>
                </c:pt>
                <c:pt idx="10">
                  <c:v>0.0</c:v>
                </c:pt>
                <c:pt idx="11">
                  <c:v>0.0</c:v>
                </c:pt>
                <c:pt idx="12">
                  <c:v>0.901941538680424</c:v>
                </c:pt>
              </c:numCache>
            </c:numRef>
          </c:val>
          <c:smooth val="0"/>
        </c:ser>
        <c:ser>
          <c:idx val="3"/>
          <c:order val="3"/>
          <c:tx>
            <c:strRef>
              <c:f>'Overview Sheet'!$A$53:$B$53</c:f>
              <c:strCache>
                <c:ptCount val="2"/>
                <c:pt idx="0">
                  <c:v>Transportation</c:v>
                </c:pt>
              </c:strCache>
            </c:strRef>
          </c:tx>
          <c:spPr>
            <a:ln w="28575" cap="rnd">
              <a:solidFill>
                <a:srgbClr val="7030A0"/>
              </a:solidFill>
              <a:round/>
            </a:ln>
            <a:effectLst/>
          </c:spPr>
          <c:marker>
            <c:symbol val="circle"/>
            <c:size val="5"/>
            <c:spPr>
              <a:solidFill>
                <a:srgbClr val="7030A0"/>
              </a:solidFill>
              <a:ln w="9525">
                <a:solidFill>
                  <a:srgbClr val="7030A0"/>
                </a:solidFill>
              </a:ln>
              <a:effectLst/>
            </c:spPr>
          </c:marker>
          <c:cat>
            <c:strRef>
              <c:f>'Overview Sheet'!$C$49:$O$49</c:f>
              <c:strCache>
                <c:ptCount val="13"/>
                <c:pt idx="0">
                  <c:v>Janurary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Total</c:v>
                </c:pt>
              </c:strCache>
            </c:strRef>
          </c:cat>
          <c:val>
            <c:numRef>
              <c:f>'Overview Sheet'!$C$53:$O$53</c:f>
              <c:numCache>
                <c:formatCode>0%</c:formatCode>
                <c:ptCount val="13"/>
                <c:pt idx="0">
                  <c:v>1.0</c:v>
                </c:pt>
                <c:pt idx="1">
                  <c:v>1.0</c:v>
                </c:pt>
                <c:pt idx="2">
                  <c:v>1.0</c:v>
                </c:pt>
                <c:pt idx="3">
                  <c:v>1.0</c:v>
                </c:pt>
                <c:pt idx="4">
                  <c:v>1.0</c:v>
                </c:pt>
                <c:pt idx="5">
                  <c:v>0.249096296296296</c:v>
                </c:pt>
                <c:pt idx="6">
                  <c:v>0.225288888888889</c:v>
                </c:pt>
                <c:pt idx="7">
                  <c:v>0.414450450450451</c:v>
                </c:pt>
                <c:pt idx="8">
                  <c:v>0.906594594594595</c:v>
                </c:pt>
                <c:pt idx="9">
                  <c:v>0.193525925925926</c:v>
                </c:pt>
                <c:pt idx="10">
                  <c:v>0.0</c:v>
                </c:pt>
                <c:pt idx="11">
                  <c:v>0.0</c:v>
                </c:pt>
                <c:pt idx="12">
                  <c:v>0.522872897831162</c:v>
                </c:pt>
              </c:numCache>
            </c:numRef>
          </c:val>
          <c:smooth val="0"/>
        </c:ser>
        <c:ser>
          <c:idx val="4"/>
          <c:order val="4"/>
          <c:tx>
            <c:strRef>
              <c:f>'Overview Sheet'!$A$54:$B$54</c:f>
              <c:strCache>
                <c:ptCount val="2"/>
                <c:pt idx="0">
                  <c:v>Housing</c:v>
                </c:pt>
              </c:strCache>
            </c:strRef>
          </c:tx>
          <c:spPr>
            <a:ln w="28575" cap="rnd">
              <a:solidFill>
                <a:schemeClr val="accent5">
                  <a:lumMod val="75000"/>
                </a:schemeClr>
              </a:solidFill>
              <a:round/>
            </a:ln>
            <a:effectLst/>
          </c:spPr>
          <c:marker>
            <c:symbol val="circle"/>
            <c:size val="5"/>
            <c:spPr>
              <a:solidFill>
                <a:schemeClr val="accent5">
                  <a:lumMod val="75000"/>
                </a:schemeClr>
              </a:solidFill>
              <a:ln w="9525">
                <a:solidFill>
                  <a:schemeClr val="accent5">
                    <a:lumMod val="75000"/>
                  </a:schemeClr>
                </a:solidFill>
              </a:ln>
              <a:effectLst/>
            </c:spPr>
          </c:marker>
          <c:cat>
            <c:strRef>
              <c:f>'Overview Sheet'!$C$49:$O$49</c:f>
              <c:strCache>
                <c:ptCount val="13"/>
                <c:pt idx="0">
                  <c:v>Janurary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Total</c:v>
                </c:pt>
              </c:strCache>
            </c:strRef>
          </c:cat>
          <c:val>
            <c:numRef>
              <c:f>'Overview Sheet'!$C$54:$O$54</c:f>
              <c:numCache>
                <c:formatCode>0%</c:formatCode>
                <c:ptCount val="13"/>
                <c:pt idx="0">
                  <c:v>1.0</c:v>
                </c:pt>
                <c:pt idx="1">
                  <c:v>1.0</c:v>
                </c:pt>
                <c:pt idx="2">
                  <c:v>1.0</c:v>
                </c:pt>
                <c:pt idx="3">
                  <c:v>1.0</c:v>
                </c:pt>
                <c:pt idx="4">
                  <c:v>1.0</c:v>
                </c:pt>
                <c:pt idx="5">
                  <c:v>0.833827256271011</c:v>
                </c:pt>
                <c:pt idx="6">
                  <c:v>1.009337988104474</c:v>
                </c:pt>
                <c:pt idx="7">
                  <c:v>0.968755565971408</c:v>
                </c:pt>
                <c:pt idx="8">
                  <c:v>1.078120459339114</c:v>
                </c:pt>
                <c:pt idx="9">
                  <c:v>0.980605120248254</c:v>
                </c:pt>
                <c:pt idx="10">
                  <c:v>0.0</c:v>
                </c:pt>
                <c:pt idx="11">
                  <c:v>0.0</c:v>
                </c:pt>
                <c:pt idx="12">
                  <c:v>0.756016246062029</c:v>
                </c:pt>
              </c:numCache>
            </c:numRef>
          </c:val>
          <c:smooth val="0"/>
        </c:ser>
        <c:ser>
          <c:idx val="5"/>
          <c:order val="5"/>
          <c:tx>
            <c:strRef>
              <c:f>'Overview Sheet'!$A$55:$B$55</c:f>
              <c:strCache>
                <c:ptCount val="2"/>
                <c:pt idx="0">
                  <c:v>Misc Entertainment</c:v>
                </c:pt>
              </c:strCache>
            </c:strRef>
          </c:tx>
          <c:spPr>
            <a:ln w="28575" cap="rnd">
              <a:solidFill>
                <a:srgbClr val="FFFF00"/>
              </a:solidFill>
              <a:round/>
            </a:ln>
            <a:effectLst/>
          </c:spPr>
          <c:marker>
            <c:symbol val="circle"/>
            <c:size val="5"/>
            <c:spPr>
              <a:solidFill>
                <a:srgbClr val="FFFF00"/>
              </a:solidFill>
              <a:ln w="9525">
                <a:solidFill>
                  <a:srgbClr val="FFFF00"/>
                </a:solidFill>
              </a:ln>
              <a:effectLst/>
            </c:spPr>
          </c:marker>
          <c:cat>
            <c:strRef>
              <c:f>'Overview Sheet'!$C$49:$O$49</c:f>
              <c:strCache>
                <c:ptCount val="13"/>
                <c:pt idx="0">
                  <c:v>Janurary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Total</c:v>
                </c:pt>
              </c:strCache>
            </c:strRef>
          </c:cat>
          <c:val>
            <c:numRef>
              <c:f>'Overview Sheet'!$C$55:$O$55</c:f>
              <c:numCache>
                <c:formatCode>0%</c:formatCode>
                <c:ptCount val="13"/>
                <c:pt idx="0">
                  <c:v>1.0</c:v>
                </c:pt>
                <c:pt idx="1">
                  <c:v>1.0</c:v>
                </c:pt>
                <c:pt idx="2">
                  <c:v>1.0</c:v>
                </c:pt>
                <c:pt idx="3">
                  <c:v>1.0</c:v>
                </c:pt>
                <c:pt idx="4">
                  <c:v>1.0</c:v>
                </c:pt>
                <c:pt idx="5">
                  <c:v>0.539230769230769</c:v>
                </c:pt>
                <c:pt idx="6">
                  <c:v>1.36723076923077</c:v>
                </c:pt>
                <c:pt idx="7">
                  <c:v>1.314769230769231</c:v>
                </c:pt>
                <c:pt idx="8">
                  <c:v>0.606769230769231</c:v>
                </c:pt>
                <c:pt idx="9">
                  <c:v>0.523076923076923</c:v>
                </c:pt>
                <c:pt idx="10">
                  <c:v>0.0</c:v>
                </c:pt>
                <c:pt idx="11">
                  <c:v>0.0</c:v>
                </c:pt>
                <c:pt idx="12">
                  <c:v>0.776656462408551</c:v>
                </c:pt>
              </c:numCache>
            </c:numRef>
          </c:val>
          <c:smooth val="0"/>
        </c:ser>
        <c:ser>
          <c:idx val="6"/>
          <c:order val="6"/>
          <c:tx>
            <c:strRef>
              <c:f>'Overview Sheet'!$A$56:$B$56</c:f>
              <c:strCache>
                <c:ptCount val="2"/>
                <c:pt idx="0">
                  <c:v>Education</c:v>
                </c:pt>
              </c:strCache>
            </c:strRef>
          </c:tx>
          <c:spPr>
            <a:ln w="28575" cap="rnd">
              <a:solidFill>
                <a:srgbClr val="00B050"/>
              </a:solidFill>
              <a:round/>
            </a:ln>
            <a:effectLst/>
          </c:spPr>
          <c:marker>
            <c:symbol val="circle"/>
            <c:size val="5"/>
            <c:spPr>
              <a:solidFill>
                <a:srgbClr val="00B050"/>
              </a:solidFill>
              <a:ln w="9525">
                <a:solidFill>
                  <a:srgbClr val="00B050"/>
                </a:solidFill>
              </a:ln>
              <a:effectLst/>
            </c:spPr>
          </c:marker>
          <c:cat>
            <c:strRef>
              <c:f>'Overview Sheet'!$C$49:$O$49</c:f>
              <c:strCache>
                <c:ptCount val="13"/>
                <c:pt idx="0">
                  <c:v>Janurary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Total</c:v>
                </c:pt>
              </c:strCache>
            </c:strRef>
          </c:cat>
          <c:val>
            <c:numRef>
              <c:f>'Overview Sheet'!$C$56:$O$56</c:f>
              <c:numCache>
                <c:formatCode>0%</c:formatCode>
                <c:ptCount val="13"/>
                <c:pt idx="0">
                  <c:v>1.0</c:v>
                </c:pt>
                <c:pt idx="1">
                  <c:v>1.0</c:v>
                </c:pt>
                <c:pt idx="2">
                  <c:v>1.0</c:v>
                </c:pt>
                <c:pt idx="3">
                  <c:v>0.999999999999999</c:v>
                </c:pt>
                <c:pt idx="4">
                  <c:v>1.000000000000002</c:v>
                </c:pt>
                <c:pt idx="5">
                  <c:v>0.4218875</c:v>
                </c:pt>
                <c:pt idx="6">
                  <c:v>0.5213125</c:v>
                </c:pt>
                <c:pt idx="7">
                  <c:v>1.0</c:v>
                </c:pt>
                <c:pt idx="8">
                  <c:v>1.0</c:v>
                </c:pt>
                <c:pt idx="9">
                  <c:v>9.99999999999999E98</c:v>
                </c:pt>
                <c:pt idx="10">
                  <c:v>0.0</c:v>
                </c:pt>
                <c:pt idx="11">
                  <c:v>0.0</c:v>
                </c:pt>
                <c:pt idx="12">
                  <c:v>0.277980511490639</c:v>
                </c:pt>
              </c:numCache>
            </c:numRef>
          </c:val>
          <c:smooth val="0"/>
        </c:ser>
        <c:ser>
          <c:idx val="7"/>
          <c:order val="7"/>
          <c:tx>
            <c:strRef>
              <c:f>'Overview Sheet'!$A$57:$B$57</c:f>
              <c:strCache>
                <c:ptCount val="2"/>
                <c:pt idx="0">
                  <c:v>Savings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'Overview Sheet'!$C$49:$O$49</c:f>
              <c:strCache>
                <c:ptCount val="13"/>
                <c:pt idx="0">
                  <c:v>Janurary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Total</c:v>
                </c:pt>
              </c:strCache>
            </c:strRef>
          </c:cat>
          <c:val>
            <c:numRef>
              <c:f>'Overview Sheet'!$C$57:$O$57</c:f>
              <c:numCache>
                <c:formatCode>0%</c:formatCode>
                <c:ptCount val="13"/>
                <c:pt idx="0">
                  <c:v>1.0</c:v>
                </c:pt>
                <c:pt idx="1">
                  <c:v>1.0</c:v>
                </c:pt>
                <c:pt idx="2">
                  <c:v>1.0</c:v>
                </c:pt>
                <c:pt idx="3">
                  <c:v>1.0</c:v>
                </c:pt>
                <c:pt idx="4">
                  <c:v>1.0</c:v>
                </c:pt>
                <c:pt idx="5">
                  <c:v>0.0</c:v>
                </c:pt>
                <c:pt idx="6">
                  <c:v>-1.66</c:v>
                </c:pt>
                <c:pt idx="7">
                  <c:v>0.627272727272727</c:v>
                </c:pt>
                <c:pt idx="8">
                  <c:v>0.5</c:v>
                </c:pt>
                <c:pt idx="9">
                  <c:v>0.0</c:v>
                </c:pt>
                <c:pt idx="10">
                  <c:v>0.0</c:v>
                </c:pt>
                <c:pt idx="11">
                  <c:v>0.0</c:v>
                </c:pt>
                <c:pt idx="12">
                  <c:v>0.130172413793103</c:v>
                </c:pt>
              </c:numCache>
            </c:numRef>
          </c:val>
          <c:smooth val="0"/>
        </c:ser>
        <c:ser>
          <c:idx val="8"/>
          <c:order val="8"/>
          <c:tx>
            <c:strRef>
              <c:f>'Overview Sheet'!$A$58:$B$58</c:f>
              <c:strCache>
                <c:ptCount val="2"/>
                <c:pt idx="0">
                  <c:v>Vacation</c:v>
                </c:pt>
              </c:strCache>
            </c:strRef>
          </c:tx>
          <c:spPr>
            <a:ln w="28575" cap="rnd">
              <a:solidFill>
                <a:srgbClr val="FFC000"/>
              </a:solidFill>
              <a:round/>
            </a:ln>
            <a:effectLst/>
          </c:spPr>
          <c:marker>
            <c:symbol val="circle"/>
            <c:size val="5"/>
            <c:spPr>
              <a:solidFill>
                <a:srgbClr val="FFC000"/>
              </a:solidFill>
              <a:ln w="9525">
                <a:solidFill>
                  <a:srgbClr val="FFC000"/>
                </a:solidFill>
              </a:ln>
              <a:effectLst/>
            </c:spPr>
          </c:marker>
          <c:cat>
            <c:strRef>
              <c:f>'Overview Sheet'!$C$49:$O$49</c:f>
              <c:strCache>
                <c:ptCount val="13"/>
                <c:pt idx="0">
                  <c:v>Janurary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Total</c:v>
                </c:pt>
              </c:strCache>
            </c:strRef>
          </c:cat>
          <c:val>
            <c:numRef>
              <c:f>'Overview Sheet'!$C$58:$O$58</c:f>
              <c:numCache>
                <c:formatCode>0%</c:formatCode>
                <c:ptCount val="13"/>
                <c:pt idx="0">
                  <c:v>1.0</c:v>
                </c:pt>
                <c:pt idx="1">
                  <c:v>1.0</c:v>
                </c:pt>
                <c:pt idx="2">
                  <c:v>1.0</c:v>
                </c:pt>
                <c:pt idx="3">
                  <c:v>1.0</c:v>
                </c:pt>
                <c:pt idx="4">
                  <c:v>1.0</c:v>
                </c:pt>
                <c:pt idx="5">
                  <c:v>0.0</c:v>
                </c:pt>
                <c:pt idx="6">
                  <c:v>0.0</c:v>
                </c:pt>
                <c:pt idx="7">
                  <c:v>0.0</c:v>
                </c:pt>
                <c:pt idx="8">
                  <c:v>1.049511111111111</c:v>
                </c:pt>
                <c:pt idx="9">
                  <c:v>0.929107692307692</c:v>
                </c:pt>
                <c:pt idx="10">
                  <c:v>0.0</c:v>
                </c:pt>
                <c:pt idx="11">
                  <c:v>0.0</c:v>
                </c:pt>
                <c:pt idx="12">
                  <c:v>0.895632153530261</c:v>
                </c:pt>
              </c:numCache>
            </c:numRef>
          </c:val>
          <c:smooth val="0"/>
        </c:ser>
        <c:ser>
          <c:idx val="9"/>
          <c:order val="9"/>
          <c:tx>
            <c:strRef>
              <c:f>'Overview Sheet'!$A$59:$B$59</c:f>
              <c:strCache>
                <c:ptCount val="2"/>
                <c:pt idx="0">
                  <c:v>Other</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cat>
            <c:strRef>
              <c:f>'Overview Sheet'!$C$49:$O$49</c:f>
              <c:strCache>
                <c:ptCount val="13"/>
                <c:pt idx="0">
                  <c:v>Janurary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Total</c:v>
                </c:pt>
              </c:strCache>
            </c:strRef>
          </c:cat>
          <c:val>
            <c:numRef>
              <c:f>'Overview Sheet'!$C$59:$O$59</c:f>
              <c:numCache>
                <c:formatCode>0%</c:formatCode>
                <c:ptCount val="13"/>
                <c:pt idx="0">
                  <c:v>1.0</c:v>
                </c:pt>
                <c:pt idx="1">
                  <c:v>1.0</c:v>
                </c:pt>
                <c:pt idx="2">
                  <c:v>1.0</c:v>
                </c:pt>
                <c:pt idx="3">
                  <c:v>1.0</c:v>
                </c:pt>
                <c:pt idx="4">
                  <c:v>1.0</c:v>
                </c:pt>
                <c:pt idx="5">
                  <c:v>2.57</c:v>
                </c:pt>
                <c:pt idx="6">
                  <c:v>8.324399999999998</c:v>
                </c:pt>
                <c:pt idx="7">
                  <c:v>9.440399999999998</c:v>
                </c:pt>
                <c:pt idx="8">
                  <c:v>2.1616</c:v>
                </c:pt>
                <c:pt idx="9">
                  <c:v>0.0</c:v>
                </c:pt>
                <c:pt idx="10">
                  <c:v>0.0</c:v>
                </c:pt>
                <c:pt idx="11">
                  <c:v>0.0</c:v>
                </c:pt>
                <c:pt idx="12">
                  <c:v>1.25539587316237</c:v>
                </c:pt>
              </c:numCache>
            </c:numRef>
          </c:val>
          <c:smooth val="0"/>
        </c:ser>
        <c:ser>
          <c:idx val="10"/>
          <c:order val="10"/>
          <c:tx>
            <c:strRef>
              <c:f>'Overview Sheet'!$A$60:$B$60</c:f>
              <c:strCache>
                <c:ptCount val="2"/>
                <c:pt idx="0">
                  <c:v>ALL</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dPt>
            <c:idx val="8"/>
            <c:marker>
              <c:symbol val="circle"/>
              <c:size val="5"/>
              <c:spPr>
                <a:solidFill>
                  <a:schemeClr val="tx1"/>
                </a:solidFill>
                <a:ln w="9525">
                  <a:solidFill>
                    <a:schemeClr val="tx1"/>
                  </a:solidFill>
                </a:ln>
                <a:effectLst/>
              </c:spPr>
            </c:marker>
            <c:bubble3D val="0"/>
            <c:spPr>
              <a:ln w="28575" cap="rnd">
                <a:solidFill>
                  <a:schemeClr val="tx1"/>
                </a:solidFill>
                <a:round/>
              </a:ln>
              <a:effectLst/>
            </c:spPr>
          </c:dPt>
          <c:cat>
            <c:strRef>
              <c:f>'Overview Sheet'!$C$49:$O$49</c:f>
              <c:strCache>
                <c:ptCount val="13"/>
                <c:pt idx="0">
                  <c:v>Janurary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Total</c:v>
                </c:pt>
              </c:strCache>
            </c:strRef>
          </c:cat>
          <c:val>
            <c:numRef>
              <c:f>'Overview Sheet'!$C$60:$O$60</c:f>
              <c:numCache>
                <c:formatCode>0%</c:formatCode>
                <c:ptCount val="13"/>
                <c:pt idx="0">
                  <c:v>1.0</c:v>
                </c:pt>
                <c:pt idx="1">
                  <c:v>1.0</c:v>
                </c:pt>
                <c:pt idx="2">
                  <c:v>1.0</c:v>
                </c:pt>
                <c:pt idx="3">
                  <c:v>1.0</c:v>
                </c:pt>
                <c:pt idx="4">
                  <c:v>1.0</c:v>
                </c:pt>
                <c:pt idx="5">
                  <c:v>0.651242630287903</c:v>
                </c:pt>
                <c:pt idx="6">
                  <c:v>0.765833584369755</c:v>
                </c:pt>
                <c:pt idx="7">
                  <c:v>0.931497181219607</c:v>
                </c:pt>
                <c:pt idx="8">
                  <c:v>1.020458751129664</c:v>
                </c:pt>
                <c:pt idx="9">
                  <c:v>0.737226028951309</c:v>
                </c:pt>
                <c:pt idx="10">
                  <c:v>0.0</c:v>
                </c:pt>
                <c:pt idx="11">
                  <c:v>0.0</c:v>
                </c:pt>
                <c:pt idx="12">
                  <c:v>0.697141361228113</c:v>
                </c:pt>
              </c:numCache>
            </c:numRef>
          </c:val>
          <c:smooth val="0"/>
        </c:ser>
        <c:dLbls>
          <c:showLegendKey val="0"/>
          <c:showVal val="0"/>
          <c:showCatName val="0"/>
          <c:showSerName val="0"/>
          <c:showPercent val="0"/>
          <c:showBubbleSize val="0"/>
        </c:dLbls>
        <c:marker val="1"/>
        <c:smooth val="0"/>
        <c:axId val="-1837317392"/>
        <c:axId val="-1837314640"/>
      </c:lineChart>
      <c:catAx>
        <c:axId val="-183731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314640"/>
        <c:crosses val="autoZero"/>
        <c:auto val="1"/>
        <c:lblAlgn val="ctr"/>
        <c:lblOffset val="100"/>
        <c:noMultiLvlLbl val="0"/>
      </c:catAx>
      <c:valAx>
        <c:axId val="-1837314640"/>
        <c:scaling>
          <c:orientation val="minMax"/>
          <c:max val="1.05"/>
          <c:min val="0.0"/>
        </c:scaling>
        <c:delete val="0"/>
        <c:axPos val="l"/>
        <c:majorGridlines>
          <c:spPr>
            <a:ln w="9525" cap="flat" cmpd="sng" algn="ctr">
              <a:solidFill>
                <a:schemeClr val="tx1">
                  <a:lumMod val="15000"/>
                  <a:lumOff val="85000"/>
                </a:schemeClr>
              </a:solidFill>
              <a:round/>
            </a:ln>
            <a:effectLst/>
          </c:spPr>
        </c:majorGridlines>
        <c:numFmt formatCode="0%" sourceLinked="0"/>
        <c:majorTickMark val="cross"/>
        <c:minorTickMark val="in"/>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317392"/>
        <c:crosses val="autoZero"/>
        <c:crossBetween val="between"/>
        <c:minorUnit val="0.0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Vacation Utilization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'Overview Sheet'!$A$58:$B$58</c:f>
              <c:strCache>
                <c:ptCount val="2"/>
                <c:pt idx="0">
                  <c:v>Vacation</c:v>
                </c:pt>
              </c:strCache>
            </c:strRef>
          </c:tx>
          <c:spPr>
            <a:ln w="28575" cap="rnd">
              <a:solidFill>
                <a:srgbClr val="FFC000"/>
              </a:solidFill>
              <a:round/>
            </a:ln>
            <a:effectLst/>
          </c:spPr>
          <c:marker>
            <c:symbol val="circle"/>
            <c:size val="5"/>
            <c:spPr>
              <a:solidFill>
                <a:srgbClr val="FFC000"/>
              </a:solidFill>
              <a:ln w="9525">
                <a:solidFill>
                  <a:srgbClr val="FFC000"/>
                </a:solidFill>
              </a:ln>
              <a:effectLst/>
            </c:spPr>
          </c:marker>
          <c:cat>
            <c:strRef>
              <c:f>'Overview Sheet'!$C$49:$O$49</c:f>
              <c:strCache>
                <c:ptCount val="13"/>
                <c:pt idx="0">
                  <c:v>Janurary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Total</c:v>
                </c:pt>
              </c:strCache>
            </c:strRef>
          </c:cat>
          <c:val>
            <c:numRef>
              <c:f>'Overview Sheet'!$C$58:$O$58</c:f>
              <c:numCache>
                <c:formatCode>0%</c:formatCode>
                <c:ptCount val="13"/>
                <c:pt idx="0">
                  <c:v>1.0</c:v>
                </c:pt>
                <c:pt idx="1">
                  <c:v>1.0</c:v>
                </c:pt>
                <c:pt idx="2">
                  <c:v>1.0</c:v>
                </c:pt>
                <c:pt idx="3">
                  <c:v>1.0</c:v>
                </c:pt>
                <c:pt idx="4">
                  <c:v>1.0</c:v>
                </c:pt>
                <c:pt idx="5">
                  <c:v>0.0</c:v>
                </c:pt>
                <c:pt idx="6">
                  <c:v>0.0</c:v>
                </c:pt>
                <c:pt idx="7">
                  <c:v>0.0</c:v>
                </c:pt>
                <c:pt idx="8">
                  <c:v>1.049511111111111</c:v>
                </c:pt>
                <c:pt idx="9">
                  <c:v>0.929107692307692</c:v>
                </c:pt>
                <c:pt idx="10">
                  <c:v>0.0</c:v>
                </c:pt>
                <c:pt idx="11">
                  <c:v>0.0</c:v>
                </c:pt>
                <c:pt idx="12">
                  <c:v>0.895632153530261</c:v>
                </c:pt>
              </c:numCache>
            </c:numRef>
          </c:val>
          <c:smooth val="0"/>
        </c:ser>
        <c:dLbls>
          <c:showLegendKey val="0"/>
          <c:showVal val="0"/>
          <c:showCatName val="0"/>
          <c:showSerName val="0"/>
          <c:showPercent val="0"/>
          <c:showBubbleSize val="0"/>
        </c:dLbls>
        <c:marker val="1"/>
        <c:smooth val="0"/>
        <c:axId val="-1729606880"/>
        <c:axId val="-1729604400"/>
      </c:lineChart>
      <c:catAx>
        <c:axId val="-172960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604400"/>
        <c:crosses val="autoZero"/>
        <c:auto val="1"/>
        <c:lblAlgn val="ctr"/>
        <c:lblOffset val="100"/>
        <c:noMultiLvlLbl val="0"/>
      </c:catAx>
      <c:valAx>
        <c:axId val="-1729604400"/>
        <c:scaling>
          <c:orientation val="minMax"/>
          <c:max val="1.05"/>
          <c:min val="0.0"/>
        </c:scaling>
        <c:delete val="0"/>
        <c:axPos val="l"/>
        <c:majorGridlines>
          <c:spPr>
            <a:ln w="9525" cap="flat" cmpd="sng" algn="ctr">
              <a:solidFill>
                <a:schemeClr val="tx1">
                  <a:lumMod val="15000"/>
                  <a:lumOff val="85000"/>
                </a:schemeClr>
              </a:solidFill>
              <a:round/>
            </a:ln>
            <a:effectLst/>
          </c:spPr>
        </c:majorGridlines>
        <c:numFmt formatCode="0%" sourceLinked="1"/>
        <c:majorTickMark val="cross"/>
        <c:minorTickMark val="in"/>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606880"/>
        <c:crosses val="autoZero"/>
        <c:crossBetween val="between"/>
        <c:minorUnit val="0.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Other Utilization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'Overview Sheet'!$A$59</c:f>
              <c:strCache>
                <c:ptCount val="1"/>
                <c:pt idx="0">
                  <c:v>Other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'Overview Sheet'!$C$49:$O$49</c:f>
              <c:strCache>
                <c:ptCount val="13"/>
                <c:pt idx="0">
                  <c:v>Janurary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Total</c:v>
                </c:pt>
              </c:strCache>
            </c:strRef>
          </c:cat>
          <c:val>
            <c:numRef>
              <c:f>'Overview Sheet'!$C$59:$O$59</c:f>
              <c:numCache>
                <c:formatCode>0%</c:formatCode>
                <c:ptCount val="13"/>
                <c:pt idx="0">
                  <c:v>1.0</c:v>
                </c:pt>
                <c:pt idx="1">
                  <c:v>1.0</c:v>
                </c:pt>
                <c:pt idx="2">
                  <c:v>1.0</c:v>
                </c:pt>
                <c:pt idx="3">
                  <c:v>1.0</c:v>
                </c:pt>
                <c:pt idx="4">
                  <c:v>1.0</c:v>
                </c:pt>
                <c:pt idx="5">
                  <c:v>2.57</c:v>
                </c:pt>
                <c:pt idx="6">
                  <c:v>8.324399999999998</c:v>
                </c:pt>
                <c:pt idx="7">
                  <c:v>9.440399999999998</c:v>
                </c:pt>
                <c:pt idx="8">
                  <c:v>2.1616</c:v>
                </c:pt>
                <c:pt idx="9">
                  <c:v>0.0</c:v>
                </c:pt>
                <c:pt idx="10">
                  <c:v>0.0</c:v>
                </c:pt>
                <c:pt idx="11">
                  <c:v>0.0</c:v>
                </c:pt>
                <c:pt idx="12">
                  <c:v>1.25539587316237</c:v>
                </c:pt>
              </c:numCache>
            </c:numRef>
          </c:val>
          <c:smooth val="0"/>
        </c:ser>
        <c:dLbls>
          <c:showLegendKey val="0"/>
          <c:showVal val="0"/>
          <c:showCatName val="0"/>
          <c:showSerName val="0"/>
          <c:showPercent val="0"/>
          <c:showBubbleSize val="0"/>
        </c:dLbls>
        <c:marker val="1"/>
        <c:smooth val="0"/>
        <c:axId val="-1729584480"/>
        <c:axId val="-1729582000"/>
      </c:lineChart>
      <c:catAx>
        <c:axId val="-172958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582000"/>
        <c:crosses val="autoZero"/>
        <c:auto val="1"/>
        <c:lblAlgn val="ctr"/>
        <c:lblOffset val="100"/>
        <c:noMultiLvlLbl val="0"/>
      </c:catAx>
      <c:valAx>
        <c:axId val="-1729582000"/>
        <c:scaling>
          <c:orientation val="minMax"/>
          <c:max val="1.05"/>
          <c:min val="0.0"/>
        </c:scaling>
        <c:delete val="0"/>
        <c:axPos val="l"/>
        <c:majorGridlines>
          <c:spPr>
            <a:ln w="9525" cap="flat" cmpd="sng" algn="ctr">
              <a:solidFill>
                <a:schemeClr val="tx1">
                  <a:lumMod val="15000"/>
                  <a:lumOff val="85000"/>
                </a:schemeClr>
              </a:solidFill>
              <a:round/>
            </a:ln>
            <a:effectLst/>
          </c:spPr>
        </c:majorGridlines>
        <c:numFmt formatCode="0%" sourceLinked="1"/>
        <c:majorTickMark val="cross"/>
        <c:minorTickMark val="in"/>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584480"/>
        <c:crosses val="autoZero"/>
        <c:crossBetween val="between"/>
        <c:minorUnit val="0.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Utilization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'Overview Sheet'!$A$60</c:f>
              <c:strCache>
                <c:ptCount val="1"/>
                <c:pt idx="0">
                  <c:v>ALL</c:v>
                </c:pt>
              </c:strCache>
            </c:strRef>
          </c:tx>
          <c:spPr>
            <a:ln w="28575" cap="rnd">
              <a:solidFill>
                <a:schemeClr val="tx1"/>
              </a:solidFill>
              <a:round/>
            </a:ln>
            <a:effectLst/>
          </c:spPr>
          <c:marker>
            <c:symbol val="circle"/>
            <c:size val="5"/>
            <c:spPr>
              <a:solidFill>
                <a:schemeClr val="tx1"/>
              </a:solidFill>
              <a:ln w="9525">
                <a:solidFill>
                  <a:schemeClr val="tx1"/>
                </a:solidFill>
              </a:ln>
              <a:effectLst/>
            </c:spPr>
          </c:marker>
          <c:cat>
            <c:strRef>
              <c:f>'Overview Sheet'!$C$49:$O$49</c:f>
              <c:strCache>
                <c:ptCount val="13"/>
                <c:pt idx="0">
                  <c:v>Janurary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Total</c:v>
                </c:pt>
              </c:strCache>
            </c:strRef>
          </c:cat>
          <c:val>
            <c:numRef>
              <c:f>'Overview Sheet'!$C$60:$O$60</c:f>
              <c:numCache>
                <c:formatCode>0%</c:formatCode>
                <c:ptCount val="13"/>
                <c:pt idx="0">
                  <c:v>1.0</c:v>
                </c:pt>
                <c:pt idx="1">
                  <c:v>1.0</c:v>
                </c:pt>
                <c:pt idx="2">
                  <c:v>1.0</c:v>
                </c:pt>
                <c:pt idx="3">
                  <c:v>1.0</c:v>
                </c:pt>
                <c:pt idx="4">
                  <c:v>1.0</c:v>
                </c:pt>
                <c:pt idx="5">
                  <c:v>0.651242630287903</c:v>
                </c:pt>
                <c:pt idx="6">
                  <c:v>0.765833584369755</c:v>
                </c:pt>
                <c:pt idx="7">
                  <c:v>0.931497181219607</c:v>
                </c:pt>
                <c:pt idx="8">
                  <c:v>1.020458751129664</c:v>
                </c:pt>
                <c:pt idx="9">
                  <c:v>0.737226028951309</c:v>
                </c:pt>
                <c:pt idx="10">
                  <c:v>0.0</c:v>
                </c:pt>
                <c:pt idx="11">
                  <c:v>0.0</c:v>
                </c:pt>
                <c:pt idx="12">
                  <c:v>0.697141361228113</c:v>
                </c:pt>
              </c:numCache>
            </c:numRef>
          </c:val>
          <c:smooth val="0"/>
        </c:ser>
        <c:dLbls>
          <c:showLegendKey val="0"/>
          <c:showVal val="0"/>
          <c:showCatName val="0"/>
          <c:showSerName val="0"/>
          <c:showPercent val="0"/>
          <c:showBubbleSize val="0"/>
        </c:dLbls>
        <c:marker val="1"/>
        <c:smooth val="0"/>
        <c:axId val="-1729562144"/>
        <c:axId val="-1729559664"/>
      </c:lineChart>
      <c:catAx>
        <c:axId val="-172956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559664"/>
        <c:crosses val="autoZero"/>
        <c:auto val="1"/>
        <c:lblAlgn val="ctr"/>
        <c:lblOffset val="100"/>
        <c:noMultiLvlLbl val="0"/>
      </c:catAx>
      <c:valAx>
        <c:axId val="-1729559664"/>
        <c:scaling>
          <c:orientation val="minMax"/>
          <c:max val="1.05"/>
          <c:min val="0.0"/>
        </c:scaling>
        <c:delete val="0"/>
        <c:axPos val="l"/>
        <c:majorGridlines>
          <c:spPr>
            <a:ln w="9525" cap="flat" cmpd="sng" algn="ctr">
              <a:solidFill>
                <a:schemeClr val="tx1">
                  <a:lumMod val="15000"/>
                  <a:lumOff val="85000"/>
                </a:schemeClr>
              </a:solidFill>
              <a:round/>
            </a:ln>
            <a:effectLst/>
          </c:spPr>
        </c:majorGridlines>
        <c:numFmt formatCode="0%" sourceLinked="1"/>
        <c:majorTickMark val="cross"/>
        <c:minorTickMark val="in"/>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562144"/>
        <c:crosses val="autoZero"/>
        <c:crossBetween val="between"/>
        <c:minorUnit val="0.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Added to Savings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'Overview Sheet'!$A$24:$A$26</c:f>
              <c:strCache>
                <c:ptCount val="1"/>
                <c:pt idx="0">
                  <c:v>Savings</c:v>
                </c:pt>
              </c:strCache>
            </c:strRef>
          </c:tx>
          <c:spPr>
            <a:ln w="28575" cap="rnd">
              <a:solidFill>
                <a:schemeClr val="tx1"/>
              </a:solidFill>
              <a:round/>
            </a:ln>
            <a:effectLst/>
          </c:spPr>
          <c:marker>
            <c:symbol val="circle"/>
            <c:size val="5"/>
            <c:spPr>
              <a:solidFill>
                <a:schemeClr val="tx1"/>
              </a:solidFill>
              <a:ln w="9525">
                <a:solidFill>
                  <a:schemeClr val="tx1"/>
                </a:solidFill>
              </a:ln>
              <a:effectLst/>
            </c:spPr>
          </c:marker>
          <c:cat>
            <c:strRef>
              <c:f>'Overview Sheet'!$C$43:$O$43</c:f>
              <c:strCache>
                <c:ptCount val="13"/>
                <c:pt idx="0">
                  <c:v>Janurary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Total</c:v>
                </c:pt>
              </c:strCache>
            </c:strRef>
          </c:cat>
          <c:val>
            <c:numRef>
              <c:f>'Overview Sheet'!$C$44:$N$44</c:f>
              <c:numCache>
                <c:formatCode>"$"#,##0.00</c:formatCode>
                <c:ptCount val="12"/>
                <c:pt idx="0">
                  <c:v>0.0</c:v>
                </c:pt>
                <c:pt idx="1">
                  <c:v>0.0</c:v>
                </c:pt>
                <c:pt idx="2">
                  <c:v>0.0</c:v>
                </c:pt>
                <c:pt idx="3">
                  <c:v>0.0</c:v>
                </c:pt>
                <c:pt idx="4">
                  <c:v>0.0</c:v>
                </c:pt>
                <c:pt idx="5">
                  <c:v>0.0</c:v>
                </c:pt>
                <c:pt idx="6">
                  <c:v>-166.0</c:v>
                </c:pt>
                <c:pt idx="7">
                  <c:v>41.0</c:v>
                </c:pt>
                <c:pt idx="8">
                  <c:v>151.0</c:v>
                </c:pt>
                <c:pt idx="9">
                  <c:v>151.0</c:v>
                </c:pt>
                <c:pt idx="10">
                  <c:v>151.0</c:v>
                </c:pt>
                <c:pt idx="11">
                  <c:v>151.0</c:v>
                </c:pt>
              </c:numCache>
            </c:numRef>
          </c:val>
          <c:smooth val="0"/>
        </c:ser>
        <c:ser>
          <c:idx val="0"/>
          <c:order val="1"/>
          <c:tx>
            <c:v>Total Savings</c:v>
          </c:tx>
          <c:spPr>
            <a:ln w="28575" cap="rnd">
              <a:solidFill>
                <a:schemeClr val="tx1"/>
              </a:solidFill>
              <a:round/>
            </a:ln>
            <a:effectLst/>
          </c:spPr>
          <c:marker>
            <c:symbol val="circle"/>
            <c:size val="5"/>
            <c:spPr>
              <a:solidFill>
                <a:schemeClr val="tx1"/>
              </a:solidFill>
              <a:ln w="9525">
                <a:solidFill>
                  <a:schemeClr val="tx1"/>
                </a:solidFill>
              </a:ln>
              <a:effectLst/>
            </c:spPr>
          </c:marker>
          <c:dLbls>
            <c:dLbl>
              <c:idx val="12"/>
              <c:layout>
                <c:manualLayout>
                  <c:x val="-0.0248011101652835"/>
                  <c:y val="-0.033333420822397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0C3CC93F-6538-8546-9EED-9E836D868074}" type="VALUE">
                      <a:rPr lang="en-US" sz="1200"/>
                      <a:pPr>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0428453453453453"/>
                      <c:h val="0.0399667541557305"/>
                    </c:manualLayout>
                  </c15:layout>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olidFill>
                      <a:round/>
                    </a:ln>
                    <a:effectLst/>
                  </c:spPr>
                </c15:leaderLines>
              </c:ext>
            </c:extLst>
          </c:dLbls>
          <c:cat>
            <c:strRef>
              <c:f>'Overview Sheet'!$C$43:$O$43</c:f>
              <c:strCache>
                <c:ptCount val="13"/>
                <c:pt idx="0">
                  <c:v>Janurary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Total</c:v>
                </c:pt>
              </c:strCache>
            </c:strRef>
          </c:cat>
          <c:val>
            <c:numRef>
              <c:f>'Overview Sheet'!$C$45:$O$45</c:f>
              <c:numCache>
                <c:formatCode>0%</c:formatCode>
                <c:ptCount val="13"/>
                <c:pt idx="12" formatCode="&quot;$&quot;#,##0.00">
                  <c:v>151.0</c:v>
                </c:pt>
              </c:numCache>
            </c:numRef>
          </c:val>
          <c:smooth val="0"/>
        </c:ser>
        <c:dLbls>
          <c:showLegendKey val="0"/>
          <c:showVal val="0"/>
          <c:showCatName val="0"/>
          <c:showSerName val="0"/>
          <c:showPercent val="0"/>
          <c:showBubbleSize val="0"/>
        </c:dLbls>
        <c:marker val="1"/>
        <c:smooth val="0"/>
        <c:axId val="-1729534144"/>
        <c:axId val="-1729531136"/>
      </c:lineChart>
      <c:catAx>
        <c:axId val="-172953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531136"/>
        <c:crosses val="autoZero"/>
        <c:auto val="1"/>
        <c:lblAlgn val="ctr"/>
        <c:lblOffset val="100"/>
        <c:noMultiLvlLbl val="0"/>
      </c:catAx>
      <c:valAx>
        <c:axId val="-1729531136"/>
        <c:scaling>
          <c:orientation val="minMax"/>
          <c:max val="1200.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cross"/>
        <c:minorTickMark val="in"/>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534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Health and Wellness Utilization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0"/>
          <c:tx>
            <c:strRef>
              <c:f>'Overview Sheet'!$A$50:$B$50</c:f>
              <c:strCache>
                <c:ptCount val="2"/>
                <c:pt idx="0">
                  <c:v>Health and Wellness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'Overview Sheet'!$C$49:$O$49</c:f>
              <c:strCache>
                <c:ptCount val="13"/>
                <c:pt idx="0">
                  <c:v>Janurary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Total</c:v>
                </c:pt>
              </c:strCache>
            </c:strRef>
          </c:cat>
          <c:val>
            <c:numRef>
              <c:f>'Overview Sheet'!$C$50:$O$50</c:f>
              <c:numCache>
                <c:formatCode>0%</c:formatCode>
                <c:ptCount val="13"/>
                <c:pt idx="0">
                  <c:v>1.0</c:v>
                </c:pt>
                <c:pt idx="1">
                  <c:v>1.0</c:v>
                </c:pt>
                <c:pt idx="2">
                  <c:v>1.0</c:v>
                </c:pt>
                <c:pt idx="3">
                  <c:v>1.0</c:v>
                </c:pt>
                <c:pt idx="4">
                  <c:v>1.0</c:v>
                </c:pt>
                <c:pt idx="5">
                  <c:v>1.0</c:v>
                </c:pt>
                <c:pt idx="6">
                  <c:v>0.0909444444444444</c:v>
                </c:pt>
                <c:pt idx="7">
                  <c:v>0.451044117647059</c:v>
                </c:pt>
                <c:pt idx="8">
                  <c:v>0.859</c:v>
                </c:pt>
                <c:pt idx="9">
                  <c:v>0.0</c:v>
                </c:pt>
                <c:pt idx="10">
                  <c:v>0.0</c:v>
                </c:pt>
                <c:pt idx="11">
                  <c:v>0.0</c:v>
                </c:pt>
                <c:pt idx="12">
                  <c:v>0.453768880192799</c:v>
                </c:pt>
              </c:numCache>
            </c:numRef>
          </c:val>
          <c:smooth val="0"/>
        </c:ser>
        <c:ser>
          <c:idx val="3"/>
          <c:order val="1"/>
          <c:tx>
            <c:strRef>
              <c:f>'Overview Sheet'!$A$50:$B$50</c:f>
              <c:strCache>
                <c:ptCount val="2"/>
                <c:pt idx="0">
                  <c:v>Health and Wellness</c:v>
                </c:pt>
              </c:strCache>
            </c:strRef>
          </c:tx>
          <c:spPr>
            <a:ln w="28575" cap="rnd">
              <a:solidFill>
                <a:schemeClr val="accent1"/>
              </a:solidFill>
              <a:round/>
            </a:ln>
            <a:effectLst/>
          </c:spPr>
          <c:marker>
            <c:symbol val="circle"/>
            <c:size val="5"/>
            <c:spPr>
              <a:solidFill>
                <a:schemeClr val="accent4"/>
              </a:solidFill>
              <a:ln w="9525">
                <a:solidFill>
                  <a:schemeClr val="accent4"/>
                </a:solidFill>
              </a:ln>
              <a:effectLst/>
            </c:spPr>
          </c:marker>
          <c:cat>
            <c:strRef>
              <c:f>'Overview Sheet'!$C$49:$O$49</c:f>
              <c:strCache>
                <c:ptCount val="13"/>
                <c:pt idx="0">
                  <c:v>Janurary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Total</c:v>
                </c:pt>
              </c:strCache>
            </c:strRef>
          </c:cat>
          <c:val>
            <c:numRef>
              <c:f>'Overview Sheet'!$C$50:$O$50</c:f>
              <c:numCache>
                <c:formatCode>0%</c:formatCode>
                <c:ptCount val="13"/>
                <c:pt idx="0">
                  <c:v>1.0</c:v>
                </c:pt>
                <c:pt idx="1">
                  <c:v>1.0</c:v>
                </c:pt>
                <c:pt idx="2">
                  <c:v>1.0</c:v>
                </c:pt>
                <c:pt idx="3">
                  <c:v>1.0</c:v>
                </c:pt>
                <c:pt idx="4">
                  <c:v>1.0</c:v>
                </c:pt>
                <c:pt idx="5">
                  <c:v>1.0</c:v>
                </c:pt>
                <c:pt idx="6">
                  <c:v>0.0909444444444444</c:v>
                </c:pt>
                <c:pt idx="7">
                  <c:v>0.451044117647059</c:v>
                </c:pt>
                <c:pt idx="8">
                  <c:v>0.859</c:v>
                </c:pt>
                <c:pt idx="9">
                  <c:v>0.0</c:v>
                </c:pt>
                <c:pt idx="10">
                  <c:v>0.0</c:v>
                </c:pt>
                <c:pt idx="11">
                  <c:v>0.0</c:v>
                </c:pt>
                <c:pt idx="12">
                  <c:v>0.453768880192799</c:v>
                </c:pt>
              </c:numCache>
            </c:numRef>
          </c:val>
          <c:smooth val="0"/>
        </c:ser>
        <c:ser>
          <c:idx val="1"/>
          <c:order val="2"/>
          <c:tx>
            <c:strRef>
              <c:f>'Overview Sheet'!$A$50:$B$50</c:f>
              <c:strCache>
                <c:ptCount val="2"/>
                <c:pt idx="0">
                  <c:v>Health and Wellness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'Overview Sheet'!$C$49:$O$49</c:f>
              <c:strCache>
                <c:ptCount val="13"/>
                <c:pt idx="0">
                  <c:v>Janurary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Total</c:v>
                </c:pt>
              </c:strCache>
            </c:strRef>
          </c:cat>
          <c:val>
            <c:numRef>
              <c:f>'Overview Sheet'!$C$50:$O$50</c:f>
              <c:numCache>
                <c:formatCode>0%</c:formatCode>
                <c:ptCount val="13"/>
                <c:pt idx="0">
                  <c:v>1.0</c:v>
                </c:pt>
                <c:pt idx="1">
                  <c:v>1.0</c:v>
                </c:pt>
                <c:pt idx="2">
                  <c:v>1.0</c:v>
                </c:pt>
                <c:pt idx="3">
                  <c:v>1.0</c:v>
                </c:pt>
                <c:pt idx="4">
                  <c:v>1.0</c:v>
                </c:pt>
                <c:pt idx="5">
                  <c:v>1.0</c:v>
                </c:pt>
                <c:pt idx="6">
                  <c:v>0.0909444444444444</c:v>
                </c:pt>
                <c:pt idx="7">
                  <c:v>0.451044117647059</c:v>
                </c:pt>
                <c:pt idx="8">
                  <c:v>0.859</c:v>
                </c:pt>
                <c:pt idx="9">
                  <c:v>0.0</c:v>
                </c:pt>
                <c:pt idx="10">
                  <c:v>0.0</c:v>
                </c:pt>
                <c:pt idx="11">
                  <c:v>0.0</c:v>
                </c:pt>
                <c:pt idx="12">
                  <c:v>0.453768880192799</c:v>
                </c:pt>
              </c:numCache>
            </c:numRef>
          </c:val>
          <c:smooth val="0"/>
        </c:ser>
        <c:ser>
          <c:idx val="0"/>
          <c:order val="3"/>
          <c:tx>
            <c:strRef>
              <c:f>'Overview Sheet'!$A$50:$B$50</c:f>
              <c:strCache>
                <c:ptCount val="2"/>
                <c:pt idx="0">
                  <c:v>Health and Wellness</c:v>
                </c:pt>
              </c:strCache>
            </c:strRef>
          </c:tx>
          <c:spPr>
            <a:ln w="28575" cap="rnd">
              <a:solidFill>
                <a:schemeClr val="accent4">
                  <a:lumMod val="40000"/>
                  <a:lumOff val="60000"/>
                </a:schemeClr>
              </a:solidFill>
              <a:round/>
            </a:ln>
            <a:effectLst/>
          </c:spPr>
          <c:marker>
            <c:symbol val="circle"/>
            <c:size val="5"/>
            <c:spPr>
              <a:solidFill>
                <a:schemeClr val="accent4">
                  <a:lumMod val="40000"/>
                  <a:lumOff val="60000"/>
                </a:schemeClr>
              </a:solidFill>
              <a:ln w="9525">
                <a:solidFill>
                  <a:schemeClr val="accent4">
                    <a:lumMod val="40000"/>
                    <a:lumOff val="60000"/>
                  </a:schemeClr>
                </a:solidFill>
              </a:ln>
              <a:effectLst/>
            </c:spPr>
          </c:marker>
          <c:cat>
            <c:strRef>
              <c:f>'Overview Sheet'!$C$49:$O$49</c:f>
              <c:strCache>
                <c:ptCount val="13"/>
                <c:pt idx="0">
                  <c:v>Janurary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Total</c:v>
                </c:pt>
              </c:strCache>
            </c:strRef>
          </c:cat>
          <c:val>
            <c:numRef>
              <c:f>'Overview Sheet'!$C$50:$O$50</c:f>
              <c:numCache>
                <c:formatCode>0%</c:formatCode>
                <c:ptCount val="13"/>
                <c:pt idx="0">
                  <c:v>1.0</c:v>
                </c:pt>
                <c:pt idx="1">
                  <c:v>1.0</c:v>
                </c:pt>
                <c:pt idx="2">
                  <c:v>1.0</c:v>
                </c:pt>
                <c:pt idx="3">
                  <c:v>1.0</c:v>
                </c:pt>
                <c:pt idx="4">
                  <c:v>1.0</c:v>
                </c:pt>
                <c:pt idx="5">
                  <c:v>1.0</c:v>
                </c:pt>
                <c:pt idx="6">
                  <c:v>0.0909444444444444</c:v>
                </c:pt>
                <c:pt idx="7">
                  <c:v>0.451044117647059</c:v>
                </c:pt>
                <c:pt idx="8">
                  <c:v>0.859</c:v>
                </c:pt>
                <c:pt idx="9">
                  <c:v>0.0</c:v>
                </c:pt>
                <c:pt idx="10">
                  <c:v>0.0</c:v>
                </c:pt>
                <c:pt idx="11">
                  <c:v>0.0</c:v>
                </c:pt>
                <c:pt idx="12">
                  <c:v>0.453768880192799</c:v>
                </c:pt>
              </c:numCache>
            </c:numRef>
          </c:val>
          <c:smooth val="0"/>
        </c:ser>
        <c:dLbls>
          <c:showLegendKey val="0"/>
          <c:showVal val="0"/>
          <c:showCatName val="0"/>
          <c:showSerName val="0"/>
          <c:showPercent val="0"/>
          <c:showBubbleSize val="0"/>
        </c:dLbls>
        <c:marker val="1"/>
        <c:smooth val="0"/>
        <c:axId val="-1729783344"/>
        <c:axId val="-1729780352"/>
      </c:lineChart>
      <c:catAx>
        <c:axId val="-172978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780352"/>
        <c:crosses val="autoZero"/>
        <c:auto val="1"/>
        <c:lblAlgn val="ctr"/>
        <c:lblOffset val="100"/>
        <c:noMultiLvlLbl val="0"/>
      </c:catAx>
      <c:valAx>
        <c:axId val="-1729780352"/>
        <c:scaling>
          <c:orientation val="minMax"/>
          <c:max val="1.05"/>
          <c:min val="0.0"/>
        </c:scaling>
        <c:delete val="0"/>
        <c:axPos val="l"/>
        <c:majorGridlines>
          <c:spPr>
            <a:ln w="9525" cap="flat" cmpd="sng" algn="ctr">
              <a:solidFill>
                <a:schemeClr val="tx1">
                  <a:lumMod val="15000"/>
                  <a:lumOff val="85000"/>
                </a:schemeClr>
              </a:solidFill>
              <a:round/>
            </a:ln>
            <a:effectLst/>
          </c:spPr>
        </c:majorGridlines>
        <c:numFmt formatCode="0%" sourceLinked="1"/>
        <c:majorTickMark val="cross"/>
        <c:minorTickMark val="in"/>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783344"/>
        <c:crosses val="autoZero"/>
        <c:crossBetween val="between"/>
        <c:minorUnit val="0.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Subscriptions Utilization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'Overview Sheet'!$A$50:$B$50</c:f>
              <c:strCache>
                <c:ptCount val="2"/>
                <c:pt idx="0">
                  <c:v>Health and Wellness</c:v>
                </c:pt>
              </c:strCache>
            </c:strRef>
          </c:tx>
          <c:spPr>
            <a:ln w="28575" cap="rnd">
              <a:solidFill>
                <a:schemeClr val="accent6">
                  <a:lumMod val="40000"/>
                  <a:lumOff val="60000"/>
                </a:schemeClr>
              </a:solidFill>
              <a:round/>
            </a:ln>
            <a:effectLst/>
          </c:spPr>
          <c:marker>
            <c:symbol val="circle"/>
            <c:size val="5"/>
            <c:spPr>
              <a:solidFill>
                <a:schemeClr val="accent6">
                  <a:lumMod val="40000"/>
                  <a:lumOff val="60000"/>
                </a:schemeClr>
              </a:solidFill>
              <a:ln w="9525">
                <a:solidFill>
                  <a:schemeClr val="accent6">
                    <a:lumMod val="40000"/>
                    <a:lumOff val="60000"/>
                  </a:schemeClr>
                </a:solidFill>
              </a:ln>
              <a:effectLst/>
            </c:spPr>
          </c:marker>
          <c:cat>
            <c:strRef>
              <c:f>'Overview Sheet'!$C$49:$O$49</c:f>
              <c:strCache>
                <c:ptCount val="13"/>
                <c:pt idx="0">
                  <c:v>Janurary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Total</c:v>
                </c:pt>
              </c:strCache>
            </c:strRef>
          </c:cat>
          <c:val>
            <c:numRef>
              <c:f>'Overview Sheet'!$C$51:$O$51</c:f>
              <c:numCache>
                <c:formatCode>0%</c:formatCode>
                <c:ptCount val="13"/>
                <c:pt idx="0">
                  <c:v>1.0</c:v>
                </c:pt>
                <c:pt idx="1">
                  <c:v>1.0</c:v>
                </c:pt>
                <c:pt idx="2">
                  <c:v>1.0</c:v>
                </c:pt>
                <c:pt idx="3">
                  <c:v>1.000000000000001</c:v>
                </c:pt>
                <c:pt idx="4">
                  <c:v>1</c:v>
                </c:pt>
                <c:pt idx="5">
                  <c:v>0.982639027307156</c:v>
                </c:pt>
                <c:pt idx="6">
                  <c:v>1.127885190352801</c:v>
                </c:pt>
                <c:pt idx="7">
                  <c:v>0.864702141191435</c:v>
                </c:pt>
                <c:pt idx="8">
                  <c:v>0.896412198525015</c:v>
                </c:pt>
                <c:pt idx="9">
                  <c:v>0.0601554713972493</c:v>
                </c:pt>
                <c:pt idx="10">
                  <c:v>0.0</c:v>
                </c:pt>
                <c:pt idx="11">
                  <c:v>0.0</c:v>
                </c:pt>
                <c:pt idx="12">
                  <c:v>0.573009895592873</c:v>
                </c:pt>
              </c:numCache>
            </c:numRef>
          </c:val>
          <c:smooth val="0"/>
        </c:ser>
        <c:dLbls>
          <c:showLegendKey val="0"/>
          <c:showVal val="0"/>
          <c:showCatName val="0"/>
          <c:showSerName val="0"/>
          <c:showPercent val="0"/>
          <c:showBubbleSize val="0"/>
        </c:dLbls>
        <c:marker val="1"/>
        <c:smooth val="0"/>
        <c:axId val="-1729762064"/>
        <c:axId val="-1729759584"/>
      </c:lineChart>
      <c:catAx>
        <c:axId val="-172976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759584"/>
        <c:crosses val="autoZero"/>
        <c:auto val="1"/>
        <c:lblAlgn val="ctr"/>
        <c:lblOffset val="100"/>
        <c:noMultiLvlLbl val="0"/>
      </c:catAx>
      <c:valAx>
        <c:axId val="-1729759584"/>
        <c:scaling>
          <c:orientation val="minMax"/>
          <c:max val="1.05"/>
          <c:min val="0.0"/>
        </c:scaling>
        <c:delete val="0"/>
        <c:axPos val="l"/>
        <c:majorGridlines>
          <c:spPr>
            <a:ln w="9525" cap="flat" cmpd="sng" algn="ctr">
              <a:solidFill>
                <a:schemeClr val="tx1">
                  <a:lumMod val="15000"/>
                  <a:lumOff val="85000"/>
                </a:schemeClr>
              </a:solidFill>
              <a:round/>
            </a:ln>
            <a:effectLst/>
          </c:spPr>
        </c:majorGridlines>
        <c:numFmt formatCode="0%" sourceLinked="1"/>
        <c:majorTickMark val="cross"/>
        <c:minorTickMark val="in"/>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762064"/>
        <c:crosses val="autoZero"/>
        <c:crossBetween val="between"/>
        <c:minorUnit val="0.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Food Utilization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0"/>
          <c:tx>
            <c:strRef>
              <c:f>'Overview Sheet'!$A$52:$B$52</c:f>
              <c:strCache>
                <c:ptCount val="2"/>
                <c:pt idx="0">
                  <c:v>Food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'Overview Sheet'!$C$49:$O$49</c:f>
              <c:strCache>
                <c:ptCount val="13"/>
                <c:pt idx="0">
                  <c:v>Janurary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Total</c:v>
                </c:pt>
              </c:strCache>
            </c:strRef>
          </c:cat>
          <c:val>
            <c:numRef>
              <c:f>'Overview Sheet'!$C$52:$O$52</c:f>
              <c:numCache>
                <c:formatCode>0%</c:formatCode>
                <c:ptCount val="13"/>
                <c:pt idx="0">
                  <c:v>1.0</c:v>
                </c:pt>
                <c:pt idx="1">
                  <c:v>1.0</c:v>
                </c:pt>
                <c:pt idx="2">
                  <c:v>1.0</c:v>
                </c:pt>
                <c:pt idx="3">
                  <c:v>1</c:v>
                </c:pt>
                <c:pt idx="4">
                  <c:v>1</c:v>
                </c:pt>
                <c:pt idx="5">
                  <c:v>0.717746870653686</c:v>
                </c:pt>
                <c:pt idx="6">
                  <c:v>1.024122392211405</c:v>
                </c:pt>
                <c:pt idx="7">
                  <c:v>1.6282280945758</c:v>
                </c:pt>
                <c:pt idx="8">
                  <c:v>1.301457579972184</c:v>
                </c:pt>
                <c:pt idx="9">
                  <c:v>1.078464534075104</c:v>
                </c:pt>
                <c:pt idx="10">
                  <c:v>0.0</c:v>
                </c:pt>
                <c:pt idx="11">
                  <c:v>0.0</c:v>
                </c:pt>
                <c:pt idx="12">
                  <c:v>0.901941538680424</c:v>
                </c:pt>
              </c:numCache>
            </c:numRef>
          </c:val>
          <c:smooth val="0"/>
        </c:ser>
        <c:dLbls>
          <c:showLegendKey val="0"/>
          <c:showVal val="0"/>
          <c:showCatName val="0"/>
          <c:showSerName val="0"/>
          <c:showPercent val="0"/>
          <c:showBubbleSize val="0"/>
        </c:dLbls>
        <c:marker val="1"/>
        <c:smooth val="0"/>
        <c:axId val="-1729739152"/>
        <c:axId val="-1729736672"/>
      </c:lineChart>
      <c:catAx>
        <c:axId val="-172973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736672"/>
        <c:crosses val="autoZero"/>
        <c:auto val="1"/>
        <c:lblAlgn val="ctr"/>
        <c:lblOffset val="100"/>
        <c:noMultiLvlLbl val="0"/>
      </c:catAx>
      <c:valAx>
        <c:axId val="-1729736672"/>
        <c:scaling>
          <c:orientation val="minMax"/>
          <c:max val="1.05"/>
          <c:min val="0.0"/>
        </c:scaling>
        <c:delete val="0"/>
        <c:axPos val="l"/>
        <c:majorGridlines>
          <c:spPr>
            <a:ln w="9525" cap="flat" cmpd="sng" algn="ctr">
              <a:solidFill>
                <a:schemeClr val="tx1">
                  <a:lumMod val="15000"/>
                  <a:lumOff val="85000"/>
                </a:schemeClr>
              </a:solidFill>
              <a:round/>
            </a:ln>
            <a:effectLst/>
          </c:spPr>
        </c:majorGridlines>
        <c:numFmt formatCode="0%" sourceLinked="1"/>
        <c:majorTickMark val="cross"/>
        <c:minorTickMark val="in"/>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739152"/>
        <c:crosses val="autoZero"/>
        <c:crossBetween val="between"/>
        <c:minorUnit val="0.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Transportation Utilization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'Overview Sheet'!$A$53:$B$53</c:f>
              <c:strCache>
                <c:ptCount val="2"/>
                <c:pt idx="0">
                  <c:v>Transportation</c:v>
                </c:pt>
              </c:strCache>
            </c:strRef>
          </c:tx>
          <c:spPr>
            <a:ln w="28575" cap="rnd">
              <a:solidFill>
                <a:srgbClr val="7030A0"/>
              </a:solidFill>
              <a:round/>
            </a:ln>
            <a:effectLst/>
          </c:spPr>
          <c:marker>
            <c:symbol val="circle"/>
            <c:size val="5"/>
            <c:spPr>
              <a:solidFill>
                <a:srgbClr val="7030A0"/>
              </a:solidFill>
              <a:ln w="9525">
                <a:solidFill>
                  <a:srgbClr val="7030A0"/>
                </a:solidFill>
              </a:ln>
              <a:effectLst/>
            </c:spPr>
          </c:marker>
          <c:cat>
            <c:strRef>
              <c:f>'Overview Sheet'!$C$49:$O$49</c:f>
              <c:strCache>
                <c:ptCount val="13"/>
                <c:pt idx="0">
                  <c:v>Janurary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Total</c:v>
                </c:pt>
              </c:strCache>
            </c:strRef>
          </c:cat>
          <c:val>
            <c:numRef>
              <c:f>'Overview Sheet'!$C$53:$O$53</c:f>
              <c:numCache>
                <c:formatCode>0%</c:formatCode>
                <c:ptCount val="13"/>
                <c:pt idx="0">
                  <c:v>1.0</c:v>
                </c:pt>
                <c:pt idx="1">
                  <c:v>1.0</c:v>
                </c:pt>
                <c:pt idx="2">
                  <c:v>1.0</c:v>
                </c:pt>
                <c:pt idx="3">
                  <c:v>1.0</c:v>
                </c:pt>
                <c:pt idx="4">
                  <c:v>1.0</c:v>
                </c:pt>
                <c:pt idx="5">
                  <c:v>0.249096296296296</c:v>
                </c:pt>
                <c:pt idx="6">
                  <c:v>0.225288888888889</c:v>
                </c:pt>
                <c:pt idx="7">
                  <c:v>0.414450450450451</c:v>
                </c:pt>
                <c:pt idx="8">
                  <c:v>0.906594594594595</c:v>
                </c:pt>
                <c:pt idx="9">
                  <c:v>0.193525925925926</c:v>
                </c:pt>
                <c:pt idx="10">
                  <c:v>0.0</c:v>
                </c:pt>
                <c:pt idx="11">
                  <c:v>0.0</c:v>
                </c:pt>
                <c:pt idx="12">
                  <c:v>0.522872897831162</c:v>
                </c:pt>
              </c:numCache>
            </c:numRef>
          </c:val>
          <c:smooth val="0"/>
        </c:ser>
        <c:dLbls>
          <c:showLegendKey val="0"/>
          <c:showVal val="0"/>
          <c:showCatName val="0"/>
          <c:showSerName val="0"/>
          <c:showPercent val="0"/>
          <c:showBubbleSize val="0"/>
        </c:dLbls>
        <c:marker val="1"/>
        <c:smooth val="0"/>
        <c:axId val="-1729711136"/>
        <c:axId val="-1729708656"/>
      </c:lineChart>
      <c:catAx>
        <c:axId val="-172971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708656"/>
        <c:crosses val="autoZero"/>
        <c:auto val="1"/>
        <c:lblAlgn val="ctr"/>
        <c:lblOffset val="100"/>
        <c:noMultiLvlLbl val="0"/>
      </c:catAx>
      <c:valAx>
        <c:axId val="-1729708656"/>
        <c:scaling>
          <c:orientation val="minMax"/>
          <c:max val="1.05"/>
          <c:min val="0.0"/>
        </c:scaling>
        <c:delete val="0"/>
        <c:axPos val="l"/>
        <c:majorGridlines>
          <c:spPr>
            <a:ln w="9525" cap="flat" cmpd="sng" algn="ctr">
              <a:solidFill>
                <a:schemeClr val="tx1">
                  <a:lumMod val="15000"/>
                  <a:lumOff val="85000"/>
                </a:schemeClr>
              </a:solidFill>
              <a:round/>
            </a:ln>
            <a:effectLst/>
          </c:spPr>
        </c:majorGridlines>
        <c:numFmt formatCode="0%" sourceLinked="1"/>
        <c:majorTickMark val="cross"/>
        <c:minorTickMark val="in"/>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711136"/>
        <c:crosses val="autoZero"/>
        <c:crossBetween val="between"/>
        <c:minorUnit val="0.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Housing Utilization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'Overview Sheet'!$A$54:$B$54</c:f>
              <c:strCache>
                <c:ptCount val="2"/>
                <c:pt idx="0">
                  <c:v>Housing</c:v>
                </c:pt>
              </c:strCache>
            </c:strRef>
          </c:tx>
          <c:spPr>
            <a:ln w="28575" cap="rnd">
              <a:solidFill>
                <a:schemeClr val="accent5">
                  <a:lumMod val="75000"/>
                </a:schemeClr>
              </a:solidFill>
              <a:round/>
            </a:ln>
            <a:effectLst/>
          </c:spPr>
          <c:marker>
            <c:symbol val="circle"/>
            <c:size val="5"/>
            <c:spPr>
              <a:solidFill>
                <a:schemeClr val="accent5">
                  <a:lumMod val="75000"/>
                </a:schemeClr>
              </a:solidFill>
              <a:ln w="9525">
                <a:solidFill>
                  <a:schemeClr val="accent5">
                    <a:lumMod val="75000"/>
                  </a:schemeClr>
                </a:solidFill>
              </a:ln>
              <a:effectLst/>
            </c:spPr>
          </c:marker>
          <c:cat>
            <c:strRef>
              <c:f>'Overview Sheet'!$C$49:$O$49</c:f>
              <c:strCache>
                <c:ptCount val="13"/>
                <c:pt idx="0">
                  <c:v>Janurary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Total</c:v>
                </c:pt>
              </c:strCache>
            </c:strRef>
          </c:cat>
          <c:val>
            <c:numRef>
              <c:f>'Overview Sheet'!$C$54:$O$54</c:f>
              <c:numCache>
                <c:formatCode>0%</c:formatCode>
                <c:ptCount val="13"/>
                <c:pt idx="0">
                  <c:v>1.0</c:v>
                </c:pt>
                <c:pt idx="1">
                  <c:v>1.0</c:v>
                </c:pt>
                <c:pt idx="2">
                  <c:v>1.0</c:v>
                </c:pt>
                <c:pt idx="3">
                  <c:v>1.0</c:v>
                </c:pt>
                <c:pt idx="4">
                  <c:v>1.0</c:v>
                </c:pt>
                <c:pt idx="5">
                  <c:v>0.833827256271011</c:v>
                </c:pt>
                <c:pt idx="6">
                  <c:v>1.009337988104474</c:v>
                </c:pt>
                <c:pt idx="7">
                  <c:v>0.968755565971408</c:v>
                </c:pt>
                <c:pt idx="8">
                  <c:v>1.078120459339114</c:v>
                </c:pt>
                <c:pt idx="9">
                  <c:v>0.980605120248254</c:v>
                </c:pt>
                <c:pt idx="10">
                  <c:v>0.0</c:v>
                </c:pt>
                <c:pt idx="11">
                  <c:v>0.0</c:v>
                </c:pt>
                <c:pt idx="12">
                  <c:v>0.756016246062029</c:v>
                </c:pt>
              </c:numCache>
            </c:numRef>
          </c:val>
          <c:smooth val="0"/>
        </c:ser>
        <c:dLbls>
          <c:showLegendKey val="0"/>
          <c:showVal val="0"/>
          <c:showCatName val="0"/>
          <c:showSerName val="0"/>
          <c:showPercent val="0"/>
          <c:showBubbleSize val="0"/>
        </c:dLbls>
        <c:marker val="1"/>
        <c:smooth val="0"/>
        <c:axId val="-1729688096"/>
        <c:axId val="-1729685616"/>
      </c:lineChart>
      <c:catAx>
        <c:axId val="-1729688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685616"/>
        <c:crosses val="autoZero"/>
        <c:auto val="1"/>
        <c:lblAlgn val="ctr"/>
        <c:lblOffset val="100"/>
        <c:noMultiLvlLbl val="0"/>
      </c:catAx>
      <c:valAx>
        <c:axId val="-1729685616"/>
        <c:scaling>
          <c:orientation val="minMax"/>
          <c:max val="1.05"/>
          <c:min val="0.0"/>
        </c:scaling>
        <c:delete val="0"/>
        <c:axPos val="l"/>
        <c:majorGridlines>
          <c:spPr>
            <a:ln w="9525" cap="flat" cmpd="sng" algn="ctr">
              <a:solidFill>
                <a:schemeClr val="tx1">
                  <a:lumMod val="15000"/>
                  <a:lumOff val="85000"/>
                </a:schemeClr>
              </a:solidFill>
              <a:round/>
            </a:ln>
            <a:effectLst/>
          </c:spPr>
        </c:majorGridlines>
        <c:numFmt formatCode="0%" sourceLinked="1"/>
        <c:majorTickMark val="cross"/>
        <c:minorTickMark val="in"/>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688096"/>
        <c:crosses val="autoZero"/>
        <c:crossBetween val="between"/>
        <c:minorUnit val="0.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Misc</a:t>
            </a:r>
            <a:r>
              <a:rPr lang="en-US" baseline="0"/>
              <a:t> Entertainment </a:t>
            </a:r>
            <a:r>
              <a:rPr lang="en-US"/>
              <a:t>Utilization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'Overview Sheet'!$A$55:$B$55</c:f>
              <c:strCache>
                <c:ptCount val="2"/>
                <c:pt idx="0">
                  <c:v>Misc Entertainment</c:v>
                </c:pt>
              </c:strCache>
            </c:strRef>
          </c:tx>
          <c:spPr>
            <a:ln w="28575" cap="rnd">
              <a:solidFill>
                <a:srgbClr val="FFFF00"/>
              </a:solidFill>
              <a:round/>
            </a:ln>
            <a:effectLst/>
          </c:spPr>
          <c:marker>
            <c:symbol val="circle"/>
            <c:size val="5"/>
            <c:spPr>
              <a:solidFill>
                <a:srgbClr val="FFFF00"/>
              </a:solidFill>
              <a:ln w="9525">
                <a:solidFill>
                  <a:srgbClr val="FFFF00"/>
                </a:solidFill>
              </a:ln>
              <a:effectLst/>
            </c:spPr>
          </c:marker>
          <c:cat>
            <c:strRef>
              <c:f>'Overview Sheet'!$C$49:$O$49</c:f>
              <c:strCache>
                <c:ptCount val="13"/>
                <c:pt idx="0">
                  <c:v>Janurary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Total</c:v>
                </c:pt>
              </c:strCache>
            </c:strRef>
          </c:cat>
          <c:val>
            <c:numRef>
              <c:f>'Overview Sheet'!$C$55:$O$55</c:f>
              <c:numCache>
                <c:formatCode>0%</c:formatCode>
                <c:ptCount val="13"/>
                <c:pt idx="0">
                  <c:v>1.0</c:v>
                </c:pt>
                <c:pt idx="1">
                  <c:v>1.0</c:v>
                </c:pt>
                <c:pt idx="2">
                  <c:v>1.0</c:v>
                </c:pt>
                <c:pt idx="3">
                  <c:v>1.0</c:v>
                </c:pt>
                <c:pt idx="4">
                  <c:v>1.0</c:v>
                </c:pt>
                <c:pt idx="5">
                  <c:v>0.539230769230769</c:v>
                </c:pt>
                <c:pt idx="6">
                  <c:v>1.36723076923077</c:v>
                </c:pt>
                <c:pt idx="7">
                  <c:v>1.314769230769231</c:v>
                </c:pt>
                <c:pt idx="8">
                  <c:v>0.606769230769231</c:v>
                </c:pt>
                <c:pt idx="9">
                  <c:v>0.523076923076923</c:v>
                </c:pt>
                <c:pt idx="10">
                  <c:v>0.0</c:v>
                </c:pt>
                <c:pt idx="11">
                  <c:v>0.0</c:v>
                </c:pt>
                <c:pt idx="12">
                  <c:v>0.776656462408551</c:v>
                </c:pt>
              </c:numCache>
            </c:numRef>
          </c:val>
          <c:smooth val="0"/>
        </c:ser>
        <c:dLbls>
          <c:showLegendKey val="0"/>
          <c:showVal val="0"/>
          <c:showCatName val="0"/>
          <c:showSerName val="0"/>
          <c:showPercent val="0"/>
          <c:showBubbleSize val="0"/>
        </c:dLbls>
        <c:marker val="1"/>
        <c:smooth val="0"/>
        <c:axId val="-1729677776"/>
        <c:axId val="-1729675296"/>
      </c:lineChart>
      <c:catAx>
        <c:axId val="-172967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675296"/>
        <c:crosses val="autoZero"/>
        <c:auto val="1"/>
        <c:lblAlgn val="ctr"/>
        <c:lblOffset val="100"/>
        <c:noMultiLvlLbl val="0"/>
      </c:catAx>
      <c:valAx>
        <c:axId val="-1729675296"/>
        <c:scaling>
          <c:orientation val="minMax"/>
          <c:max val="1.05"/>
          <c:min val="0.0"/>
        </c:scaling>
        <c:delete val="0"/>
        <c:axPos val="l"/>
        <c:majorGridlines>
          <c:spPr>
            <a:ln w="9525" cap="flat" cmpd="sng" algn="ctr">
              <a:solidFill>
                <a:schemeClr val="tx1">
                  <a:lumMod val="15000"/>
                  <a:lumOff val="85000"/>
                </a:schemeClr>
              </a:solidFill>
              <a:round/>
            </a:ln>
            <a:effectLst/>
          </c:spPr>
        </c:majorGridlines>
        <c:numFmt formatCode="0%" sourceLinked="1"/>
        <c:majorTickMark val="cross"/>
        <c:minorTickMark val="in"/>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677776"/>
        <c:crosses val="autoZero"/>
        <c:crossBetween val="between"/>
        <c:minorUnit val="0.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 Utilization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'Overview Sheet'!$A$56:$B$56</c:f>
              <c:strCache>
                <c:ptCount val="2"/>
                <c:pt idx="0">
                  <c:v>Education</c:v>
                </c:pt>
              </c:strCache>
            </c:strRef>
          </c:tx>
          <c:spPr>
            <a:ln w="28575" cap="rnd">
              <a:solidFill>
                <a:srgbClr val="00B050"/>
              </a:solidFill>
              <a:round/>
            </a:ln>
            <a:effectLst/>
          </c:spPr>
          <c:marker>
            <c:symbol val="circle"/>
            <c:size val="5"/>
            <c:spPr>
              <a:solidFill>
                <a:srgbClr val="00B050"/>
              </a:solidFill>
              <a:ln w="9525">
                <a:solidFill>
                  <a:srgbClr val="00B050"/>
                </a:solidFill>
              </a:ln>
              <a:effectLst/>
            </c:spPr>
          </c:marker>
          <c:cat>
            <c:strRef>
              <c:f>'Overview Sheet'!$C$49:$O$49</c:f>
              <c:strCache>
                <c:ptCount val="13"/>
                <c:pt idx="0">
                  <c:v>Janurary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Total</c:v>
                </c:pt>
              </c:strCache>
            </c:strRef>
          </c:cat>
          <c:val>
            <c:numRef>
              <c:f>'Overview Sheet'!$C$56:$O$56</c:f>
              <c:numCache>
                <c:formatCode>0%</c:formatCode>
                <c:ptCount val="13"/>
                <c:pt idx="0">
                  <c:v>1.0</c:v>
                </c:pt>
                <c:pt idx="1">
                  <c:v>1.0</c:v>
                </c:pt>
                <c:pt idx="2">
                  <c:v>1.0</c:v>
                </c:pt>
                <c:pt idx="3">
                  <c:v>0.999999999999999</c:v>
                </c:pt>
                <c:pt idx="4">
                  <c:v>1.000000000000002</c:v>
                </c:pt>
                <c:pt idx="5">
                  <c:v>0.4218875</c:v>
                </c:pt>
                <c:pt idx="6">
                  <c:v>0.5213125</c:v>
                </c:pt>
                <c:pt idx="7">
                  <c:v>1.0</c:v>
                </c:pt>
                <c:pt idx="8">
                  <c:v>1.0</c:v>
                </c:pt>
                <c:pt idx="9">
                  <c:v>9.99999999999999E98</c:v>
                </c:pt>
                <c:pt idx="10">
                  <c:v>0.0</c:v>
                </c:pt>
                <c:pt idx="11">
                  <c:v>0.0</c:v>
                </c:pt>
                <c:pt idx="12">
                  <c:v>0.277980511490639</c:v>
                </c:pt>
              </c:numCache>
            </c:numRef>
          </c:val>
          <c:smooth val="0"/>
        </c:ser>
        <c:dLbls>
          <c:showLegendKey val="0"/>
          <c:showVal val="0"/>
          <c:showCatName val="0"/>
          <c:showSerName val="0"/>
          <c:showPercent val="0"/>
          <c:showBubbleSize val="0"/>
        </c:dLbls>
        <c:marker val="1"/>
        <c:smooth val="0"/>
        <c:axId val="-1729654448"/>
        <c:axId val="-1729651968"/>
      </c:lineChart>
      <c:catAx>
        <c:axId val="-172965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651968"/>
        <c:crosses val="autoZero"/>
        <c:auto val="1"/>
        <c:lblAlgn val="ctr"/>
        <c:lblOffset val="100"/>
        <c:noMultiLvlLbl val="0"/>
      </c:catAx>
      <c:valAx>
        <c:axId val="-1729651968"/>
        <c:scaling>
          <c:orientation val="minMax"/>
          <c:max val="1.05"/>
          <c:min val="0.0"/>
        </c:scaling>
        <c:delete val="0"/>
        <c:axPos val="l"/>
        <c:majorGridlines>
          <c:spPr>
            <a:ln w="9525" cap="flat" cmpd="sng" algn="ctr">
              <a:solidFill>
                <a:schemeClr val="tx1">
                  <a:lumMod val="15000"/>
                  <a:lumOff val="85000"/>
                </a:schemeClr>
              </a:solidFill>
              <a:round/>
            </a:ln>
            <a:effectLst/>
          </c:spPr>
        </c:majorGridlines>
        <c:numFmt formatCode="0%" sourceLinked="1"/>
        <c:majorTickMark val="cross"/>
        <c:minorTickMark val="in"/>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654448"/>
        <c:crosses val="autoZero"/>
        <c:crossBetween val="between"/>
        <c:minorUnit val="0.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Savings Utilization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'Overview Sheet'!$A$57:$B$57</c:f>
              <c:strCache>
                <c:ptCount val="2"/>
                <c:pt idx="0">
                  <c:v>Savings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'Overview Sheet'!$C$49:$O$49</c:f>
              <c:strCache>
                <c:ptCount val="13"/>
                <c:pt idx="0">
                  <c:v>Janurary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Total</c:v>
                </c:pt>
              </c:strCache>
            </c:strRef>
          </c:cat>
          <c:val>
            <c:numRef>
              <c:f>'Overview Sheet'!$C$57:$O$57</c:f>
              <c:numCache>
                <c:formatCode>0%</c:formatCode>
                <c:ptCount val="13"/>
                <c:pt idx="0">
                  <c:v>1.0</c:v>
                </c:pt>
                <c:pt idx="1">
                  <c:v>1.0</c:v>
                </c:pt>
                <c:pt idx="2">
                  <c:v>1.0</c:v>
                </c:pt>
                <c:pt idx="3">
                  <c:v>1.0</c:v>
                </c:pt>
                <c:pt idx="4">
                  <c:v>1.0</c:v>
                </c:pt>
                <c:pt idx="5">
                  <c:v>0.0</c:v>
                </c:pt>
                <c:pt idx="6">
                  <c:v>-1.66</c:v>
                </c:pt>
                <c:pt idx="7">
                  <c:v>0.627272727272727</c:v>
                </c:pt>
                <c:pt idx="8">
                  <c:v>0.5</c:v>
                </c:pt>
                <c:pt idx="9">
                  <c:v>0.0</c:v>
                </c:pt>
                <c:pt idx="10">
                  <c:v>0.0</c:v>
                </c:pt>
                <c:pt idx="11">
                  <c:v>0.0</c:v>
                </c:pt>
                <c:pt idx="12">
                  <c:v>0.130172413793103</c:v>
                </c:pt>
              </c:numCache>
            </c:numRef>
          </c:val>
          <c:smooth val="0"/>
        </c:ser>
        <c:dLbls>
          <c:showLegendKey val="0"/>
          <c:showVal val="0"/>
          <c:showCatName val="0"/>
          <c:showSerName val="0"/>
          <c:showPercent val="0"/>
          <c:showBubbleSize val="0"/>
        </c:dLbls>
        <c:marker val="1"/>
        <c:smooth val="0"/>
        <c:axId val="-1729629040"/>
        <c:axId val="-1729626560"/>
      </c:lineChart>
      <c:catAx>
        <c:axId val="-172962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626560"/>
        <c:crosses val="autoZero"/>
        <c:auto val="1"/>
        <c:lblAlgn val="ctr"/>
        <c:lblOffset val="100"/>
        <c:noMultiLvlLbl val="0"/>
      </c:catAx>
      <c:valAx>
        <c:axId val="-1729626560"/>
        <c:scaling>
          <c:orientation val="minMax"/>
          <c:max val="1.05"/>
          <c:min val="0.0"/>
        </c:scaling>
        <c:delete val="0"/>
        <c:axPos val="l"/>
        <c:majorGridlines>
          <c:spPr>
            <a:ln w="9525" cap="flat" cmpd="sng" algn="ctr">
              <a:solidFill>
                <a:schemeClr val="tx1">
                  <a:lumMod val="15000"/>
                  <a:lumOff val="85000"/>
                </a:schemeClr>
              </a:solidFill>
              <a:round/>
            </a:ln>
            <a:effectLst/>
          </c:spPr>
        </c:majorGridlines>
        <c:numFmt formatCode="0%" sourceLinked="1"/>
        <c:majorTickMark val="cross"/>
        <c:minorTickMark val="in"/>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629040"/>
        <c:crosses val="autoZero"/>
        <c:crossBetween val="between"/>
        <c:minorUnit val="0.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1" Type="http://schemas.openxmlformats.org/officeDocument/2006/relationships/chart" Target="../charts/chart11.xml"/><Relationship Id="rId12" Type="http://schemas.openxmlformats.org/officeDocument/2006/relationships/chart" Target="../charts/chart12.xml"/><Relationship Id="rId13" Type="http://schemas.openxmlformats.org/officeDocument/2006/relationships/chart" Target="../charts/chart13.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12700</xdr:colOff>
      <xdr:row>1</xdr:row>
      <xdr:rowOff>0</xdr:rowOff>
    </xdr:from>
    <xdr:to>
      <xdr:col>26</xdr:col>
      <xdr:colOff>101600</xdr:colOff>
      <xdr:row>31</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660400</xdr:colOff>
      <xdr:row>32</xdr:row>
      <xdr:rowOff>0</xdr:rowOff>
    </xdr:from>
    <xdr:to>
      <xdr:col>13</xdr:col>
      <xdr:colOff>139700</xdr:colOff>
      <xdr:row>46</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622300</xdr:colOff>
      <xdr:row>32</xdr:row>
      <xdr:rowOff>12700</xdr:rowOff>
    </xdr:from>
    <xdr:to>
      <xdr:col>26</xdr:col>
      <xdr:colOff>101600</xdr:colOff>
      <xdr:row>46</xdr:row>
      <xdr:rowOff>88900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469900</xdr:colOff>
      <xdr:row>0</xdr:row>
      <xdr:rowOff>177800</xdr:rowOff>
    </xdr:from>
    <xdr:to>
      <xdr:col>38</xdr:col>
      <xdr:colOff>622300</xdr:colOff>
      <xdr:row>15</xdr:row>
      <xdr:rowOff>63500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482600</xdr:colOff>
      <xdr:row>16</xdr:row>
      <xdr:rowOff>76200</xdr:rowOff>
    </xdr:from>
    <xdr:to>
      <xdr:col>38</xdr:col>
      <xdr:colOff>635000</xdr:colOff>
      <xdr:row>30</xdr:row>
      <xdr:rowOff>152400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482600</xdr:colOff>
      <xdr:row>32</xdr:row>
      <xdr:rowOff>12700</xdr:rowOff>
    </xdr:from>
    <xdr:to>
      <xdr:col>38</xdr:col>
      <xdr:colOff>635000</xdr:colOff>
      <xdr:row>46</xdr:row>
      <xdr:rowOff>88900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47</xdr:row>
      <xdr:rowOff>76200</xdr:rowOff>
    </xdr:from>
    <xdr:to>
      <xdr:col>13</xdr:col>
      <xdr:colOff>152400</xdr:colOff>
      <xdr:row>61</xdr:row>
      <xdr:rowOff>152400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596900</xdr:colOff>
      <xdr:row>47</xdr:row>
      <xdr:rowOff>88900</xdr:rowOff>
    </xdr:from>
    <xdr:to>
      <xdr:col>26</xdr:col>
      <xdr:colOff>76200</xdr:colOff>
      <xdr:row>61</xdr:row>
      <xdr:rowOff>165100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26</xdr:col>
      <xdr:colOff>469900</xdr:colOff>
      <xdr:row>47</xdr:row>
      <xdr:rowOff>101600</xdr:rowOff>
    </xdr:from>
    <xdr:to>
      <xdr:col>38</xdr:col>
      <xdr:colOff>622300</xdr:colOff>
      <xdr:row>61</xdr:row>
      <xdr:rowOff>177800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12700</xdr:colOff>
      <xdr:row>62</xdr:row>
      <xdr:rowOff>177800</xdr:rowOff>
    </xdr:from>
    <xdr:to>
      <xdr:col>13</xdr:col>
      <xdr:colOff>165100</xdr:colOff>
      <xdr:row>77</xdr:row>
      <xdr:rowOff>63500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596900</xdr:colOff>
      <xdr:row>63</xdr:row>
      <xdr:rowOff>12700</xdr:rowOff>
    </xdr:from>
    <xdr:to>
      <xdr:col>26</xdr:col>
      <xdr:colOff>76200</xdr:colOff>
      <xdr:row>77</xdr:row>
      <xdr:rowOff>88900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26</xdr:col>
      <xdr:colOff>469900</xdr:colOff>
      <xdr:row>63</xdr:row>
      <xdr:rowOff>12700</xdr:rowOff>
    </xdr:from>
    <xdr:to>
      <xdr:col>38</xdr:col>
      <xdr:colOff>622300</xdr:colOff>
      <xdr:row>77</xdr:row>
      <xdr:rowOff>88900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0</xdr:colOff>
      <xdr:row>84</xdr:row>
      <xdr:rowOff>0</xdr:rowOff>
    </xdr:from>
    <xdr:to>
      <xdr:col>26</xdr:col>
      <xdr:colOff>88900</xdr:colOff>
      <xdr:row>114</xdr:row>
      <xdr:rowOff>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9" workbookViewId="0">
      <selection activeCell="AB90" sqref="AB90"/>
    </sheetView>
  </sheetViews>
  <sheetFormatPr baseColWidth="10" defaultColWidth="8.83203125" defaultRowHeight="1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60"/>
  <sheetViews>
    <sheetView zoomScale="110" zoomScaleNormal="110" zoomScalePageLayoutView="110" workbookViewId="0">
      <selection activeCell="P26" sqref="P26"/>
    </sheetView>
  </sheetViews>
  <sheetFormatPr baseColWidth="10" defaultColWidth="8.83203125" defaultRowHeight="15" x14ac:dyDescent="0.2"/>
  <cols>
    <col min="1" max="1" width="13.83203125" style="37" customWidth="1"/>
    <col min="3" max="14" width="11.5" customWidth="1"/>
    <col min="15" max="15" width="19.5" customWidth="1"/>
    <col min="17" max="17" width="13.5" customWidth="1"/>
    <col min="18" max="22" width="15.1640625" bestFit="1" customWidth="1"/>
    <col min="23" max="24" width="12.33203125" bestFit="1" customWidth="1"/>
    <col min="25" max="27" width="14.1640625" bestFit="1" customWidth="1"/>
    <col min="28" max="29" width="12.33203125" bestFit="1" customWidth="1"/>
    <col min="30" max="31" width="16" customWidth="1"/>
  </cols>
  <sheetData>
    <row r="1" spans="1:43" ht="16" thickBot="1" x14ac:dyDescent="0.25">
      <c r="C1" s="197"/>
      <c r="D1" s="198"/>
      <c r="E1" s="198"/>
      <c r="F1" s="198"/>
      <c r="G1" s="199"/>
      <c r="R1" s="197"/>
      <c r="S1" s="198"/>
      <c r="T1" s="198"/>
      <c r="U1" s="198"/>
      <c r="V1" s="199"/>
      <c r="AF1" s="155" t="s">
        <v>286</v>
      </c>
      <c r="AG1" s="213">
        <v>9.9999999999999997E+98</v>
      </c>
    </row>
    <row r="2" spans="1:43" s="4" customFormat="1" ht="15" customHeight="1" x14ac:dyDescent="0.2">
      <c r="A2" s="347" t="s">
        <v>13</v>
      </c>
      <c r="B2" s="347"/>
      <c r="C2" s="200" t="s">
        <v>53</v>
      </c>
      <c r="D2" s="58" t="s">
        <v>54</v>
      </c>
      <c r="E2" s="58" t="s">
        <v>55</v>
      </c>
      <c r="F2" s="58" t="s">
        <v>56</v>
      </c>
      <c r="G2" s="96" t="s">
        <v>57</v>
      </c>
      <c r="H2" s="57" t="s">
        <v>58</v>
      </c>
      <c r="I2" s="58" t="s">
        <v>59</v>
      </c>
      <c r="J2" s="58" t="s">
        <v>60</v>
      </c>
      <c r="K2" s="58" t="s">
        <v>61</v>
      </c>
      <c r="L2" s="58" t="s">
        <v>62</v>
      </c>
      <c r="M2" s="58" t="s">
        <v>63</v>
      </c>
      <c r="N2" s="96" t="s">
        <v>64</v>
      </c>
      <c r="O2" s="57" t="s">
        <v>65</v>
      </c>
      <c r="Q2" s="272"/>
      <c r="R2" s="278" t="s">
        <v>53</v>
      </c>
      <c r="S2" s="261" t="s">
        <v>54</v>
      </c>
      <c r="T2" s="261" t="s">
        <v>55</v>
      </c>
      <c r="U2" s="261" t="s">
        <v>56</v>
      </c>
      <c r="V2" s="262" t="s">
        <v>57</v>
      </c>
      <c r="W2" s="277" t="s">
        <v>58</v>
      </c>
      <c r="X2" s="261" t="s">
        <v>59</v>
      </c>
      <c r="Y2" s="261" t="s">
        <v>60</v>
      </c>
      <c r="Z2" s="261" t="s">
        <v>61</v>
      </c>
      <c r="AA2" s="261" t="s">
        <v>62</v>
      </c>
      <c r="AB2" s="261" t="s">
        <v>63</v>
      </c>
      <c r="AC2" s="262" t="s">
        <v>64</v>
      </c>
      <c r="AD2" s="263" t="s">
        <v>65</v>
      </c>
      <c r="AE2" s="280" t="s">
        <v>444</v>
      </c>
    </row>
    <row r="3" spans="1:43" ht="15" customHeight="1" x14ac:dyDescent="0.2">
      <c r="A3" s="348" t="str">
        <f>'Planned Expenses'!M3</f>
        <v>Health and Wellness</v>
      </c>
      <c r="B3" s="193" t="s">
        <v>50</v>
      </c>
      <c r="C3" s="201">
        <f>'Planned Expenses'!$K49</f>
        <v>0</v>
      </c>
      <c r="D3" s="42">
        <f>'Planned Expenses'!$N49</f>
        <v>0</v>
      </c>
      <c r="E3" s="42">
        <f>'Planned Expenses'!$Q49</f>
        <v>0</v>
      </c>
      <c r="F3" s="42">
        <f>'Planned Expenses'!$T49</f>
        <v>0</v>
      </c>
      <c r="G3" s="202">
        <f>'Planned Expenses'!$W49</f>
        <v>35.449999999999989</v>
      </c>
      <c r="H3" s="42">
        <f>'Planned Expenses'!$Z49</f>
        <v>180</v>
      </c>
      <c r="I3" s="42">
        <f>'Planned Expenses'!$K95</f>
        <v>180</v>
      </c>
      <c r="J3" s="42">
        <f>'Planned Expenses'!$N95</f>
        <v>680</v>
      </c>
      <c r="K3" s="42">
        <f>'Planned Expenses'!$Q95</f>
        <v>480</v>
      </c>
      <c r="L3" s="42">
        <f>'Planned Expenses'!$T95</f>
        <v>180</v>
      </c>
      <c r="M3" s="42">
        <f>'Planned Expenses'!$W95</f>
        <v>180</v>
      </c>
      <c r="N3" s="42">
        <f>'Planned Expenses'!$Z95</f>
        <v>180</v>
      </c>
      <c r="O3" s="89">
        <f>SUM(C3:N3)</f>
        <v>2095.4499999999998</v>
      </c>
      <c r="Q3" s="273" t="s">
        <v>442</v>
      </c>
      <c r="R3" s="292">
        <f>'Planned Expenses'!Q3</f>
        <v>180</v>
      </c>
      <c r="S3" s="293">
        <f t="shared" ref="S3:AC3" si="0">$R3</f>
        <v>180</v>
      </c>
      <c r="T3" s="293">
        <f t="shared" si="0"/>
        <v>180</v>
      </c>
      <c r="U3" s="293">
        <f t="shared" si="0"/>
        <v>180</v>
      </c>
      <c r="V3" s="294">
        <f t="shared" si="0"/>
        <v>180</v>
      </c>
      <c r="W3" s="295">
        <f t="shared" si="0"/>
        <v>180</v>
      </c>
      <c r="X3" s="293">
        <f t="shared" si="0"/>
        <v>180</v>
      </c>
      <c r="Y3" s="293">
        <f t="shared" si="0"/>
        <v>180</v>
      </c>
      <c r="Z3" s="293">
        <f t="shared" si="0"/>
        <v>180</v>
      </c>
      <c r="AA3" s="293">
        <f t="shared" si="0"/>
        <v>180</v>
      </c>
      <c r="AB3" s="293">
        <f t="shared" si="0"/>
        <v>180</v>
      </c>
      <c r="AC3" s="294">
        <f t="shared" si="0"/>
        <v>180</v>
      </c>
      <c r="AD3" s="296">
        <f>SUM(R3:AC3)</f>
        <v>2160</v>
      </c>
      <c r="AE3" s="271">
        <f>SUM(W3:AC3)</f>
        <v>1260</v>
      </c>
      <c r="AF3" s="264"/>
      <c r="AG3" s="153"/>
      <c r="AH3" s="153"/>
      <c r="AI3" s="153"/>
      <c r="AJ3" s="153"/>
      <c r="AK3" s="153"/>
      <c r="AL3" s="153"/>
      <c r="AM3" s="153"/>
      <c r="AN3" s="153"/>
      <c r="AO3" s="153"/>
      <c r="AP3" s="153"/>
      <c r="AQ3" s="265"/>
    </row>
    <row r="4" spans="1:43" ht="15" customHeight="1" x14ac:dyDescent="0.2">
      <c r="A4" s="349"/>
      <c r="B4" s="154" t="s">
        <v>51</v>
      </c>
      <c r="C4" s="203">
        <f>'Details Sheet'!$B4</f>
        <v>0</v>
      </c>
      <c r="D4" s="44">
        <f>'Details Sheet'!$F4</f>
        <v>0</v>
      </c>
      <c r="E4" s="43">
        <f>'Details Sheet'!$J4</f>
        <v>0</v>
      </c>
      <c r="F4" s="43">
        <f>'Details Sheet'!$N4</f>
        <v>0</v>
      </c>
      <c r="G4" s="93">
        <f>'Details Sheet'!$R4</f>
        <v>35.450000000000003</v>
      </c>
      <c r="H4" s="43">
        <f>'Details Sheet'!$V4</f>
        <v>180</v>
      </c>
      <c r="I4" s="44">
        <f>'Details Sheet'!$Z4</f>
        <v>16.37</v>
      </c>
      <c r="J4" s="44">
        <f>'Details Sheet'!$AD4</f>
        <v>306.71000000000004</v>
      </c>
      <c r="K4" s="44">
        <f>'Details Sheet'!$AH4</f>
        <v>412.32000000000005</v>
      </c>
      <c r="L4" s="44">
        <f>'Details Sheet'!$AL4</f>
        <v>0</v>
      </c>
      <c r="M4" s="44">
        <f>'Details Sheet'!$AP4</f>
        <v>0</v>
      </c>
      <c r="N4" s="93">
        <f>'Details Sheet'!$AT4</f>
        <v>0</v>
      </c>
      <c r="O4" s="89">
        <f>IF(SUM(C4:N4)&lt;&gt;'Details Sheet'!AX4,"ERROR",SUM(C4:N4))</f>
        <v>950.85</v>
      </c>
      <c r="Q4" s="274" t="s">
        <v>441</v>
      </c>
      <c r="R4" s="297">
        <f>'Planned Expenses'!$K49</f>
        <v>0</v>
      </c>
      <c r="S4" s="298">
        <f>'Planned Expenses'!$N49</f>
        <v>0</v>
      </c>
      <c r="T4" s="298">
        <f>'Planned Expenses'!$Q49</f>
        <v>0</v>
      </c>
      <c r="U4" s="298">
        <f>'Planned Expenses'!$T49</f>
        <v>0</v>
      </c>
      <c r="V4" s="299">
        <f>'Planned Expenses'!$W49</f>
        <v>35.449999999999989</v>
      </c>
      <c r="W4" s="300">
        <f>'Planned Expenses'!$Z49</f>
        <v>180</v>
      </c>
      <c r="X4" s="298">
        <f>'Planned Expenses'!$K95</f>
        <v>180</v>
      </c>
      <c r="Y4" s="298">
        <f>'Planned Expenses'!$N95</f>
        <v>680</v>
      </c>
      <c r="Z4" s="298">
        <f>'Planned Expenses'!$Q95</f>
        <v>480</v>
      </c>
      <c r="AA4" s="298">
        <f>'Planned Expenses'!$T95</f>
        <v>180</v>
      </c>
      <c r="AB4" s="298">
        <f>'Planned Expenses'!$W95</f>
        <v>180</v>
      </c>
      <c r="AC4" s="301">
        <f>'Planned Expenses'!$Z95</f>
        <v>180</v>
      </c>
      <c r="AD4" s="302">
        <f>SUM(R4:AC4)</f>
        <v>2095.4499999999998</v>
      </c>
      <c r="AE4" s="271">
        <f>SUM(W4:AC4)</f>
        <v>2060</v>
      </c>
      <c r="AF4" s="264"/>
      <c r="AG4" s="153"/>
      <c r="AH4" s="153"/>
      <c r="AI4" s="153"/>
      <c r="AJ4" s="153"/>
      <c r="AK4" s="153"/>
      <c r="AL4" s="153"/>
      <c r="AM4" s="153"/>
      <c r="AN4" s="153"/>
      <c r="AO4" s="153"/>
      <c r="AP4" s="153"/>
      <c r="AQ4" s="265"/>
    </row>
    <row r="5" spans="1:43" x14ac:dyDescent="0.2">
      <c r="A5" s="350"/>
      <c r="B5" s="189" t="s">
        <v>52</v>
      </c>
      <c r="C5" s="204">
        <f>C3-C4</f>
        <v>0</v>
      </c>
      <c r="D5" s="56">
        <f t="shared" ref="D5:N5" si="1">D3-D4</f>
        <v>0</v>
      </c>
      <c r="E5" s="56">
        <f t="shared" si="1"/>
        <v>0</v>
      </c>
      <c r="F5" s="56">
        <f t="shared" si="1"/>
        <v>0</v>
      </c>
      <c r="G5" s="94">
        <f t="shared" si="1"/>
        <v>0</v>
      </c>
      <c r="H5" s="55">
        <f t="shared" si="1"/>
        <v>0</v>
      </c>
      <c r="I5" s="56">
        <f t="shared" si="1"/>
        <v>163.63</v>
      </c>
      <c r="J5" s="56">
        <f t="shared" si="1"/>
        <v>373.28999999999996</v>
      </c>
      <c r="K5" s="56">
        <f t="shared" si="1"/>
        <v>67.67999999999995</v>
      </c>
      <c r="L5" s="56">
        <f t="shared" si="1"/>
        <v>180</v>
      </c>
      <c r="M5" s="56">
        <f t="shared" si="1"/>
        <v>180</v>
      </c>
      <c r="N5" s="94">
        <f t="shared" si="1"/>
        <v>180</v>
      </c>
      <c r="O5" s="92">
        <f t="shared" ref="O5:O32" si="2">SUM(C5:N5)</f>
        <v>1144.5999999999999</v>
      </c>
      <c r="Q5" s="275" t="s">
        <v>443</v>
      </c>
      <c r="R5" s="303" t="str">
        <f>CONCATENATE(TEXT(R4-R3, "$#,##0.00"), " / ", TEXT(R4/R3, "0.0%"))</f>
        <v>-$180.00 / 0.0%</v>
      </c>
      <c r="S5" s="304" t="str">
        <f t="shared" ref="S5:AE5" si="3">CONCATENATE(TEXT(S4-S3, "$#,##0.00"), " / ", TEXT(S4/S3, "0.0%"))</f>
        <v>-$180.00 / 0.0%</v>
      </c>
      <c r="T5" s="304" t="str">
        <f t="shared" si="3"/>
        <v>-$180.00 / 0.0%</v>
      </c>
      <c r="U5" s="304" t="str">
        <f t="shared" si="3"/>
        <v>-$180.00 / 0.0%</v>
      </c>
      <c r="V5" s="305" t="str">
        <f t="shared" si="3"/>
        <v>-$144.55 / 19.7%</v>
      </c>
      <c r="W5" s="306" t="str">
        <f t="shared" si="3"/>
        <v>$0.00 / 100.0%</v>
      </c>
      <c r="X5" s="304" t="str">
        <f t="shared" si="3"/>
        <v>$0.00 / 100.0%</v>
      </c>
      <c r="Y5" s="304" t="str">
        <f t="shared" si="3"/>
        <v>$500.00 / 377.8%</v>
      </c>
      <c r="Z5" s="304" t="str">
        <f t="shared" si="3"/>
        <v>$300.00 / 266.7%</v>
      </c>
      <c r="AA5" s="304" t="str">
        <f t="shared" si="3"/>
        <v>$0.00 / 100.0%</v>
      </c>
      <c r="AB5" s="304" t="str">
        <f t="shared" si="3"/>
        <v>$0.00 / 100.0%</v>
      </c>
      <c r="AC5" s="307" t="str">
        <f t="shared" si="3"/>
        <v>$0.00 / 100.0%</v>
      </c>
      <c r="AD5" s="307" t="str">
        <f t="shared" si="3"/>
        <v>-$64.55 / 97.0%</v>
      </c>
      <c r="AE5" s="281" t="str">
        <f t="shared" si="3"/>
        <v>$800.00 / 163.5%</v>
      </c>
      <c r="AF5" s="264"/>
      <c r="AG5" s="153"/>
      <c r="AH5" s="153"/>
      <c r="AI5" s="153"/>
      <c r="AJ5" s="153"/>
      <c r="AK5" s="153"/>
      <c r="AL5" s="153"/>
      <c r="AM5" s="153"/>
      <c r="AN5" s="153"/>
      <c r="AO5" s="153"/>
      <c r="AP5" s="153"/>
      <c r="AQ5" s="265"/>
    </row>
    <row r="6" spans="1:43" x14ac:dyDescent="0.2">
      <c r="A6" s="351" t="str">
        <f>'Planned Expenses'!M4</f>
        <v>Monthly Subscriptions</v>
      </c>
      <c r="B6" s="193" t="s">
        <v>50</v>
      </c>
      <c r="C6" s="201">
        <f>'Planned Expenses'!K50</f>
        <v>0</v>
      </c>
      <c r="D6" s="42">
        <f>'Planned Expenses'!N50</f>
        <v>0</v>
      </c>
      <c r="E6" s="42">
        <f>'Planned Expenses'!Q50</f>
        <v>0</v>
      </c>
      <c r="F6" s="42">
        <f>'Planned Expenses'!T50</f>
        <v>10.819999999999993</v>
      </c>
      <c r="G6" s="202">
        <f>'Planned Expenses'!W50</f>
        <v>27.060000000000002</v>
      </c>
      <c r="H6" s="42">
        <f>'Planned Expenses'!$Z50</f>
        <v>167.23333333333332</v>
      </c>
      <c r="I6" s="42">
        <f>'Planned Expenses'!K96</f>
        <v>167.23333333333332</v>
      </c>
      <c r="J6" s="42">
        <f>'Planned Expenses'!N96</f>
        <v>157.23333333333332</v>
      </c>
      <c r="K6" s="42">
        <f>'Planned Expenses'!Q96</f>
        <v>167.23333333333332</v>
      </c>
      <c r="L6" s="42">
        <f>'Planned Expenses'!T96</f>
        <v>167.23333333333332</v>
      </c>
      <c r="M6" s="42">
        <f>'Planned Expenses'!W96</f>
        <v>167.23333333333332</v>
      </c>
      <c r="N6" s="42">
        <f>'Planned Expenses'!$Z96</f>
        <v>167.23333333333332</v>
      </c>
      <c r="O6" s="89">
        <f t="shared" si="2"/>
        <v>1198.5133333333333</v>
      </c>
      <c r="Q6" s="273" t="s">
        <v>442</v>
      </c>
      <c r="R6" s="292">
        <f>'Planned Expenses'!Q4</f>
        <v>167.23333333333332</v>
      </c>
      <c r="S6" s="293">
        <f t="shared" ref="S6:AC6" si="4">$R6</f>
        <v>167.23333333333332</v>
      </c>
      <c r="T6" s="293">
        <f t="shared" si="4"/>
        <v>167.23333333333332</v>
      </c>
      <c r="U6" s="293">
        <f t="shared" si="4"/>
        <v>167.23333333333332</v>
      </c>
      <c r="V6" s="294">
        <f t="shared" si="4"/>
        <v>167.23333333333332</v>
      </c>
      <c r="W6" s="295">
        <f t="shared" si="4"/>
        <v>167.23333333333332</v>
      </c>
      <c r="X6" s="293">
        <f t="shared" si="4"/>
        <v>167.23333333333332</v>
      </c>
      <c r="Y6" s="293">
        <f t="shared" si="4"/>
        <v>167.23333333333332</v>
      </c>
      <c r="Z6" s="293">
        <f t="shared" si="4"/>
        <v>167.23333333333332</v>
      </c>
      <c r="AA6" s="293">
        <f t="shared" si="4"/>
        <v>167.23333333333332</v>
      </c>
      <c r="AB6" s="293">
        <f t="shared" si="4"/>
        <v>167.23333333333332</v>
      </c>
      <c r="AC6" s="294">
        <f t="shared" si="4"/>
        <v>167.23333333333332</v>
      </c>
      <c r="AD6" s="296">
        <f>SUM(R6:AC6)</f>
        <v>2006.8</v>
      </c>
      <c r="AE6" s="271">
        <f>SUM(W6:AC6)</f>
        <v>1170.6333333333332</v>
      </c>
      <c r="AF6" s="264"/>
      <c r="AG6" s="153"/>
      <c r="AH6" s="153"/>
      <c r="AI6" s="153"/>
      <c r="AJ6" s="153"/>
      <c r="AK6" s="153"/>
      <c r="AL6" s="153"/>
      <c r="AM6" s="153"/>
      <c r="AN6" s="153"/>
      <c r="AO6" s="153"/>
      <c r="AP6" s="153"/>
      <c r="AQ6" s="265"/>
    </row>
    <row r="7" spans="1:43" x14ac:dyDescent="0.2">
      <c r="A7" s="352"/>
      <c r="B7" s="154" t="s">
        <v>51</v>
      </c>
      <c r="C7" s="203">
        <f>'Details Sheet'!$B5</f>
        <v>0</v>
      </c>
      <c r="D7" s="44">
        <f>'Details Sheet'!$F5</f>
        <v>0</v>
      </c>
      <c r="E7" s="43">
        <f>'Details Sheet'!$J5</f>
        <v>0</v>
      </c>
      <c r="F7" s="43">
        <f>'Details Sheet'!$N5</f>
        <v>10.82</v>
      </c>
      <c r="G7" s="93">
        <f>'Details Sheet'!$R5</f>
        <v>27.06</v>
      </c>
      <c r="H7" s="43">
        <f>'Details Sheet'!$V5</f>
        <v>164.32999999999998</v>
      </c>
      <c r="I7" s="44">
        <f>'Details Sheet'!$Z5</f>
        <v>188.62</v>
      </c>
      <c r="J7" s="44">
        <f>'Details Sheet'!$AD5</f>
        <v>135.96</v>
      </c>
      <c r="K7" s="44">
        <f>'Details Sheet'!$AH5</f>
        <v>149.91</v>
      </c>
      <c r="L7" s="44">
        <f>'Details Sheet'!$AL5</f>
        <v>10.06</v>
      </c>
      <c r="M7" s="44">
        <f>'Details Sheet'!$AP5</f>
        <v>0</v>
      </c>
      <c r="N7" s="93">
        <f>'Details Sheet'!$AT5</f>
        <v>0</v>
      </c>
      <c r="O7" s="89">
        <f>IF(SUM(C7:N7)&lt;&gt;'Details Sheet'!AX5,"ERROR",SUM(C7:N7))</f>
        <v>686.75999999999988</v>
      </c>
      <c r="Q7" s="274" t="s">
        <v>441</v>
      </c>
      <c r="R7" s="297">
        <f>'Planned Expenses'!$K50</f>
        <v>0</v>
      </c>
      <c r="S7" s="298">
        <f>'Planned Expenses'!$N50</f>
        <v>0</v>
      </c>
      <c r="T7" s="298">
        <f>'Planned Expenses'!$Q50</f>
        <v>0</v>
      </c>
      <c r="U7" s="298">
        <f>'Planned Expenses'!$T50</f>
        <v>10.819999999999993</v>
      </c>
      <c r="V7" s="299">
        <f>'Planned Expenses'!$W50</f>
        <v>27.060000000000002</v>
      </c>
      <c r="W7" s="300">
        <f>'Planned Expenses'!$Z50</f>
        <v>167.23333333333332</v>
      </c>
      <c r="X7" s="298">
        <f>'Planned Expenses'!$K96</f>
        <v>167.23333333333332</v>
      </c>
      <c r="Y7" s="298">
        <f>'Planned Expenses'!$N96</f>
        <v>157.23333333333332</v>
      </c>
      <c r="Z7" s="298">
        <f>'Planned Expenses'!$Q96</f>
        <v>167.23333333333332</v>
      </c>
      <c r="AA7" s="298">
        <f>'Planned Expenses'!$T96</f>
        <v>167.23333333333332</v>
      </c>
      <c r="AB7" s="298">
        <f>'Planned Expenses'!$W96</f>
        <v>167.23333333333332</v>
      </c>
      <c r="AC7" s="301">
        <f>'Planned Expenses'!$Z96</f>
        <v>167.23333333333332</v>
      </c>
      <c r="AD7" s="302">
        <f>SUM(R7:AC7)</f>
        <v>1198.5133333333333</v>
      </c>
      <c r="AE7" s="271">
        <f>SUM(W7:AC7)</f>
        <v>1160.6333333333332</v>
      </c>
      <c r="AF7" s="264"/>
      <c r="AG7" s="153"/>
      <c r="AH7" s="153"/>
      <c r="AI7" s="153"/>
      <c r="AJ7" s="153"/>
      <c r="AK7" s="153"/>
      <c r="AL7" s="153"/>
      <c r="AM7" s="153"/>
      <c r="AN7" s="153"/>
      <c r="AO7" s="153"/>
      <c r="AP7" s="153"/>
      <c r="AQ7" s="265"/>
    </row>
    <row r="8" spans="1:43" x14ac:dyDescent="0.2">
      <c r="A8" s="353"/>
      <c r="B8" s="189" t="s">
        <v>52</v>
      </c>
      <c r="C8" s="204">
        <f>C6-C7</f>
        <v>0</v>
      </c>
      <c r="D8" s="56">
        <f t="shared" ref="D8" si="5">D6-D7</f>
        <v>0</v>
      </c>
      <c r="E8" s="56">
        <f t="shared" ref="E8" si="6">E6-E7</f>
        <v>0</v>
      </c>
      <c r="F8" s="56">
        <f t="shared" ref="F8" si="7">F6-F7</f>
        <v>0</v>
      </c>
      <c r="G8" s="94">
        <f t="shared" ref="G8" si="8">G6-G7</f>
        <v>0</v>
      </c>
      <c r="H8" s="55">
        <f t="shared" ref="H8" si="9">H6-H7</f>
        <v>2.903333333333336</v>
      </c>
      <c r="I8" s="56">
        <f t="shared" ref="I8" si="10">I6-I7</f>
        <v>-21.386666666666684</v>
      </c>
      <c r="J8" s="56">
        <f t="shared" ref="J8" si="11">J6-J7</f>
        <v>21.273333333333312</v>
      </c>
      <c r="K8" s="56">
        <f t="shared" ref="K8" si="12">K6-K7</f>
        <v>17.323333333333323</v>
      </c>
      <c r="L8" s="56">
        <f t="shared" ref="L8" si="13">L6-L7</f>
        <v>157.17333333333332</v>
      </c>
      <c r="M8" s="56">
        <f t="shared" ref="M8" si="14">M6-M7</f>
        <v>167.23333333333332</v>
      </c>
      <c r="N8" s="94">
        <f t="shared" ref="N8" si="15">N6-N7</f>
        <v>167.23333333333332</v>
      </c>
      <c r="O8" s="92">
        <f t="shared" si="2"/>
        <v>511.75333333333322</v>
      </c>
      <c r="Q8" s="275" t="s">
        <v>443</v>
      </c>
      <c r="R8" s="303" t="str">
        <f>CONCATENATE(TEXT(R7-R6, "$#,##0.00"), " / ", TEXT(R7/R6, "0.0%"))</f>
        <v>-$167.23 / 0.0%</v>
      </c>
      <c r="S8" s="304" t="str">
        <f t="shared" ref="S8" si="16">CONCATENATE(TEXT(S7-S6, "$#,##0.00"), " / ", TEXT(S7/S6, "0.0%"))</f>
        <v>-$167.23 / 0.0%</v>
      </c>
      <c r="T8" s="304" t="str">
        <f t="shared" ref="T8" si="17">CONCATENATE(TEXT(T7-T6, "$#,##0.00"), " / ", TEXT(T7/T6, "0.0%"))</f>
        <v>-$167.23 / 0.0%</v>
      </c>
      <c r="U8" s="304" t="str">
        <f t="shared" ref="U8" si="18">CONCATENATE(TEXT(U7-U6, "$#,##0.00"), " / ", TEXT(U7/U6, "0.0%"))</f>
        <v>-$156.41 / 6.5%</v>
      </c>
      <c r="V8" s="305" t="str">
        <f t="shared" ref="V8" si="19">CONCATENATE(TEXT(V7-V6, "$#,##0.00"), " / ", TEXT(V7/V6, "0.0%"))</f>
        <v>-$140.17 / 16.2%</v>
      </c>
      <c r="W8" s="306" t="str">
        <f t="shared" ref="W8" si="20">CONCATENATE(TEXT(W7-W6, "$#,##0.00"), " / ", TEXT(W7/W6, "0.0%"))</f>
        <v>$0.00 / 100.0%</v>
      </c>
      <c r="X8" s="304" t="str">
        <f t="shared" ref="X8" si="21">CONCATENATE(TEXT(X7-X6, "$#,##0.00"), " / ", TEXT(X7/X6, "0.0%"))</f>
        <v>$0.00 / 100.0%</v>
      </c>
      <c r="Y8" s="304" t="str">
        <f t="shared" ref="Y8" si="22">CONCATENATE(TEXT(Y7-Y6, "$#,##0.00"), " / ", TEXT(Y7/Y6, "0.0%"))</f>
        <v>-$10.00 / 94.0%</v>
      </c>
      <c r="Z8" s="304" t="str">
        <f t="shared" ref="Z8" si="23">CONCATENATE(TEXT(Z7-Z6, "$#,##0.00"), " / ", TEXT(Z7/Z6, "0.0%"))</f>
        <v>$0.00 / 100.0%</v>
      </c>
      <c r="AA8" s="304" t="str">
        <f t="shared" ref="AA8" si="24">CONCATENATE(TEXT(AA7-AA6, "$#,##0.00"), " / ", TEXT(AA7/AA6, "0.0%"))</f>
        <v>$0.00 / 100.0%</v>
      </c>
      <c r="AB8" s="304" t="str">
        <f t="shared" ref="AB8" si="25">CONCATENATE(TEXT(AB7-AB6, "$#,##0.00"), " / ", TEXT(AB7/AB6, "0.0%"))</f>
        <v>$0.00 / 100.0%</v>
      </c>
      <c r="AC8" s="307" t="str">
        <f t="shared" ref="AC8:AE8" si="26">CONCATENATE(TEXT(AC7-AC6, "$#,##0.00"), " / ", TEXT(AC7/AC6, "0.0%"))</f>
        <v>$0.00 / 100.0%</v>
      </c>
      <c r="AD8" s="307" t="str">
        <f t="shared" si="26"/>
        <v>-$808.29 / 59.7%</v>
      </c>
      <c r="AE8" s="281" t="str">
        <f t="shared" si="26"/>
        <v>-$10.00 / 99.1%</v>
      </c>
      <c r="AF8" s="264"/>
      <c r="AG8" s="153"/>
      <c r="AH8" s="153"/>
      <c r="AI8" s="153"/>
      <c r="AJ8" s="153"/>
      <c r="AK8" s="153"/>
      <c r="AL8" s="153"/>
      <c r="AM8" s="153"/>
      <c r="AN8" s="153"/>
      <c r="AO8" s="153"/>
      <c r="AP8" s="153"/>
      <c r="AQ8" s="265"/>
    </row>
    <row r="9" spans="1:43" x14ac:dyDescent="0.2">
      <c r="A9" s="354" t="str">
        <f>'Planned Expenses'!M5</f>
        <v>Food</v>
      </c>
      <c r="B9" s="193" t="s">
        <v>50</v>
      </c>
      <c r="C9" s="201">
        <f>'Planned Expenses'!K51</f>
        <v>830.53</v>
      </c>
      <c r="D9" s="42">
        <f>'Planned Expenses'!N51</f>
        <v>713</v>
      </c>
      <c r="E9" s="42">
        <f>'Planned Expenses'!Q51</f>
        <v>550.41999999999996</v>
      </c>
      <c r="F9" s="42">
        <f>'Planned Expenses'!T51</f>
        <v>648.98</v>
      </c>
      <c r="G9" s="202">
        <f>'Planned Expenses'!W51</f>
        <v>700.66</v>
      </c>
      <c r="H9" s="42">
        <f>'Planned Expenses'!$Z51</f>
        <v>599.16666666666663</v>
      </c>
      <c r="I9" s="42">
        <f>'Planned Expenses'!K97</f>
        <v>599.16666666666663</v>
      </c>
      <c r="J9" s="42">
        <f>'Planned Expenses'!N97</f>
        <v>599.16666666666663</v>
      </c>
      <c r="K9" s="42">
        <f>'Planned Expenses'!Q97</f>
        <v>599.16666666666663</v>
      </c>
      <c r="L9" s="42">
        <f>'Planned Expenses'!T97</f>
        <v>599.16666666666663</v>
      </c>
      <c r="M9" s="42">
        <f>'Planned Expenses'!W97</f>
        <v>599.16666666666663</v>
      </c>
      <c r="N9" s="42">
        <f>'Planned Expenses'!$Z97</f>
        <v>599.16666666666663</v>
      </c>
      <c r="O9" s="89">
        <f t="shared" si="2"/>
        <v>7637.756666666668</v>
      </c>
      <c r="Q9" s="273" t="s">
        <v>442</v>
      </c>
      <c r="R9" s="292">
        <f>'Planned Expenses'!Q5</f>
        <v>599.16666666666663</v>
      </c>
      <c r="S9" s="293">
        <f t="shared" ref="S9:AC9" si="27">$R9</f>
        <v>599.16666666666663</v>
      </c>
      <c r="T9" s="293">
        <f t="shared" si="27"/>
        <v>599.16666666666663</v>
      </c>
      <c r="U9" s="293">
        <f t="shared" si="27"/>
        <v>599.16666666666663</v>
      </c>
      <c r="V9" s="294">
        <f t="shared" si="27"/>
        <v>599.16666666666663</v>
      </c>
      <c r="W9" s="295">
        <f t="shared" si="27"/>
        <v>599.16666666666663</v>
      </c>
      <c r="X9" s="293">
        <f t="shared" si="27"/>
        <v>599.16666666666663</v>
      </c>
      <c r="Y9" s="293">
        <f t="shared" si="27"/>
        <v>599.16666666666663</v>
      </c>
      <c r="Z9" s="293">
        <f t="shared" si="27"/>
        <v>599.16666666666663</v>
      </c>
      <c r="AA9" s="293">
        <f t="shared" si="27"/>
        <v>599.16666666666663</v>
      </c>
      <c r="AB9" s="293">
        <f t="shared" si="27"/>
        <v>599.16666666666663</v>
      </c>
      <c r="AC9" s="294">
        <f t="shared" si="27"/>
        <v>599.16666666666663</v>
      </c>
      <c r="AD9" s="296">
        <f>SUM(R9:AC9)</f>
        <v>7190.0000000000009</v>
      </c>
      <c r="AE9" s="271">
        <f>SUM(W9:AC9)</f>
        <v>4194.1666666666661</v>
      </c>
      <c r="AF9" s="264"/>
      <c r="AG9" s="153"/>
      <c r="AH9" s="153"/>
      <c r="AI9" s="153"/>
      <c r="AJ9" s="153"/>
      <c r="AK9" s="153"/>
      <c r="AL9" s="153"/>
      <c r="AM9" s="153"/>
      <c r="AN9" s="153"/>
      <c r="AO9" s="153"/>
      <c r="AP9" s="153"/>
      <c r="AQ9" s="265"/>
    </row>
    <row r="10" spans="1:43" x14ac:dyDescent="0.2">
      <c r="A10" s="355"/>
      <c r="B10" s="154" t="s">
        <v>51</v>
      </c>
      <c r="C10" s="203">
        <f>'Details Sheet'!$B6</f>
        <v>830.53</v>
      </c>
      <c r="D10" s="44">
        <f>'Details Sheet'!$F6</f>
        <v>713</v>
      </c>
      <c r="E10" s="43">
        <f>'Details Sheet'!$J6</f>
        <v>550.41999999999996</v>
      </c>
      <c r="F10" s="43">
        <f>'Details Sheet'!$N6</f>
        <v>648.9799999999999</v>
      </c>
      <c r="G10" s="93">
        <f>'Details Sheet'!$R6</f>
        <v>700.65999999999985</v>
      </c>
      <c r="H10" s="43">
        <f>'Details Sheet'!$V6</f>
        <v>430.05</v>
      </c>
      <c r="I10" s="44">
        <f>'Details Sheet'!$Z6</f>
        <v>613.62</v>
      </c>
      <c r="J10" s="44">
        <f>'Details Sheet'!$AD6</f>
        <v>975.58</v>
      </c>
      <c r="K10" s="44">
        <f>'Details Sheet'!$AH6</f>
        <v>779.79</v>
      </c>
      <c r="L10" s="44">
        <f>'Details Sheet'!$AL6</f>
        <v>646.18000000000006</v>
      </c>
      <c r="M10" s="44">
        <f>'Details Sheet'!$AP6</f>
        <v>0</v>
      </c>
      <c r="N10" s="93">
        <f>'Details Sheet'!$AT6</f>
        <v>0</v>
      </c>
      <c r="O10" s="89">
        <f>IF(SUM(C10:N10)&lt;&gt;'Details Sheet'!AX6,"ERROR",SUM(C10:N10))</f>
        <v>6888.81</v>
      </c>
      <c r="Q10" s="274" t="s">
        <v>441</v>
      </c>
      <c r="R10" s="297">
        <f>'Planned Expenses'!$K51</f>
        <v>830.53</v>
      </c>
      <c r="S10" s="298">
        <f>'Planned Expenses'!$N51</f>
        <v>713</v>
      </c>
      <c r="T10" s="298">
        <f>'Planned Expenses'!$Q51</f>
        <v>550.41999999999996</v>
      </c>
      <c r="U10" s="298">
        <f>'Planned Expenses'!$T51</f>
        <v>648.98</v>
      </c>
      <c r="V10" s="299">
        <f>'Planned Expenses'!$W51</f>
        <v>700.66</v>
      </c>
      <c r="W10" s="300">
        <f>'Planned Expenses'!$Z51</f>
        <v>599.16666666666663</v>
      </c>
      <c r="X10" s="298">
        <f>'Planned Expenses'!$K97</f>
        <v>599.16666666666663</v>
      </c>
      <c r="Y10" s="298">
        <f>'Planned Expenses'!$N97</f>
        <v>599.16666666666663</v>
      </c>
      <c r="Z10" s="298">
        <f>'Planned Expenses'!$Q97</f>
        <v>599.16666666666663</v>
      </c>
      <c r="AA10" s="298">
        <f>'Planned Expenses'!$T97</f>
        <v>599.16666666666663</v>
      </c>
      <c r="AB10" s="298">
        <f>'Planned Expenses'!$W97</f>
        <v>599.16666666666663</v>
      </c>
      <c r="AC10" s="301">
        <f>'Planned Expenses'!$Z97</f>
        <v>599.16666666666663</v>
      </c>
      <c r="AD10" s="302">
        <f>SUM(R10:AC10)</f>
        <v>7637.756666666668</v>
      </c>
      <c r="AE10" s="271">
        <f>SUM(W10:AC10)</f>
        <v>4194.1666666666661</v>
      </c>
      <c r="AF10" s="264"/>
      <c r="AG10" s="153"/>
      <c r="AH10" s="153"/>
      <c r="AI10" s="153"/>
      <c r="AJ10" s="153"/>
      <c r="AK10" s="153"/>
      <c r="AL10" s="153"/>
      <c r="AM10" s="153"/>
      <c r="AN10" s="153"/>
      <c r="AO10" s="153"/>
      <c r="AP10" s="153"/>
      <c r="AQ10" s="265"/>
    </row>
    <row r="11" spans="1:43" x14ac:dyDescent="0.2">
      <c r="A11" s="356"/>
      <c r="B11" s="189" t="s">
        <v>52</v>
      </c>
      <c r="C11" s="204">
        <f>C9-C10</f>
        <v>0</v>
      </c>
      <c r="D11" s="56">
        <f t="shared" ref="D11" si="28">D9-D10</f>
        <v>0</v>
      </c>
      <c r="E11" s="56">
        <f t="shared" ref="E11" si="29">E9-E10</f>
        <v>0</v>
      </c>
      <c r="F11" s="56">
        <f t="shared" ref="F11" si="30">F9-F10</f>
        <v>0</v>
      </c>
      <c r="G11" s="94">
        <f t="shared" ref="G11" si="31">G9-G10</f>
        <v>0</v>
      </c>
      <c r="H11" s="55">
        <f t="shared" ref="H11" si="32">H9-H10</f>
        <v>169.11666666666662</v>
      </c>
      <c r="I11" s="56">
        <f t="shared" ref="I11" si="33">I9-I10</f>
        <v>-14.453333333333376</v>
      </c>
      <c r="J11" s="56">
        <f t="shared" ref="J11" si="34">J9-J10</f>
        <v>-376.41333333333341</v>
      </c>
      <c r="K11" s="56">
        <f t="shared" ref="K11" si="35">K9-K10</f>
        <v>-180.62333333333333</v>
      </c>
      <c r="L11" s="56">
        <f t="shared" ref="L11" si="36">L9-L10</f>
        <v>-47.013333333333435</v>
      </c>
      <c r="M11" s="56">
        <f t="shared" ref="M11" si="37">M9-M10</f>
        <v>599.16666666666663</v>
      </c>
      <c r="N11" s="94">
        <f t="shared" ref="N11" si="38">N9-N10</f>
        <v>599.16666666666663</v>
      </c>
      <c r="O11" s="92">
        <f t="shared" si="2"/>
        <v>748.94666666666626</v>
      </c>
      <c r="Q11" s="275" t="s">
        <v>443</v>
      </c>
      <c r="R11" s="303" t="str">
        <f>CONCATENATE(TEXT(R10-R9, "$#,##0.00"), " / ", TEXT(R10/R9, "0.0%"))</f>
        <v>$231.36 / 138.6%</v>
      </c>
      <c r="S11" s="304" t="str">
        <f t="shared" ref="S11" si="39">CONCATENATE(TEXT(S10-S9, "$#,##0.00"), " / ", TEXT(S10/S9, "0.0%"))</f>
        <v>$113.83 / 119.0%</v>
      </c>
      <c r="T11" s="304" t="str">
        <f t="shared" ref="T11" si="40">CONCATENATE(TEXT(T10-T9, "$#,##0.00"), " / ", TEXT(T10/T9, "0.0%"))</f>
        <v>-$48.75 / 91.9%</v>
      </c>
      <c r="U11" s="304" t="str">
        <f t="shared" ref="U11" si="41">CONCATENATE(TEXT(U10-U9, "$#,##0.00"), " / ", TEXT(U10/U9, "0.0%"))</f>
        <v>$49.81 / 108.3%</v>
      </c>
      <c r="V11" s="305" t="str">
        <f t="shared" ref="V11" si="42">CONCATENATE(TEXT(V10-V9, "$#,##0.00"), " / ", TEXT(V10/V9, "0.0%"))</f>
        <v>$101.49 / 116.9%</v>
      </c>
      <c r="W11" s="306" t="str">
        <f t="shared" ref="W11" si="43">CONCATENATE(TEXT(W10-W9, "$#,##0.00"), " / ", TEXT(W10/W9, "0.0%"))</f>
        <v>$0.00 / 100.0%</v>
      </c>
      <c r="X11" s="304" t="str">
        <f t="shared" ref="X11" si="44">CONCATENATE(TEXT(X10-X9, "$#,##0.00"), " / ", TEXT(X10/X9, "0.0%"))</f>
        <v>$0.00 / 100.0%</v>
      </c>
      <c r="Y11" s="304" t="str">
        <f t="shared" ref="Y11" si="45">CONCATENATE(TEXT(Y10-Y9, "$#,##0.00"), " / ", TEXT(Y10/Y9, "0.0%"))</f>
        <v>$0.00 / 100.0%</v>
      </c>
      <c r="Z11" s="304" t="str">
        <f t="shared" ref="Z11" si="46">CONCATENATE(TEXT(Z10-Z9, "$#,##0.00"), " / ", TEXT(Z10/Z9, "0.0%"))</f>
        <v>$0.00 / 100.0%</v>
      </c>
      <c r="AA11" s="304" t="str">
        <f t="shared" ref="AA11" si="47">CONCATENATE(TEXT(AA10-AA9, "$#,##0.00"), " / ", TEXT(AA10/AA9, "0.0%"))</f>
        <v>$0.00 / 100.0%</v>
      </c>
      <c r="AB11" s="304" t="str">
        <f t="shared" ref="AB11" si="48">CONCATENATE(TEXT(AB10-AB9, "$#,##0.00"), " / ", TEXT(AB10/AB9, "0.0%"))</f>
        <v>$0.00 / 100.0%</v>
      </c>
      <c r="AC11" s="307" t="str">
        <f t="shared" ref="AC11" si="49">CONCATENATE(TEXT(AC10-AC9, "$#,##0.00"), " / ", TEXT(AC10/AC9, "0.0%"))</f>
        <v>$0.00 / 100.0%</v>
      </c>
      <c r="AD11" s="307" t="str">
        <f t="shared" ref="AD11:AE11" si="50">CONCATENATE(TEXT(AD10-AD9, "$#,##0.00"), " / ", TEXT(AD10/AD9, "0.0%"))</f>
        <v>$447.76 / 106.2%</v>
      </c>
      <c r="AE11" s="281" t="str">
        <f t="shared" si="50"/>
        <v>$0.00 / 100.0%</v>
      </c>
      <c r="AF11" s="264"/>
      <c r="AG11" s="153"/>
      <c r="AH11" s="153"/>
      <c r="AI11" s="153"/>
      <c r="AJ11" s="153"/>
      <c r="AK11" s="153"/>
      <c r="AL11" s="153"/>
      <c r="AM11" s="153"/>
      <c r="AN11" s="153"/>
      <c r="AO11" s="153"/>
      <c r="AP11" s="153"/>
      <c r="AQ11" s="265"/>
    </row>
    <row r="12" spans="1:43" x14ac:dyDescent="0.2">
      <c r="A12" s="357" t="str">
        <f>'Planned Expenses'!M6</f>
        <v>Transportation</v>
      </c>
      <c r="B12" s="193" t="s">
        <v>50</v>
      </c>
      <c r="C12" s="201">
        <f>'Planned Expenses'!K52</f>
        <v>267.49</v>
      </c>
      <c r="D12" s="42">
        <f>'Planned Expenses'!N52</f>
        <v>96.399999999999977</v>
      </c>
      <c r="E12" s="42">
        <f>'Planned Expenses'!Q52</f>
        <v>411.37</v>
      </c>
      <c r="F12" s="42">
        <f>'Planned Expenses'!T52</f>
        <v>1270.02</v>
      </c>
      <c r="G12" s="202">
        <f>'Planned Expenses'!W52</f>
        <v>388.17</v>
      </c>
      <c r="H12" s="42">
        <f>'Planned Expenses'!$Z52</f>
        <v>675</v>
      </c>
      <c r="I12" s="42">
        <f>'Planned Expenses'!K98</f>
        <v>675</v>
      </c>
      <c r="J12" s="42">
        <f>'Planned Expenses'!N98</f>
        <v>555</v>
      </c>
      <c r="K12" s="42">
        <f>'Planned Expenses'!Q98</f>
        <v>555</v>
      </c>
      <c r="L12" s="42">
        <f>'Planned Expenses'!T98</f>
        <v>675</v>
      </c>
      <c r="M12" s="42">
        <f>'Planned Expenses'!W98</f>
        <v>675</v>
      </c>
      <c r="N12" s="42">
        <f>'Planned Expenses'!$Z98</f>
        <v>675</v>
      </c>
      <c r="O12" s="89">
        <f t="shared" si="2"/>
        <v>6918.45</v>
      </c>
      <c r="Q12" s="273" t="s">
        <v>442</v>
      </c>
      <c r="R12" s="292">
        <f>'Planned Expenses'!Q6</f>
        <v>675</v>
      </c>
      <c r="S12" s="293">
        <f t="shared" ref="S12:AC12" si="51">$R12</f>
        <v>675</v>
      </c>
      <c r="T12" s="293">
        <f t="shared" si="51"/>
        <v>675</v>
      </c>
      <c r="U12" s="293">
        <f t="shared" si="51"/>
        <v>675</v>
      </c>
      <c r="V12" s="294">
        <f t="shared" si="51"/>
        <v>675</v>
      </c>
      <c r="W12" s="295">
        <f t="shared" si="51"/>
        <v>675</v>
      </c>
      <c r="X12" s="293">
        <f t="shared" si="51"/>
        <v>675</v>
      </c>
      <c r="Y12" s="293">
        <f t="shared" si="51"/>
        <v>675</v>
      </c>
      <c r="Z12" s="293">
        <f t="shared" si="51"/>
        <v>675</v>
      </c>
      <c r="AA12" s="293">
        <f t="shared" si="51"/>
        <v>675</v>
      </c>
      <c r="AB12" s="293">
        <f t="shared" si="51"/>
        <v>675</v>
      </c>
      <c r="AC12" s="294">
        <f t="shared" si="51"/>
        <v>675</v>
      </c>
      <c r="AD12" s="296">
        <f>SUM(R12:AC12)</f>
        <v>8100</v>
      </c>
      <c r="AE12" s="271">
        <f>SUM(W12:AC12)</f>
        <v>4725</v>
      </c>
      <c r="AF12" s="264"/>
      <c r="AG12" s="153"/>
      <c r="AH12" s="153"/>
      <c r="AI12" s="153"/>
      <c r="AJ12" s="153"/>
      <c r="AK12" s="153"/>
      <c r="AL12" s="153"/>
      <c r="AM12" s="153"/>
      <c r="AN12" s="153"/>
      <c r="AO12" s="153"/>
      <c r="AP12" s="153"/>
      <c r="AQ12" s="265"/>
    </row>
    <row r="13" spans="1:43" x14ac:dyDescent="0.2">
      <c r="A13" s="358"/>
      <c r="B13" s="154" t="s">
        <v>51</v>
      </c>
      <c r="C13" s="203">
        <f>'Details Sheet'!$B7</f>
        <v>267.49</v>
      </c>
      <c r="D13" s="44">
        <f>'Details Sheet'!$F7</f>
        <v>96.4</v>
      </c>
      <c r="E13" s="43">
        <f>'Details Sheet'!$J7</f>
        <v>411.37</v>
      </c>
      <c r="F13" s="43">
        <f>'Details Sheet'!$N7</f>
        <v>1270.02</v>
      </c>
      <c r="G13" s="93">
        <f>'Details Sheet'!$R7</f>
        <v>388.17000000000013</v>
      </c>
      <c r="H13" s="43">
        <f>'Details Sheet'!$V7</f>
        <v>168.14</v>
      </c>
      <c r="I13" s="44">
        <f>'Details Sheet'!$Z7</f>
        <v>152.07</v>
      </c>
      <c r="J13" s="44">
        <f>'Details Sheet'!$AD7</f>
        <v>230.02000000000004</v>
      </c>
      <c r="K13" s="44">
        <f>'Details Sheet'!$AH7</f>
        <v>503.15999999999997</v>
      </c>
      <c r="L13" s="44">
        <f>'Details Sheet'!$AL7</f>
        <v>130.63</v>
      </c>
      <c r="M13" s="44">
        <f>'Details Sheet'!$AP7</f>
        <v>0</v>
      </c>
      <c r="N13" s="93">
        <f>'Details Sheet'!$AT7</f>
        <v>0</v>
      </c>
      <c r="O13" s="89">
        <f>IF(SUM(C13:N13)&lt;&gt;'Details Sheet'!AX7,"ERROR",SUM(C13:N13))</f>
        <v>3617.4700000000003</v>
      </c>
      <c r="Q13" s="274" t="s">
        <v>441</v>
      </c>
      <c r="R13" s="297">
        <f>'Planned Expenses'!$K52</f>
        <v>267.49</v>
      </c>
      <c r="S13" s="298">
        <f>'Planned Expenses'!$N52</f>
        <v>96.399999999999977</v>
      </c>
      <c r="T13" s="298">
        <f>'Planned Expenses'!$Q52</f>
        <v>411.37</v>
      </c>
      <c r="U13" s="298">
        <f>'Planned Expenses'!$T52</f>
        <v>1270.02</v>
      </c>
      <c r="V13" s="299">
        <f>'Planned Expenses'!$W52</f>
        <v>388.17</v>
      </c>
      <c r="W13" s="300">
        <f>'Planned Expenses'!$Z52</f>
        <v>675</v>
      </c>
      <c r="X13" s="298">
        <f>'Planned Expenses'!$K98</f>
        <v>675</v>
      </c>
      <c r="Y13" s="298">
        <f>'Planned Expenses'!$N98</f>
        <v>555</v>
      </c>
      <c r="Z13" s="298">
        <f>'Planned Expenses'!$Q98</f>
        <v>555</v>
      </c>
      <c r="AA13" s="298">
        <f>'Planned Expenses'!$T98</f>
        <v>675</v>
      </c>
      <c r="AB13" s="298">
        <f>'Planned Expenses'!$W98</f>
        <v>675</v>
      </c>
      <c r="AC13" s="301">
        <f>'Planned Expenses'!$Z98</f>
        <v>675</v>
      </c>
      <c r="AD13" s="302">
        <f>SUM(R13:AC13)</f>
        <v>6918.45</v>
      </c>
      <c r="AE13" s="271">
        <f>SUM(W13:AC13)</f>
        <v>4485</v>
      </c>
      <c r="AF13" s="264"/>
      <c r="AG13" s="153"/>
      <c r="AH13" s="153"/>
      <c r="AI13" s="153"/>
      <c r="AJ13" s="153"/>
      <c r="AK13" s="153"/>
      <c r="AL13" s="153"/>
      <c r="AM13" s="153"/>
      <c r="AN13" s="153"/>
      <c r="AO13" s="153"/>
      <c r="AP13" s="153"/>
      <c r="AQ13" s="265"/>
    </row>
    <row r="14" spans="1:43" x14ac:dyDescent="0.2">
      <c r="A14" s="359"/>
      <c r="B14" s="189" t="s">
        <v>52</v>
      </c>
      <c r="C14" s="204">
        <f>C12-C13</f>
        <v>0</v>
      </c>
      <c r="D14" s="56">
        <f t="shared" ref="D14" si="52">D12-D13</f>
        <v>0</v>
      </c>
      <c r="E14" s="56">
        <f t="shared" ref="E14" si="53">E12-E13</f>
        <v>0</v>
      </c>
      <c r="F14" s="56">
        <f t="shared" ref="F14" si="54">F12-F13</f>
        <v>0</v>
      </c>
      <c r="G14" s="94">
        <f t="shared" ref="G14" si="55">G12-G13</f>
        <v>0</v>
      </c>
      <c r="H14" s="55">
        <f t="shared" ref="H14" si="56">H12-H13</f>
        <v>506.86</v>
      </c>
      <c r="I14" s="56">
        <f t="shared" ref="I14" si="57">I12-I13</f>
        <v>522.93000000000006</v>
      </c>
      <c r="J14" s="56">
        <f t="shared" ref="J14" si="58">J12-J13</f>
        <v>324.97999999999996</v>
      </c>
      <c r="K14" s="56">
        <f t="shared" ref="K14" si="59">K12-K13</f>
        <v>51.840000000000032</v>
      </c>
      <c r="L14" s="56">
        <f t="shared" ref="L14" si="60">L12-L13</f>
        <v>544.37</v>
      </c>
      <c r="M14" s="56">
        <f t="shared" ref="M14" si="61">M12-M13</f>
        <v>675</v>
      </c>
      <c r="N14" s="94">
        <f t="shared" ref="N14" si="62">N12-N13</f>
        <v>675</v>
      </c>
      <c r="O14" s="92">
        <f t="shared" si="2"/>
        <v>3300.98</v>
      </c>
      <c r="Q14" s="275" t="s">
        <v>443</v>
      </c>
      <c r="R14" s="303" t="str">
        <f>CONCATENATE(TEXT(R13-R12, "$#,##0.00"), " / ", TEXT(R13/R12, "0.0%"))</f>
        <v>-$407.51 / 39.6%</v>
      </c>
      <c r="S14" s="304" t="str">
        <f t="shared" ref="S14" si="63">CONCATENATE(TEXT(S13-S12, "$#,##0.00"), " / ", TEXT(S13/S12, "0.0%"))</f>
        <v>-$578.60 / 14.3%</v>
      </c>
      <c r="T14" s="304" t="str">
        <f t="shared" ref="T14" si="64">CONCATENATE(TEXT(T13-T12, "$#,##0.00"), " / ", TEXT(T13/T12, "0.0%"))</f>
        <v>-$263.63 / 60.9%</v>
      </c>
      <c r="U14" s="304" t="str">
        <f t="shared" ref="U14" si="65">CONCATENATE(TEXT(U13-U12, "$#,##0.00"), " / ", TEXT(U13/U12, "0.0%"))</f>
        <v>$595.02 / 188.2%</v>
      </c>
      <c r="V14" s="305" t="str">
        <f t="shared" ref="V14" si="66">CONCATENATE(TEXT(V13-V12, "$#,##0.00"), " / ", TEXT(V13/V12, "0.0%"))</f>
        <v>-$286.83 / 57.5%</v>
      </c>
      <c r="W14" s="306" t="str">
        <f t="shared" ref="W14" si="67">CONCATENATE(TEXT(W13-W12, "$#,##0.00"), " / ", TEXT(W13/W12, "0.0%"))</f>
        <v>$0.00 / 100.0%</v>
      </c>
      <c r="X14" s="304" t="str">
        <f t="shared" ref="X14" si="68">CONCATENATE(TEXT(X13-X12, "$#,##0.00"), " / ", TEXT(X13/X12, "0.0%"))</f>
        <v>$0.00 / 100.0%</v>
      </c>
      <c r="Y14" s="304" t="str">
        <f t="shared" ref="Y14" si="69">CONCATENATE(TEXT(Y13-Y12, "$#,##0.00"), " / ", TEXT(Y13/Y12, "0.0%"))</f>
        <v>-$120.00 / 82.2%</v>
      </c>
      <c r="Z14" s="304" t="str">
        <f t="shared" ref="Z14" si="70">CONCATENATE(TEXT(Z13-Z12, "$#,##0.00"), " / ", TEXT(Z13/Z12, "0.0%"))</f>
        <v>-$120.00 / 82.2%</v>
      </c>
      <c r="AA14" s="304" t="str">
        <f t="shared" ref="AA14" si="71">CONCATENATE(TEXT(AA13-AA12, "$#,##0.00"), " / ", TEXT(AA13/AA12, "0.0%"))</f>
        <v>$0.00 / 100.0%</v>
      </c>
      <c r="AB14" s="304" t="str">
        <f t="shared" ref="AB14" si="72">CONCATENATE(TEXT(AB13-AB12, "$#,##0.00"), " / ", TEXT(AB13/AB12, "0.0%"))</f>
        <v>$0.00 / 100.0%</v>
      </c>
      <c r="AC14" s="307" t="str">
        <f t="shared" ref="AC14" si="73">CONCATENATE(TEXT(AC13-AC12, "$#,##0.00"), " / ", TEXT(AC13/AC12, "0.0%"))</f>
        <v>$0.00 / 100.0%</v>
      </c>
      <c r="AD14" s="307" t="str">
        <f t="shared" ref="AD14:AE14" si="74">CONCATENATE(TEXT(AD13-AD12, "$#,##0.00"), " / ", TEXT(AD13/AD12, "0.0%"))</f>
        <v>-$1,181.55 / 85.4%</v>
      </c>
      <c r="AE14" s="281" t="str">
        <f t="shared" si="74"/>
        <v>-$240.00 / 94.9%</v>
      </c>
      <c r="AF14" s="153"/>
      <c r="AG14" s="153"/>
      <c r="AH14" s="153"/>
      <c r="AI14" s="153"/>
      <c r="AJ14" s="153"/>
      <c r="AK14" s="153"/>
      <c r="AL14" s="153"/>
      <c r="AM14" s="153"/>
      <c r="AN14" s="153"/>
      <c r="AO14" s="153"/>
      <c r="AP14" s="153"/>
      <c r="AQ14" s="153"/>
    </row>
    <row r="15" spans="1:43" x14ac:dyDescent="0.2">
      <c r="A15" s="360" t="str">
        <f>'Planned Expenses'!M7</f>
        <v>Housing</v>
      </c>
      <c r="B15" s="193" t="s">
        <v>50</v>
      </c>
      <c r="C15" s="201">
        <f>'Planned Expenses'!K53</f>
        <v>0</v>
      </c>
      <c r="D15" s="42">
        <f>'Planned Expenses'!N53</f>
        <v>0</v>
      </c>
      <c r="E15" s="42">
        <f>'Planned Expenses'!Q53</f>
        <v>0</v>
      </c>
      <c r="F15" s="42">
        <f>'Planned Expenses'!T53</f>
        <v>1011.18</v>
      </c>
      <c r="G15" s="202">
        <f>'Planned Expenses'!W53</f>
        <v>1890.4</v>
      </c>
      <c r="H15" s="42">
        <f>'Planned Expenses'!$Z53</f>
        <v>1933.5</v>
      </c>
      <c r="I15" s="42">
        <f>'Planned Expenses'!K99</f>
        <v>1933.5</v>
      </c>
      <c r="J15" s="42">
        <f>'Planned Expenses'!N99</f>
        <v>2133.5</v>
      </c>
      <c r="K15" s="42">
        <f>'Planned Expenses'!Q99</f>
        <v>2133.5</v>
      </c>
      <c r="L15" s="42">
        <f>'Planned Expenses'!T99</f>
        <v>1933.5</v>
      </c>
      <c r="M15" s="42">
        <f>'Planned Expenses'!W99</f>
        <v>1933.5</v>
      </c>
      <c r="N15" s="42">
        <f>'Planned Expenses'!$Z99</f>
        <v>1933.5</v>
      </c>
      <c r="O15" s="89">
        <f t="shared" si="2"/>
        <v>16836.080000000002</v>
      </c>
      <c r="Q15" s="273" t="s">
        <v>442</v>
      </c>
      <c r="R15" s="292">
        <f>'Planned Expenses'!Q7</f>
        <v>1933.5</v>
      </c>
      <c r="S15" s="293">
        <f t="shared" ref="S15:AC15" si="75">$R15</f>
        <v>1933.5</v>
      </c>
      <c r="T15" s="293">
        <f t="shared" si="75"/>
        <v>1933.5</v>
      </c>
      <c r="U15" s="293">
        <f t="shared" si="75"/>
        <v>1933.5</v>
      </c>
      <c r="V15" s="294">
        <f t="shared" si="75"/>
        <v>1933.5</v>
      </c>
      <c r="W15" s="295">
        <f t="shared" si="75"/>
        <v>1933.5</v>
      </c>
      <c r="X15" s="293">
        <f t="shared" si="75"/>
        <v>1933.5</v>
      </c>
      <c r="Y15" s="293">
        <f t="shared" si="75"/>
        <v>1933.5</v>
      </c>
      <c r="Z15" s="293">
        <f t="shared" si="75"/>
        <v>1933.5</v>
      </c>
      <c r="AA15" s="293">
        <f t="shared" si="75"/>
        <v>1933.5</v>
      </c>
      <c r="AB15" s="293">
        <f t="shared" si="75"/>
        <v>1933.5</v>
      </c>
      <c r="AC15" s="294">
        <f t="shared" si="75"/>
        <v>1933.5</v>
      </c>
      <c r="AD15" s="296">
        <f>SUM(R15:AC15)</f>
        <v>23202</v>
      </c>
      <c r="AE15" s="271">
        <f>SUM(W15:AC15)</f>
        <v>13534.5</v>
      </c>
      <c r="AF15" s="153"/>
      <c r="AG15" s="153"/>
      <c r="AH15" s="153"/>
      <c r="AI15" s="153"/>
      <c r="AJ15" s="153"/>
      <c r="AK15" s="153"/>
      <c r="AL15" s="153"/>
      <c r="AM15" s="153"/>
      <c r="AN15" s="153"/>
      <c r="AO15" s="153"/>
      <c r="AP15" s="153"/>
      <c r="AQ15" s="153"/>
    </row>
    <row r="16" spans="1:43" x14ac:dyDescent="0.2">
      <c r="A16" s="361"/>
      <c r="B16" s="154" t="s">
        <v>51</v>
      </c>
      <c r="C16" s="203">
        <f>'Details Sheet'!$B8</f>
        <v>0</v>
      </c>
      <c r="D16" s="44">
        <f>'Details Sheet'!$F8</f>
        <v>0</v>
      </c>
      <c r="E16" s="43">
        <f>'Details Sheet'!$J8</f>
        <v>0</v>
      </c>
      <c r="F16" s="43">
        <f>'Details Sheet'!$N8</f>
        <v>1011.18</v>
      </c>
      <c r="G16" s="93">
        <f>'Details Sheet'!$R8</f>
        <v>1890.4</v>
      </c>
      <c r="H16" s="43">
        <f>'Details Sheet'!$V8</f>
        <v>1612.2050000000002</v>
      </c>
      <c r="I16" s="44">
        <f>'Details Sheet'!$Z8</f>
        <v>1951.5550000000001</v>
      </c>
      <c r="J16" s="44">
        <f>'Details Sheet'!$AD8</f>
        <v>2066.8399999999997</v>
      </c>
      <c r="K16" s="44">
        <f>'Details Sheet'!$AH8</f>
        <v>2300.17</v>
      </c>
      <c r="L16" s="44">
        <f>'Details Sheet'!$AL8</f>
        <v>1896</v>
      </c>
      <c r="M16" s="44">
        <f>'Details Sheet'!$AP8</f>
        <v>0</v>
      </c>
      <c r="N16" s="93">
        <f>'Details Sheet'!$AT8</f>
        <v>0</v>
      </c>
      <c r="O16" s="89">
        <f>IF(SUM(C16:N16)&lt;&gt;'Details Sheet'!AX8,"ERROR",SUM(C16:N16))</f>
        <v>12728.35</v>
      </c>
      <c r="Q16" s="274" t="s">
        <v>441</v>
      </c>
      <c r="R16" s="297">
        <f>'Planned Expenses'!$K53</f>
        <v>0</v>
      </c>
      <c r="S16" s="298">
        <f>'Planned Expenses'!$N53</f>
        <v>0</v>
      </c>
      <c r="T16" s="298">
        <f>'Planned Expenses'!$Q53</f>
        <v>0</v>
      </c>
      <c r="U16" s="298">
        <f>'Planned Expenses'!$T53</f>
        <v>1011.18</v>
      </c>
      <c r="V16" s="299">
        <f>'Planned Expenses'!$W53</f>
        <v>1890.4</v>
      </c>
      <c r="W16" s="300">
        <f>'Planned Expenses'!$Z53</f>
        <v>1933.5</v>
      </c>
      <c r="X16" s="298">
        <f>'Planned Expenses'!$K99</f>
        <v>1933.5</v>
      </c>
      <c r="Y16" s="298">
        <f>'Planned Expenses'!$N99</f>
        <v>2133.5</v>
      </c>
      <c r="Z16" s="298">
        <f>'Planned Expenses'!$Q99</f>
        <v>2133.5</v>
      </c>
      <c r="AA16" s="298">
        <f>'Planned Expenses'!$T99</f>
        <v>1933.5</v>
      </c>
      <c r="AB16" s="298">
        <f>'Planned Expenses'!$W99</f>
        <v>1933.5</v>
      </c>
      <c r="AC16" s="301">
        <f>'Planned Expenses'!$Z99</f>
        <v>1933.5</v>
      </c>
      <c r="AD16" s="302">
        <f>SUM(R16:AC16)</f>
        <v>16836.080000000002</v>
      </c>
      <c r="AE16" s="271">
        <f>SUM(W16:AC16)</f>
        <v>13934.5</v>
      </c>
    </row>
    <row r="17" spans="1:31" x14ac:dyDescent="0.2">
      <c r="A17" s="362"/>
      <c r="B17" s="189" t="s">
        <v>52</v>
      </c>
      <c r="C17" s="204">
        <f>C15-C16</f>
        <v>0</v>
      </c>
      <c r="D17" s="56">
        <f t="shared" ref="D17" si="76">D15-D16</f>
        <v>0</v>
      </c>
      <c r="E17" s="56">
        <f t="shared" ref="E17" si="77">E15-E16</f>
        <v>0</v>
      </c>
      <c r="F17" s="56">
        <f t="shared" ref="F17" si="78">F15-F16</f>
        <v>0</v>
      </c>
      <c r="G17" s="94">
        <f t="shared" ref="G17" si="79">G15-G16</f>
        <v>0</v>
      </c>
      <c r="H17" s="55">
        <f t="shared" ref="H17" si="80">H15-H16</f>
        <v>321.29499999999985</v>
      </c>
      <c r="I17" s="56">
        <f t="shared" ref="I17" si="81">I15-I16</f>
        <v>-18.055000000000064</v>
      </c>
      <c r="J17" s="56">
        <f t="shared" ref="J17" si="82">J15-J16</f>
        <v>66.660000000000309</v>
      </c>
      <c r="K17" s="56">
        <f t="shared" ref="K17" si="83">K15-K16</f>
        <v>-166.67000000000007</v>
      </c>
      <c r="L17" s="56">
        <f t="shared" ref="L17" si="84">L15-L16</f>
        <v>37.5</v>
      </c>
      <c r="M17" s="56">
        <f t="shared" ref="M17" si="85">M15-M16</f>
        <v>1933.5</v>
      </c>
      <c r="N17" s="94">
        <f t="shared" ref="N17" si="86">N15-N16</f>
        <v>1933.5</v>
      </c>
      <c r="O17" s="92">
        <f t="shared" si="2"/>
        <v>4107.7299999999996</v>
      </c>
      <c r="Q17" s="275" t="s">
        <v>443</v>
      </c>
      <c r="R17" s="303" t="str">
        <f>CONCATENATE(TEXT(R16-R15, "$#,##0.00"), " / ", TEXT(R16/R15, "0.0%"))</f>
        <v>-$1,933.50 / 0.0%</v>
      </c>
      <c r="S17" s="304" t="str">
        <f t="shared" ref="S17" si="87">CONCATENATE(TEXT(S16-S15, "$#,##0.00"), " / ", TEXT(S16/S15, "0.0%"))</f>
        <v>-$1,933.50 / 0.0%</v>
      </c>
      <c r="T17" s="304" t="str">
        <f t="shared" ref="T17" si="88">CONCATENATE(TEXT(T16-T15, "$#,##0.00"), " / ", TEXT(T16/T15, "0.0%"))</f>
        <v>-$1,933.50 / 0.0%</v>
      </c>
      <c r="U17" s="304" t="str">
        <f t="shared" ref="U17" si="89">CONCATENATE(TEXT(U16-U15, "$#,##0.00"), " / ", TEXT(U16/U15, "0.0%"))</f>
        <v>-$922.32 / 52.3%</v>
      </c>
      <c r="V17" s="305" t="str">
        <f t="shared" ref="V17" si="90">CONCATENATE(TEXT(V16-V15, "$#,##0.00"), " / ", TEXT(V16/V15, "0.0%"))</f>
        <v>-$43.10 / 97.8%</v>
      </c>
      <c r="W17" s="306" t="str">
        <f t="shared" ref="W17" si="91">CONCATENATE(TEXT(W16-W15, "$#,##0.00"), " / ", TEXT(W16/W15, "0.0%"))</f>
        <v>$0.00 / 100.0%</v>
      </c>
      <c r="X17" s="304" t="str">
        <f t="shared" ref="X17" si="92">CONCATENATE(TEXT(X16-X15, "$#,##0.00"), " / ", TEXT(X16/X15, "0.0%"))</f>
        <v>$0.00 / 100.0%</v>
      </c>
      <c r="Y17" s="304" t="str">
        <f t="shared" ref="Y17" si="93">CONCATENATE(TEXT(Y16-Y15, "$#,##0.00"), " / ", TEXT(Y16/Y15, "0.0%"))</f>
        <v>$200.00 / 110.3%</v>
      </c>
      <c r="Z17" s="304" t="str">
        <f t="shared" ref="Z17" si="94">CONCATENATE(TEXT(Z16-Z15, "$#,##0.00"), " / ", TEXT(Z16/Z15, "0.0%"))</f>
        <v>$200.00 / 110.3%</v>
      </c>
      <c r="AA17" s="304" t="str">
        <f t="shared" ref="AA17" si="95">CONCATENATE(TEXT(AA16-AA15, "$#,##0.00"), " / ", TEXT(AA16/AA15, "0.0%"))</f>
        <v>$0.00 / 100.0%</v>
      </c>
      <c r="AB17" s="304" t="str">
        <f t="shared" ref="AB17" si="96">CONCATENATE(TEXT(AB16-AB15, "$#,##0.00"), " / ", TEXT(AB16/AB15, "0.0%"))</f>
        <v>$0.00 / 100.0%</v>
      </c>
      <c r="AC17" s="307" t="str">
        <f t="shared" ref="AC17" si="97">CONCATENATE(TEXT(AC16-AC15, "$#,##0.00"), " / ", TEXT(AC16/AC15, "0.0%"))</f>
        <v>$0.00 / 100.0%</v>
      </c>
      <c r="AD17" s="307" t="str">
        <f t="shared" ref="AD17:AE17" si="98">CONCATENATE(TEXT(AD16-AD15, "$#,##0.00"), " / ", TEXT(AD16/AD15, "0.0%"))</f>
        <v>-$6,365.92 / 72.6%</v>
      </c>
      <c r="AE17" s="281" t="str">
        <f t="shared" si="98"/>
        <v>$400.00 / 103.0%</v>
      </c>
    </row>
    <row r="18" spans="1:31" x14ac:dyDescent="0.2">
      <c r="A18" s="365" t="str">
        <f>'Planned Expenses'!M8</f>
        <v>Misc Entertainment</v>
      </c>
      <c r="B18" s="193" t="s">
        <v>50</v>
      </c>
      <c r="C18" s="201">
        <f>'Planned Expenses'!K54</f>
        <v>31.5</v>
      </c>
      <c r="D18" s="42">
        <f>'Planned Expenses'!N54</f>
        <v>196.83</v>
      </c>
      <c r="E18" s="42">
        <f>'Planned Expenses'!Q54</f>
        <v>288.26</v>
      </c>
      <c r="F18" s="42">
        <f>'Planned Expenses'!T54</f>
        <v>71.55</v>
      </c>
      <c r="G18" s="202">
        <f>'Planned Expenses'!W54</f>
        <v>43.7</v>
      </c>
      <c r="H18" s="42">
        <f>'Planned Expenses'!$Z54</f>
        <v>130</v>
      </c>
      <c r="I18" s="42">
        <f>'Planned Expenses'!K100</f>
        <v>130</v>
      </c>
      <c r="J18" s="42">
        <f>'Planned Expenses'!N100</f>
        <v>130</v>
      </c>
      <c r="K18" s="42">
        <f>'Planned Expenses'!Q100</f>
        <v>130</v>
      </c>
      <c r="L18" s="42">
        <f>'Planned Expenses'!T100</f>
        <v>130</v>
      </c>
      <c r="M18" s="42">
        <f>'Planned Expenses'!W100</f>
        <v>130</v>
      </c>
      <c r="N18" s="42">
        <f>'Planned Expenses'!$Z100</f>
        <v>130</v>
      </c>
      <c r="O18" s="89">
        <f t="shared" si="2"/>
        <v>1541.8400000000001</v>
      </c>
      <c r="Q18" s="273" t="s">
        <v>442</v>
      </c>
      <c r="R18" s="292">
        <f>'Planned Expenses'!Q8</f>
        <v>130</v>
      </c>
      <c r="S18" s="293">
        <f t="shared" ref="S18:AC18" si="99">$R18</f>
        <v>130</v>
      </c>
      <c r="T18" s="293">
        <f t="shared" si="99"/>
        <v>130</v>
      </c>
      <c r="U18" s="293">
        <f t="shared" si="99"/>
        <v>130</v>
      </c>
      <c r="V18" s="294">
        <f t="shared" si="99"/>
        <v>130</v>
      </c>
      <c r="W18" s="295">
        <f t="shared" si="99"/>
        <v>130</v>
      </c>
      <c r="X18" s="293">
        <f t="shared" si="99"/>
        <v>130</v>
      </c>
      <c r="Y18" s="293">
        <f t="shared" si="99"/>
        <v>130</v>
      </c>
      <c r="Z18" s="293">
        <f t="shared" si="99"/>
        <v>130</v>
      </c>
      <c r="AA18" s="293">
        <f t="shared" si="99"/>
        <v>130</v>
      </c>
      <c r="AB18" s="293">
        <f t="shared" si="99"/>
        <v>130</v>
      </c>
      <c r="AC18" s="294">
        <f t="shared" si="99"/>
        <v>130</v>
      </c>
      <c r="AD18" s="296">
        <f>SUM(R18:AC18)</f>
        <v>1560</v>
      </c>
      <c r="AE18" s="271">
        <f>SUM(W18:AC18)</f>
        <v>910</v>
      </c>
    </row>
    <row r="19" spans="1:31" x14ac:dyDescent="0.2">
      <c r="A19" s="366"/>
      <c r="B19" s="154" t="s">
        <v>51</v>
      </c>
      <c r="C19" s="203">
        <f>'Details Sheet'!$B9</f>
        <v>31.5</v>
      </c>
      <c r="D19" s="44">
        <f>'Details Sheet'!$F9</f>
        <v>196.83000000000004</v>
      </c>
      <c r="E19" s="43">
        <f>'Details Sheet'!$J9</f>
        <v>288.26</v>
      </c>
      <c r="F19" s="43">
        <f>'Details Sheet'!$N9</f>
        <v>71.55</v>
      </c>
      <c r="G19" s="93">
        <f>'Details Sheet'!$R9</f>
        <v>43.7</v>
      </c>
      <c r="H19" s="43">
        <f>'Details Sheet'!$V9</f>
        <v>70.100000000000009</v>
      </c>
      <c r="I19" s="44">
        <f>'Details Sheet'!$Z9</f>
        <v>177.74</v>
      </c>
      <c r="J19" s="44">
        <f>'Details Sheet'!$AD9</f>
        <v>170.92000000000002</v>
      </c>
      <c r="K19" s="44">
        <f>'Details Sheet'!$AH9</f>
        <v>78.88</v>
      </c>
      <c r="L19" s="44">
        <f>'Details Sheet'!$AL9</f>
        <v>68</v>
      </c>
      <c r="M19" s="44">
        <f>'Details Sheet'!$AP9</f>
        <v>0</v>
      </c>
      <c r="N19" s="93">
        <f>'Details Sheet'!$AT9</f>
        <v>0</v>
      </c>
      <c r="O19" s="89">
        <f>IF(SUM(C19:N19)&lt;&gt;'Details Sheet'!AX9,"ERROR",SUM(C19:N19))</f>
        <v>1197.48</v>
      </c>
      <c r="Q19" s="274" t="s">
        <v>441</v>
      </c>
      <c r="R19" s="297">
        <f>'Planned Expenses'!$K54</f>
        <v>31.5</v>
      </c>
      <c r="S19" s="298">
        <f>'Planned Expenses'!$N54</f>
        <v>196.83</v>
      </c>
      <c r="T19" s="298">
        <f>'Planned Expenses'!$Q54</f>
        <v>288.26</v>
      </c>
      <c r="U19" s="298">
        <f>'Planned Expenses'!$T54</f>
        <v>71.55</v>
      </c>
      <c r="V19" s="299">
        <f>'Planned Expenses'!$W54</f>
        <v>43.7</v>
      </c>
      <c r="W19" s="300">
        <f>'Planned Expenses'!$Z54</f>
        <v>130</v>
      </c>
      <c r="X19" s="298">
        <f>'Planned Expenses'!$K100</f>
        <v>130</v>
      </c>
      <c r="Y19" s="298">
        <f>'Planned Expenses'!$N100</f>
        <v>130</v>
      </c>
      <c r="Z19" s="298">
        <f>'Planned Expenses'!$Q100</f>
        <v>130</v>
      </c>
      <c r="AA19" s="298">
        <f>'Planned Expenses'!$T100</f>
        <v>130</v>
      </c>
      <c r="AB19" s="298">
        <f>'Planned Expenses'!$W100</f>
        <v>130</v>
      </c>
      <c r="AC19" s="301">
        <f>'Planned Expenses'!$Z100</f>
        <v>130</v>
      </c>
      <c r="AD19" s="302">
        <f>SUM(R19:AC19)</f>
        <v>1541.8400000000001</v>
      </c>
      <c r="AE19" s="271">
        <f>SUM(W19:AC19)</f>
        <v>910</v>
      </c>
    </row>
    <row r="20" spans="1:31" x14ac:dyDescent="0.2">
      <c r="A20" s="367"/>
      <c r="B20" s="189" t="s">
        <v>52</v>
      </c>
      <c r="C20" s="204">
        <f>C18-C19</f>
        <v>0</v>
      </c>
      <c r="D20" s="56">
        <f t="shared" ref="D20" si="100">D18-D19</f>
        <v>0</v>
      </c>
      <c r="E20" s="56">
        <f t="shared" ref="E20" si="101">E18-E19</f>
        <v>0</v>
      </c>
      <c r="F20" s="56">
        <f t="shared" ref="F20" si="102">F18-F19</f>
        <v>0</v>
      </c>
      <c r="G20" s="94">
        <f t="shared" ref="G20" si="103">G18-G19</f>
        <v>0</v>
      </c>
      <c r="H20" s="55">
        <f t="shared" ref="H20" si="104">H18-H19</f>
        <v>59.899999999999991</v>
      </c>
      <c r="I20" s="56">
        <f t="shared" ref="I20" si="105">I18-I19</f>
        <v>-47.740000000000009</v>
      </c>
      <c r="J20" s="56">
        <f t="shared" ref="J20" si="106">J18-J19</f>
        <v>-40.920000000000016</v>
      </c>
      <c r="K20" s="56">
        <f t="shared" ref="K20" si="107">K18-K19</f>
        <v>51.120000000000005</v>
      </c>
      <c r="L20" s="56">
        <f t="shared" ref="L20" si="108">L18-L19</f>
        <v>62</v>
      </c>
      <c r="M20" s="56">
        <f t="shared" ref="M20" si="109">M18-M19</f>
        <v>130</v>
      </c>
      <c r="N20" s="94">
        <f t="shared" ref="N20" si="110">N18-N19</f>
        <v>130</v>
      </c>
      <c r="O20" s="92">
        <f t="shared" si="2"/>
        <v>344.35999999999996</v>
      </c>
      <c r="Q20" s="275" t="s">
        <v>443</v>
      </c>
      <c r="R20" s="303" t="str">
        <f>CONCATENATE(TEXT(R19-R18, "$#,##0.00"), " / ", TEXT(R19/R18, "0.0%"))</f>
        <v>-$98.50 / 24.2%</v>
      </c>
      <c r="S20" s="304" t="str">
        <f t="shared" ref="S20" si="111">CONCATENATE(TEXT(S19-S18, "$#,##0.00"), " / ", TEXT(S19/S18, "0.0%"))</f>
        <v>$66.83 / 151.4%</v>
      </c>
      <c r="T20" s="304" t="str">
        <f t="shared" ref="T20" si="112">CONCATENATE(TEXT(T19-T18, "$#,##0.00"), " / ", TEXT(T19/T18, "0.0%"))</f>
        <v>$158.26 / 221.7%</v>
      </c>
      <c r="U20" s="304" t="str">
        <f t="shared" ref="U20" si="113">CONCATENATE(TEXT(U19-U18, "$#,##0.00"), " / ", TEXT(U19/U18, "0.0%"))</f>
        <v>-$58.45 / 55.0%</v>
      </c>
      <c r="V20" s="305" t="str">
        <f t="shared" ref="V20" si="114">CONCATENATE(TEXT(V19-V18, "$#,##0.00"), " / ", TEXT(V19/V18, "0.0%"))</f>
        <v>-$86.30 / 33.6%</v>
      </c>
      <c r="W20" s="306" t="str">
        <f t="shared" ref="W20" si="115">CONCATENATE(TEXT(W19-W18, "$#,##0.00"), " / ", TEXT(W19/W18, "0.0%"))</f>
        <v>$0.00 / 100.0%</v>
      </c>
      <c r="X20" s="304" t="str">
        <f t="shared" ref="X20" si="116">CONCATENATE(TEXT(X19-X18, "$#,##0.00"), " / ", TEXT(X19/X18, "0.0%"))</f>
        <v>$0.00 / 100.0%</v>
      </c>
      <c r="Y20" s="304" t="str">
        <f t="shared" ref="Y20" si="117">CONCATENATE(TEXT(Y19-Y18, "$#,##0.00"), " / ", TEXT(Y19/Y18, "0.0%"))</f>
        <v>$0.00 / 100.0%</v>
      </c>
      <c r="Z20" s="304" t="str">
        <f t="shared" ref="Z20" si="118">CONCATENATE(TEXT(Z19-Z18, "$#,##0.00"), " / ", TEXT(Z19/Z18, "0.0%"))</f>
        <v>$0.00 / 100.0%</v>
      </c>
      <c r="AA20" s="304" t="str">
        <f t="shared" ref="AA20" si="119">CONCATENATE(TEXT(AA19-AA18, "$#,##0.00"), " / ", TEXT(AA19/AA18, "0.0%"))</f>
        <v>$0.00 / 100.0%</v>
      </c>
      <c r="AB20" s="304" t="str">
        <f t="shared" ref="AB20" si="120">CONCATENATE(TEXT(AB19-AB18, "$#,##0.00"), " / ", TEXT(AB19/AB18, "0.0%"))</f>
        <v>$0.00 / 100.0%</v>
      </c>
      <c r="AC20" s="307" t="str">
        <f t="shared" ref="AC20" si="121">CONCATENATE(TEXT(AC19-AC18, "$#,##0.00"), " / ", TEXT(AC19/AC18, "0.0%"))</f>
        <v>$0.00 / 100.0%</v>
      </c>
      <c r="AD20" s="307" t="str">
        <f t="shared" ref="AD20:AE20" si="122">CONCATENATE(TEXT(AD19-AD18, "$#,##0.00"), " / ", TEXT(AD19/AD18, "0.0%"))</f>
        <v>-$18.16 / 98.8%</v>
      </c>
      <c r="AE20" s="281" t="str">
        <f t="shared" si="122"/>
        <v>$0.00 / 100.0%</v>
      </c>
    </row>
    <row r="21" spans="1:31" x14ac:dyDescent="0.2">
      <c r="A21" s="368" t="str">
        <f>'Planned Expenses'!M9</f>
        <v>Education</v>
      </c>
      <c r="B21" s="193" t="s">
        <v>50</v>
      </c>
      <c r="C21" s="201">
        <f>'Planned Expenses'!K55</f>
        <v>72</v>
      </c>
      <c r="D21" s="42">
        <f>'Planned Expenses'!N55</f>
        <v>0</v>
      </c>
      <c r="E21" s="42">
        <f>'Planned Expenses'!Q55</f>
        <v>2</v>
      </c>
      <c r="F21" s="42">
        <f>'Planned Expenses'!T55</f>
        <v>31.970000000000027</v>
      </c>
      <c r="G21" s="202">
        <f>'Planned Expenses'!W55</f>
        <v>18.039999999999964</v>
      </c>
      <c r="H21" s="42">
        <f>'Planned Expenses'!$Z55</f>
        <v>800</v>
      </c>
      <c r="I21" s="42">
        <f>'Planned Expenses'!K101</f>
        <v>800</v>
      </c>
      <c r="J21" s="42">
        <f>'Planned Expenses'!N101</f>
        <v>0</v>
      </c>
      <c r="K21" s="42">
        <f>'Planned Expenses'!Q101</f>
        <v>0</v>
      </c>
      <c r="L21" s="42">
        <f>'Planned Expenses'!T101</f>
        <v>0</v>
      </c>
      <c r="M21" s="42">
        <f>'Planned Expenses'!W101</f>
        <v>800</v>
      </c>
      <c r="N21" s="42">
        <f>'Planned Expenses'!$Z101</f>
        <v>800</v>
      </c>
      <c r="O21" s="89">
        <f t="shared" si="2"/>
        <v>3324.01</v>
      </c>
      <c r="Q21" s="273" t="s">
        <v>442</v>
      </c>
      <c r="R21" s="292">
        <f>'Planned Expenses'!Q9</f>
        <v>800</v>
      </c>
      <c r="S21" s="293">
        <f t="shared" ref="S21:AC21" si="123">$R21</f>
        <v>800</v>
      </c>
      <c r="T21" s="293">
        <f t="shared" si="123"/>
        <v>800</v>
      </c>
      <c r="U21" s="293">
        <f t="shared" si="123"/>
        <v>800</v>
      </c>
      <c r="V21" s="294">
        <f t="shared" si="123"/>
        <v>800</v>
      </c>
      <c r="W21" s="295">
        <f t="shared" si="123"/>
        <v>800</v>
      </c>
      <c r="X21" s="293">
        <f t="shared" si="123"/>
        <v>800</v>
      </c>
      <c r="Y21" s="293">
        <f t="shared" si="123"/>
        <v>800</v>
      </c>
      <c r="Z21" s="293">
        <f t="shared" si="123"/>
        <v>800</v>
      </c>
      <c r="AA21" s="293">
        <f t="shared" si="123"/>
        <v>800</v>
      </c>
      <c r="AB21" s="293">
        <f t="shared" si="123"/>
        <v>800</v>
      </c>
      <c r="AC21" s="294">
        <f t="shared" si="123"/>
        <v>800</v>
      </c>
      <c r="AD21" s="296">
        <f>SUM(R21:AC21)</f>
        <v>9600</v>
      </c>
      <c r="AE21" s="271">
        <f>SUM(W21:AC21)</f>
        <v>5600</v>
      </c>
    </row>
    <row r="22" spans="1:31" x14ac:dyDescent="0.2">
      <c r="A22" s="369"/>
      <c r="B22" s="154" t="s">
        <v>51</v>
      </c>
      <c r="C22" s="203">
        <f>'Details Sheet'!$B10</f>
        <v>72</v>
      </c>
      <c r="D22" s="44">
        <f>'Details Sheet'!$F10</f>
        <v>0</v>
      </c>
      <c r="E22" s="43">
        <f>'Details Sheet'!$J10</f>
        <v>2</v>
      </c>
      <c r="F22" s="43">
        <f>'Details Sheet'!$N10</f>
        <v>31.97</v>
      </c>
      <c r="G22" s="93">
        <f>'Details Sheet'!$R10</f>
        <v>18.04</v>
      </c>
      <c r="H22" s="43">
        <f>'Details Sheet'!$V10</f>
        <v>337.51</v>
      </c>
      <c r="I22" s="44">
        <f>'Details Sheet'!$Z10</f>
        <v>417.04999999999995</v>
      </c>
      <c r="J22" s="44">
        <f>'Details Sheet'!$AD10</f>
        <v>0</v>
      </c>
      <c r="K22" s="44">
        <f>'Details Sheet'!$AH10</f>
        <v>0</v>
      </c>
      <c r="L22" s="44">
        <f>'Details Sheet'!$AL10</f>
        <v>45.44</v>
      </c>
      <c r="M22" s="44">
        <f>'Details Sheet'!$AP10</f>
        <v>0</v>
      </c>
      <c r="N22" s="93">
        <f>'Details Sheet'!$AT10</f>
        <v>0</v>
      </c>
      <c r="O22" s="89">
        <f>IF(SUM(C22:N22)&lt;&gt;'Details Sheet'!AX10,"ERROR",SUM(C22:N22))</f>
        <v>924.01</v>
      </c>
      <c r="Q22" s="274" t="s">
        <v>441</v>
      </c>
      <c r="R22" s="297">
        <f>'Planned Expenses'!$K55</f>
        <v>72</v>
      </c>
      <c r="S22" s="298">
        <f>'Planned Expenses'!$N55</f>
        <v>0</v>
      </c>
      <c r="T22" s="298">
        <f>'Planned Expenses'!$Q55</f>
        <v>2</v>
      </c>
      <c r="U22" s="298">
        <f>'Planned Expenses'!$T55</f>
        <v>31.970000000000027</v>
      </c>
      <c r="V22" s="299">
        <f>'Planned Expenses'!$W55</f>
        <v>18.039999999999964</v>
      </c>
      <c r="W22" s="300">
        <f>'Planned Expenses'!$Z55</f>
        <v>800</v>
      </c>
      <c r="X22" s="298">
        <f>'Planned Expenses'!$K101</f>
        <v>800</v>
      </c>
      <c r="Y22" s="298">
        <f>'Planned Expenses'!$N101</f>
        <v>0</v>
      </c>
      <c r="Z22" s="298">
        <f>'Planned Expenses'!$Q101</f>
        <v>0</v>
      </c>
      <c r="AA22" s="298">
        <f>'Planned Expenses'!$T101</f>
        <v>0</v>
      </c>
      <c r="AB22" s="298">
        <f>'Planned Expenses'!$W101</f>
        <v>800</v>
      </c>
      <c r="AC22" s="301">
        <f>'Planned Expenses'!$Z101</f>
        <v>800</v>
      </c>
      <c r="AD22" s="302">
        <f>SUM(R22:AC22)</f>
        <v>3324.01</v>
      </c>
      <c r="AE22" s="271">
        <f>SUM(W22:AC22)</f>
        <v>3200</v>
      </c>
    </row>
    <row r="23" spans="1:31" x14ac:dyDescent="0.2">
      <c r="A23" s="370"/>
      <c r="B23" s="189" t="s">
        <v>52</v>
      </c>
      <c r="C23" s="204">
        <f>C21-C22</f>
        <v>0</v>
      </c>
      <c r="D23" s="56">
        <f t="shared" ref="D23" si="124">D21-D22</f>
        <v>0</v>
      </c>
      <c r="E23" s="56">
        <f t="shared" ref="E23" si="125">E21-E22</f>
        <v>0</v>
      </c>
      <c r="F23" s="56">
        <f t="shared" ref="F23" si="126">F21-F22</f>
        <v>2.8421709430404007E-14</v>
      </c>
      <c r="G23" s="211">
        <f t="shared" ref="G23" si="127">G21-G22</f>
        <v>-3.5527136788005009E-14</v>
      </c>
      <c r="H23" s="55">
        <f t="shared" ref="H23" si="128">H21-H22</f>
        <v>462.49</v>
      </c>
      <c r="I23" s="56">
        <f t="shared" ref="I23" si="129">I21-I22</f>
        <v>382.95000000000005</v>
      </c>
      <c r="J23" s="56">
        <f t="shared" ref="J23" si="130">J21-J22</f>
        <v>0</v>
      </c>
      <c r="K23" s="56">
        <f t="shared" ref="K23" si="131">K21-K22</f>
        <v>0</v>
      </c>
      <c r="L23" s="56">
        <f t="shared" ref="L23" si="132">L21-L22</f>
        <v>-45.44</v>
      </c>
      <c r="M23" s="56">
        <f t="shared" ref="M23" si="133">M21-M22</f>
        <v>800</v>
      </c>
      <c r="N23" s="94">
        <f t="shared" ref="N23" si="134">N21-N22</f>
        <v>800</v>
      </c>
      <c r="O23" s="92">
        <f t="shared" si="2"/>
        <v>2400</v>
      </c>
      <c r="Q23" s="275" t="s">
        <v>443</v>
      </c>
      <c r="R23" s="303" t="str">
        <f>CONCATENATE(TEXT(R22-R21, "$#,##0.00"), " / ", TEXT(R22/R21, "0.0%"))</f>
        <v>-$728.00 / 9.0%</v>
      </c>
      <c r="S23" s="304" t="str">
        <f t="shared" ref="S23" si="135">CONCATENATE(TEXT(S22-S21, "$#,##0.00"), " / ", TEXT(S22/S21, "0.0%"))</f>
        <v>-$800.00 / 0.0%</v>
      </c>
      <c r="T23" s="304" t="str">
        <f t="shared" ref="T23" si="136">CONCATENATE(TEXT(T22-T21, "$#,##0.00"), " / ", TEXT(T22/T21, "0.0%"))</f>
        <v>-$798.00 / 0.3%</v>
      </c>
      <c r="U23" s="304" t="str">
        <f t="shared" ref="U23" si="137">CONCATENATE(TEXT(U22-U21, "$#,##0.00"), " / ", TEXT(U22/U21, "0.0%"))</f>
        <v>-$768.03 / 4.0%</v>
      </c>
      <c r="V23" s="305" t="str">
        <f t="shared" ref="V23" si="138">CONCATENATE(TEXT(V22-V21, "$#,##0.00"), " / ", TEXT(V22/V21, "0.0%"))</f>
        <v>-$781.96 / 2.3%</v>
      </c>
      <c r="W23" s="306" t="str">
        <f t="shared" ref="W23" si="139">CONCATENATE(TEXT(W22-W21, "$#,##0.00"), " / ", TEXT(W22/W21, "0.0%"))</f>
        <v>$0.00 / 100.0%</v>
      </c>
      <c r="X23" s="304" t="str">
        <f t="shared" ref="X23" si="140">CONCATENATE(TEXT(X22-X21, "$#,##0.00"), " / ", TEXT(X22/X21, "0.0%"))</f>
        <v>$0.00 / 100.0%</v>
      </c>
      <c r="Y23" s="304" t="str">
        <f t="shared" ref="Y23" si="141">CONCATENATE(TEXT(Y22-Y21, "$#,##0.00"), " / ", TEXT(Y22/Y21, "0.0%"))</f>
        <v>-$800.00 / 0.0%</v>
      </c>
      <c r="Z23" s="304" t="str">
        <f t="shared" ref="Z23" si="142">CONCATENATE(TEXT(Z22-Z21, "$#,##0.00"), " / ", TEXT(Z22/Z21, "0.0%"))</f>
        <v>-$800.00 / 0.0%</v>
      </c>
      <c r="AA23" s="304" t="str">
        <f t="shared" ref="AA23" si="143">CONCATENATE(TEXT(AA22-AA21, "$#,##0.00"), " / ", TEXT(AA22/AA21, "0.0%"))</f>
        <v>-$800.00 / 0.0%</v>
      </c>
      <c r="AB23" s="304" t="str">
        <f t="shared" ref="AB23" si="144">CONCATENATE(TEXT(AB22-AB21, "$#,##0.00"), " / ", TEXT(AB22/AB21, "0.0%"))</f>
        <v>$0.00 / 100.0%</v>
      </c>
      <c r="AC23" s="307" t="str">
        <f t="shared" ref="AC23" si="145">CONCATENATE(TEXT(AC22-AC21, "$#,##0.00"), " / ", TEXT(AC22/AC21, "0.0%"))</f>
        <v>$0.00 / 100.0%</v>
      </c>
      <c r="AD23" s="307" t="str">
        <f t="shared" ref="AD23:AE23" si="146">CONCATENATE(TEXT(AD22-AD21, "$#,##0.00"), " / ", TEXT(AD22/AD21, "0.0%"))</f>
        <v>-$6,275.99 / 34.6%</v>
      </c>
      <c r="AE23" s="281" t="str">
        <f t="shared" si="146"/>
        <v>-$2,400.00 / 57.1%</v>
      </c>
    </row>
    <row r="24" spans="1:31" x14ac:dyDescent="0.2">
      <c r="A24" s="371" t="str">
        <f>'Planned Expenses'!M10</f>
        <v>Savings</v>
      </c>
      <c r="B24" s="193" t="s">
        <v>50</v>
      </c>
      <c r="C24" s="201">
        <f>'Planned Expenses'!K56</f>
        <v>0</v>
      </c>
      <c r="D24" s="42">
        <f>'Planned Expenses'!N56</f>
        <v>0</v>
      </c>
      <c r="E24" s="42">
        <f>'Planned Expenses'!Q56</f>
        <v>0</v>
      </c>
      <c r="F24" s="42">
        <f>'Planned Expenses'!T56</f>
        <v>0</v>
      </c>
      <c r="G24" s="202">
        <f>'Planned Expenses'!W56</f>
        <v>0</v>
      </c>
      <c r="H24" s="42">
        <f>'Planned Expenses'!$Z56</f>
        <v>100</v>
      </c>
      <c r="I24" s="42">
        <f>'Planned Expenses'!K102</f>
        <v>100</v>
      </c>
      <c r="J24" s="42">
        <f>'Planned Expenses'!N102</f>
        <v>330</v>
      </c>
      <c r="K24" s="42">
        <f>'Planned Expenses'!Q102</f>
        <v>220</v>
      </c>
      <c r="L24" s="42">
        <f>'Planned Expenses'!T102</f>
        <v>210</v>
      </c>
      <c r="M24" s="42">
        <f>'Planned Expenses'!W102</f>
        <v>100</v>
      </c>
      <c r="N24" s="42">
        <f>'Planned Expenses'!$Z102</f>
        <v>100</v>
      </c>
      <c r="O24" s="89">
        <f t="shared" si="2"/>
        <v>1160</v>
      </c>
      <c r="Q24" s="273" t="s">
        <v>442</v>
      </c>
      <c r="R24" s="292">
        <f>'Planned Expenses'!Q10</f>
        <v>100</v>
      </c>
      <c r="S24" s="293">
        <f t="shared" ref="S24:AC24" si="147">$R24</f>
        <v>100</v>
      </c>
      <c r="T24" s="293">
        <f t="shared" si="147"/>
        <v>100</v>
      </c>
      <c r="U24" s="293">
        <f t="shared" si="147"/>
        <v>100</v>
      </c>
      <c r="V24" s="294">
        <f t="shared" si="147"/>
        <v>100</v>
      </c>
      <c r="W24" s="295">
        <f t="shared" si="147"/>
        <v>100</v>
      </c>
      <c r="X24" s="293">
        <f t="shared" si="147"/>
        <v>100</v>
      </c>
      <c r="Y24" s="293">
        <f t="shared" si="147"/>
        <v>100</v>
      </c>
      <c r="Z24" s="293">
        <f t="shared" si="147"/>
        <v>100</v>
      </c>
      <c r="AA24" s="293">
        <f t="shared" si="147"/>
        <v>100</v>
      </c>
      <c r="AB24" s="293">
        <f t="shared" si="147"/>
        <v>100</v>
      </c>
      <c r="AC24" s="294">
        <f t="shared" si="147"/>
        <v>100</v>
      </c>
      <c r="AD24" s="296">
        <f>SUM(R24:AC24)</f>
        <v>1200</v>
      </c>
      <c r="AE24" s="271">
        <f>SUM(W24:AC24)</f>
        <v>700</v>
      </c>
    </row>
    <row r="25" spans="1:31" x14ac:dyDescent="0.2">
      <c r="A25" s="372"/>
      <c r="B25" s="154" t="s">
        <v>51</v>
      </c>
      <c r="C25" s="203">
        <f>'Details Sheet'!$B11</f>
        <v>0</v>
      </c>
      <c r="D25" s="44">
        <f>'Details Sheet'!$F11</f>
        <v>0</v>
      </c>
      <c r="E25" s="43">
        <f>'Details Sheet'!$J11</f>
        <v>0</v>
      </c>
      <c r="F25" s="43">
        <f>'Details Sheet'!$N11</f>
        <v>0</v>
      </c>
      <c r="G25" s="93">
        <f>'Details Sheet'!$R11</f>
        <v>0</v>
      </c>
      <c r="H25" s="43">
        <f>'Details Sheet'!$V11</f>
        <v>0</v>
      </c>
      <c r="I25" s="44">
        <f>'Details Sheet'!$Z11</f>
        <v>-166</v>
      </c>
      <c r="J25" s="44">
        <f>'Details Sheet'!$AD11</f>
        <v>207</v>
      </c>
      <c r="K25" s="44">
        <f>'Details Sheet'!$AH11</f>
        <v>110</v>
      </c>
      <c r="L25" s="44">
        <f>'Details Sheet'!$AL11</f>
        <v>0</v>
      </c>
      <c r="M25" s="44">
        <f>'Details Sheet'!$AP11</f>
        <v>0</v>
      </c>
      <c r="N25" s="93">
        <f>'Details Sheet'!$AT11</f>
        <v>0</v>
      </c>
      <c r="O25" s="89">
        <f>IF(SUM(C25:N25)&lt;&gt;'Details Sheet'!AX11,"ERROR",SUM(C25:N25))</f>
        <v>151</v>
      </c>
      <c r="P25" s="258"/>
      <c r="Q25" s="274" t="s">
        <v>441</v>
      </c>
      <c r="R25" s="297">
        <f>'Planned Expenses'!$K56</f>
        <v>0</v>
      </c>
      <c r="S25" s="298">
        <f>'Planned Expenses'!$N56</f>
        <v>0</v>
      </c>
      <c r="T25" s="298">
        <f>'Planned Expenses'!$Q56</f>
        <v>0</v>
      </c>
      <c r="U25" s="298">
        <f>'Planned Expenses'!$T56</f>
        <v>0</v>
      </c>
      <c r="V25" s="299">
        <f>'Planned Expenses'!$W56</f>
        <v>0</v>
      </c>
      <c r="W25" s="300">
        <f>'Planned Expenses'!$Z56</f>
        <v>100</v>
      </c>
      <c r="X25" s="298">
        <f>'Planned Expenses'!$K102</f>
        <v>100</v>
      </c>
      <c r="Y25" s="298">
        <f>'Planned Expenses'!$N102</f>
        <v>330</v>
      </c>
      <c r="Z25" s="298">
        <f>'Planned Expenses'!$Q102</f>
        <v>220</v>
      </c>
      <c r="AA25" s="298">
        <f>'Planned Expenses'!$T102</f>
        <v>210</v>
      </c>
      <c r="AB25" s="298">
        <f>'Planned Expenses'!$W102</f>
        <v>100</v>
      </c>
      <c r="AC25" s="301">
        <f>'Planned Expenses'!$Z102</f>
        <v>100</v>
      </c>
      <c r="AD25" s="302">
        <f>SUM(R25:AC25)</f>
        <v>1160</v>
      </c>
      <c r="AE25" s="271">
        <f>SUM(W25:AC25)</f>
        <v>1160</v>
      </c>
    </row>
    <row r="26" spans="1:31" x14ac:dyDescent="0.2">
      <c r="A26" s="373"/>
      <c r="B26" s="189" t="s">
        <v>52</v>
      </c>
      <c r="C26" s="204">
        <f>C24-C25</f>
        <v>0</v>
      </c>
      <c r="D26" s="56">
        <f t="shared" ref="D26" si="148">D24-D25</f>
        <v>0</v>
      </c>
      <c r="E26" s="56">
        <f t="shared" ref="E26" si="149">E24-E25</f>
        <v>0</v>
      </c>
      <c r="F26" s="56">
        <f t="shared" ref="F26" si="150">F24-F25</f>
        <v>0</v>
      </c>
      <c r="G26" s="94">
        <f t="shared" ref="G26" si="151">G24-G25</f>
        <v>0</v>
      </c>
      <c r="H26" s="55">
        <f t="shared" ref="H26" si="152">H24-H25</f>
        <v>100</v>
      </c>
      <c r="I26" s="56">
        <f t="shared" ref="I26" si="153">I24-I25</f>
        <v>266</v>
      </c>
      <c r="J26" s="56">
        <f t="shared" ref="J26" si="154">J24-J25</f>
        <v>123</v>
      </c>
      <c r="K26" s="56">
        <f t="shared" ref="K26" si="155">K24-K25</f>
        <v>110</v>
      </c>
      <c r="L26" s="56">
        <f t="shared" ref="L26" si="156">L24-L25</f>
        <v>210</v>
      </c>
      <c r="M26" s="56">
        <f t="shared" ref="M26" si="157">M24-M25</f>
        <v>100</v>
      </c>
      <c r="N26" s="94">
        <f t="shared" ref="N26" si="158">N24-N25</f>
        <v>100</v>
      </c>
      <c r="O26" s="92">
        <f t="shared" si="2"/>
        <v>1009</v>
      </c>
      <c r="Q26" s="275" t="s">
        <v>443</v>
      </c>
      <c r="R26" s="303" t="str">
        <f>CONCATENATE(TEXT(R25-R24, "$#,##0.00"), " / ", TEXT(R25/R24, "0.0%"))</f>
        <v>-$100.00 / 0.0%</v>
      </c>
      <c r="S26" s="304" t="str">
        <f t="shared" ref="S26" si="159">CONCATENATE(TEXT(S25-S24, "$#,##0.00"), " / ", TEXT(S25/S24, "0.0%"))</f>
        <v>-$100.00 / 0.0%</v>
      </c>
      <c r="T26" s="304" t="str">
        <f t="shared" ref="T26" si="160">CONCATENATE(TEXT(T25-T24, "$#,##0.00"), " / ", TEXT(T25/T24, "0.0%"))</f>
        <v>-$100.00 / 0.0%</v>
      </c>
      <c r="U26" s="304" t="str">
        <f t="shared" ref="U26" si="161">CONCATENATE(TEXT(U25-U24, "$#,##0.00"), " / ", TEXT(U25/U24, "0.0%"))</f>
        <v>-$100.00 / 0.0%</v>
      </c>
      <c r="V26" s="305" t="str">
        <f t="shared" ref="V26" si="162">CONCATENATE(TEXT(V25-V24, "$#,##0.00"), " / ", TEXT(V25/V24, "0.0%"))</f>
        <v>-$100.00 / 0.0%</v>
      </c>
      <c r="W26" s="306" t="str">
        <f t="shared" ref="W26" si="163">CONCATENATE(TEXT(W25-W24, "$#,##0.00"), " / ", TEXT(W25/W24, "0.0%"))</f>
        <v>$0.00 / 100.0%</v>
      </c>
      <c r="X26" s="304" t="str">
        <f t="shared" ref="X26" si="164">CONCATENATE(TEXT(X25-X24, "$#,##0.00"), " / ", TEXT(X25/X24, "0.0%"))</f>
        <v>$0.00 / 100.0%</v>
      </c>
      <c r="Y26" s="304" t="str">
        <f t="shared" ref="Y26" si="165">CONCATENATE(TEXT(Y25-Y24, "$#,##0.00"), " / ", TEXT(Y25/Y24, "0.0%"))</f>
        <v>$230.00 / 330.0%</v>
      </c>
      <c r="Z26" s="304" t="str">
        <f t="shared" ref="Z26" si="166">CONCATENATE(TEXT(Z25-Z24, "$#,##0.00"), " / ", TEXT(Z25/Z24, "0.0%"))</f>
        <v>$120.00 / 220.0%</v>
      </c>
      <c r="AA26" s="304" t="str">
        <f t="shared" ref="AA26" si="167">CONCATENATE(TEXT(AA25-AA24, "$#,##0.00"), " / ", TEXT(AA25/AA24, "0.0%"))</f>
        <v>$110.00 / 210.0%</v>
      </c>
      <c r="AB26" s="304" t="str">
        <f t="shared" ref="AB26" si="168">CONCATENATE(TEXT(AB25-AB24, "$#,##0.00"), " / ", TEXT(AB25/AB24, "0.0%"))</f>
        <v>$0.00 / 100.0%</v>
      </c>
      <c r="AC26" s="307" t="str">
        <f t="shared" ref="AC26" si="169">CONCATENATE(TEXT(AC25-AC24, "$#,##0.00"), " / ", TEXT(AC25/AC24, "0.0%"))</f>
        <v>$0.00 / 100.0%</v>
      </c>
      <c r="AD26" s="307" t="str">
        <f t="shared" ref="AD26:AE26" si="170">CONCATENATE(TEXT(AD25-AD24, "$#,##0.00"), " / ", TEXT(AD25/AD24, "0.0%"))</f>
        <v>-$40.00 / 96.7%</v>
      </c>
      <c r="AE26" s="281" t="str">
        <f t="shared" si="170"/>
        <v>$460.00 / 165.7%</v>
      </c>
    </row>
    <row r="27" spans="1:31" x14ac:dyDescent="0.2">
      <c r="A27" s="374" t="str">
        <f>'Planned Expenses'!M11</f>
        <v>Vacation</v>
      </c>
      <c r="B27" s="193" t="s">
        <v>50</v>
      </c>
      <c r="C27" s="201">
        <f>'Planned Expenses'!K57</f>
        <v>0</v>
      </c>
      <c r="D27" s="42">
        <f>'Planned Expenses'!N57</f>
        <v>609.62</v>
      </c>
      <c r="E27" s="42">
        <f>'Planned Expenses'!Q57</f>
        <v>0</v>
      </c>
      <c r="F27" s="42">
        <f>'Planned Expenses'!T57</f>
        <v>0</v>
      </c>
      <c r="G27" s="202">
        <f>'Planned Expenses'!W57</f>
        <v>345.44</v>
      </c>
      <c r="H27" s="42">
        <f>'Planned Expenses'!$Z57</f>
        <v>37.5</v>
      </c>
      <c r="I27" s="42">
        <f>'Planned Expenses'!K103</f>
        <v>37.5</v>
      </c>
      <c r="J27" s="42">
        <f>'Planned Expenses'!N103</f>
        <v>37.5</v>
      </c>
      <c r="K27" s="42">
        <f>'Planned Expenses'!Q103</f>
        <v>337.5</v>
      </c>
      <c r="L27" s="42">
        <f>'Planned Expenses'!T103</f>
        <v>487.5</v>
      </c>
      <c r="M27" s="42">
        <f>'Planned Expenses'!W103</f>
        <v>37.5</v>
      </c>
      <c r="N27" s="42">
        <f>'Planned Expenses'!$Z103</f>
        <v>37.5</v>
      </c>
      <c r="O27" s="89">
        <f t="shared" si="2"/>
        <v>1967.56</v>
      </c>
      <c r="Q27" s="273" t="s">
        <v>442</v>
      </c>
      <c r="R27" s="292">
        <f>'Planned Expenses'!Q11</f>
        <v>37.5</v>
      </c>
      <c r="S27" s="293">
        <f t="shared" ref="S27:AC27" si="171">$R27</f>
        <v>37.5</v>
      </c>
      <c r="T27" s="293">
        <f t="shared" si="171"/>
        <v>37.5</v>
      </c>
      <c r="U27" s="293">
        <f t="shared" si="171"/>
        <v>37.5</v>
      </c>
      <c r="V27" s="294">
        <f t="shared" si="171"/>
        <v>37.5</v>
      </c>
      <c r="W27" s="295">
        <f t="shared" si="171"/>
        <v>37.5</v>
      </c>
      <c r="X27" s="293">
        <f t="shared" si="171"/>
        <v>37.5</v>
      </c>
      <c r="Y27" s="293">
        <f t="shared" si="171"/>
        <v>37.5</v>
      </c>
      <c r="Z27" s="293">
        <f t="shared" si="171"/>
        <v>37.5</v>
      </c>
      <c r="AA27" s="293">
        <f t="shared" si="171"/>
        <v>37.5</v>
      </c>
      <c r="AB27" s="293">
        <f t="shared" si="171"/>
        <v>37.5</v>
      </c>
      <c r="AC27" s="294">
        <f t="shared" si="171"/>
        <v>37.5</v>
      </c>
      <c r="AD27" s="296">
        <f>SUM(R27:AC27)</f>
        <v>450</v>
      </c>
      <c r="AE27" s="271">
        <f>SUM(W27:AC27)</f>
        <v>262.5</v>
      </c>
    </row>
    <row r="28" spans="1:31" x14ac:dyDescent="0.2">
      <c r="A28" s="375"/>
      <c r="B28" s="154" t="s">
        <v>51</v>
      </c>
      <c r="C28" s="203">
        <f>'Details Sheet'!$B12</f>
        <v>0</v>
      </c>
      <c r="D28" s="44">
        <f>'Details Sheet'!$F12</f>
        <v>609.62</v>
      </c>
      <c r="E28" s="43">
        <f>'Details Sheet'!$J12</f>
        <v>0</v>
      </c>
      <c r="F28" s="43">
        <f>'Details Sheet'!$N12</f>
        <v>0</v>
      </c>
      <c r="G28" s="93">
        <f>'Details Sheet'!$R12</f>
        <v>345.44</v>
      </c>
      <c r="H28" s="43">
        <f>'Details Sheet'!$V12</f>
        <v>0</v>
      </c>
      <c r="I28" s="44">
        <f>'Details Sheet'!$Z12</f>
        <v>0</v>
      </c>
      <c r="J28" s="44">
        <f>'Details Sheet'!$AD12</f>
        <v>0</v>
      </c>
      <c r="K28" s="44">
        <f>'Details Sheet'!$AH12</f>
        <v>354.21000000000004</v>
      </c>
      <c r="L28" s="44">
        <f>'Details Sheet'!$AL12</f>
        <v>452.94000000000005</v>
      </c>
      <c r="M28" s="44">
        <f>'Details Sheet'!$AP12</f>
        <v>0</v>
      </c>
      <c r="N28" s="93">
        <f>'Details Sheet'!$AT12</f>
        <v>0</v>
      </c>
      <c r="O28" s="89">
        <f>IF(SUM(C28:N28)&lt;&gt;'Details Sheet'!AX12,"ERROR",SUM(C28:N28))</f>
        <v>1762.21</v>
      </c>
      <c r="Q28" s="274" t="s">
        <v>441</v>
      </c>
      <c r="R28" s="297">
        <f>'Planned Expenses'!$K57</f>
        <v>0</v>
      </c>
      <c r="S28" s="298">
        <f>'Planned Expenses'!$N57</f>
        <v>609.62</v>
      </c>
      <c r="T28" s="298">
        <f>'Planned Expenses'!$Q57</f>
        <v>0</v>
      </c>
      <c r="U28" s="298">
        <f>'Planned Expenses'!$T57</f>
        <v>0</v>
      </c>
      <c r="V28" s="299">
        <f>'Planned Expenses'!$W57</f>
        <v>345.44</v>
      </c>
      <c r="W28" s="300">
        <f>'Planned Expenses'!$Z57</f>
        <v>37.5</v>
      </c>
      <c r="X28" s="298">
        <f>'Planned Expenses'!$K103</f>
        <v>37.5</v>
      </c>
      <c r="Y28" s="298">
        <f>'Planned Expenses'!$N103</f>
        <v>37.5</v>
      </c>
      <c r="Z28" s="298">
        <f>'Planned Expenses'!$Q103</f>
        <v>337.5</v>
      </c>
      <c r="AA28" s="298">
        <f>'Planned Expenses'!$T103</f>
        <v>487.5</v>
      </c>
      <c r="AB28" s="298">
        <f>'Planned Expenses'!$W103</f>
        <v>37.5</v>
      </c>
      <c r="AC28" s="301">
        <f>'Planned Expenses'!$Z103</f>
        <v>37.5</v>
      </c>
      <c r="AD28" s="302">
        <f>SUM(R28:AC28)</f>
        <v>1967.56</v>
      </c>
      <c r="AE28" s="271">
        <f>SUM(W28:AC28)</f>
        <v>1012.5</v>
      </c>
    </row>
    <row r="29" spans="1:31" x14ac:dyDescent="0.2">
      <c r="A29" s="376"/>
      <c r="B29" s="189" t="s">
        <v>52</v>
      </c>
      <c r="C29" s="204">
        <f t="shared" ref="C29:N29" si="172">C27-C28</f>
        <v>0</v>
      </c>
      <c r="D29" s="56">
        <f t="shared" si="172"/>
        <v>0</v>
      </c>
      <c r="E29" s="56">
        <f t="shared" si="172"/>
        <v>0</v>
      </c>
      <c r="F29" s="56">
        <f t="shared" si="172"/>
        <v>0</v>
      </c>
      <c r="G29" s="94">
        <f t="shared" si="172"/>
        <v>0</v>
      </c>
      <c r="H29" s="55">
        <f t="shared" si="172"/>
        <v>37.5</v>
      </c>
      <c r="I29" s="56">
        <f t="shared" si="172"/>
        <v>37.5</v>
      </c>
      <c r="J29" s="56">
        <f t="shared" si="172"/>
        <v>37.5</v>
      </c>
      <c r="K29" s="56">
        <f t="shared" si="172"/>
        <v>-16.710000000000036</v>
      </c>
      <c r="L29" s="56">
        <f t="shared" si="172"/>
        <v>34.559999999999945</v>
      </c>
      <c r="M29" s="56">
        <f t="shared" si="172"/>
        <v>37.5</v>
      </c>
      <c r="N29" s="94">
        <f t="shared" si="172"/>
        <v>37.5</v>
      </c>
      <c r="O29" s="92">
        <f t="shared" si="2"/>
        <v>205.34999999999991</v>
      </c>
      <c r="Q29" s="275" t="s">
        <v>443</v>
      </c>
      <c r="R29" s="303" t="str">
        <f>CONCATENATE(TEXT(R28-R27, "$#,##0.00"), " / ", TEXT(R28/R27, "0.0%"))</f>
        <v>-$37.50 / 0.0%</v>
      </c>
      <c r="S29" s="304" t="str">
        <f t="shared" ref="S29" si="173">CONCATENATE(TEXT(S28-S27, "$#,##0.00"), " / ", TEXT(S28/S27, "0.0%"))</f>
        <v>$572.12 / 1625.7%</v>
      </c>
      <c r="T29" s="304" t="str">
        <f t="shared" ref="T29" si="174">CONCATENATE(TEXT(T28-T27, "$#,##0.00"), " / ", TEXT(T28/T27, "0.0%"))</f>
        <v>-$37.50 / 0.0%</v>
      </c>
      <c r="U29" s="304" t="str">
        <f t="shared" ref="U29" si="175">CONCATENATE(TEXT(U28-U27, "$#,##0.00"), " / ", TEXT(U28/U27, "0.0%"))</f>
        <v>-$37.50 / 0.0%</v>
      </c>
      <c r="V29" s="305" t="str">
        <f t="shared" ref="V29" si="176">CONCATENATE(TEXT(V28-V27, "$#,##0.00"), " / ", TEXT(V28/V27, "0.0%"))</f>
        <v>$307.94 / 921.2%</v>
      </c>
      <c r="W29" s="306" t="str">
        <f t="shared" ref="W29" si="177">CONCATENATE(TEXT(W28-W27, "$#,##0.00"), " / ", TEXT(W28/W27, "0.0%"))</f>
        <v>$0.00 / 100.0%</v>
      </c>
      <c r="X29" s="304" t="str">
        <f t="shared" ref="X29" si="178">CONCATENATE(TEXT(X28-X27, "$#,##0.00"), " / ", TEXT(X28/X27, "0.0%"))</f>
        <v>$0.00 / 100.0%</v>
      </c>
      <c r="Y29" s="304" t="str">
        <f t="shared" ref="Y29" si="179">CONCATENATE(TEXT(Y28-Y27, "$#,##0.00"), " / ", TEXT(Y28/Y27, "0.0%"))</f>
        <v>$0.00 / 100.0%</v>
      </c>
      <c r="Z29" s="304" t="str">
        <f t="shared" ref="Z29" si="180">CONCATENATE(TEXT(Z28-Z27, "$#,##0.00"), " / ", TEXT(Z28/Z27, "0.0%"))</f>
        <v>$300.00 / 900.0%</v>
      </c>
      <c r="AA29" s="304" t="str">
        <f t="shared" ref="AA29" si="181">CONCATENATE(TEXT(AA28-AA27, "$#,##0.00"), " / ", TEXT(AA28/AA27, "0.0%"))</f>
        <v>$450.00 / 1300.0%</v>
      </c>
      <c r="AB29" s="304" t="str">
        <f t="shared" ref="AB29" si="182">CONCATENATE(TEXT(AB28-AB27, "$#,##0.00"), " / ", TEXT(AB28/AB27, "0.0%"))</f>
        <v>$0.00 / 100.0%</v>
      </c>
      <c r="AC29" s="307" t="str">
        <f t="shared" ref="AC29" si="183">CONCATENATE(TEXT(AC28-AC27, "$#,##0.00"), " / ", TEXT(AC28/AC27, "0.0%"))</f>
        <v>$0.00 / 100.0%</v>
      </c>
      <c r="AD29" s="307" t="str">
        <f t="shared" ref="AD29:AE29" si="184">CONCATENATE(TEXT(AD28-AD27, "$#,##0.00"), " / ", TEXT(AD28/AD27, "0.0%"))</f>
        <v>$1,517.56 / 437.2%</v>
      </c>
      <c r="AE29" s="281" t="str">
        <f t="shared" si="184"/>
        <v>$750.00 / 385.7%</v>
      </c>
    </row>
    <row r="30" spans="1:31" x14ac:dyDescent="0.2">
      <c r="A30" s="377" t="str">
        <f>IF(ISBLANK('Planned Expenses'!M12),"",'Planned Expenses'!M12)</f>
        <v>Other</v>
      </c>
      <c r="B30" s="193" t="s">
        <v>50</v>
      </c>
      <c r="C30" s="201">
        <f>'Planned Expenses'!K58</f>
        <v>157.27000000000001</v>
      </c>
      <c r="D30" s="42">
        <f>'Planned Expenses'!N58</f>
        <v>56.29</v>
      </c>
      <c r="E30" s="42">
        <f>'Planned Expenses'!Q58</f>
        <v>998.37</v>
      </c>
      <c r="F30" s="42">
        <f>'Planned Expenses'!T58</f>
        <v>28.37</v>
      </c>
      <c r="G30" s="202">
        <f>'Planned Expenses'!W58</f>
        <v>101.6</v>
      </c>
      <c r="H30" s="42">
        <f>'Planned Expenses'!$Z58</f>
        <v>25</v>
      </c>
      <c r="I30" s="42">
        <f>'Planned Expenses'!K104</f>
        <v>25</v>
      </c>
      <c r="J30" s="42">
        <f>'Planned Expenses'!N104</f>
        <v>25</v>
      </c>
      <c r="K30" s="42">
        <f>'Planned Expenses'!Q104</f>
        <v>25</v>
      </c>
      <c r="L30" s="42">
        <f>'Planned Expenses'!T104</f>
        <v>25</v>
      </c>
      <c r="M30" s="42">
        <f>'Planned Expenses'!W104</f>
        <v>25</v>
      </c>
      <c r="N30" s="42">
        <f>'Planned Expenses'!$Z104</f>
        <v>25</v>
      </c>
      <c r="O30" s="89">
        <f t="shared" si="2"/>
        <v>1516.8999999999999</v>
      </c>
      <c r="Q30" s="273" t="s">
        <v>442</v>
      </c>
      <c r="R30" s="292">
        <f>'Planned Expenses'!Q12</f>
        <v>25</v>
      </c>
      <c r="S30" s="293">
        <f t="shared" ref="S30:AC30" si="185">$R30</f>
        <v>25</v>
      </c>
      <c r="T30" s="293">
        <f t="shared" si="185"/>
        <v>25</v>
      </c>
      <c r="U30" s="293">
        <f t="shared" si="185"/>
        <v>25</v>
      </c>
      <c r="V30" s="294">
        <f t="shared" si="185"/>
        <v>25</v>
      </c>
      <c r="W30" s="295">
        <f t="shared" si="185"/>
        <v>25</v>
      </c>
      <c r="X30" s="293">
        <f t="shared" si="185"/>
        <v>25</v>
      </c>
      <c r="Y30" s="293">
        <f t="shared" si="185"/>
        <v>25</v>
      </c>
      <c r="Z30" s="293">
        <f t="shared" si="185"/>
        <v>25</v>
      </c>
      <c r="AA30" s="293">
        <f t="shared" si="185"/>
        <v>25</v>
      </c>
      <c r="AB30" s="293">
        <f t="shared" si="185"/>
        <v>25</v>
      </c>
      <c r="AC30" s="294">
        <f t="shared" si="185"/>
        <v>25</v>
      </c>
      <c r="AD30" s="296">
        <f>SUM(R30:AC30)</f>
        <v>300</v>
      </c>
      <c r="AE30" s="271">
        <f>SUM(W30:AC30)</f>
        <v>175</v>
      </c>
    </row>
    <row r="31" spans="1:31" x14ac:dyDescent="0.2">
      <c r="A31" s="378"/>
      <c r="B31" s="154" t="s">
        <v>51</v>
      </c>
      <c r="C31" s="203">
        <f>'Details Sheet'!$B13</f>
        <v>157.27000000000001</v>
      </c>
      <c r="D31" s="44">
        <f>'Details Sheet'!$F13</f>
        <v>56.29</v>
      </c>
      <c r="E31" s="43">
        <f>'Details Sheet'!$J13</f>
        <v>998.37</v>
      </c>
      <c r="F31" s="43">
        <f>'Details Sheet'!$N13</f>
        <v>28.37</v>
      </c>
      <c r="G31" s="93">
        <f>'Details Sheet'!$R13</f>
        <v>101.6</v>
      </c>
      <c r="H31" s="43">
        <f>'Details Sheet'!$V13</f>
        <v>64.25</v>
      </c>
      <c r="I31" s="44">
        <f>'Details Sheet'!$Z13</f>
        <v>208.10999999999996</v>
      </c>
      <c r="J31" s="44">
        <f>'Details Sheet'!$AD13</f>
        <v>236.00999999999996</v>
      </c>
      <c r="K31" s="44">
        <f>'Details Sheet'!$AH13</f>
        <v>54.040000000000006</v>
      </c>
      <c r="L31" s="44">
        <f>'Details Sheet'!$AL13</f>
        <v>0</v>
      </c>
      <c r="M31" s="44">
        <f>'Details Sheet'!$AP13</f>
        <v>0</v>
      </c>
      <c r="N31" s="93">
        <f>'Details Sheet'!$AT13</f>
        <v>0</v>
      </c>
      <c r="O31" s="89">
        <f>IF(SUM(C31:N31)&lt;&gt;'Details Sheet'!AX13,"ERROR",SUM(C31:N31))</f>
        <v>1904.3099999999997</v>
      </c>
      <c r="Q31" s="274" t="s">
        <v>441</v>
      </c>
      <c r="R31" s="297">
        <f>'Planned Expenses'!$K58</f>
        <v>157.27000000000001</v>
      </c>
      <c r="S31" s="298">
        <f>'Planned Expenses'!$N58</f>
        <v>56.29</v>
      </c>
      <c r="T31" s="298">
        <f>'Planned Expenses'!$Q58</f>
        <v>998.37</v>
      </c>
      <c r="U31" s="298">
        <f>'Planned Expenses'!$T58</f>
        <v>28.37</v>
      </c>
      <c r="V31" s="299">
        <f>'Planned Expenses'!$W58</f>
        <v>101.6</v>
      </c>
      <c r="W31" s="300">
        <f>'Planned Expenses'!$Z58</f>
        <v>25</v>
      </c>
      <c r="X31" s="298">
        <f>'Planned Expenses'!$K104</f>
        <v>25</v>
      </c>
      <c r="Y31" s="298">
        <f>'Planned Expenses'!$N104</f>
        <v>25</v>
      </c>
      <c r="Z31" s="298">
        <f>'Planned Expenses'!$Q104</f>
        <v>25</v>
      </c>
      <c r="AA31" s="298">
        <f>'Planned Expenses'!$T104</f>
        <v>25</v>
      </c>
      <c r="AB31" s="298">
        <f>'Planned Expenses'!$W104</f>
        <v>25</v>
      </c>
      <c r="AC31" s="301">
        <f>'Planned Expenses'!$Z104</f>
        <v>25</v>
      </c>
      <c r="AD31" s="302">
        <f>SUM(R31:AC31)</f>
        <v>1516.8999999999999</v>
      </c>
      <c r="AE31" s="271">
        <f>SUM(W31:AC31)</f>
        <v>175</v>
      </c>
    </row>
    <row r="32" spans="1:31" ht="16" thickBot="1" x14ac:dyDescent="0.25">
      <c r="A32" s="379"/>
      <c r="B32" s="194" t="s">
        <v>52</v>
      </c>
      <c r="C32" s="205">
        <f>C30-C31</f>
        <v>0</v>
      </c>
      <c r="D32" s="91">
        <f t="shared" ref="D32" si="186">D30-D31</f>
        <v>0</v>
      </c>
      <c r="E32" s="91">
        <f t="shared" ref="E32" si="187">E30-E31</f>
        <v>0</v>
      </c>
      <c r="F32" s="91">
        <f t="shared" ref="F32" si="188">F30-F31</f>
        <v>0</v>
      </c>
      <c r="G32" s="95">
        <f t="shared" ref="G32" si="189">G30-G31</f>
        <v>0</v>
      </c>
      <c r="H32" s="90">
        <f t="shared" ref="H32" si="190">H30-H31</f>
        <v>-39.25</v>
      </c>
      <c r="I32" s="91">
        <f t="shared" ref="I32" si="191">I30-I31</f>
        <v>-183.10999999999996</v>
      </c>
      <c r="J32" s="91">
        <f t="shared" ref="J32" si="192">J30-J31</f>
        <v>-211.00999999999996</v>
      </c>
      <c r="K32" s="91">
        <f t="shared" ref="K32" si="193">K30-K31</f>
        <v>-29.040000000000006</v>
      </c>
      <c r="L32" s="91">
        <f t="shared" ref="L32" si="194">L30-L31</f>
        <v>25</v>
      </c>
      <c r="M32" s="91">
        <f t="shared" ref="M32" si="195">M30-M31</f>
        <v>25</v>
      </c>
      <c r="N32" s="95">
        <f t="shared" ref="N32" si="196">N30-N31</f>
        <v>25</v>
      </c>
      <c r="O32" s="92">
        <f t="shared" si="2"/>
        <v>-387.40999999999991</v>
      </c>
      <c r="Q32" s="286" t="s">
        <v>443</v>
      </c>
      <c r="R32" s="297" t="str">
        <f>CONCATENATE(TEXT(R31-R30, "$#,##0.00"), " / ", TEXT(R31/R30, "0.0%"))</f>
        <v>$132.27 / 629.1%</v>
      </c>
      <c r="S32" s="298" t="str">
        <f t="shared" ref="S32" si="197">CONCATENATE(TEXT(S31-S30, "$#,##0.00"), " / ", TEXT(S31/S30, "0.0%"))</f>
        <v>$31.29 / 225.2%</v>
      </c>
      <c r="T32" s="298" t="str">
        <f t="shared" ref="T32" si="198">CONCATENATE(TEXT(T31-T30, "$#,##0.00"), " / ", TEXT(T31/T30, "0.0%"))</f>
        <v>$973.37 / 3993.5%</v>
      </c>
      <c r="U32" s="298" t="str">
        <f t="shared" ref="U32" si="199">CONCATENATE(TEXT(U31-U30, "$#,##0.00"), " / ", TEXT(U31/U30, "0.0%"))</f>
        <v>$3.37 / 113.5%</v>
      </c>
      <c r="V32" s="299" t="str">
        <f t="shared" ref="V32" si="200">CONCATENATE(TEXT(V31-V30, "$#,##0.00"), " / ", TEXT(V31/V30, "0.0%"))</f>
        <v>$76.60 / 406.4%</v>
      </c>
      <c r="W32" s="300" t="str">
        <f t="shared" ref="W32" si="201">CONCATENATE(TEXT(W31-W30, "$#,##0.00"), " / ", TEXT(W31/W30, "0.0%"))</f>
        <v>$0.00 / 100.0%</v>
      </c>
      <c r="X32" s="298" t="str">
        <f t="shared" ref="X32" si="202">CONCATENATE(TEXT(X31-X30, "$#,##0.00"), " / ", TEXT(X31/X30, "0.0%"))</f>
        <v>$0.00 / 100.0%</v>
      </c>
      <c r="Y32" s="298" t="str">
        <f t="shared" ref="Y32" si="203">CONCATENATE(TEXT(Y31-Y30, "$#,##0.00"), " / ", TEXT(Y31/Y30, "0.0%"))</f>
        <v>$0.00 / 100.0%</v>
      </c>
      <c r="Z32" s="298" t="str">
        <f t="shared" ref="Z32" si="204">CONCATENATE(TEXT(Z31-Z30, "$#,##0.00"), " / ", TEXT(Z31/Z30, "0.0%"))</f>
        <v>$0.00 / 100.0%</v>
      </c>
      <c r="AA32" s="298" t="str">
        <f t="shared" ref="AA32" si="205">CONCATENATE(TEXT(AA31-AA30, "$#,##0.00"), " / ", TEXT(AA31/AA30, "0.0%"))</f>
        <v>$0.00 / 100.0%</v>
      </c>
      <c r="AB32" s="298" t="str">
        <f t="shared" ref="AB32" si="206">CONCATENATE(TEXT(AB31-AB30, "$#,##0.00"), " / ", TEXT(AB31/AB30, "0.0%"))</f>
        <v>$0.00 / 100.0%</v>
      </c>
      <c r="AC32" s="301" t="str">
        <f t="shared" ref="AC32" si="207">CONCATENATE(TEXT(AC31-AC30, "$#,##0.00"), " / ", TEXT(AC31/AC30, "0.0%"))</f>
        <v>$0.00 / 100.0%</v>
      </c>
      <c r="AD32" s="301" t="str">
        <f t="shared" ref="AD32:AE32" si="208">CONCATENATE(TEXT(AD31-AD30, "$#,##0.00"), " / ", TEXT(AD31/AD30, "0.0%"))</f>
        <v>$1,216.90 / 505.6%</v>
      </c>
      <c r="AE32" s="271" t="str">
        <f t="shared" si="208"/>
        <v>$0.00 / 100.0%</v>
      </c>
    </row>
    <row r="33" spans="1:31" x14ac:dyDescent="0.2">
      <c r="A33" s="363" t="s">
        <v>69</v>
      </c>
      <c r="B33" s="195" t="s">
        <v>50</v>
      </c>
      <c r="C33" s="206">
        <f>C30+C27+C24+C21+C18+C15+C12+C9+C6+C3</f>
        <v>1358.79</v>
      </c>
      <c r="D33" s="85">
        <f t="shared" ref="D33:N33" si="209">D30+D27+D24+D21+D18+D15+D12+D9+D6+D3</f>
        <v>1672.1399999999999</v>
      </c>
      <c r="E33" s="85">
        <f t="shared" si="209"/>
        <v>2250.42</v>
      </c>
      <c r="F33" s="85">
        <f t="shared" si="209"/>
        <v>3072.8900000000003</v>
      </c>
      <c r="G33" s="207">
        <f t="shared" si="209"/>
        <v>3550.5199999999995</v>
      </c>
      <c r="H33" s="89">
        <f t="shared" si="209"/>
        <v>4647.4000000000005</v>
      </c>
      <c r="I33" s="85">
        <f t="shared" si="209"/>
        <v>4647.4000000000005</v>
      </c>
      <c r="J33" s="85">
        <f t="shared" si="209"/>
        <v>4647.3999999999996</v>
      </c>
      <c r="K33" s="85">
        <f t="shared" si="209"/>
        <v>4647.3999999999996</v>
      </c>
      <c r="L33" s="85">
        <f>L30+L27+L24+L21+L18+L15+L12+L9+L6+L3</f>
        <v>4407.3999999999996</v>
      </c>
      <c r="M33" s="85">
        <f t="shared" si="209"/>
        <v>4647.4000000000005</v>
      </c>
      <c r="N33" s="85">
        <f t="shared" si="209"/>
        <v>4647.4000000000005</v>
      </c>
      <c r="O33" s="85">
        <f>IF(SUM(C33:N33)&lt;&gt;SUM(O3,O6,O9,O12,O15,O18,O21,O24,O27,O30),"ERROR",SUM(C33:N33))</f>
        <v>44196.560000000012</v>
      </c>
      <c r="Q33" s="287" t="s">
        <v>442</v>
      </c>
      <c r="R33" s="288">
        <f>'Planned Expenses'!Q13</f>
        <v>4647.4000000000005</v>
      </c>
      <c r="S33" s="289">
        <f t="shared" ref="S33:AC33" si="210">$R33</f>
        <v>4647.4000000000005</v>
      </c>
      <c r="T33" s="289">
        <f t="shared" si="210"/>
        <v>4647.4000000000005</v>
      </c>
      <c r="U33" s="289">
        <f t="shared" si="210"/>
        <v>4647.4000000000005</v>
      </c>
      <c r="V33" s="290">
        <f t="shared" si="210"/>
        <v>4647.4000000000005</v>
      </c>
      <c r="W33" s="291">
        <f t="shared" si="210"/>
        <v>4647.4000000000005</v>
      </c>
      <c r="X33" s="289">
        <f t="shared" si="210"/>
        <v>4647.4000000000005</v>
      </c>
      <c r="Y33" s="289">
        <f t="shared" si="210"/>
        <v>4647.4000000000005</v>
      </c>
      <c r="Z33" s="289">
        <f t="shared" si="210"/>
        <v>4647.4000000000005</v>
      </c>
      <c r="AA33" s="289">
        <f t="shared" si="210"/>
        <v>4647.4000000000005</v>
      </c>
      <c r="AB33" s="289">
        <f t="shared" si="210"/>
        <v>4647.4000000000005</v>
      </c>
      <c r="AC33" s="290">
        <f t="shared" si="210"/>
        <v>4647.4000000000005</v>
      </c>
      <c r="AD33" s="269">
        <f>SUM(R33:AC33)</f>
        <v>55768.80000000001</v>
      </c>
      <c r="AE33" s="269">
        <f>SUM(W33:AC33)</f>
        <v>32531.800000000007</v>
      </c>
    </row>
    <row r="34" spans="1:31" x14ac:dyDescent="0.2">
      <c r="A34" s="363"/>
      <c r="B34" s="195" t="s">
        <v>51</v>
      </c>
      <c r="C34" s="206">
        <f>C31+C28+C25+C22+C19+C16+C13+C10+C7+C4</f>
        <v>1358.79</v>
      </c>
      <c r="D34" s="85">
        <f t="shared" ref="D34:K34" si="211">D31+D28+D25+D22+D19+D16+D13+D10+D7+D4</f>
        <v>1672.1399999999999</v>
      </c>
      <c r="E34" s="85">
        <f t="shared" si="211"/>
        <v>2250.42</v>
      </c>
      <c r="F34" s="85">
        <f t="shared" si="211"/>
        <v>3072.8900000000003</v>
      </c>
      <c r="G34" s="207">
        <f t="shared" si="211"/>
        <v>3550.52</v>
      </c>
      <c r="H34" s="89">
        <f t="shared" si="211"/>
        <v>3026.585</v>
      </c>
      <c r="I34" s="85">
        <f t="shared" si="211"/>
        <v>3559.1349999999998</v>
      </c>
      <c r="J34" s="85">
        <f t="shared" si="211"/>
        <v>4329.0399999999991</v>
      </c>
      <c r="K34" s="85">
        <f t="shared" si="211"/>
        <v>4742.4799999999996</v>
      </c>
      <c r="L34" s="85">
        <f>L31+L28+L25+L22+L19+L16+L13+L10+L7+L4</f>
        <v>3249.2500000000005</v>
      </c>
      <c r="M34" s="85">
        <f>M31+M28+M25+M22+M19+M16+M13+M10+M7+M4</f>
        <v>0</v>
      </c>
      <c r="N34" s="85">
        <f>N31+N28+N25+N22+N19+N16+N13+N10+N7+N4</f>
        <v>0</v>
      </c>
      <c r="O34" s="85">
        <f>IF(SUM(C34:N34)&lt;&gt;SUM(O4,O7,O10,O13,O16,O19,O22,O25,O28,O31),"ERROR",SUM(C34:N34))</f>
        <v>30811.249999999996</v>
      </c>
      <c r="Q34" s="274" t="s">
        <v>441</v>
      </c>
      <c r="R34" s="279">
        <f>'Planned Expenses'!$K59</f>
        <v>1358.79</v>
      </c>
      <c r="S34" s="268">
        <f>'Planned Expenses'!$N59</f>
        <v>1672.1399999999999</v>
      </c>
      <c r="T34" s="268">
        <f>'Planned Expenses'!$Q59</f>
        <v>2250.42</v>
      </c>
      <c r="U34" s="268">
        <f>'Planned Expenses'!$T59</f>
        <v>3072.8900000000003</v>
      </c>
      <c r="V34" s="266">
        <f>'Planned Expenses'!$W59</f>
        <v>3550.5199999999995</v>
      </c>
      <c r="W34" s="240">
        <f>'Planned Expenses'!$Z59</f>
        <v>4647.3999999999996</v>
      </c>
      <c r="X34" s="268">
        <f>'Planned Expenses'!$K105</f>
        <v>4647.3999999999996</v>
      </c>
      <c r="Y34" s="268">
        <f>'Planned Expenses'!$N105</f>
        <v>4647.3999999999996</v>
      </c>
      <c r="Z34" s="268">
        <f>'Planned Expenses'!$Q105</f>
        <v>4647.3999999999996</v>
      </c>
      <c r="AA34" s="268">
        <f>'Planned Expenses'!$T105</f>
        <v>4407.3999999999996</v>
      </c>
      <c r="AB34" s="268">
        <f>'Planned Expenses'!$W105</f>
        <v>4647.3999999999996</v>
      </c>
      <c r="AC34" s="266">
        <f>'Planned Expenses'!$Z105</f>
        <v>4647.3999999999996</v>
      </c>
      <c r="AD34" s="271">
        <f>SUM(R34:AC34)</f>
        <v>44196.560000000012</v>
      </c>
      <c r="AE34" s="271">
        <f>SUM(W34:AC34)</f>
        <v>32291.800000000003</v>
      </c>
    </row>
    <row r="35" spans="1:31" ht="16" thickBot="1" x14ac:dyDescent="0.25">
      <c r="A35" s="364"/>
      <c r="B35" s="196" t="s">
        <v>52</v>
      </c>
      <c r="C35" s="208">
        <f>C33-C34</f>
        <v>0</v>
      </c>
      <c r="D35" s="87">
        <f t="shared" ref="D35" si="212">D33-D34</f>
        <v>0</v>
      </c>
      <c r="E35" s="87">
        <f t="shared" ref="E35" si="213">E33-E34</f>
        <v>0</v>
      </c>
      <c r="F35" s="87">
        <f t="shared" ref="F35" si="214">F33-F34</f>
        <v>0</v>
      </c>
      <c r="G35" s="209">
        <f t="shared" ref="G35" si="215">G33-G34</f>
        <v>0</v>
      </c>
      <c r="H35" s="86">
        <f t="shared" ref="H35" si="216">H33-H34</f>
        <v>1620.8150000000005</v>
      </c>
      <c r="I35" s="87">
        <f t="shared" ref="I35" si="217">I33-I34</f>
        <v>1088.2650000000008</v>
      </c>
      <c r="J35" s="87">
        <f t="shared" ref="J35" si="218">J33-J34</f>
        <v>318.36000000000058</v>
      </c>
      <c r="K35" s="87">
        <f t="shared" ref="K35" si="219">K33-K34</f>
        <v>-95.079999999999927</v>
      </c>
      <c r="L35" s="87">
        <f t="shared" ref="L35" si="220">L33-L34</f>
        <v>1158.1499999999992</v>
      </c>
      <c r="M35" s="87">
        <f t="shared" ref="M35" si="221">M33-M34</f>
        <v>4647.4000000000005</v>
      </c>
      <c r="N35" s="87">
        <f t="shared" ref="N35" si="222">N33-N34</f>
        <v>4647.4000000000005</v>
      </c>
      <c r="O35" s="88">
        <f>IF(SUM(C35:N35)&lt;&gt;SUM(O5,O8,O11,O14,O17,O20,O23,O26,O29,O32),"ERROR",SUM(C35:N35))</f>
        <v>13385.310000000001</v>
      </c>
      <c r="Q35" s="276" t="s">
        <v>443</v>
      </c>
      <c r="R35" s="282" t="str">
        <f>CONCATENATE(TEXT(R34-R33, "$#,##0.00"), " / ", TEXT(R34/R33, "0.0%"))</f>
        <v>-$3,288.61 / 29.2%</v>
      </c>
      <c r="S35" s="283" t="str">
        <f t="shared" ref="S35" si="223">CONCATENATE(TEXT(S34-S33, "$#,##0.00"), " / ", TEXT(S34/S33, "0.0%"))</f>
        <v>-$2,975.26 / 36.0%</v>
      </c>
      <c r="T35" s="283" t="str">
        <f t="shared" ref="T35" si="224">CONCATENATE(TEXT(T34-T33, "$#,##0.00"), " / ", TEXT(T34/T33, "0.0%"))</f>
        <v>-$2,396.98 / 48.4%</v>
      </c>
      <c r="U35" s="283" t="str">
        <f t="shared" ref="U35" si="225">CONCATENATE(TEXT(U34-U33, "$#,##0.00"), " / ", TEXT(U34/U33, "0.0%"))</f>
        <v>-$1,574.51 / 66.1%</v>
      </c>
      <c r="V35" s="284" t="str">
        <f t="shared" ref="V35" si="226">CONCATENATE(TEXT(V34-V33, "$#,##0.00"), " / ", TEXT(V34/V33, "0.0%"))</f>
        <v>-$1,096.88 / 76.4%</v>
      </c>
      <c r="W35" s="285" t="str">
        <f t="shared" ref="W35" si="227">CONCATENATE(TEXT(W34-W33, "$#,##0.00"), " / ", TEXT(W34/W33, "0.0%"))</f>
        <v>$0.00 / 100.0%</v>
      </c>
      <c r="X35" s="283" t="str">
        <f t="shared" ref="X35" si="228">CONCATENATE(TEXT(X34-X33, "$#,##0.00"), " / ", TEXT(X34/X33, "0.0%"))</f>
        <v>$0.00 / 100.0%</v>
      </c>
      <c r="Y35" s="283" t="str">
        <f t="shared" ref="Y35" si="229">CONCATENATE(TEXT(Y34-Y33, "$#,##0.00"), " / ", TEXT(Y34/Y33, "0.0%"))</f>
        <v>$0.00 / 100.0%</v>
      </c>
      <c r="Z35" s="283" t="str">
        <f t="shared" ref="Z35" si="230">CONCATENATE(TEXT(Z34-Z33, "$#,##0.00"), " / ", TEXT(Z34/Z33, "0.0%"))</f>
        <v>$0.00 / 100.0%</v>
      </c>
      <c r="AA35" s="283" t="str">
        <f t="shared" ref="AA35" si="231">CONCATENATE(TEXT(AA34-AA33, "$#,##0.00"), " / ", TEXT(AA34/AA33, "0.0%"))</f>
        <v>-$240.00 / 94.8%</v>
      </c>
      <c r="AB35" s="283" t="str">
        <f t="shared" ref="AB35" si="232">CONCATENATE(TEXT(AB34-AB33, "$#,##0.00"), " / ", TEXT(AB34/AB33, "0.0%"))</f>
        <v>$0.00 / 100.0%</v>
      </c>
      <c r="AC35" s="267" t="str">
        <f t="shared" ref="AC35" si="233">CONCATENATE(TEXT(AC34-AC33, "$#,##0.00"), " / ", TEXT(AC34/AC33, "0.0%"))</f>
        <v>$0.00 / 100.0%</v>
      </c>
      <c r="AD35" s="270" t="str">
        <f t="shared" ref="AD35:AE35" si="234">CONCATENATE(TEXT(AD34-AD33, "$#,##0.00"), " / ", TEXT(AD34/AD33, "0.0%"))</f>
        <v>-$11,572.24 / 79.2%</v>
      </c>
      <c r="AE35" s="270" t="str">
        <f t="shared" si="234"/>
        <v>-$240.00 / 99.3%</v>
      </c>
    </row>
    <row r="36" spans="1:31" x14ac:dyDescent="0.2">
      <c r="C36" s="179"/>
      <c r="D36" s="154"/>
      <c r="E36" s="154"/>
      <c r="F36" s="154"/>
      <c r="G36" s="169"/>
      <c r="R36" s="179"/>
      <c r="S36" s="154"/>
      <c r="T36" s="154"/>
      <c r="U36" s="154"/>
      <c r="V36" s="169"/>
    </row>
    <row r="37" spans="1:31" ht="15" customHeight="1" x14ac:dyDescent="0.2">
      <c r="C37" s="393" t="s">
        <v>279</v>
      </c>
      <c r="D37" s="394"/>
      <c r="E37" s="394"/>
      <c r="F37" s="394"/>
      <c r="G37" s="395"/>
      <c r="R37" s="393" t="s">
        <v>279</v>
      </c>
      <c r="S37" s="394"/>
      <c r="T37" s="394"/>
      <c r="U37" s="394"/>
      <c r="V37" s="395"/>
      <c r="AD37" s="399" t="s">
        <v>445</v>
      </c>
      <c r="AE37" s="399"/>
    </row>
    <row r="38" spans="1:31" ht="15" customHeight="1" x14ac:dyDescent="0.2">
      <c r="A38" s="128"/>
      <c r="B38" s="210"/>
      <c r="C38" s="393"/>
      <c r="D38" s="394"/>
      <c r="E38" s="394"/>
      <c r="F38" s="394"/>
      <c r="G38" s="395"/>
      <c r="H38" s="129"/>
      <c r="I38" s="129"/>
      <c r="J38" s="129"/>
      <c r="K38" s="129"/>
      <c r="L38" s="129"/>
      <c r="M38" s="129"/>
      <c r="N38" s="129"/>
      <c r="O38" s="122"/>
      <c r="R38" s="393"/>
      <c r="S38" s="394"/>
      <c r="T38" s="394"/>
      <c r="U38" s="394"/>
      <c r="V38" s="395"/>
      <c r="AD38" s="18">
        <f>AVERAGE(AD4-AD3,AD7-AD6,AD10-AD9,AD13-AD12,AD16-AD15,AD19-AD18,AD22-AD21,AD25-AD24,AD28-AD27,AD31-AD30)</f>
        <v>-1157.2239999999997</v>
      </c>
      <c r="AE38" s="18">
        <f>AVERAGE(AE4-AE3,AE7-AE6,AE10-AE9,AE13-AE12,AE16-AE15,AE19-AE18,AE22-AE21,AE25-AE24,AE28-AE27,AE31-AE30)</f>
        <v>-24</v>
      </c>
    </row>
    <row r="39" spans="1:31" s="6" customFormat="1" ht="15" customHeight="1" thickBot="1" x14ac:dyDescent="0.25">
      <c r="A39" s="123"/>
      <c r="B39" s="210"/>
      <c r="C39" s="396"/>
      <c r="D39" s="397"/>
      <c r="E39" s="397"/>
      <c r="F39" s="397"/>
      <c r="G39" s="398"/>
      <c r="H39" s="124"/>
      <c r="I39" s="124"/>
      <c r="J39" s="124"/>
      <c r="K39" s="124"/>
      <c r="L39" s="124"/>
      <c r="M39" s="124"/>
      <c r="N39" s="124"/>
      <c r="O39" s="125"/>
      <c r="R39" s="396"/>
      <c r="S39" s="397"/>
      <c r="T39" s="397"/>
      <c r="U39" s="397"/>
      <c r="V39" s="398"/>
      <c r="AD39" s="308"/>
      <c r="AE39" s="308"/>
    </row>
    <row r="40" spans="1:31" ht="30" customHeight="1" x14ac:dyDescent="0.2">
      <c r="A40" s="126"/>
      <c r="B40" s="130"/>
      <c r="C40" s="130"/>
      <c r="D40" s="130"/>
      <c r="E40" s="130"/>
      <c r="F40" s="130"/>
      <c r="G40" s="130"/>
      <c r="H40" s="130"/>
      <c r="I40" s="130"/>
      <c r="J40" s="130"/>
      <c r="K40" s="130"/>
      <c r="L40" s="130"/>
      <c r="M40" s="130"/>
      <c r="N40" s="120"/>
      <c r="O40" s="120"/>
    </row>
    <row r="41" spans="1:31" ht="30" customHeight="1" x14ac:dyDescent="0.2">
      <c r="A41" s="408" t="s">
        <v>288</v>
      </c>
      <c r="B41" s="408"/>
      <c r="C41" s="408"/>
      <c r="D41" s="408"/>
      <c r="E41" s="408"/>
      <c r="F41" s="408"/>
      <c r="G41" s="408"/>
      <c r="H41" s="408"/>
      <c r="I41" s="408"/>
      <c r="J41" s="408"/>
      <c r="K41" s="408"/>
      <c r="L41" s="408"/>
      <c r="M41" s="408"/>
      <c r="N41" s="408"/>
      <c r="O41" s="408"/>
      <c r="P41" s="408"/>
      <c r="Q41" s="408"/>
    </row>
    <row r="42" spans="1:31" ht="30" customHeight="1" x14ac:dyDescent="0.2">
      <c r="A42" s="126"/>
      <c r="B42" s="120"/>
      <c r="C42" s="120"/>
      <c r="D42" s="120"/>
      <c r="E42" s="120"/>
      <c r="F42" s="120"/>
      <c r="G42" s="120"/>
      <c r="H42" s="120"/>
      <c r="I42" s="120"/>
      <c r="J42" s="120"/>
      <c r="K42" s="120"/>
      <c r="L42" s="120"/>
      <c r="M42" s="120"/>
      <c r="N42" s="127"/>
      <c r="O42" s="127"/>
    </row>
    <row r="43" spans="1:31" ht="30" customHeight="1" x14ac:dyDescent="0.2">
      <c r="A43" s="126"/>
      <c r="B43" s="120"/>
      <c r="C43" s="219" t="s">
        <v>53</v>
      </c>
      <c r="D43" s="219" t="s">
        <v>54</v>
      </c>
      <c r="E43" s="219" t="s">
        <v>55</v>
      </c>
      <c r="F43" s="219" t="s">
        <v>56</v>
      </c>
      <c r="G43" s="219" t="s">
        <v>57</v>
      </c>
      <c r="H43" s="219" t="s">
        <v>58</v>
      </c>
      <c r="I43" s="219" t="s">
        <v>59</v>
      </c>
      <c r="J43" s="219" t="s">
        <v>60</v>
      </c>
      <c r="K43" s="219" t="s">
        <v>61</v>
      </c>
      <c r="L43" s="219" t="s">
        <v>62</v>
      </c>
      <c r="M43" s="219" t="s">
        <v>63</v>
      </c>
      <c r="N43" s="219" t="s">
        <v>64</v>
      </c>
      <c r="O43" s="214" t="s">
        <v>65</v>
      </c>
    </row>
    <row r="44" spans="1:31" ht="30" customHeight="1" x14ac:dyDescent="0.2">
      <c r="A44" s="372" t="s">
        <v>287</v>
      </c>
      <c r="B44" s="372"/>
      <c r="C44" s="216">
        <f>C25</f>
        <v>0</v>
      </c>
      <c r="D44" s="216">
        <f>D25+C44</f>
        <v>0</v>
      </c>
      <c r="E44" s="216">
        <f t="shared" ref="E44:M44" si="235">E25+D44</f>
        <v>0</v>
      </c>
      <c r="F44" s="216">
        <f t="shared" si="235"/>
        <v>0</v>
      </c>
      <c r="G44" s="216">
        <f t="shared" si="235"/>
        <v>0</v>
      </c>
      <c r="H44" s="216">
        <f t="shared" si="235"/>
        <v>0</v>
      </c>
      <c r="I44" s="216">
        <f t="shared" si="235"/>
        <v>-166</v>
      </c>
      <c r="J44" s="216">
        <f t="shared" si="235"/>
        <v>41</v>
      </c>
      <c r="K44" s="216">
        <f t="shared" si="235"/>
        <v>151</v>
      </c>
      <c r="L44" s="216">
        <f t="shared" si="235"/>
        <v>151</v>
      </c>
      <c r="M44" s="216">
        <f t="shared" si="235"/>
        <v>151</v>
      </c>
      <c r="N44" s="216">
        <f>N25+M44</f>
        <v>151</v>
      </c>
      <c r="O44" s="218"/>
    </row>
    <row r="45" spans="1:31" ht="30" customHeight="1" x14ac:dyDescent="0.2">
      <c r="A45" s="126"/>
      <c r="B45" s="120"/>
      <c r="C45" s="120"/>
      <c r="D45" s="120"/>
      <c r="E45" s="120"/>
      <c r="F45" s="120"/>
      <c r="G45" s="120"/>
      <c r="H45" s="120"/>
      <c r="I45" s="120"/>
      <c r="J45" s="120"/>
      <c r="K45" s="120"/>
      <c r="L45" s="120"/>
      <c r="M45" s="120"/>
      <c r="N45" s="127"/>
      <c r="O45" s="217">
        <f>N44</f>
        <v>151</v>
      </c>
    </row>
    <row r="46" spans="1:31" ht="30" customHeight="1" x14ac:dyDescent="0.2">
      <c r="A46" s="126"/>
      <c r="B46" s="130"/>
      <c r="C46" s="130"/>
      <c r="D46" s="130"/>
      <c r="E46" s="130"/>
      <c r="F46" s="130"/>
      <c r="G46" s="130"/>
      <c r="H46" s="130"/>
      <c r="I46" s="130"/>
      <c r="J46" s="130"/>
      <c r="K46" s="130"/>
      <c r="L46" s="130"/>
      <c r="M46" s="130"/>
      <c r="N46" s="120"/>
      <c r="O46" s="120"/>
    </row>
    <row r="47" spans="1:31" ht="30" customHeight="1" x14ac:dyDescent="0.2">
      <c r="A47" s="126"/>
      <c r="B47" s="120"/>
      <c r="C47" s="120"/>
      <c r="D47" s="120"/>
      <c r="E47" s="120"/>
      <c r="F47" s="120"/>
      <c r="G47" s="120"/>
      <c r="H47" s="120"/>
      <c r="I47" s="120"/>
      <c r="J47" s="120"/>
      <c r="K47" s="120"/>
      <c r="L47" s="120"/>
      <c r="M47" s="120"/>
      <c r="N47" s="127"/>
      <c r="O47" s="127"/>
    </row>
    <row r="48" spans="1:31" ht="30" customHeight="1" x14ac:dyDescent="0.2">
      <c r="A48" s="126"/>
      <c r="B48" s="130"/>
      <c r="C48" s="130"/>
      <c r="D48" s="130"/>
      <c r="E48" s="130"/>
      <c r="F48" s="130"/>
      <c r="G48" s="130"/>
      <c r="H48" s="130"/>
      <c r="I48" s="130"/>
      <c r="J48" s="130"/>
      <c r="K48" s="130"/>
      <c r="L48" s="130"/>
      <c r="M48" s="130"/>
      <c r="N48" s="120"/>
      <c r="O48" s="120"/>
    </row>
    <row r="49" spans="1:15" ht="30" customHeight="1" x14ac:dyDescent="0.2">
      <c r="A49" s="126"/>
      <c r="B49" s="121"/>
      <c r="C49" s="214" t="s">
        <v>53</v>
      </c>
      <c r="D49" s="214" t="s">
        <v>54</v>
      </c>
      <c r="E49" s="214" t="s">
        <v>55</v>
      </c>
      <c r="F49" s="214" t="s">
        <v>56</v>
      </c>
      <c r="G49" s="214" t="s">
        <v>57</v>
      </c>
      <c r="H49" s="214" t="s">
        <v>58</v>
      </c>
      <c r="I49" s="214" t="s">
        <v>59</v>
      </c>
      <c r="J49" s="214" t="s">
        <v>60</v>
      </c>
      <c r="K49" s="214" t="s">
        <v>61</v>
      </c>
      <c r="L49" s="214" t="s">
        <v>62</v>
      </c>
      <c r="M49" s="214" t="s">
        <v>63</v>
      </c>
      <c r="N49" s="215" t="s">
        <v>64</v>
      </c>
      <c r="O49" s="215" t="s">
        <v>65</v>
      </c>
    </row>
    <row r="50" spans="1:15" x14ac:dyDescent="0.2">
      <c r="A50" s="406" t="s">
        <v>44</v>
      </c>
      <c r="B50" s="407"/>
      <c r="C50" s="212">
        <f t="shared" ref="C50:O50" si="236">IF(C3=0,IF(C4=0,1,INF),C4/C3)</f>
        <v>1</v>
      </c>
      <c r="D50" s="212">
        <f t="shared" si="236"/>
        <v>1</v>
      </c>
      <c r="E50" s="212">
        <f t="shared" si="236"/>
        <v>1</v>
      </c>
      <c r="F50" s="212">
        <f t="shared" si="236"/>
        <v>1</v>
      </c>
      <c r="G50" s="212">
        <f t="shared" si="236"/>
        <v>1.0000000000000004</v>
      </c>
      <c r="H50" s="212">
        <f t="shared" si="236"/>
        <v>1</v>
      </c>
      <c r="I50" s="212">
        <f t="shared" si="236"/>
        <v>9.0944444444444453E-2</v>
      </c>
      <c r="J50" s="212">
        <f t="shared" si="236"/>
        <v>0.45104411764705887</v>
      </c>
      <c r="K50" s="212">
        <f t="shared" si="236"/>
        <v>0.8590000000000001</v>
      </c>
      <c r="L50" s="212">
        <f t="shared" si="236"/>
        <v>0</v>
      </c>
      <c r="M50" s="212">
        <f t="shared" si="236"/>
        <v>0</v>
      </c>
      <c r="N50" s="212">
        <f t="shared" si="236"/>
        <v>0</v>
      </c>
      <c r="O50" s="212">
        <f t="shared" si="236"/>
        <v>0.45376888019279871</v>
      </c>
    </row>
    <row r="51" spans="1:15" x14ac:dyDescent="0.2">
      <c r="A51" s="383" t="s">
        <v>47</v>
      </c>
      <c r="B51" s="384"/>
      <c r="C51" s="212">
        <f t="shared" ref="C51:O51" si="237">IF(C6=0,IF(C7=0,1,INF),C7/C6)</f>
        <v>1</v>
      </c>
      <c r="D51" s="212">
        <f t="shared" si="237"/>
        <v>1</v>
      </c>
      <c r="E51" s="212">
        <f t="shared" si="237"/>
        <v>1</v>
      </c>
      <c r="F51" s="212">
        <f t="shared" si="237"/>
        <v>1.0000000000000007</v>
      </c>
      <c r="G51" s="212">
        <f t="shared" si="237"/>
        <v>0.99999999999999989</v>
      </c>
      <c r="H51" s="212">
        <f t="shared" si="237"/>
        <v>0.98263902730715569</v>
      </c>
      <c r="I51" s="212">
        <f t="shared" si="237"/>
        <v>1.1278851903528007</v>
      </c>
      <c r="J51" s="212">
        <f t="shared" si="237"/>
        <v>0.8647021411914354</v>
      </c>
      <c r="K51" s="212">
        <f t="shared" si="237"/>
        <v>0.89641219852501497</v>
      </c>
      <c r="L51" s="212">
        <f t="shared" si="237"/>
        <v>6.015547139724936E-2</v>
      </c>
      <c r="M51" s="212">
        <f t="shared" si="237"/>
        <v>0</v>
      </c>
      <c r="N51" s="212">
        <f t="shared" si="237"/>
        <v>0</v>
      </c>
      <c r="O51" s="212">
        <f t="shared" si="237"/>
        <v>0.5730098955928733</v>
      </c>
    </row>
    <row r="52" spans="1:15" x14ac:dyDescent="0.2">
      <c r="A52" s="385" t="s">
        <v>3</v>
      </c>
      <c r="B52" s="386"/>
      <c r="C52" s="212">
        <f t="shared" ref="C52:O52" si="238">IF(C9=0,IF(C10=0,1,INF),C10/C9)</f>
        <v>1</v>
      </c>
      <c r="D52" s="212">
        <f t="shared" si="238"/>
        <v>1</v>
      </c>
      <c r="E52" s="212">
        <f t="shared" si="238"/>
        <v>1</v>
      </c>
      <c r="F52" s="212">
        <f t="shared" si="238"/>
        <v>0.99999999999999978</v>
      </c>
      <c r="G52" s="212">
        <f t="shared" si="238"/>
        <v>0.99999999999999989</v>
      </c>
      <c r="H52" s="212">
        <f t="shared" si="238"/>
        <v>0.7177468706536857</v>
      </c>
      <c r="I52" s="212">
        <f t="shared" si="238"/>
        <v>1.0241223922114049</v>
      </c>
      <c r="J52" s="212">
        <f t="shared" si="238"/>
        <v>1.6282280945757999</v>
      </c>
      <c r="K52" s="212">
        <f t="shared" si="238"/>
        <v>1.3014575799721837</v>
      </c>
      <c r="L52" s="212">
        <f t="shared" si="238"/>
        <v>1.0784645340751045</v>
      </c>
      <c r="M52" s="212">
        <f t="shared" si="238"/>
        <v>0</v>
      </c>
      <c r="N52" s="212">
        <f t="shared" si="238"/>
        <v>0</v>
      </c>
      <c r="O52" s="212">
        <f t="shared" si="238"/>
        <v>0.90194153868042393</v>
      </c>
    </row>
    <row r="53" spans="1:15" x14ac:dyDescent="0.2">
      <c r="A53" s="389" t="s">
        <v>7</v>
      </c>
      <c r="B53" s="390"/>
      <c r="C53" s="212">
        <f t="shared" ref="C53:O53" si="239">IF(C12=0,IF(C13=0,1,INF),C13/C12)</f>
        <v>1</v>
      </c>
      <c r="D53" s="212">
        <f t="shared" si="239"/>
        <v>1.0000000000000002</v>
      </c>
      <c r="E53" s="212">
        <f t="shared" si="239"/>
        <v>1</v>
      </c>
      <c r="F53" s="212">
        <f t="shared" si="239"/>
        <v>1</v>
      </c>
      <c r="G53" s="212">
        <f t="shared" si="239"/>
        <v>1.0000000000000002</v>
      </c>
      <c r="H53" s="212">
        <f t="shared" si="239"/>
        <v>0.24909629629629629</v>
      </c>
      <c r="I53" s="212">
        <f t="shared" si="239"/>
        <v>0.22528888888888887</v>
      </c>
      <c r="J53" s="212">
        <f t="shared" si="239"/>
        <v>0.41445045045045054</v>
      </c>
      <c r="K53" s="212">
        <f t="shared" si="239"/>
        <v>0.90659459459459457</v>
      </c>
      <c r="L53" s="212">
        <f t="shared" si="239"/>
        <v>0.19352592592592591</v>
      </c>
      <c r="M53" s="212">
        <f t="shared" si="239"/>
        <v>0</v>
      </c>
      <c r="N53" s="212">
        <f t="shared" si="239"/>
        <v>0</v>
      </c>
      <c r="O53" s="212">
        <f t="shared" si="239"/>
        <v>0.52287289783116164</v>
      </c>
    </row>
    <row r="54" spans="1:15" x14ac:dyDescent="0.2">
      <c r="A54" s="387" t="s">
        <v>1</v>
      </c>
      <c r="B54" s="388"/>
      <c r="C54" s="212">
        <f t="shared" ref="C54:O54" si="240">IF(C15=0,IF(C16=0,1,INF),C16/C15)</f>
        <v>1</v>
      </c>
      <c r="D54" s="212">
        <f t="shared" si="240"/>
        <v>1</v>
      </c>
      <c r="E54" s="212">
        <f t="shared" si="240"/>
        <v>1</v>
      </c>
      <c r="F54" s="212">
        <f t="shared" si="240"/>
        <v>1</v>
      </c>
      <c r="G54" s="212">
        <f t="shared" si="240"/>
        <v>1</v>
      </c>
      <c r="H54" s="212">
        <f t="shared" si="240"/>
        <v>0.83382725627101117</v>
      </c>
      <c r="I54" s="212">
        <f t="shared" si="240"/>
        <v>1.0093379881044737</v>
      </c>
      <c r="J54" s="212">
        <f t="shared" si="240"/>
        <v>0.96875556597140833</v>
      </c>
      <c r="K54" s="212">
        <f t="shared" si="240"/>
        <v>1.0781204593391143</v>
      </c>
      <c r="L54" s="212">
        <f t="shared" si="240"/>
        <v>0.98060512024825441</v>
      </c>
      <c r="M54" s="212">
        <f t="shared" si="240"/>
        <v>0</v>
      </c>
      <c r="N54" s="212">
        <f t="shared" si="240"/>
        <v>0</v>
      </c>
      <c r="O54" s="212">
        <f t="shared" si="240"/>
        <v>0.75601624606202866</v>
      </c>
    </row>
    <row r="55" spans="1:15" x14ac:dyDescent="0.2">
      <c r="A55" s="391" t="s">
        <v>40</v>
      </c>
      <c r="B55" s="392"/>
      <c r="C55" s="212">
        <f t="shared" ref="C55:O55" si="241">IF(C18=0,IF(C19=0,1,INF),C19/C18)</f>
        <v>1</v>
      </c>
      <c r="D55" s="212">
        <f t="shared" si="241"/>
        <v>1.0000000000000002</v>
      </c>
      <c r="E55" s="212">
        <f t="shared" si="241"/>
        <v>1</v>
      </c>
      <c r="F55" s="212">
        <f t="shared" si="241"/>
        <v>1</v>
      </c>
      <c r="G55" s="212">
        <f t="shared" si="241"/>
        <v>1</v>
      </c>
      <c r="H55" s="212">
        <f t="shared" si="241"/>
        <v>0.53923076923076929</v>
      </c>
      <c r="I55" s="212">
        <f t="shared" si="241"/>
        <v>1.3672307692307692</v>
      </c>
      <c r="J55" s="212">
        <f t="shared" si="241"/>
        <v>1.3147692307692309</v>
      </c>
      <c r="K55" s="212">
        <f t="shared" si="241"/>
        <v>0.60676923076923073</v>
      </c>
      <c r="L55" s="212">
        <f t="shared" si="241"/>
        <v>0.52307692307692311</v>
      </c>
      <c r="M55" s="212">
        <f t="shared" si="241"/>
        <v>0</v>
      </c>
      <c r="N55" s="212">
        <f t="shared" si="241"/>
        <v>0</v>
      </c>
      <c r="O55" s="212">
        <f t="shared" si="241"/>
        <v>0.7766564624085508</v>
      </c>
    </row>
    <row r="56" spans="1:15" x14ac:dyDescent="0.2">
      <c r="A56" s="400" t="s">
        <v>48</v>
      </c>
      <c r="B56" s="401"/>
      <c r="C56" s="212">
        <f t="shared" ref="C56:O56" si="242">IF(C21=0,IF(C22=0,1,INF),C22/C21)</f>
        <v>1</v>
      </c>
      <c r="D56" s="212">
        <f t="shared" si="242"/>
        <v>1</v>
      </c>
      <c r="E56" s="212">
        <f t="shared" si="242"/>
        <v>1</v>
      </c>
      <c r="F56" s="212">
        <f t="shared" si="242"/>
        <v>0.99999999999999911</v>
      </c>
      <c r="G56" s="212">
        <f t="shared" si="242"/>
        <v>1.000000000000002</v>
      </c>
      <c r="H56" s="212">
        <f t="shared" si="242"/>
        <v>0.42188749999999997</v>
      </c>
      <c r="I56" s="212">
        <f t="shared" si="242"/>
        <v>0.52131249999999996</v>
      </c>
      <c r="J56" s="212">
        <f t="shared" si="242"/>
        <v>1</v>
      </c>
      <c r="K56" s="212">
        <f t="shared" si="242"/>
        <v>1</v>
      </c>
      <c r="L56" s="212">
        <f t="shared" si="242"/>
        <v>9.9999999999999997E+98</v>
      </c>
      <c r="M56" s="212">
        <f t="shared" si="242"/>
        <v>0</v>
      </c>
      <c r="N56" s="212">
        <f t="shared" si="242"/>
        <v>0</v>
      </c>
      <c r="O56" s="212">
        <f t="shared" si="242"/>
        <v>0.27798051149063929</v>
      </c>
    </row>
    <row r="57" spans="1:15" x14ac:dyDescent="0.2">
      <c r="A57" s="402" t="s">
        <v>8</v>
      </c>
      <c r="B57" s="403"/>
      <c r="C57" s="212">
        <f t="shared" ref="C57:O57" si="243">IF(C24=0,IF(C25=0,1,INF),C25/C24)</f>
        <v>1</v>
      </c>
      <c r="D57" s="212">
        <f t="shared" si="243"/>
        <v>1</v>
      </c>
      <c r="E57" s="212">
        <f t="shared" si="243"/>
        <v>1</v>
      </c>
      <c r="F57" s="212">
        <f t="shared" si="243"/>
        <v>1</v>
      </c>
      <c r="G57" s="212">
        <f t="shared" si="243"/>
        <v>1</v>
      </c>
      <c r="H57" s="212">
        <f t="shared" si="243"/>
        <v>0</v>
      </c>
      <c r="I57" s="212">
        <f t="shared" si="243"/>
        <v>-1.66</v>
      </c>
      <c r="J57" s="212">
        <f t="shared" si="243"/>
        <v>0.62727272727272732</v>
      </c>
      <c r="K57" s="212">
        <f t="shared" si="243"/>
        <v>0.5</v>
      </c>
      <c r="L57" s="212">
        <f t="shared" si="243"/>
        <v>0</v>
      </c>
      <c r="M57" s="212">
        <f t="shared" si="243"/>
        <v>0</v>
      </c>
      <c r="N57" s="212">
        <f t="shared" si="243"/>
        <v>0</v>
      </c>
      <c r="O57" s="212">
        <f t="shared" si="243"/>
        <v>0.13017241379310346</v>
      </c>
    </row>
    <row r="58" spans="1:15" x14ac:dyDescent="0.2">
      <c r="A58" s="404" t="s">
        <v>82</v>
      </c>
      <c r="B58" s="405"/>
      <c r="C58" s="212">
        <f t="shared" ref="C58:O58" si="244">IF(C27=0,IF(C28=0,1,INF),C28/C27)</f>
        <v>1</v>
      </c>
      <c r="D58" s="212">
        <f t="shared" si="244"/>
        <v>1</v>
      </c>
      <c r="E58" s="212">
        <f t="shared" si="244"/>
        <v>1</v>
      </c>
      <c r="F58" s="212">
        <f t="shared" si="244"/>
        <v>1</v>
      </c>
      <c r="G58" s="212">
        <f t="shared" si="244"/>
        <v>1</v>
      </c>
      <c r="H58" s="212">
        <f t="shared" si="244"/>
        <v>0</v>
      </c>
      <c r="I58" s="212">
        <f t="shared" si="244"/>
        <v>0</v>
      </c>
      <c r="J58" s="212">
        <f t="shared" si="244"/>
        <v>0</v>
      </c>
      <c r="K58" s="212">
        <f t="shared" si="244"/>
        <v>1.0495111111111113</v>
      </c>
      <c r="L58" s="212">
        <f t="shared" si="244"/>
        <v>0.92910769230769241</v>
      </c>
      <c r="M58" s="212">
        <f t="shared" si="244"/>
        <v>0</v>
      </c>
      <c r="N58" s="212">
        <f t="shared" si="244"/>
        <v>0</v>
      </c>
      <c r="O58" s="212">
        <f t="shared" si="244"/>
        <v>0.89563215353026082</v>
      </c>
    </row>
    <row r="59" spans="1:15" x14ac:dyDescent="0.2">
      <c r="A59" s="380" t="s">
        <v>17</v>
      </c>
      <c r="B59" s="381"/>
      <c r="C59" s="212">
        <f t="shared" ref="C59:O59" si="245">IF(C30=0,IF(C31=0,1,INF),C31/C30)</f>
        <v>1</v>
      </c>
      <c r="D59" s="212">
        <f t="shared" si="245"/>
        <v>1</v>
      </c>
      <c r="E59" s="212">
        <f t="shared" si="245"/>
        <v>1</v>
      </c>
      <c r="F59" s="212">
        <f t="shared" si="245"/>
        <v>1</v>
      </c>
      <c r="G59" s="212">
        <f t="shared" si="245"/>
        <v>1</v>
      </c>
      <c r="H59" s="212">
        <f t="shared" si="245"/>
        <v>2.57</v>
      </c>
      <c r="I59" s="212">
        <f t="shared" si="245"/>
        <v>8.3243999999999989</v>
      </c>
      <c r="J59" s="212">
        <f t="shared" si="245"/>
        <v>9.4403999999999986</v>
      </c>
      <c r="K59" s="212">
        <f t="shared" si="245"/>
        <v>2.1616000000000004</v>
      </c>
      <c r="L59" s="212">
        <f t="shared" si="245"/>
        <v>0</v>
      </c>
      <c r="M59" s="212">
        <f t="shared" si="245"/>
        <v>0</v>
      </c>
      <c r="N59" s="212">
        <f t="shared" si="245"/>
        <v>0</v>
      </c>
      <c r="O59" s="212">
        <f t="shared" si="245"/>
        <v>1.2553958731623704</v>
      </c>
    </row>
    <row r="60" spans="1:15" x14ac:dyDescent="0.2">
      <c r="A60" s="382" t="s">
        <v>49</v>
      </c>
      <c r="B60" s="382"/>
      <c r="C60" s="212">
        <f t="shared" ref="C60:O60" si="246">IF(C33=0,IF(C34=0,1,INF),C34/C33)</f>
        <v>1</v>
      </c>
      <c r="D60" s="212">
        <f t="shared" si="246"/>
        <v>1</v>
      </c>
      <c r="E60" s="212">
        <f t="shared" si="246"/>
        <v>1</v>
      </c>
      <c r="F60" s="212">
        <f t="shared" si="246"/>
        <v>1</v>
      </c>
      <c r="G60" s="212">
        <f t="shared" si="246"/>
        <v>1.0000000000000002</v>
      </c>
      <c r="H60" s="212">
        <f t="shared" si="246"/>
        <v>0.65124263028790286</v>
      </c>
      <c r="I60" s="212">
        <f t="shared" si="246"/>
        <v>0.76583358436975502</v>
      </c>
      <c r="J60" s="212">
        <f t="shared" si="246"/>
        <v>0.93149718121960656</v>
      </c>
      <c r="K60" s="212">
        <f t="shared" si="246"/>
        <v>1.0204587511296639</v>
      </c>
      <c r="L60" s="212">
        <f t="shared" si="246"/>
        <v>0.73722602895130929</v>
      </c>
      <c r="M60" s="212">
        <f t="shared" si="246"/>
        <v>0</v>
      </c>
      <c r="N60" s="212">
        <f t="shared" si="246"/>
        <v>0</v>
      </c>
      <c r="O60" s="212">
        <f t="shared" si="246"/>
        <v>0.69714136122811343</v>
      </c>
    </row>
  </sheetData>
  <mergeCells count="28">
    <mergeCell ref="R37:V39"/>
    <mergeCell ref="AD37:AE37"/>
    <mergeCell ref="A56:B56"/>
    <mergeCell ref="A57:B57"/>
    <mergeCell ref="A58:B58"/>
    <mergeCell ref="C37:G39"/>
    <mergeCell ref="A50:B50"/>
    <mergeCell ref="A44:B44"/>
    <mergeCell ref="A41:Q41"/>
    <mergeCell ref="A59:B59"/>
    <mergeCell ref="A60:B60"/>
    <mergeCell ref="A51:B51"/>
    <mergeCell ref="A52:B52"/>
    <mergeCell ref="A54:B54"/>
    <mergeCell ref="A53:B53"/>
    <mergeCell ref="A55:B55"/>
    <mergeCell ref="A15:A17"/>
    <mergeCell ref="A33:A35"/>
    <mergeCell ref="A18:A20"/>
    <mergeCell ref="A21:A23"/>
    <mergeCell ref="A24:A26"/>
    <mergeCell ref="A27:A29"/>
    <mergeCell ref="A30:A32"/>
    <mergeCell ref="A2:B2"/>
    <mergeCell ref="A3:A5"/>
    <mergeCell ref="A6:A8"/>
    <mergeCell ref="A9:A11"/>
    <mergeCell ref="A12:A14"/>
  </mergeCells>
  <conditionalFormatting sqref="C5:N5 C8:N8 C11:N11 C14:N14 C17:N17 C20:N20 C26:N26 C29:N29 C32:N32 C23:N23">
    <cfRule type="cellIs" dxfId="159" priority="66" operator="lessThan">
      <formula>0</formula>
    </cfRule>
  </conditionalFormatting>
  <conditionalFormatting sqref="O5 O8 O11 O14 O17 O20 O23 O26 O29 O32">
    <cfRule type="cellIs" dxfId="158" priority="65" operator="lessThan">
      <formula>0</formula>
    </cfRule>
  </conditionalFormatting>
  <conditionalFormatting sqref="C35:N35">
    <cfRule type="cellIs" dxfId="157" priority="64" operator="lessThan">
      <formula>0</formula>
    </cfRule>
  </conditionalFormatting>
  <conditionalFormatting sqref="C3:O3 C5:O5 O4 C8:O8 O6:O7 C11:O11 O9:O10 C14:O14 O12:O13 C17:O17 O15:O16 C20:O20 O18:O19 C23:O23 O21:O22 C26:O26 O24:O25 C29:O29 O27:O28 C31:O35 O30">
    <cfRule type="cellIs" dxfId="156" priority="62" operator="equal">
      <formula>"ERROR"</formula>
    </cfRule>
  </conditionalFormatting>
  <conditionalFormatting sqref="Q4:AB4 Q7 Q10 Q13 Q16 Q19 Q22 Q25 Q28 Q31 Q34">
    <cfRule type="cellIs" dxfId="155" priority="51" operator="equal">
      <formula>"ERROR"</formula>
    </cfRule>
  </conditionalFormatting>
  <conditionalFormatting sqref="C30:N30">
    <cfRule type="cellIs" dxfId="154" priority="23" operator="equal">
      <formula>"ERROR"</formula>
    </cfRule>
  </conditionalFormatting>
  <conditionalFormatting sqref="R7:AB7">
    <cfRule type="cellIs" dxfId="153" priority="49" operator="equal">
      <formula>"ERROR"</formula>
    </cfRule>
  </conditionalFormatting>
  <conditionalFormatting sqref="R10:AB10">
    <cfRule type="cellIs" dxfId="152" priority="48" operator="equal">
      <formula>"ERROR"</formula>
    </cfRule>
  </conditionalFormatting>
  <conditionalFormatting sqref="R13:AB13">
    <cfRule type="cellIs" dxfId="151" priority="47" operator="equal">
      <formula>"ERROR"</formula>
    </cfRule>
  </conditionalFormatting>
  <conditionalFormatting sqref="R16:AB16">
    <cfRule type="cellIs" dxfId="150" priority="46" operator="equal">
      <formula>"ERROR"</formula>
    </cfRule>
  </conditionalFormatting>
  <conditionalFormatting sqref="R19:AB19">
    <cfRule type="cellIs" dxfId="149" priority="45" operator="equal">
      <formula>"ERROR"</formula>
    </cfRule>
  </conditionalFormatting>
  <conditionalFormatting sqref="R22:AB22">
    <cfRule type="cellIs" dxfId="148" priority="44" operator="equal">
      <formula>"ERROR"</formula>
    </cfRule>
  </conditionalFormatting>
  <conditionalFormatting sqref="R25:AB25">
    <cfRule type="cellIs" dxfId="147" priority="43" operator="equal">
      <formula>"ERROR"</formula>
    </cfRule>
  </conditionalFormatting>
  <conditionalFormatting sqref="R28:AB28">
    <cfRule type="cellIs" dxfId="146" priority="42" operator="equal">
      <formula>"ERROR"</formula>
    </cfRule>
  </conditionalFormatting>
  <conditionalFormatting sqref="R31:AB31">
    <cfRule type="cellIs" dxfId="145" priority="41" operator="equal">
      <formula>"ERROR"</formula>
    </cfRule>
  </conditionalFormatting>
  <conditionalFormatting sqref="C6:N6">
    <cfRule type="cellIs" dxfId="144" priority="39" operator="equal">
      <formula>"ERROR"</formula>
    </cfRule>
  </conditionalFormatting>
  <conditionalFormatting sqref="C18:N18">
    <cfRule type="cellIs" dxfId="143" priority="31" operator="equal">
      <formula>"ERROR"</formula>
    </cfRule>
  </conditionalFormatting>
  <conditionalFormatting sqref="C9:N9">
    <cfRule type="cellIs" dxfId="142" priority="37" operator="equal">
      <formula>"ERROR"</formula>
    </cfRule>
  </conditionalFormatting>
  <conditionalFormatting sqref="C25:N25">
    <cfRule type="cellIs" dxfId="141" priority="14" operator="equal">
      <formula>"ERROR"</formula>
    </cfRule>
  </conditionalFormatting>
  <conditionalFormatting sqref="C12:N12">
    <cfRule type="cellIs" dxfId="140" priority="35" operator="equal">
      <formula>"ERROR"</formula>
    </cfRule>
  </conditionalFormatting>
  <conditionalFormatting sqref="C21:N21">
    <cfRule type="cellIs" dxfId="139" priority="29" operator="equal">
      <formula>"ERROR"</formula>
    </cfRule>
  </conditionalFormatting>
  <conditionalFormatting sqref="C15:N15">
    <cfRule type="cellIs" dxfId="138" priority="33" operator="equal">
      <formula>"ERROR"</formula>
    </cfRule>
  </conditionalFormatting>
  <conditionalFormatting sqref="C24:N24">
    <cfRule type="cellIs" dxfId="137" priority="27" operator="equal">
      <formula>"ERROR"</formula>
    </cfRule>
  </conditionalFormatting>
  <conditionalFormatting sqref="C27:N27">
    <cfRule type="cellIs" dxfId="136" priority="25" operator="equal">
      <formula>"ERROR"</formula>
    </cfRule>
  </conditionalFormatting>
  <conditionalFormatting sqref="C22:N22">
    <cfRule type="cellIs" dxfId="135" priority="15" operator="equal">
      <formula>"ERROR"</formula>
    </cfRule>
  </conditionalFormatting>
  <conditionalFormatting sqref="C28:N28">
    <cfRule type="cellIs" dxfId="134" priority="22" operator="equal">
      <formula>"ERROR"</formula>
    </cfRule>
  </conditionalFormatting>
  <conditionalFormatting sqref="C4:N4">
    <cfRule type="cellIs" dxfId="133" priority="21" operator="equal">
      <formula>"ERROR"</formula>
    </cfRule>
  </conditionalFormatting>
  <conditionalFormatting sqref="C7:N7">
    <cfRule type="cellIs" dxfId="132" priority="20" operator="equal">
      <formula>"ERROR"</formula>
    </cfRule>
  </conditionalFormatting>
  <conditionalFormatting sqref="C10:N10">
    <cfRule type="cellIs" dxfId="131" priority="19" operator="equal">
      <formula>"ERROR"</formula>
    </cfRule>
  </conditionalFormatting>
  <conditionalFormatting sqref="C13:N13">
    <cfRule type="cellIs" dxfId="130" priority="18" operator="equal">
      <formula>"ERROR"</formula>
    </cfRule>
  </conditionalFormatting>
  <conditionalFormatting sqref="C16:N16">
    <cfRule type="cellIs" dxfId="129" priority="17" operator="equal">
      <formula>"ERROR"</formula>
    </cfRule>
  </conditionalFormatting>
  <conditionalFormatting sqref="C19:N19">
    <cfRule type="cellIs" dxfId="128" priority="16" operator="equal">
      <formula>"ERROR"</formula>
    </cfRule>
  </conditionalFormatting>
  <conditionalFormatting sqref="AF15:AQ15">
    <cfRule type="cellIs" dxfId="127" priority="1" operator="equal">
      <formula>"ERROR"</formula>
    </cfRule>
  </conditionalFormatting>
  <conditionalFormatting sqref="AF3:AQ3">
    <cfRule type="cellIs" dxfId="126" priority="13" operator="equal">
      <formula>"ERROR"</formula>
    </cfRule>
  </conditionalFormatting>
  <conditionalFormatting sqref="AF4:AQ4">
    <cfRule type="cellIs" dxfId="125" priority="12" operator="equal">
      <formula>"ERROR"</formula>
    </cfRule>
  </conditionalFormatting>
  <conditionalFormatting sqref="AF5:AQ5">
    <cfRule type="cellIs" dxfId="124" priority="11" operator="equal">
      <formula>"ERROR"</formula>
    </cfRule>
  </conditionalFormatting>
  <conditionalFormatting sqref="AF6:AQ6">
    <cfRule type="cellIs" dxfId="123" priority="10" operator="equal">
      <formula>"ERROR"</formula>
    </cfRule>
  </conditionalFormatting>
  <conditionalFormatting sqref="AF7:AQ7">
    <cfRule type="cellIs" dxfId="122" priority="9" operator="equal">
      <formula>"ERROR"</formula>
    </cfRule>
  </conditionalFormatting>
  <conditionalFormatting sqref="AF8:AQ8">
    <cfRule type="cellIs" dxfId="121" priority="8" operator="equal">
      <formula>"ERROR"</formula>
    </cfRule>
  </conditionalFormatting>
  <conditionalFormatting sqref="AF9:AQ9">
    <cfRule type="cellIs" dxfId="120" priority="7" operator="equal">
      <formula>"ERROR"</formula>
    </cfRule>
  </conditionalFormatting>
  <conditionalFormatting sqref="AF10:AQ10">
    <cfRule type="cellIs" dxfId="119" priority="6" operator="equal">
      <formula>"ERROR"</formula>
    </cfRule>
  </conditionalFormatting>
  <conditionalFormatting sqref="AF11:AQ11">
    <cfRule type="cellIs" dxfId="118" priority="5" operator="equal">
      <formula>"ERROR"</formula>
    </cfRule>
  </conditionalFormatting>
  <conditionalFormatting sqref="AF12:AQ12">
    <cfRule type="cellIs" dxfId="117" priority="4" operator="equal">
      <formula>"ERROR"</formula>
    </cfRule>
  </conditionalFormatting>
  <conditionalFormatting sqref="AF13:AQ13">
    <cfRule type="cellIs" dxfId="116" priority="3" operator="equal">
      <formula>"ERROR"</formula>
    </cfRule>
  </conditionalFormatting>
  <conditionalFormatting sqref="AF14:AQ14">
    <cfRule type="cellIs" dxfId="115" priority="2" operator="equal">
      <formula>"ERROR"</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377"/>
  <sheetViews>
    <sheetView tabSelected="1" zoomScale="110" zoomScaleNormal="110" zoomScalePageLayoutView="110" workbookViewId="0">
      <pane xSplit="1" ySplit="2" topLeftCell="AD3" activePane="bottomRight" state="frozen"/>
      <selection pane="topRight" activeCell="B1" sqref="B1"/>
      <selection pane="bottomLeft" activeCell="A3" sqref="A3"/>
      <selection pane="bottomRight" activeCell="AO60" sqref="AO60"/>
    </sheetView>
  </sheetViews>
  <sheetFormatPr baseColWidth="10" defaultColWidth="8.83203125" defaultRowHeight="15" x14ac:dyDescent="0.2"/>
  <cols>
    <col min="1" max="1" width="29.33203125" style="103" bestFit="1" customWidth="1"/>
    <col min="2" max="2" width="31.6640625" style="70" customWidth="1"/>
    <col min="3" max="3" width="10.6640625" style="65" customWidth="1"/>
    <col min="4" max="4" width="14.33203125" style="70" customWidth="1"/>
    <col min="5" max="5" width="10.6640625" style="76" customWidth="1"/>
    <col min="6" max="6" width="31.6640625" style="77" customWidth="1"/>
    <col min="7" max="7" width="10.6640625" style="18" customWidth="1"/>
    <col min="8" max="8" width="14.33203125" style="77" customWidth="1"/>
    <col min="9" max="9" width="10.6640625" style="98" customWidth="1"/>
    <col min="10" max="10" width="31.6640625" style="77" customWidth="1"/>
    <col min="11" max="11" width="10.6640625" style="18" customWidth="1"/>
    <col min="12" max="12" width="14.33203125" style="77" customWidth="1"/>
    <col min="13" max="13" width="10.6640625" style="98" customWidth="1"/>
    <col min="14" max="14" width="31.83203125" style="77" customWidth="1"/>
    <col min="15" max="15" width="10.6640625" style="18" customWidth="1"/>
    <col min="16" max="16" width="14.33203125" style="77" customWidth="1"/>
    <col min="17" max="17" width="10.6640625" style="98" customWidth="1"/>
    <col min="18" max="18" width="31.6640625" style="77" customWidth="1"/>
    <col min="19" max="19" width="10.6640625" style="18" customWidth="1"/>
    <col min="20" max="20" width="14.33203125" style="77" customWidth="1"/>
    <col min="21" max="21" width="10.6640625" style="98" customWidth="1"/>
    <col min="22" max="22" width="31.6640625" style="77" customWidth="1"/>
    <col min="23" max="23" width="10.6640625" style="18" customWidth="1"/>
    <col min="24" max="24" width="14.33203125" style="77" customWidth="1"/>
    <col min="25" max="25" width="10.6640625" style="98" customWidth="1"/>
    <col min="26" max="26" width="31.6640625" style="77" customWidth="1"/>
    <col min="27" max="27" width="10.6640625" style="18" customWidth="1"/>
    <col min="28" max="28" width="14.33203125" style="77" customWidth="1"/>
    <col min="29" max="29" width="10.6640625" style="98" customWidth="1"/>
    <col min="30" max="30" width="31.6640625" style="77" customWidth="1"/>
    <col min="31" max="31" width="10.6640625" style="18" customWidth="1"/>
    <col min="32" max="32" width="14.33203125" style="77" customWidth="1"/>
    <col min="33" max="33" width="10.6640625" style="98" customWidth="1"/>
    <col min="34" max="34" width="31.6640625" style="77" customWidth="1"/>
    <col min="35" max="35" width="10.6640625" style="18" customWidth="1"/>
    <col min="36" max="36" width="14.33203125" style="77" customWidth="1"/>
    <col min="37" max="37" width="10.6640625" style="98" customWidth="1"/>
    <col min="38" max="38" width="31.6640625" style="77" customWidth="1"/>
    <col min="39" max="39" width="10.6640625" style="18" customWidth="1"/>
    <col min="40" max="40" width="14.33203125" style="77" customWidth="1"/>
    <col min="41" max="41" width="10.6640625" style="98" customWidth="1"/>
    <col min="42" max="42" width="31.6640625" style="77" customWidth="1"/>
    <col min="43" max="43" width="10.6640625" style="18" customWidth="1"/>
    <col min="44" max="44" width="14.33203125" style="77" customWidth="1"/>
    <col min="45" max="45" width="10.6640625" style="98" customWidth="1"/>
    <col min="46" max="46" width="31.6640625" style="77" customWidth="1"/>
    <col min="47" max="47" width="10.6640625" style="18" customWidth="1"/>
    <col min="48" max="48" width="14.33203125" style="77" customWidth="1"/>
    <col min="49" max="49" width="10.6640625" style="98" customWidth="1"/>
    <col min="50" max="50" width="4" style="7" customWidth="1"/>
    <col min="51" max="51" width="22.5" style="7" customWidth="1"/>
    <col min="52" max="52" width="4.5" style="7" customWidth="1"/>
    <col min="53" max="53" width="18.1640625" style="7" customWidth="1"/>
    <col min="54" max="57" width="8.83203125" style="7"/>
    <col min="58" max="58" width="21" style="188" bestFit="1" customWidth="1"/>
    <col min="59" max="59" width="9.6640625" style="188" bestFit="1" customWidth="1"/>
    <col min="60" max="62" width="8.83203125" style="188"/>
    <col min="63" max="63" width="9.83203125" style="188" bestFit="1" customWidth="1"/>
    <col min="64" max="83" width="8.83203125" style="188"/>
    <col min="84" max="16384" width="8.83203125" style="7"/>
  </cols>
  <sheetData>
    <row r="1" spans="1:93" ht="45.75" customHeight="1" x14ac:dyDescent="0.2">
      <c r="A1" s="97" t="s">
        <v>70</v>
      </c>
      <c r="B1" s="454" t="s">
        <v>285</v>
      </c>
      <c r="C1" s="455"/>
      <c r="D1" s="455"/>
      <c r="E1" s="456"/>
      <c r="F1" s="454" t="s">
        <v>285</v>
      </c>
      <c r="G1" s="455"/>
      <c r="H1" s="455"/>
      <c r="I1" s="456"/>
      <c r="J1" s="454" t="s">
        <v>285</v>
      </c>
      <c r="K1" s="455"/>
      <c r="L1" s="455"/>
      <c r="M1" s="456"/>
      <c r="N1" s="454" t="s">
        <v>285</v>
      </c>
      <c r="O1" s="455"/>
      <c r="P1" s="455"/>
      <c r="Q1" s="456"/>
      <c r="R1" s="454" t="s">
        <v>285</v>
      </c>
      <c r="S1" s="455"/>
      <c r="T1" s="455"/>
      <c r="U1" s="456"/>
      <c r="V1" s="416" t="s">
        <v>284</v>
      </c>
      <c r="W1" s="417"/>
      <c r="X1" s="417"/>
      <c r="Y1" s="418"/>
      <c r="Z1" s="416" t="s">
        <v>284</v>
      </c>
      <c r="AA1" s="417"/>
      <c r="AB1" s="417"/>
      <c r="AC1" s="418"/>
      <c r="AD1" s="416" t="s">
        <v>284</v>
      </c>
      <c r="AE1" s="417"/>
      <c r="AF1" s="417"/>
      <c r="AG1" s="418"/>
      <c r="AH1" s="419" t="s">
        <v>409</v>
      </c>
      <c r="AI1" s="420"/>
      <c r="AJ1" s="420"/>
      <c r="AK1" s="421"/>
      <c r="AL1" s="419" t="s">
        <v>524</v>
      </c>
      <c r="AM1" s="420"/>
      <c r="AN1" s="420"/>
      <c r="AO1" s="421"/>
      <c r="AP1" s="419" t="s">
        <v>324</v>
      </c>
      <c r="AQ1" s="420"/>
      <c r="AR1" s="420"/>
      <c r="AS1" s="421"/>
      <c r="AT1" s="419" t="s">
        <v>324</v>
      </c>
      <c r="AU1" s="420"/>
      <c r="AV1" s="420"/>
      <c r="AW1" s="421"/>
    </row>
    <row r="2" spans="1:93" ht="21" customHeight="1" x14ac:dyDescent="0.2">
      <c r="A2" s="105" t="s">
        <v>71</v>
      </c>
      <c r="B2" s="440" t="s">
        <v>76</v>
      </c>
      <c r="C2" s="441"/>
      <c r="D2" s="441"/>
      <c r="E2" s="441"/>
      <c r="F2" s="440" t="s">
        <v>54</v>
      </c>
      <c r="G2" s="441"/>
      <c r="H2" s="441"/>
      <c r="I2" s="441"/>
      <c r="J2" s="440" t="s">
        <v>55</v>
      </c>
      <c r="K2" s="441"/>
      <c r="L2" s="441"/>
      <c r="M2" s="441"/>
      <c r="N2" s="440" t="s">
        <v>56</v>
      </c>
      <c r="O2" s="441"/>
      <c r="P2" s="441"/>
      <c r="Q2" s="441"/>
      <c r="R2" s="440" t="s">
        <v>57</v>
      </c>
      <c r="S2" s="441"/>
      <c r="T2" s="441"/>
      <c r="U2" s="441"/>
      <c r="V2" s="440" t="s">
        <v>58</v>
      </c>
      <c r="W2" s="441"/>
      <c r="X2" s="441"/>
      <c r="Y2" s="442"/>
      <c r="Z2" s="440" t="s">
        <v>59</v>
      </c>
      <c r="AA2" s="441"/>
      <c r="AB2" s="441"/>
      <c r="AC2" s="441"/>
      <c r="AD2" s="440" t="s">
        <v>60</v>
      </c>
      <c r="AE2" s="441"/>
      <c r="AF2" s="441"/>
      <c r="AG2" s="441"/>
      <c r="AH2" s="440" t="s">
        <v>61</v>
      </c>
      <c r="AI2" s="441"/>
      <c r="AJ2" s="441"/>
      <c r="AK2" s="441"/>
      <c r="AL2" s="440" t="s">
        <v>62</v>
      </c>
      <c r="AM2" s="441"/>
      <c r="AN2" s="441"/>
      <c r="AO2" s="441"/>
      <c r="AP2" s="440" t="s">
        <v>63</v>
      </c>
      <c r="AQ2" s="441"/>
      <c r="AR2" s="441"/>
      <c r="AS2" s="441"/>
      <c r="AT2" s="440" t="s">
        <v>64</v>
      </c>
      <c r="AU2" s="441"/>
      <c r="AV2" s="441"/>
      <c r="AW2" s="442"/>
      <c r="AX2" s="440" t="s">
        <v>86</v>
      </c>
      <c r="AY2" s="441"/>
      <c r="AZ2" s="441"/>
      <c r="BA2" s="442"/>
    </row>
    <row r="3" spans="1:93" s="21" customFormat="1" ht="28.5" customHeight="1" x14ac:dyDescent="0.2">
      <c r="A3" s="105"/>
      <c r="B3" s="435" t="s">
        <v>88</v>
      </c>
      <c r="C3" s="436"/>
      <c r="D3" s="436" t="s">
        <v>89</v>
      </c>
      <c r="E3" s="437"/>
      <c r="F3" s="435" t="s">
        <v>88</v>
      </c>
      <c r="G3" s="436"/>
      <c r="H3" s="436" t="s">
        <v>89</v>
      </c>
      <c r="I3" s="437"/>
      <c r="J3" s="435" t="s">
        <v>88</v>
      </c>
      <c r="K3" s="436"/>
      <c r="L3" s="436" t="s">
        <v>89</v>
      </c>
      <c r="M3" s="437"/>
      <c r="N3" s="435" t="s">
        <v>88</v>
      </c>
      <c r="O3" s="436"/>
      <c r="P3" s="436" t="s">
        <v>89</v>
      </c>
      <c r="Q3" s="437"/>
      <c r="R3" s="435" t="s">
        <v>88</v>
      </c>
      <c r="S3" s="436"/>
      <c r="T3" s="436" t="s">
        <v>89</v>
      </c>
      <c r="U3" s="437"/>
      <c r="V3" s="435" t="s">
        <v>88</v>
      </c>
      <c r="W3" s="436"/>
      <c r="X3" s="436" t="s">
        <v>89</v>
      </c>
      <c r="Y3" s="437"/>
      <c r="Z3" s="435" t="s">
        <v>88</v>
      </c>
      <c r="AA3" s="436"/>
      <c r="AB3" s="436" t="s">
        <v>89</v>
      </c>
      <c r="AC3" s="437"/>
      <c r="AD3" s="435" t="s">
        <v>88</v>
      </c>
      <c r="AE3" s="436"/>
      <c r="AF3" s="436" t="s">
        <v>89</v>
      </c>
      <c r="AG3" s="437"/>
      <c r="AH3" s="435" t="s">
        <v>88</v>
      </c>
      <c r="AI3" s="436"/>
      <c r="AJ3" s="436" t="s">
        <v>89</v>
      </c>
      <c r="AK3" s="437"/>
      <c r="AL3" s="435" t="s">
        <v>88</v>
      </c>
      <c r="AM3" s="436"/>
      <c r="AN3" s="436" t="s">
        <v>89</v>
      </c>
      <c r="AO3" s="437"/>
      <c r="AP3" s="435" t="s">
        <v>88</v>
      </c>
      <c r="AQ3" s="436"/>
      <c r="AR3" s="436" t="s">
        <v>89</v>
      </c>
      <c r="AS3" s="437"/>
      <c r="AT3" s="435" t="s">
        <v>88</v>
      </c>
      <c r="AU3" s="436"/>
      <c r="AV3" s="436" t="s">
        <v>89</v>
      </c>
      <c r="AW3" s="437"/>
      <c r="AX3" s="445" t="s">
        <v>90</v>
      </c>
      <c r="AY3" s="443"/>
      <c r="AZ3" s="443" t="s">
        <v>91</v>
      </c>
      <c r="BA3" s="444"/>
      <c r="BF3" s="188"/>
      <c r="BG3" s="188"/>
      <c r="BH3" s="188"/>
      <c r="BI3" s="188"/>
      <c r="BJ3" s="188"/>
      <c r="BK3" s="188"/>
      <c r="BL3" s="188"/>
      <c r="BM3" s="188"/>
      <c r="BN3" s="188"/>
      <c r="BO3" s="188"/>
      <c r="BP3" s="188"/>
      <c r="BQ3" s="188"/>
      <c r="BR3" s="188"/>
      <c r="BS3" s="188"/>
      <c r="BT3" s="188"/>
      <c r="BU3" s="188"/>
      <c r="BV3" s="188"/>
      <c r="BW3" s="188"/>
      <c r="BX3" s="188"/>
      <c r="BY3" s="188"/>
      <c r="BZ3" s="188"/>
      <c r="CA3" s="188"/>
      <c r="CB3" s="188"/>
      <c r="CC3" s="188"/>
      <c r="CD3" s="188"/>
      <c r="CE3" s="188"/>
      <c r="CF3" s="186"/>
      <c r="CG3" s="186"/>
      <c r="CH3" s="186"/>
      <c r="CI3" s="186"/>
      <c r="CJ3" s="186"/>
      <c r="CK3" s="186"/>
      <c r="CL3" s="186"/>
      <c r="CM3" s="186"/>
      <c r="CN3" s="186"/>
      <c r="CO3" s="186"/>
    </row>
    <row r="4" spans="1:93" x14ac:dyDescent="0.2">
      <c r="A4" s="106" t="str">
        <f>IF(AY19="","",CONCATENATE(AY19," Subtotal"))</f>
        <v>Health and Wellness Subtotal</v>
      </c>
      <c r="B4" s="432">
        <f>SUMIF(D$17:D$314, $AY19, C$17:C$314)</f>
        <v>0</v>
      </c>
      <c r="C4" s="433"/>
      <c r="D4" s="433">
        <f>'Planned Expenses'!K49-'Details Sheet'!B4</f>
        <v>0</v>
      </c>
      <c r="E4" s="434"/>
      <c r="F4" s="432">
        <f>SUMIF(H$17:H$314, $AY19, G$17:G$314)</f>
        <v>0</v>
      </c>
      <c r="G4" s="433"/>
      <c r="H4" s="433">
        <f>'Planned Expenses'!N49-'Details Sheet'!F4</f>
        <v>0</v>
      </c>
      <c r="I4" s="434"/>
      <c r="J4" s="432">
        <f>SUMIF(L$17:L$314, $AY19, K$17:K$314)</f>
        <v>0</v>
      </c>
      <c r="K4" s="433"/>
      <c r="L4" s="433">
        <f>'Planned Expenses'!Q49-'Details Sheet'!J4</f>
        <v>0</v>
      </c>
      <c r="M4" s="434"/>
      <c r="N4" s="432">
        <f>SUMIF(P$17:P$314, $AY19, O$17:O$314)</f>
        <v>0</v>
      </c>
      <c r="O4" s="433"/>
      <c r="P4" s="433">
        <f>'Planned Expenses'!T49-'Details Sheet'!N4</f>
        <v>0</v>
      </c>
      <c r="Q4" s="434"/>
      <c r="R4" s="432">
        <f>SUMIF(T$17:T$314, $AY19, S$17:S$314)</f>
        <v>35.450000000000003</v>
      </c>
      <c r="S4" s="433"/>
      <c r="T4" s="433">
        <f>'Planned Expenses'!W49-'Details Sheet'!R4</f>
        <v>0</v>
      </c>
      <c r="U4" s="434"/>
      <c r="V4" s="432">
        <f>SUMIF(X$17:X$314, $AY19, W$17:W$314)</f>
        <v>180</v>
      </c>
      <c r="W4" s="433"/>
      <c r="X4" s="433">
        <f>'Planned Expenses'!Z49-'Details Sheet'!V4</f>
        <v>0</v>
      </c>
      <c r="Y4" s="434"/>
      <c r="Z4" s="432">
        <f>SUMIF(AB$17:AB$314, $AY19, AA$17:AA$314)</f>
        <v>16.37</v>
      </c>
      <c r="AA4" s="433"/>
      <c r="AB4" s="433">
        <f>'Planned Expenses'!K95-'Details Sheet'!Z4</f>
        <v>163.63</v>
      </c>
      <c r="AC4" s="434"/>
      <c r="AD4" s="432">
        <f>SUMIF(AF$17:AF$314, $AY19, AE$17:AE$314)</f>
        <v>306.71000000000004</v>
      </c>
      <c r="AE4" s="433"/>
      <c r="AF4" s="433">
        <f>'Planned Expenses'!N95-'Details Sheet'!AD4</f>
        <v>373.28999999999996</v>
      </c>
      <c r="AG4" s="434"/>
      <c r="AH4" s="432">
        <f>SUMIF(AJ$17:AJ$314, $AY19, AI$17:AI$314)</f>
        <v>412.32000000000005</v>
      </c>
      <c r="AI4" s="433"/>
      <c r="AJ4" s="433">
        <f>'Planned Expenses'!Q95-'Details Sheet'!AH4</f>
        <v>67.67999999999995</v>
      </c>
      <c r="AK4" s="434"/>
      <c r="AL4" s="432">
        <f>SUMIF(AN$17:AN$314, $AY19, AM$17:AM$314)</f>
        <v>0</v>
      </c>
      <c r="AM4" s="433"/>
      <c r="AN4" s="433">
        <f>'Planned Expenses'!T95-'Details Sheet'!AL4</f>
        <v>180</v>
      </c>
      <c r="AO4" s="434"/>
      <c r="AP4" s="432">
        <f>SUMIF(AR$17:AR$314, $AY19, AQ$17:AQ$314)</f>
        <v>0</v>
      </c>
      <c r="AQ4" s="433"/>
      <c r="AR4" s="433">
        <f>'Planned Expenses'!W95-'Details Sheet'!AP4</f>
        <v>180</v>
      </c>
      <c r="AS4" s="434"/>
      <c r="AT4" s="432">
        <f>SUMIF(AV$17:AV$314, $AY19, AU$17:AU$314)</f>
        <v>0</v>
      </c>
      <c r="AU4" s="433"/>
      <c r="AV4" s="433">
        <f>'Planned Expenses'!Z95-'Details Sheet'!AT4</f>
        <v>180</v>
      </c>
      <c r="AW4" s="434"/>
      <c r="AX4" s="451">
        <f>SUM(AT4,AP4,AL4,AH4,AD4,Z4,V4,R4,N4,J4,F4,B4)</f>
        <v>950.85000000000014</v>
      </c>
      <c r="AY4" s="438"/>
      <c r="AZ4" s="438">
        <f>IF(ROUND(SUM(AV4,AR4,AN4,AJ4,AF4,AB4,X4,T4,P4,L4,H4,D4),2)&lt;&gt;ROUND('Planned Expenses'!T3-AX4,2),"ERROR",('Planned Expenses'!T3-AX4))</f>
        <v>1144.5999999999997</v>
      </c>
      <c r="BA4" s="439"/>
      <c r="BJ4" s="155" t="s">
        <v>277</v>
      </c>
      <c r="BK4" s="156" t="s">
        <v>278</v>
      </c>
      <c r="CF4" s="186"/>
      <c r="CG4" s="186"/>
      <c r="CH4" s="186"/>
      <c r="CI4" s="186"/>
      <c r="CJ4" s="186"/>
      <c r="CK4" s="186"/>
      <c r="CL4" s="186"/>
      <c r="CM4" s="186"/>
      <c r="CN4" s="186"/>
      <c r="CO4" s="186"/>
    </row>
    <row r="5" spans="1:93" x14ac:dyDescent="0.2">
      <c r="A5" s="106" t="str">
        <f t="shared" ref="A5:A13" si="0">IF(AY20="","",CONCATENATE(AY20," Subtotal"))</f>
        <v>Monthly Subscriptions Subtotal</v>
      </c>
      <c r="B5" s="426">
        <f t="shared" ref="B5:B13" si="1">SUMIF(D$17:D$314, $AY20, C$17:C$314)</f>
        <v>0</v>
      </c>
      <c r="C5" s="427"/>
      <c r="D5" s="427">
        <f>'Planned Expenses'!K50-'Details Sheet'!B5</f>
        <v>0</v>
      </c>
      <c r="E5" s="428"/>
      <c r="F5" s="426">
        <f t="shared" ref="F5:F10" si="2">SUMIF(H$17:H$314, $AY20, G$17:G$314)</f>
        <v>0</v>
      </c>
      <c r="G5" s="427"/>
      <c r="H5" s="427">
        <f>'Planned Expenses'!N50-'Details Sheet'!F5</f>
        <v>0</v>
      </c>
      <c r="I5" s="428"/>
      <c r="J5" s="426">
        <f t="shared" ref="J5:J10" si="3">SUMIF(L$17:L$314, $AY20, K$17:K$314)</f>
        <v>0</v>
      </c>
      <c r="K5" s="427"/>
      <c r="L5" s="427">
        <f>'Planned Expenses'!Q50-'Details Sheet'!J5</f>
        <v>0</v>
      </c>
      <c r="M5" s="428"/>
      <c r="N5" s="426">
        <f t="shared" ref="N5:N10" si="4">SUMIF(P$17:P$314, $AY20, O$17:O$314)</f>
        <v>10.82</v>
      </c>
      <c r="O5" s="427"/>
      <c r="P5" s="427">
        <f>'Planned Expenses'!T50-'Details Sheet'!N5</f>
        <v>0</v>
      </c>
      <c r="Q5" s="428"/>
      <c r="R5" s="426">
        <f t="shared" ref="R5:R10" si="5">SUMIF(T$17:T$314, $AY20, S$17:S$314)</f>
        <v>27.06</v>
      </c>
      <c r="S5" s="427"/>
      <c r="T5" s="427">
        <f>'Planned Expenses'!W50-'Details Sheet'!R5</f>
        <v>0</v>
      </c>
      <c r="U5" s="428"/>
      <c r="V5" s="426">
        <f t="shared" ref="V5:V10" si="6">SUMIF(X$17:X$314, $AY20, W$17:W$314)</f>
        <v>164.32999999999998</v>
      </c>
      <c r="W5" s="427"/>
      <c r="X5" s="427">
        <f>'Planned Expenses'!Z50-'Details Sheet'!V5</f>
        <v>2.903333333333336</v>
      </c>
      <c r="Y5" s="428"/>
      <c r="Z5" s="426">
        <f t="shared" ref="Z5:Z10" si="7">SUMIF(AB$17:AB$314, $AY20, AA$17:AA$314)</f>
        <v>188.62</v>
      </c>
      <c r="AA5" s="427"/>
      <c r="AB5" s="427">
        <f>'Planned Expenses'!K96-'Details Sheet'!Z5</f>
        <v>-21.386666666666684</v>
      </c>
      <c r="AC5" s="428"/>
      <c r="AD5" s="426">
        <f t="shared" ref="AD5:AD10" si="8">SUMIF(AF$17:AF$314, $AY20, AE$17:AE$314)</f>
        <v>135.96</v>
      </c>
      <c r="AE5" s="427"/>
      <c r="AF5" s="427">
        <f>'Planned Expenses'!N96-'Details Sheet'!AD5</f>
        <v>21.273333333333312</v>
      </c>
      <c r="AG5" s="428"/>
      <c r="AH5" s="426">
        <f t="shared" ref="AH5:AH10" si="9">SUMIF(AJ$17:AJ$314, $AY20, AI$17:AI$314)</f>
        <v>149.91</v>
      </c>
      <c r="AI5" s="427"/>
      <c r="AJ5" s="427">
        <f>'Planned Expenses'!Q96-'Details Sheet'!AH5</f>
        <v>17.323333333333323</v>
      </c>
      <c r="AK5" s="428"/>
      <c r="AL5" s="426">
        <f t="shared" ref="AL5:AL10" si="10">SUMIF(AN$17:AN$314, $AY20, AM$17:AM$314)</f>
        <v>10.06</v>
      </c>
      <c r="AM5" s="427"/>
      <c r="AN5" s="427">
        <f>'Planned Expenses'!T96-'Details Sheet'!AL5</f>
        <v>157.17333333333332</v>
      </c>
      <c r="AO5" s="428"/>
      <c r="AP5" s="426">
        <f t="shared" ref="AP5:AP10" si="11">SUMIF(AR$17:AR$314, $AY20, AQ$17:AQ$314)</f>
        <v>0</v>
      </c>
      <c r="AQ5" s="427"/>
      <c r="AR5" s="427">
        <f>'Planned Expenses'!W96-'Details Sheet'!AP5</f>
        <v>167.23333333333332</v>
      </c>
      <c r="AS5" s="428"/>
      <c r="AT5" s="426">
        <f t="shared" ref="AT5:AT10" si="12">SUMIF(AV$17:AV$314, $AY20, AU$17:AU$314)</f>
        <v>0</v>
      </c>
      <c r="AU5" s="427"/>
      <c r="AV5" s="427">
        <f>'Planned Expenses'!Z96-'Details Sheet'!AT5</f>
        <v>167.23333333333332</v>
      </c>
      <c r="AW5" s="428"/>
      <c r="AX5" s="453">
        <f t="shared" ref="AX5:AX14" si="13">SUM(AT5,AP5,AL5,AH5,AD5,Z5,V5,R5,N5,J5,F5,B5)</f>
        <v>686.76</v>
      </c>
      <c r="AY5" s="448"/>
      <c r="AZ5" s="448">
        <f>IF(ROUND(SUM(AV5,AR5,AN5,AJ5,AF5,AB5,X5,T5,P5,L5,H5,D5),2)&lt;&gt;ROUND('Planned Expenses'!T4-AX5,2),"ERROR",('Planned Expenses'!T4-AX5))</f>
        <v>511.75333333333333</v>
      </c>
      <c r="BA5" s="449"/>
      <c r="BK5" s="188" t="s">
        <v>282</v>
      </c>
      <c r="CF5" s="186"/>
      <c r="CG5" s="186"/>
      <c r="CH5" s="186"/>
      <c r="CI5" s="186"/>
      <c r="CJ5" s="186"/>
      <c r="CK5" s="186"/>
      <c r="CL5" s="186"/>
      <c r="CM5" s="186"/>
      <c r="CN5" s="186"/>
      <c r="CO5" s="186"/>
    </row>
    <row r="6" spans="1:93" x14ac:dyDescent="0.2">
      <c r="A6" s="106" t="str">
        <f t="shared" si="0"/>
        <v>Food Subtotal</v>
      </c>
      <c r="B6" s="426">
        <f>SUMIF(D$17:D$314, $AY21, C$17:C$314)</f>
        <v>830.53</v>
      </c>
      <c r="C6" s="427"/>
      <c r="D6" s="427">
        <f>'Planned Expenses'!K51-'Details Sheet'!B6</f>
        <v>0</v>
      </c>
      <c r="E6" s="428"/>
      <c r="F6" s="426">
        <f t="shared" si="2"/>
        <v>713</v>
      </c>
      <c r="G6" s="427"/>
      <c r="H6" s="427">
        <f>'Planned Expenses'!N51-'Details Sheet'!F6</f>
        <v>0</v>
      </c>
      <c r="I6" s="428"/>
      <c r="J6" s="426">
        <f t="shared" si="3"/>
        <v>550.41999999999996</v>
      </c>
      <c r="K6" s="427"/>
      <c r="L6" s="427">
        <f>'Planned Expenses'!Q51-'Details Sheet'!J6</f>
        <v>0</v>
      </c>
      <c r="M6" s="428"/>
      <c r="N6" s="426">
        <f t="shared" si="4"/>
        <v>648.9799999999999</v>
      </c>
      <c r="O6" s="427"/>
      <c r="P6" s="427">
        <f>'Planned Expenses'!T51-'Details Sheet'!N6</f>
        <v>0</v>
      </c>
      <c r="Q6" s="428"/>
      <c r="R6" s="426">
        <f t="shared" si="5"/>
        <v>700.65999999999985</v>
      </c>
      <c r="S6" s="427"/>
      <c r="T6" s="427">
        <f>'Planned Expenses'!W51-'Details Sheet'!R6</f>
        <v>0</v>
      </c>
      <c r="U6" s="428"/>
      <c r="V6" s="426">
        <f t="shared" si="6"/>
        <v>430.05</v>
      </c>
      <c r="W6" s="427"/>
      <c r="X6" s="427">
        <f>'Planned Expenses'!Z51-'Details Sheet'!V6</f>
        <v>169.11666666666662</v>
      </c>
      <c r="Y6" s="428"/>
      <c r="Z6" s="426">
        <f t="shared" si="7"/>
        <v>613.62</v>
      </c>
      <c r="AA6" s="427"/>
      <c r="AB6" s="427">
        <f>'Planned Expenses'!K97-'Details Sheet'!Z6</f>
        <v>-14.453333333333376</v>
      </c>
      <c r="AC6" s="428"/>
      <c r="AD6" s="426">
        <f t="shared" si="8"/>
        <v>975.58</v>
      </c>
      <c r="AE6" s="427"/>
      <c r="AF6" s="427">
        <f>'Planned Expenses'!N97-'Details Sheet'!AD6</f>
        <v>-376.41333333333341</v>
      </c>
      <c r="AG6" s="428"/>
      <c r="AH6" s="426">
        <f t="shared" si="9"/>
        <v>779.79</v>
      </c>
      <c r="AI6" s="427"/>
      <c r="AJ6" s="427">
        <f>'Planned Expenses'!Q97-'Details Sheet'!AH6</f>
        <v>-180.62333333333333</v>
      </c>
      <c r="AK6" s="428"/>
      <c r="AL6" s="426">
        <f t="shared" si="10"/>
        <v>646.18000000000006</v>
      </c>
      <c r="AM6" s="427"/>
      <c r="AN6" s="427">
        <f>'Planned Expenses'!T97-'Details Sheet'!AL6</f>
        <v>-47.013333333333435</v>
      </c>
      <c r="AO6" s="428"/>
      <c r="AP6" s="426">
        <f t="shared" si="11"/>
        <v>0</v>
      </c>
      <c r="AQ6" s="427"/>
      <c r="AR6" s="427">
        <f>'Planned Expenses'!W97-'Details Sheet'!AP6</f>
        <v>599.16666666666663</v>
      </c>
      <c r="AS6" s="428"/>
      <c r="AT6" s="426">
        <f t="shared" si="12"/>
        <v>0</v>
      </c>
      <c r="AU6" s="427"/>
      <c r="AV6" s="427">
        <f>'Planned Expenses'!Z97-'Details Sheet'!AT6</f>
        <v>599.16666666666663</v>
      </c>
      <c r="AW6" s="428"/>
      <c r="AX6" s="453">
        <f t="shared" si="13"/>
        <v>6888.8099999999995</v>
      </c>
      <c r="AY6" s="448"/>
      <c r="AZ6" s="448">
        <f>IF(ROUND(SUM(AV6,AR6,AN6,AJ6,AF6,AB6,X6,T6,P6,L6,H6,D6),2)&lt;&gt;ROUND('Planned Expenses'!T5-AX6,2),"ERROR",('Planned Expenses'!T5-AX6))</f>
        <v>748.94666666666853</v>
      </c>
      <c r="BA6" s="449"/>
      <c r="CF6" s="186"/>
      <c r="CG6" s="186"/>
      <c r="CH6" s="186"/>
      <c r="CI6" s="186"/>
      <c r="CJ6" s="186"/>
      <c r="CK6" s="186"/>
      <c r="CL6" s="186"/>
      <c r="CM6" s="186"/>
      <c r="CN6" s="186"/>
      <c r="CO6" s="186"/>
    </row>
    <row r="7" spans="1:93" x14ac:dyDescent="0.2">
      <c r="A7" s="106" t="str">
        <f t="shared" si="0"/>
        <v>Transportation Subtotal</v>
      </c>
      <c r="B7" s="426">
        <f t="shared" si="1"/>
        <v>267.49</v>
      </c>
      <c r="C7" s="427"/>
      <c r="D7" s="427">
        <f>'Planned Expenses'!K52-'Details Sheet'!B7</f>
        <v>0</v>
      </c>
      <c r="E7" s="428"/>
      <c r="F7" s="426">
        <f t="shared" si="2"/>
        <v>96.4</v>
      </c>
      <c r="G7" s="427"/>
      <c r="H7" s="427">
        <f>'Planned Expenses'!N52-'Details Sheet'!F7</f>
        <v>0</v>
      </c>
      <c r="I7" s="428"/>
      <c r="J7" s="426">
        <f t="shared" si="3"/>
        <v>411.37</v>
      </c>
      <c r="K7" s="427"/>
      <c r="L7" s="427">
        <f>'Planned Expenses'!Q52-'Details Sheet'!J7</f>
        <v>0</v>
      </c>
      <c r="M7" s="428"/>
      <c r="N7" s="426">
        <f t="shared" si="4"/>
        <v>1270.02</v>
      </c>
      <c r="O7" s="427"/>
      <c r="P7" s="427">
        <f>'Planned Expenses'!T52-'Details Sheet'!N7</f>
        <v>0</v>
      </c>
      <c r="Q7" s="428"/>
      <c r="R7" s="426">
        <f t="shared" si="5"/>
        <v>388.17000000000013</v>
      </c>
      <c r="S7" s="427"/>
      <c r="T7" s="427">
        <f>'Planned Expenses'!W52-'Details Sheet'!R7</f>
        <v>0</v>
      </c>
      <c r="U7" s="428"/>
      <c r="V7" s="426">
        <f t="shared" si="6"/>
        <v>168.14</v>
      </c>
      <c r="W7" s="427"/>
      <c r="X7" s="427">
        <f>'Planned Expenses'!Z52-'Details Sheet'!V7</f>
        <v>506.86</v>
      </c>
      <c r="Y7" s="428"/>
      <c r="Z7" s="426">
        <f t="shared" si="7"/>
        <v>152.07</v>
      </c>
      <c r="AA7" s="427"/>
      <c r="AB7" s="427">
        <f>'Planned Expenses'!K98-'Details Sheet'!Z7</f>
        <v>522.93000000000006</v>
      </c>
      <c r="AC7" s="428"/>
      <c r="AD7" s="426">
        <f t="shared" si="8"/>
        <v>230.02000000000004</v>
      </c>
      <c r="AE7" s="427"/>
      <c r="AF7" s="427">
        <f>'Planned Expenses'!N98-'Details Sheet'!AD7</f>
        <v>324.97999999999996</v>
      </c>
      <c r="AG7" s="428"/>
      <c r="AH7" s="426">
        <f t="shared" si="9"/>
        <v>503.15999999999997</v>
      </c>
      <c r="AI7" s="427"/>
      <c r="AJ7" s="427">
        <f>'Planned Expenses'!Q98-'Details Sheet'!AH7</f>
        <v>51.840000000000032</v>
      </c>
      <c r="AK7" s="428"/>
      <c r="AL7" s="426">
        <f t="shared" si="10"/>
        <v>130.63</v>
      </c>
      <c r="AM7" s="427"/>
      <c r="AN7" s="427">
        <f>'Planned Expenses'!T98-'Details Sheet'!AL7</f>
        <v>544.37</v>
      </c>
      <c r="AO7" s="428"/>
      <c r="AP7" s="426">
        <f t="shared" si="11"/>
        <v>0</v>
      </c>
      <c r="AQ7" s="427"/>
      <c r="AR7" s="427">
        <f>'Planned Expenses'!W98-'Details Sheet'!AP7</f>
        <v>675</v>
      </c>
      <c r="AS7" s="428"/>
      <c r="AT7" s="426">
        <f t="shared" si="12"/>
        <v>0</v>
      </c>
      <c r="AU7" s="427"/>
      <c r="AV7" s="427">
        <f>'Planned Expenses'!Z98-'Details Sheet'!AT7</f>
        <v>675</v>
      </c>
      <c r="AW7" s="428"/>
      <c r="AX7" s="453">
        <f t="shared" si="13"/>
        <v>3617.4700000000003</v>
      </c>
      <c r="AY7" s="448"/>
      <c r="AZ7" s="448">
        <f>IF(ROUND(SUM(AV7,AR7,AN7,AJ7,AF7,AB7,X7,T7,P7,L7,H7,D7),2)&lt;&gt;ROUND('Planned Expenses'!T6-AX7,2),"ERROR",('Planned Expenses'!T6-AX7))</f>
        <v>3300.9799999999996</v>
      </c>
      <c r="BA7" s="449"/>
      <c r="CF7" s="186"/>
      <c r="CG7" s="186"/>
      <c r="CH7" s="186"/>
      <c r="CI7" s="186"/>
      <c r="CJ7" s="186"/>
      <c r="CK7" s="186"/>
      <c r="CL7" s="186"/>
      <c r="CM7" s="186"/>
      <c r="CN7" s="186"/>
      <c r="CO7" s="186"/>
    </row>
    <row r="8" spans="1:93" x14ac:dyDescent="0.2">
      <c r="A8" s="106" t="str">
        <f t="shared" si="0"/>
        <v>Housing Subtotal</v>
      </c>
      <c r="B8" s="426">
        <f t="shared" si="1"/>
        <v>0</v>
      </c>
      <c r="C8" s="427"/>
      <c r="D8" s="427">
        <f>'Planned Expenses'!K53-'Details Sheet'!B8</f>
        <v>0</v>
      </c>
      <c r="E8" s="428"/>
      <c r="F8" s="426">
        <f t="shared" si="2"/>
        <v>0</v>
      </c>
      <c r="G8" s="427"/>
      <c r="H8" s="427">
        <f>'Planned Expenses'!N53-'Details Sheet'!F8</f>
        <v>0</v>
      </c>
      <c r="I8" s="428"/>
      <c r="J8" s="426">
        <f t="shared" si="3"/>
        <v>0</v>
      </c>
      <c r="K8" s="427"/>
      <c r="L8" s="427">
        <f>'Planned Expenses'!Q53-'Details Sheet'!J8</f>
        <v>0</v>
      </c>
      <c r="M8" s="428"/>
      <c r="N8" s="426">
        <f t="shared" si="4"/>
        <v>1011.18</v>
      </c>
      <c r="O8" s="427"/>
      <c r="P8" s="427">
        <f>'Planned Expenses'!T53-'Details Sheet'!N8</f>
        <v>0</v>
      </c>
      <c r="Q8" s="428"/>
      <c r="R8" s="426">
        <f t="shared" si="5"/>
        <v>1890.4</v>
      </c>
      <c r="S8" s="427"/>
      <c r="T8" s="427">
        <f>'Planned Expenses'!W53-'Details Sheet'!R8</f>
        <v>0</v>
      </c>
      <c r="U8" s="428"/>
      <c r="V8" s="426">
        <f t="shared" si="6"/>
        <v>1612.2050000000002</v>
      </c>
      <c r="W8" s="427"/>
      <c r="X8" s="427">
        <f>'Planned Expenses'!Z53-'Details Sheet'!V8</f>
        <v>321.29499999999985</v>
      </c>
      <c r="Y8" s="428"/>
      <c r="Z8" s="426">
        <f t="shared" si="7"/>
        <v>1951.5550000000001</v>
      </c>
      <c r="AA8" s="427"/>
      <c r="AB8" s="427">
        <f>'Planned Expenses'!K99-'Details Sheet'!Z8</f>
        <v>-18.055000000000064</v>
      </c>
      <c r="AC8" s="428"/>
      <c r="AD8" s="426">
        <f t="shared" si="8"/>
        <v>2066.8399999999997</v>
      </c>
      <c r="AE8" s="427"/>
      <c r="AF8" s="427">
        <f>'Planned Expenses'!N99-'Details Sheet'!AD8</f>
        <v>66.660000000000309</v>
      </c>
      <c r="AG8" s="428"/>
      <c r="AH8" s="426">
        <f t="shared" si="9"/>
        <v>2300.17</v>
      </c>
      <c r="AI8" s="427"/>
      <c r="AJ8" s="427">
        <f>'Planned Expenses'!Q99-'Details Sheet'!AH8</f>
        <v>-166.67000000000007</v>
      </c>
      <c r="AK8" s="428"/>
      <c r="AL8" s="426">
        <f t="shared" si="10"/>
        <v>1896</v>
      </c>
      <c r="AM8" s="427"/>
      <c r="AN8" s="427">
        <f>'Planned Expenses'!T99-'Details Sheet'!AL8</f>
        <v>37.5</v>
      </c>
      <c r="AO8" s="428"/>
      <c r="AP8" s="426">
        <f t="shared" si="11"/>
        <v>0</v>
      </c>
      <c r="AQ8" s="427"/>
      <c r="AR8" s="427">
        <f>'Planned Expenses'!W99-'Details Sheet'!AP8</f>
        <v>1933.5</v>
      </c>
      <c r="AS8" s="428"/>
      <c r="AT8" s="426">
        <f t="shared" si="12"/>
        <v>0</v>
      </c>
      <c r="AU8" s="427"/>
      <c r="AV8" s="427">
        <f>'Planned Expenses'!Z99-'Details Sheet'!AT8</f>
        <v>1933.5</v>
      </c>
      <c r="AW8" s="428"/>
      <c r="AX8" s="453">
        <f t="shared" si="13"/>
        <v>12728.35</v>
      </c>
      <c r="AY8" s="448"/>
      <c r="AZ8" s="448">
        <f>IF(ROUND(SUM(AV8,AR8,AN8,AJ8,AF8,AB8,X8,T8,P8,L8,H8,D8),2)&lt;&gt;ROUND('Planned Expenses'!T7-AX8,2),"ERROR",('Planned Expenses'!T7-AX8))</f>
        <v>4107.7300000000014</v>
      </c>
      <c r="BA8" s="449"/>
      <c r="CF8" s="186"/>
      <c r="CG8" s="186"/>
      <c r="CH8" s="186"/>
      <c r="CI8" s="186"/>
      <c r="CJ8" s="186"/>
      <c r="CK8" s="186"/>
      <c r="CL8" s="186"/>
      <c r="CM8" s="186"/>
      <c r="CN8" s="186"/>
      <c r="CO8" s="186"/>
    </row>
    <row r="9" spans="1:93" x14ac:dyDescent="0.2">
      <c r="A9" s="106" t="str">
        <f t="shared" si="0"/>
        <v>Misc Entertainment Subtotal</v>
      </c>
      <c r="B9" s="426">
        <f t="shared" si="1"/>
        <v>31.5</v>
      </c>
      <c r="C9" s="427"/>
      <c r="D9" s="427">
        <f>'Planned Expenses'!K54-'Details Sheet'!B9</f>
        <v>0</v>
      </c>
      <c r="E9" s="428"/>
      <c r="F9" s="426">
        <f t="shared" si="2"/>
        <v>196.83000000000004</v>
      </c>
      <c r="G9" s="427"/>
      <c r="H9" s="427">
        <f>'Planned Expenses'!N54-'Details Sheet'!F9</f>
        <v>0</v>
      </c>
      <c r="I9" s="428"/>
      <c r="J9" s="426">
        <f t="shared" si="3"/>
        <v>288.26</v>
      </c>
      <c r="K9" s="427"/>
      <c r="L9" s="427">
        <f>'Planned Expenses'!Q54-'Details Sheet'!J9</f>
        <v>0</v>
      </c>
      <c r="M9" s="428"/>
      <c r="N9" s="426">
        <f t="shared" si="4"/>
        <v>71.55</v>
      </c>
      <c r="O9" s="427"/>
      <c r="P9" s="427">
        <f>'Planned Expenses'!T54-'Details Sheet'!N9</f>
        <v>0</v>
      </c>
      <c r="Q9" s="428"/>
      <c r="R9" s="426">
        <f t="shared" si="5"/>
        <v>43.7</v>
      </c>
      <c r="S9" s="427"/>
      <c r="T9" s="427">
        <f>'Planned Expenses'!W54-'Details Sheet'!R9</f>
        <v>0</v>
      </c>
      <c r="U9" s="428"/>
      <c r="V9" s="426">
        <f t="shared" si="6"/>
        <v>70.100000000000009</v>
      </c>
      <c r="W9" s="427"/>
      <c r="X9" s="427">
        <f>'Planned Expenses'!Z54-'Details Sheet'!V9</f>
        <v>59.899999999999991</v>
      </c>
      <c r="Y9" s="428"/>
      <c r="Z9" s="426">
        <f t="shared" si="7"/>
        <v>177.74</v>
      </c>
      <c r="AA9" s="427"/>
      <c r="AB9" s="427">
        <f>'Planned Expenses'!K100-'Details Sheet'!Z9</f>
        <v>-47.740000000000009</v>
      </c>
      <c r="AC9" s="428"/>
      <c r="AD9" s="426">
        <f t="shared" si="8"/>
        <v>170.92000000000002</v>
      </c>
      <c r="AE9" s="427"/>
      <c r="AF9" s="427">
        <f>'Planned Expenses'!N100-'Details Sheet'!AD9</f>
        <v>-40.920000000000016</v>
      </c>
      <c r="AG9" s="428"/>
      <c r="AH9" s="426">
        <f t="shared" si="9"/>
        <v>78.88</v>
      </c>
      <c r="AI9" s="427"/>
      <c r="AJ9" s="427">
        <f>'Planned Expenses'!Q100-'Details Sheet'!AH9</f>
        <v>51.120000000000005</v>
      </c>
      <c r="AK9" s="428"/>
      <c r="AL9" s="426">
        <f t="shared" si="10"/>
        <v>68</v>
      </c>
      <c r="AM9" s="427"/>
      <c r="AN9" s="427">
        <f>'Planned Expenses'!T100-'Details Sheet'!AL9</f>
        <v>62</v>
      </c>
      <c r="AO9" s="428"/>
      <c r="AP9" s="426">
        <f t="shared" si="11"/>
        <v>0</v>
      </c>
      <c r="AQ9" s="427"/>
      <c r="AR9" s="427">
        <f>'Planned Expenses'!W100-'Details Sheet'!AP9</f>
        <v>130</v>
      </c>
      <c r="AS9" s="428"/>
      <c r="AT9" s="426">
        <f t="shared" si="12"/>
        <v>0</v>
      </c>
      <c r="AU9" s="427"/>
      <c r="AV9" s="427">
        <f>'Planned Expenses'!Z100-'Details Sheet'!AT9</f>
        <v>130</v>
      </c>
      <c r="AW9" s="428"/>
      <c r="AX9" s="453">
        <f t="shared" si="13"/>
        <v>1197.48</v>
      </c>
      <c r="AY9" s="448"/>
      <c r="AZ9" s="448">
        <f>IF(ROUND(SUM(AV9,AR9,AN9,AJ9,AF9,AB9,X9,T9,P9,L9,H9,D9),2)&lt;&gt;ROUND('Planned Expenses'!T8-AX9,2),"ERROR",('Planned Expenses'!T8-AX9))</f>
        <v>344.36000000000013</v>
      </c>
      <c r="BA9" s="449"/>
      <c r="CF9" s="186"/>
      <c r="CG9" s="186"/>
      <c r="CH9" s="186"/>
      <c r="CI9" s="186"/>
      <c r="CJ9" s="186"/>
      <c r="CK9" s="186"/>
      <c r="CL9" s="186"/>
      <c r="CM9" s="186"/>
      <c r="CN9" s="186"/>
      <c r="CO9" s="186"/>
    </row>
    <row r="10" spans="1:93" x14ac:dyDescent="0.2">
      <c r="A10" s="106" t="str">
        <f t="shared" si="0"/>
        <v>Education Subtotal</v>
      </c>
      <c r="B10" s="426">
        <f t="shared" si="1"/>
        <v>72</v>
      </c>
      <c r="C10" s="427"/>
      <c r="D10" s="427">
        <f>'Planned Expenses'!K55-'Details Sheet'!B10</f>
        <v>0</v>
      </c>
      <c r="E10" s="428"/>
      <c r="F10" s="426">
        <f t="shared" si="2"/>
        <v>0</v>
      </c>
      <c r="G10" s="427"/>
      <c r="H10" s="427">
        <f>'Planned Expenses'!N55-'Details Sheet'!F10</f>
        <v>0</v>
      </c>
      <c r="I10" s="428"/>
      <c r="J10" s="426">
        <f t="shared" si="3"/>
        <v>2</v>
      </c>
      <c r="K10" s="427"/>
      <c r="L10" s="427">
        <f>'Planned Expenses'!Q55-'Details Sheet'!J10</f>
        <v>0</v>
      </c>
      <c r="M10" s="428"/>
      <c r="N10" s="426">
        <f t="shared" si="4"/>
        <v>31.97</v>
      </c>
      <c r="O10" s="427"/>
      <c r="P10" s="427">
        <f>'Planned Expenses'!T55-'Details Sheet'!N10</f>
        <v>2.8421709430404007E-14</v>
      </c>
      <c r="Q10" s="428"/>
      <c r="R10" s="426">
        <f t="shared" si="5"/>
        <v>18.04</v>
      </c>
      <c r="S10" s="427"/>
      <c r="T10" s="427">
        <f>'Planned Expenses'!W55-'Details Sheet'!R10</f>
        <v>-3.5527136788005009E-14</v>
      </c>
      <c r="U10" s="428"/>
      <c r="V10" s="426">
        <f t="shared" si="6"/>
        <v>337.51</v>
      </c>
      <c r="W10" s="427"/>
      <c r="X10" s="427">
        <f>'Planned Expenses'!Z55-'Details Sheet'!V10</f>
        <v>462.49</v>
      </c>
      <c r="Y10" s="428"/>
      <c r="Z10" s="426">
        <f t="shared" si="7"/>
        <v>417.04999999999995</v>
      </c>
      <c r="AA10" s="427"/>
      <c r="AB10" s="427">
        <f>'Planned Expenses'!K101-'Details Sheet'!Z10</f>
        <v>382.95000000000005</v>
      </c>
      <c r="AC10" s="428"/>
      <c r="AD10" s="426">
        <f t="shared" si="8"/>
        <v>0</v>
      </c>
      <c r="AE10" s="427"/>
      <c r="AF10" s="427">
        <f>'Planned Expenses'!N101-'Details Sheet'!AD10</f>
        <v>0</v>
      </c>
      <c r="AG10" s="428"/>
      <c r="AH10" s="426">
        <f t="shared" si="9"/>
        <v>0</v>
      </c>
      <c r="AI10" s="427"/>
      <c r="AJ10" s="427">
        <f>'Planned Expenses'!Q101-'Details Sheet'!AH10</f>
        <v>0</v>
      </c>
      <c r="AK10" s="428"/>
      <c r="AL10" s="426">
        <f t="shared" si="10"/>
        <v>45.44</v>
      </c>
      <c r="AM10" s="427"/>
      <c r="AN10" s="427">
        <f>'Planned Expenses'!T101-'Details Sheet'!AL10</f>
        <v>-45.44</v>
      </c>
      <c r="AO10" s="428"/>
      <c r="AP10" s="426">
        <f t="shared" si="11"/>
        <v>0</v>
      </c>
      <c r="AQ10" s="427"/>
      <c r="AR10" s="427">
        <f>'Planned Expenses'!W101-'Details Sheet'!AP10</f>
        <v>800</v>
      </c>
      <c r="AS10" s="428"/>
      <c r="AT10" s="426">
        <f t="shared" si="12"/>
        <v>0</v>
      </c>
      <c r="AU10" s="427"/>
      <c r="AV10" s="427">
        <f>'Planned Expenses'!Z101-'Details Sheet'!AT10</f>
        <v>800</v>
      </c>
      <c r="AW10" s="428"/>
      <c r="AX10" s="453">
        <f t="shared" si="13"/>
        <v>924.01</v>
      </c>
      <c r="AY10" s="448"/>
      <c r="AZ10" s="448">
        <f>IF(ROUND(SUM(AV10,AR10,AN10,AJ10,AF10,AB10,X10,T10,P10,L10,H10,D10),2)&lt;&gt;ROUND('Planned Expenses'!T9-AX10,2),"ERROR",('Planned Expenses'!T9-AX10))</f>
        <v>2400</v>
      </c>
      <c r="BA10" s="449"/>
      <c r="CF10" s="186"/>
      <c r="CG10" s="186"/>
      <c r="CH10" s="186"/>
      <c r="CI10" s="186"/>
      <c r="CJ10" s="186"/>
      <c r="CK10" s="186"/>
      <c r="CL10" s="186"/>
      <c r="CM10" s="186"/>
      <c r="CN10" s="186"/>
      <c r="CO10" s="186"/>
    </row>
    <row r="11" spans="1:93" x14ac:dyDescent="0.2">
      <c r="A11" s="106" t="str">
        <f t="shared" si="0"/>
        <v>Savings Subtotal</v>
      </c>
      <c r="B11" s="426">
        <f>SUMIF(D$17:D$314, $AY26, C$17:C$314)</f>
        <v>0</v>
      </c>
      <c r="C11" s="427"/>
      <c r="D11" s="427">
        <f>'Planned Expenses'!K56-'Details Sheet'!B11</f>
        <v>0</v>
      </c>
      <c r="E11" s="428"/>
      <c r="F11" s="426">
        <f>SUMIF(H$17:H$314, $AY26, G$17:G$314)</f>
        <v>0</v>
      </c>
      <c r="G11" s="427"/>
      <c r="H11" s="427">
        <f>'Planned Expenses'!N56-'Details Sheet'!F11</f>
        <v>0</v>
      </c>
      <c r="I11" s="428"/>
      <c r="J11" s="426">
        <f>SUMIF(L$17:L$314, $AY26, K$17:K$314)</f>
        <v>0</v>
      </c>
      <c r="K11" s="427"/>
      <c r="L11" s="427">
        <f>'Planned Expenses'!Q56-'Details Sheet'!J11</f>
        <v>0</v>
      </c>
      <c r="M11" s="428"/>
      <c r="N11" s="426">
        <f>SUMIF(P$17:P$314, $AY26, O$17:O$314)</f>
        <v>0</v>
      </c>
      <c r="O11" s="427"/>
      <c r="P11" s="427">
        <f>'Planned Expenses'!T56-'Details Sheet'!N11</f>
        <v>0</v>
      </c>
      <c r="Q11" s="428"/>
      <c r="R11" s="426">
        <f>SUMIF(T$17:T$314, $AY26, S$17:S$314)</f>
        <v>0</v>
      </c>
      <c r="S11" s="427"/>
      <c r="T11" s="427">
        <f>'Planned Expenses'!W56-'Details Sheet'!R11</f>
        <v>0</v>
      </c>
      <c r="U11" s="428"/>
      <c r="V11" s="426">
        <f>SUMIF(X$17:X$314, $AY26, W$17:W$314)</f>
        <v>0</v>
      </c>
      <c r="W11" s="427"/>
      <c r="X11" s="427">
        <f>'Planned Expenses'!Z56-'Details Sheet'!V11</f>
        <v>100</v>
      </c>
      <c r="Y11" s="428"/>
      <c r="Z11" s="426">
        <f>SUMIF(AB$17:AB$314, $AY26, AA$17:AA$314)</f>
        <v>-166</v>
      </c>
      <c r="AA11" s="427"/>
      <c r="AB11" s="427">
        <f>'Planned Expenses'!K102-'Details Sheet'!Z11</f>
        <v>266</v>
      </c>
      <c r="AC11" s="428"/>
      <c r="AD11" s="426">
        <f>SUMIF(AF$17:AF$314, $AY26, AE$17:AE$314)</f>
        <v>207</v>
      </c>
      <c r="AE11" s="427"/>
      <c r="AF11" s="427">
        <f>'Planned Expenses'!N102-'Details Sheet'!AD11</f>
        <v>123</v>
      </c>
      <c r="AG11" s="428"/>
      <c r="AH11" s="426">
        <f>SUMIF(AJ$17:AJ$314, $AY26, AI$17:AI$314)</f>
        <v>110</v>
      </c>
      <c r="AI11" s="427"/>
      <c r="AJ11" s="427">
        <f>'Planned Expenses'!Q102-'Details Sheet'!AH11</f>
        <v>110</v>
      </c>
      <c r="AK11" s="428"/>
      <c r="AL11" s="426">
        <f>SUMIF(AN$17:AN$314, $AY26, AM$17:AM$314)</f>
        <v>0</v>
      </c>
      <c r="AM11" s="427"/>
      <c r="AN11" s="427">
        <f>'Planned Expenses'!T102-'Details Sheet'!AL11</f>
        <v>210</v>
      </c>
      <c r="AO11" s="428"/>
      <c r="AP11" s="426">
        <f>SUMIF(AR$17:AR$314, $AY26, AQ$17:AQ$314)</f>
        <v>0</v>
      </c>
      <c r="AQ11" s="427"/>
      <c r="AR11" s="427">
        <f>'Planned Expenses'!W102-'Details Sheet'!AP11</f>
        <v>100</v>
      </c>
      <c r="AS11" s="428"/>
      <c r="AT11" s="426">
        <f>SUMIF(AV$17:AV$314, $AY26, AU$17:AU$314)</f>
        <v>0</v>
      </c>
      <c r="AU11" s="427"/>
      <c r="AV11" s="427">
        <f>'Planned Expenses'!Z102-'Details Sheet'!AT11</f>
        <v>100</v>
      </c>
      <c r="AW11" s="428"/>
      <c r="AX11" s="453">
        <f>SUM(AT11,AP11,AL11,AH11,AD11,Z11,V11,R11,N11,J11,F11,B11)</f>
        <v>151</v>
      </c>
      <c r="AY11" s="448"/>
      <c r="AZ11" s="448">
        <f>IF(ROUND(SUM(AV11,AR11,AN11,AJ11,AF11,AB11,X11,T11,P11,L11,H11,D11),2)&lt;&gt;ROUND('Planned Expenses'!T10-AX11,2),"ERROR",('Planned Expenses'!T10-AX11))</f>
        <v>1009</v>
      </c>
      <c r="BA11" s="449"/>
      <c r="CF11" s="186"/>
      <c r="CG11" s="186"/>
      <c r="CH11" s="186"/>
      <c r="CI11" s="186"/>
      <c r="CJ11" s="186"/>
      <c r="CK11" s="186"/>
      <c r="CL11" s="186"/>
      <c r="CM11" s="186"/>
      <c r="CN11" s="186"/>
      <c r="CO11" s="186"/>
    </row>
    <row r="12" spans="1:93" x14ac:dyDescent="0.2">
      <c r="A12" s="106" t="str">
        <f t="shared" si="0"/>
        <v>Vacation Subtotal</v>
      </c>
      <c r="B12" s="426">
        <f t="shared" si="1"/>
        <v>0</v>
      </c>
      <c r="C12" s="427"/>
      <c r="D12" s="427">
        <f>'Planned Expenses'!K57-'Details Sheet'!B12</f>
        <v>0</v>
      </c>
      <c r="E12" s="428"/>
      <c r="F12" s="426">
        <f t="shared" ref="F12:F13" si="14">SUMIF(H$17:H$314, $AY27, G$17:G$314)</f>
        <v>609.62</v>
      </c>
      <c r="G12" s="427"/>
      <c r="H12" s="427">
        <f>'Planned Expenses'!N57-'Details Sheet'!F12</f>
        <v>0</v>
      </c>
      <c r="I12" s="428"/>
      <c r="J12" s="426">
        <f t="shared" ref="J12:J13" si="15">SUMIF(L$17:L$314, $AY27, K$17:K$314)</f>
        <v>0</v>
      </c>
      <c r="K12" s="427"/>
      <c r="L12" s="427">
        <f>'Planned Expenses'!Q57-'Details Sheet'!J12</f>
        <v>0</v>
      </c>
      <c r="M12" s="428"/>
      <c r="N12" s="426">
        <f t="shared" ref="N12:N13" si="16">SUMIF(P$17:P$314, $AY27, O$17:O$314)</f>
        <v>0</v>
      </c>
      <c r="O12" s="427"/>
      <c r="P12" s="427">
        <f>'Planned Expenses'!T57-'Details Sheet'!N12</f>
        <v>0</v>
      </c>
      <c r="Q12" s="428"/>
      <c r="R12" s="426">
        <f t="shared" ref="R12:R13" si="17">SUMIF(T$17:T$314, $AY27, S$17:S$314)</f>
        <v>345.44</v>
      </c>
      <c r="S12" s="427"/>
      <c r="T12" s="427">
        <f>'Planned Expenses'!W57-'Details Sheet'!R12</f>
        <v>0</v>
      </c>
      <c r="U12" s="428"/>
      <c r="V12" s="426">
        <f t="shared" ref="V12" si="18">SUMIF(X$17:X$314, $AY27, W$17:W$314)</f>
        <v>0</v>
      </c>
      <c r="W12" s="427"/>
      <c r="X12" s="427">
        <f>'Planned Expenses'!Z57-'Details Sheet'!V12</f>
        <v>37.5</v>
      </c>
      <c r="Y12" s="428"/>
      <c r="Z12" s="426">
        <f t="shared" ref="Z12:Z13" si="19">SUMIF(AB$17:AB$314, $AY27, AA$17:AA$314)</f>
        <v>0</v>
      </c>
      <c r="AA12" s="427"/>
      <c r="AB12" s="427">
        <f>'Planned Expenses'!K103-'Details Sheet'!Z12</f>
        <v>37.5</v>
      </c>
      <c r="AC12" s="428"/>
      <c r="AD12" s="426">
        <f t="shared" ref="AD12:AD13" si="20">SUMIF(AF$17:AF$314, $AY27, AE$17:AE$314)</f>
        <v>0</v>
      </c>
      <c r="AE12" s="427"/>
      <c r="AF12" s="427">
        <f>'Planned Expenses'!N103-'Details Sheet'!AD12</f>
        <v>37.5</v>
      </c>
      <c r="AG12" s="428"/>
      <c r="AH12" s="426">
        <f t="shared" ref="AH12:AH13" si="21">SUMIF(AJ$17:AJ$314, $AY27, AI$17:AI$314)</f>
        <v>354.21000000000004</v>
      </c>
      <c r="AI12" s="427"/>
      <c r="AJ12" s="427">
        <f>'Planned Expenses'!Q103-'Details Sheet'!AH12</f>
        <v>-16.710000000000036</v>
      </c>
      <c r="AK12" s="428"/>
      <c r="AL12" s="426">
        <f t="shared" ref="AL12:AL13" si="22">SUMIF(AN$17:AN$314, $AY27, AM$17:AM$314)</f>
        <v>452.94000000000005</v>
      </c>
      <c r="AM12" s="427"/>
      <c r="AN12" s="427">
        <f>'Planned Expenses'!T103-'Details Sheet'!AL12</f>
        <v>34.559999999999945</v>
      </c>
      <c r="AO12" s="428"/>
      <c r="AP12" s="426">
        <f t="shared" ref="AP12:AP13" si="23">SUMIF(AR$17:AR$314, $AY27, AQ$17:AQ$314)</f>
        <v>0</v>
      </c>
      <c r="AQ12" s="427"/>
      <c r="AR12" s="427">
        <f>'Planned Expenses'!W103-'Details Sheet'!AP12</f>
        <v>37.5</v>
      </c>
      <c r="AS12" s="428"/>
      <c r="AT12" s="426">
        <f t="shared" ref="AT12:AT13" si="24">SUMIF(AV$17:AV$314, $AY27, AU$17:AU$314)</f>
        <v>0</v>
      </c>
      <c r="AU12" s="427"/>
      <c r="AV12" s="427">
        <f>'Planned Expenses'!Z103-'Details Sheet'!AT12</f>
        <v>37.5</v>
      </c>
      <c r="AW12" s="428"/>
      <c r="AX12" s="453">
        <f t="shared" si="13"/>
        <v>1762.21</v>
      </c>
      <c r="AY12" s="448"/>
      <c r="AZ12" s="448">
        <f>IF(ROUND(SUM(AV12,AR12,AN12,AJ12,AF12,AB12,X12,T12,P12,L12,H12,D12),2)&lt;&gt;ROUND('Planned Expenses'!T11-AX12,2),"ERROR",('Planned Expenses'!T11-AX12))</f>
        <v>205.34999999999991</v>
      </c>
      <c r="BA12" s="449"/>
      <c r="CF12" s="186"/>
      <c r="CG12" s="186"/>
      <c r="CH12" s="186"/>
      <c r="CI12" s="186"/>
      <c r="CJ12" s="186"/>
      <c r="CK12" s="186"/>
      <c r="CL12" s="186"/>
      <c r="CM12" s="186"/>
      <c r="CN12" s="186"/>
      <c r="CO12" s="186"/>
    </row>
    <row r="13" spans="1:93" s="21" customFormat="1" x14ac:dyDescent="0.2">
      <c r="A13" s="107" t="str">
        <f t="shared" si="0"/>
        <v>Other Subtotal</v>
      </c>
      <c r="B13" s="429">
        <f t="shared" si="1"/>
        <v>157.27000000000001</v>
      </c>
      <c r="C13" s="430"/>
      <c r="D13" s="430">
        <f>'Planned Expenses'!K58-'Details Sheet'!B13</f>
        <v>0</v>
      </c>
      <c r="E13" s="431"/>
      <c r="F13" s="429">
        <f t="shared" si="14"/>
        <v>56.29</v>
      </c>
      <c r="G13" s="430"/>
      <c r="H13" s="430">
        <f>'Planned Expenses'!N58-'Details Sheet'!F13</f>
        <v>0</v>
      </c>
      <c r="I13" s="431"/>
      <c r="J13" s="429">
        <f t="shared" si="15"/>
        <v>998.37</v>
      </c>
      <c r="K13" s="430"/>
      <c r="L13" s="430">
        <f>'Planned Expenses'!Q58-'Details Sheet'!J13</f>
        <v>0</v>
      </c>
      <c r="M13" s="431"/>
      <c r="N13" s="429">
        <f t="shared" si="16"/>
        <v>28.37</v>
      </c>
      <c r="O13" s="430"/>
      <c r="P13" s="430">
        <f>'Planned Expenses'!T58-'Details Sheet'!N13</f>
        <v>0</v>
      </c>
      <c r="Q13" s="431"/>
      <c r="R13" s="429">
        <f t="shared" si="17"/>
        <v>101.6</v>
      </c>
      <c r="S13" s="430"/>
      <c r="T13" s="430">
        <f>'Planned Expenses'!W58-'Details Sheet'!R13</f>
        <v>0</v>
      </c>
      <c r="U13" s="431"/>
      <c r="V13" s="429">
        <f>ROUND(SUMIF(X$17:X$314, $AY28, W$17:W$314),2)</f>
        <v>64.25</v>
      </c>
      <c r="W13" s="430"/>
      <c r="X13" s="430">
        <f>'Planned Expenses'!Z58-'Details Sheet'!V13</f>
        <v>-39.25</v>
      </c>
      <c r="Y13" s="431"/>
      <c r="Z13" s="429">
        <f t="shared" si="19"/>
        <v>208.10999999999996</v>
      </c>
      <c r="AA13" s="430"/>
      <c r="AB13" s="430">
        <f>'Planned Expenses'!K104-'Details Sheet'!Z13</f>
        <v>-183.10999999999996</v>
      </c>
      <c r="AC13" s="431"/>
      <c r="AD13" s="429">
        <f t="shared" si="20"/>
        <v>236.00999999999996</v>
      </c>
      <c r="AE13" s="430"/>
      <c r="AF13" s="430">
        <f>'Planned Expenses'!N104-'Details Sheet'!AD13</f>
        <v>-211.00999999999996</v>
      </c>
      <c r="AG13" s="431"/>
      <c r="AH13" s="429">
        <f t="shared" si="21"/>
        <v>54.040000000000006</v>
      </c>
      <c r="AI13" s="430"/>
      <c r="AJ13" s="430">
        <f>'Planned Expenses'!Q104-'Details Sheet'!AH13</f>
        <v>-29.040000000000006</v>
      </c>
      <c r="AK13" s="431"/>
      <c r="AL13" s="429">
        <f t="shared" si="22"/>
        <v>0</v>
      </c>
      <c r="AM13" s="430"/>
      <c r="AN13" s="430">
        <f>'Planned Expenses'!T104-'Details Sheet'!AL13</f>
        <v>25</v>
      </c>
      <c r="AO13" s="431"/>
      <c r="AP13" s="429">
        <f t="shared" si="23"/>
        <v>0</v>
      </c>
      <c r="AQ13" s="430"/>
      <c r="AR13" s="430">
        <f>'Planned Expenses'!W104-'Details Sheet'!AP13</f>
        <v>25</v>
      </c>
      <c r="AS13" s="431"/>
      <c r="AT13" s="429">
        <f t="shared" si="24"/>
        <v>0</v>
      </c>
      <c r="AU13" s="430"/>
      <c r="AV13" s="430">
        <f>'Planned Expenses'!Z104-'Details Sheet'!AT13</f>
        <v>25</v>
      </c>
      <c r="AW13" s="431"/>
      <c r="AX13" s="452">
        <f t="shared" si="13"/>
        <v>1904.31</v>
      </c>
      <c r="AY13" s="446"/>
      <c r="AZ13" s="446">
        <f>IF(ROUND(SUM(AV13,AR13,AN13,AJ13,AF13,AB13,X13,T13,P13,L13,H13,D13),2)&lt;&gt;ROUND('Planned Expenses'!T12-AX13,2),"ERROR",('Planned Expenses'!T12-AX13))</f>
        <v>-387.41000000000008</v>
      </c>
      <c r="BA13" s="447"/>
      <c r="BF13" s="188"/>
      <c r="BG13" s="190"/>
      <c r="BH13" s="191"/>
      <c r="BI13" s="188"/>
      <c r="BJ13" s="188"/>
      <c r="BK13" s="188"/>
      <c r="BL13" s="188"/>
      <c r="BM13" s="188"/>
      <c r="BN13" s="188"/>
      <c r="BO13" s="188"/>
      <c r="BP13" s="188"/>
      <c r="BQ13" s="188"/>
      <c r="BR13" s="188"/>
      <c r="BS13" s="188"/>
      <c r="BT13" s="188"/>
      <c r="BU13" s="188"/>
      <c r="BV13" s="188"/>
      <c r="BW13" s="188"/>
      <c r="BX13" s="188"/>
      <c r="BY13" s="188"/>
      <c r="BZ13" s="188"/>
      <c r="CA13" s="188"/>
      <c r="CB13" s="188"/>
      <c r="CC13" s="188"/>
      <c r="CD13" s="188"/>
      <c r="CE13" s="188"/>
      <c r="CF13" s="186"/>
      <c r="CG13" s="186"/>
      <c r="CH13" s="186"/>
      <c r="CI13" s="186"/>
      <c r="CJ13" s="186"/>
      <c r="CK13" s="186"/>
      <c r="CL13" s="186"/>
      <c r="CM13" s="186"/>
      <c r="CN13" s="186"/>
      <c r="CO13" s="186"/>
    </row>
    <row r="14" spans="1:93" x14ac:dyDescent="0.2">
      <c r="A14" s="106" t="s">
        <v>72</v>
      </c>
      <c r="B14" s="432">
        <f>SUM(B4:C13)</f>
        <v>1358.79</v>
      </c>
      <c r="C14" s="433"/>
      <c r="D14" s="433">
        <f>SUM(D4:E13)+C17</f>
        <v>0</v>
      </c>
      <c r="E14" s="434"/>
      <c r="F14" s="432">
        <f>SUM(F4:G13)</f>
        <v>1672.1399999999999</v>
      </c>
      <c r="G14" s="433"/>
      <c r="H14" s="433">
        <f>SUM(H4:I13)+G17</f>
        <v>0</v>
      </c>
      <c r="I14" s="434"/>
      <c r="J14" s="432">
        <f>SUM(J4:K13)</f>
        <v>2250.42</v>
      </c>
      <c r="K14" s="433"/>
      <c r="L14" s="433">
        <f>SUM(L4:M13)+K17</f>
        <v>0</v>
      </c>
      <c r="M14" s="434"/>
      <c r="N14" s="432">
        <f>SUM(N4:O13)</f>
        <v>3072.89</v>
      </c>
      <c r="O14" s="433"/>
      <c r="P14" s="433">
        <f>SUM(P4:Q13)+O17</f>
        <v>2.8421709430404007E-14</v>
      </c>
      <c r="Q14" s="434"/>
      <c r="R14" s="432">
        <f>SUM(R4:S13)</f>
        <v>3550.5199999999995</v>
      </c>
      <c r="S14" s="433"/>
      <c r="T14" s="433">
        <f>SUM(T4:U13)+S17</f>
        <v>-3.5527136788005009E-14</v>
      </c>
      <c r="U14" s="434"/>
      <c r="V14" s="432">
        <f>SUM(V4:W13)</f>
        <v>3026.585</v>
      </c>
      <c r="W14" s="433"/>
      <c r="X14" s="433">
        <f>SUM(X4:Y13)+W17</f>
        <v>1620.8149999999998</v>
      </c>
      <c r="Y14" s="434"/>
      <c r="Z14" s="432">
        <f>SUM(Z4:AA13)</f>
        <v>3559.1350000000007</v>
      </c>
      <c r="AA14" s="433"/>
      <c r="AB14" s="433">
        <f>SUM(AB4:AC13)+AA17</f>
        <v>1088.2650000000001</v>
      </c>
      <c r="AC14" s="434"/>
      <c r="AD14" s="432">
        <f>SUM(AD4:AE13)</f>
        <v>4329.04</v>
      </c>
      <c r="AE14" s="433"/>
      <c r="AF14" s="433">
        <f>SUM(AF4:AG13)+AE17</f>
        <v>318.36000000000013</v>
      </c>
      <c r="AG14" s="434"/>
      <c r="AH14" s="432">
        <f>SUM(AH4:AI13)</f>
        <v>4742.4800000000005</v>
      </c>
      <c r="AI14" s="433"/>
      <c r="AJ14" s="433">
        <f>SUM(AJ4:AK13)+AI17</f>
        <v>-95.08000000000014</v>
      </c>
      <c r="AK14" s="434"/>
      <c r="AL14" s="432">
        <f>SUM(AL4:AM13)</f>
        <v>3249.25</v>
      </c>
      <c r="AM14" s="433"/>
      <c r="AN14" s="433">
        <f>SUM(AN4:AO13)+AM17</f>
        <v>1158.1499999999999</v>
      </c>
      <c r="AO14" s="434"/>
      <c r="AP14" s="432">
        <f>SUM(AP4:AQ13)</f>
        <v>0</v>
      </c>
      <c r="AQ14" s="433"/>
      <c r="AR14" s="433">
        <f>SUM(AR4:AS13)+AQ17</f>
        <v>4647.3999999999996</v>
      </c>
      <c r="AS14" s="434"/>
      <c r="AT14" s="432">
        <f>SUM(AT4:AU13)</f>
        <v>0</v>
      </c>
      <c r="AU14" s="433"/>
      <c r="AV14" s="433">
        <f>SUM(AV4:AW13)+AU17</f>
        <v>4647.3999999999996</v>
      </c>
      <c r="AW14" s="434"/>
      <c r="AX14" s="451">
        <f t="shared" si="13"/>
        <v>30811.25</v>
      </c>
      <c r="AY14" s="438"/>
      <c r="AZ14" s="438">
        <f>IF(ROUND(SUM(AV14,AR14,AN14,AJ14,AF14,AB14,X14,T14,P14,L14,H14,D14),2)&lt;&gt;ROUND('Planned Expenses'!T13-AX14,2),"ERROR",('Planned Expenses'!T13-AX14))</f>
        <v>13385.309999999998</v>
      </c>
      <c r="BA14" s="439"/>
      <c r="CF14" s="186"/>
      <c r="CG14" s="186"/>
      <c r="CH14" s="186"/>
      <c r="CI14" s="186"/>
      <c r="CJ14" s="186"/>
      <c r="CK14" s="186"/>
      <c r="CL14" s="186"/>
      <c r="CM14" s="186"/>
      <c r="CN14" s="186"/>
      <c r="CO14" s="186"/>
    </row>
    <row r="15" spans="1:93" s="60" customFormat="1" ht="9.75" customHeight="1" x14ac:dyDescent="0.2">
      <c r="A15" s="101"/>
      <c r="B15" s="68"/>
      <c r="C15" s="63"/>
      <c r="D15" s="68"/>
      <c r="E15" s="72"/>
      <c r="F15" s="73"/>
      <c r="G15" s="59"/>
      <c r="H15" s="73"/>
      <c r="I15" s="79"/>
      <c r="J15" s="73"/>
      <c r="K15" s="59"/>
      <c r="L15" s="73"/>
      <c r="M15" s="79"/>
      <c r="N15" s="73"/>
      <c r="O15" s="59"/>
      <c r="P15" s="73"/>
      <c r="Q15" s="79"/>
      <c r="R15" s="73"/>
      <c r="S15" s="59"/>
      <c r="T15" s="73"/>
      <c r="U15" s="79"/>
      <c r="V15" s="73"/>
      <c r="W15" s="59"/>
      <c r="X15" s="73"/>
      <c r="Y15" s="79"/>
      <c r="Z15" s="73"/>
      <c r="AA15" s="59"/>
      <c r="AB15" s="73"/>
      <c r="AC15" s="79"/>
      <c r="AD15" s="73"/>
      <c r="AE15" s="59"/>
      <c r="AF15" s="73"/>
      <c r="AG15" s="79"/>
      <c r="AH15" s="73"/>
      <c r="AI15" s="59"/>
      <c r="AJ15" s="73"/>
      <c r="AK15" s="79"/>
      <c r="AL15" s="73"/>
      <c r="AM15" s="59"/>
      <c r="AN15" s="73"/>
      <c r="AO15" s="79"/>
      <c r="AP15" s="73"/>
      <c r="AQ15" s="59"/>
      <c r="AR15" s="73"/>
      <c r="AS15" s="79"/>
      <c r="AT15" s="73"/>
      <c r="AU15" s="59"/>
      <c r="AV15" s="73"/>
      <c r="AW15" s="79"/>
      <c r="BF15" s="188"/>
      <c r="BG15" s="188"/>
      <c r="BH15" s="188"/>
      <c r="BI15" s="188"/>
      <c r="BJ15" s="188"/>
      <c r="BK15" s="188"/>
      <c r="BL15" s="188"/>
      <c r="BM15" s="188"/>
      <c r="BN15" s="188"/>
      <c r="BO15" s="188"/>
      <c r="BP15" s="188"/>
      <c r="BQ15" s="188"/>
      <c r="BR15" s="188"/>
      <c r="BS15" s="188"/>
      <c r="BT15" s="188"/>
      <c r="BU15" s="188"/>
      <c r="BV15" s="188"/>
      <c r="BW15" s="188"/>
      <c r="BX15" s="188"/>
      <c r="BY15" s="188"/>
      <c r="BZ15" s="188"/>
      <c r="CA15" s="188"/>
      <c r="CB15" s="188"/>
      <c r="CC15" s="188"/>
      <c r="CD15" s="188"/>
      <c r="CE15" s="188"/>
      <c r="CF15" s="186"/>
      <c r="CG15" s="186"/>
      <c r="CH15" s="186"/>
      <c r="CI15" s="186"/>
      <c r="CJ15" s="186"/>
      <c r="CK15" s="186"/>
      <c r="CL15" s="186"/>
      <c r="CM15" s="186"/>
      <c r="CN15" s="186"/>
      <c r="CO15" s="186"/>
    </row>
    <row r="16" spans="1:93" s="15" customFormat="1" x14ac:dyDescent="0.2">
      <c r="A16" s="100"/>
      <c r="B16" s="69" t="s">
        <v>84</v>
      </c>
      <c r="C16" s="64" t="s">
        <v>74</v>
      </c>
      <c r="D16" s="69" t="s">
        <v>13</v>
      </c>
      <c r="E16" s="74" t="s">
        <v>75</v>
      </c>
      <c r="F16" s="75" t="s">
        <v>24</v>
      </c>
      <c r="G16" s="16" t="s">
        <v>74</v>
      </c>
      <c r="H16" s="75" t="s">
        <v>13</v>
      </c>
      <c r="I16" s="80" t="s">
        <v>75</v>
      </c>
      <c r="J16" s="75" t="s">
        <v>24</v>
      </c>
      <c r="K16" s="16" t="s">
        <v>74</v>
      </c>
      <c r="L16" s="75" t="s">
        <v>13</v>
      </c>
      <c r="M16" s="80" t="s">
        <v>75</v>
      </c>
      <c r="N16" s="75" t="s">
        <v>24</v>
      </c>
      <c r="O16" s="16" t="s">
        <v>74</v>
      </c>
      <c r="P16" s="75" t="s">
        <v>13</v>
      </c>
      <c r="Q16" s="80" t="s">
        <v>75</v>
      </c>
      <c r="R16" s="75" t="s">
        <v>24</v>
      </c>
      <c r="S16" s="16" t="s">
        <v>74</v>
      </c>
      <c r="T16" s="75" t="s">
        <v>13</v>
      </c>
      <c r="U16" s="80" t="s">
        <v>75</v>
      </c>
      <c r="V16" s="75" t="s">
        <v>24</v>
      </c>
      <c r="W16" s="16" t="s">
        <v>74</v>
      </c>
      <c r="X16" s="75" t="s">
        <v>13</v>
      </c>
      <c r="Y16" s="80" t="s">
        <v>75</v>
      </c>
      <c r="Z16" s="75" t="s">
        <v>24</v>
      </c>
      <c r="AA16" s="16" t="s">
        <v>74</v>
      </c>
      <c r="AB16" s="75" t="s">
        <v>13</v>
      </c>
      <c r="AC16" s="80" t="s">
        <v>75</v>
      </c>
      <c r="AD16" s="75" t="s">
        <v>24</v>
      </c>
      <c r="AE16" s="16" t="s">
        <v>74</v>
      </c>
      <c r="AF16" s="75" t="s">
        <v>13</v>
      </c>
      <c r="AG16" s="80" t="s">
        <v>75</v>
      </c>
      <c r="AH16" s="75" t="s">
        <v>24</v>
      </c>
      <c r="AI16" s="16" t="s">
        <v>74</v>
      </c>
      <c r="AJ16" s="75" t="s">
        <v>13</v>
      </c>
      <c r="AK16" s="80" t="s">
        <v>75</v>
      </c>
      <c r="AL16" s="75" t="s">
        <v>24</v>
      </c>
      <c r="AM16" s="16" t="s">
        <v>74</v>
      </c>
      <c r="AN16" s="75" t="s">
        <v>13</v>
      </c>
      <c r="AO16" s="80" t="s">
        <v>75</v>
      </c>
      <c r="AP16" s="75" t="s">
        <v>24</v>
      </c>
      <c r="AQ16" s="16" t="s">
        <v>74</v>
      </c>
      <c r="AR16" s="75" t="s">
        <v>13</v>
      </c>
      <c r="AS16" s="80" t="s">
        <v>75</v>
      </c>
      <c r="AT16" s="75" t="s">
        <v>24</v>
      </c>
      <c r="AU16" s="16" t="s">
        <v>74</v>
      </c>
      <c r="AV16" s="75" t="s">
        <v>13</v>
      </c>
      <c r="AW16" s="80" t="s">
        <v>75</v>
      </c>
      <c r="BF16" s="188"/>
      <c r="BG16" s="188"/>
      <c r="BH16" s="188"/>
      <c r="BI16" s="188"/>
      <c r="BJ16" s="188"/>
      <c r="BK16" s="188"/>
      <c r="BL16" s="188"/>
      <c r="BM16" s="188"/>
      <c r="BN16" s="188"/>
      <c r="BO16" s="188"/>
      <c r="BP16" s="188"/>
      <c r="BQ16" s="188"/>
      <c r="BR16" s="188"/>
      <c r="BS16" s="188"/>
      <c r="BT16" s="188"/>
      <c r="BU16" s="188"/>
      <c r="BV16" s="188"/>
      <c r="BW16" s="188"/>
      <c r="BX16" s="188"/>
      <c r="BY16" s="188"/>
      <c r="BZ16" s="188"/>
      <c r="CA16" s="188"/>
      <c r="CB16" s="188"/>
      <c r="CC16" s="188"/>
      <c r="CD16" s="188"/>
      <c r="CE16" s="188"/>
      <c r="CF16" s="187"/>
      <c r="CG16" s="187"/>
      <c r="CH16" s="187"/>
      <c r="CI16" s="187"/>
      <c r="CJ16" s="187"/>
      <c r="CK16" s="187"/>
      <c r="CL16" s="187"/>
      <c r="CM16" s="187"/>
      <c r="CN16" s="187"/>
      <c r="CO16" s="187"/>
    </row>
    <row r="17" spans="1:93" ht="31.5" customHeight="1" x14ac:dyDescent="0.2">
      <c r="A17" s="99"/>
      <c r="B17" s="81" t="s">
        <v>87</v>
      </c>
      <c r="C17" s="82"/>
      <c r="D17" s="81"/>
      <c r="E17" s="83"/>
      <c r="F17" s="81" t="s">
        <v>87</v>
      </c>
      <c r="G17" s="82"/>
      <c r="H17" s="81"/>
      <c r="I17" s="83"/>
      <c r="J17" s="81" t="s">
        <v>87</v>
      </c>
      <c r="K17" s="82"/>
      <c r="L17" s="81"/>
      <c r="M17" s="83"/>
      <c r="N17" s="81" t="s">
        <v>87</v>
      </c>
      <c r="O17" s="84"/>
      <c r="P17" s="81"/>
      <c r="Q17" s="83"/>
      <c r="R17" s="81" t="s">
        <v>87</v>
      </c>
      <c r="S17" s="84"/>
      <c r="T17" s="81"/>
      <c r="U17" s="83"/>
      <c r="V17" s="81"/>
      <c r="W17" s="84"/>
      <c r="X17" s="81"/>
      <c r="Y17" s="83"/>
      <c r="Z17" s="81" t="s">
        <v>87</v>
      </c>
      <c r="AA17" s="84"/>
      <c r="AB17" s="81"/>
      <c r="AC17" s="83"/>
      <c r="AD17" s="81" t="s">
        <v>87</v>
      </c>
      <c r="AE17" s="84"/>
      <c r="AF17" s="81"/>
      <c r="AG17" s="83"/>
      <c r="AH17" s="81" t="s">
        <v>87</v>
      </c>
      <c r="AI17" s="84"/>
      <c r="AJ17" s="81"/>
      <c r="AK17" s="83"/>
      <c r="AL17" s="81" t="s">
        <v>87</v>
      </c>
      <c r="AM17" s="84"/>
      <c r="AN17" s="81"/>
      <c r="AO17" s="83"/>
      <c r="AP17" s="81" t="s">
        <v>87</v>
      </c>
      <c r="AQ17" s="84"/>
      <c r="AR17" s="81"/>
      <c r="AS17" s="83"/>
      <c r="AT17" s="81" t="s">
        <v>87</v>
      </c>
      <c r="AU17" s="84"/>
      <c r="AV17" s="81"/>
      <c r="AW17" s="83"/>
      <c r="AY17" s="67" t="s">
        <v>46</v>
      </c>
      <c r="AZ17" s="67"/>
      <c r="BA17" s="67" t="s">
        <v>77</v>
      </c>
      <c r="CF17" s="186"/>
      <c r="CG17" s="186"/>
      <c r="CH17" s="186"/>
      <c r="CI17" s="186"/>
      <c r="CJ17" s="186"/>
      <c r="CK17" s="186"/>
      <c r="CL17" s="186"/>
      <c r="CM17" s="186"/>
      <c r="CN17" s="186"/>
      <c r="CO17" s="186"/>
    </row>
    <row r="18" spans="1:93" ht="31.5" customHeight="1" x14ac:dyDescent="0.2">
      <c r="A18" s="99"/>
      <c r="B18" s="423" t="s">
        <v>94</v>
      </c>
      <c r="C18" s="424"/>
      <c r="D18" s="424"/>
      <c r="E18" s="425"/>
      <c r="F18" s="423" t="s">
        <v>94</v>
      </c>
      <c r="G18" s="424"/>
      <c r="H18" s="424"/>
      <c r="I18" s="425"/>
      <c r="J18" s="423" t="s">
        <v>94</v>
      </c>
      <c r="K18" s="424"/>
      <c r="L18" s="424"/>
      <c r="M18" s="425"/>
      <c r="N18" s="77" t="s">
        <v>102</v>
      </c>
      <c r="O18" s="18">
        <v>3.25</v>
      </c>
      <c r="P18" s="70" t="s">
        <v>3</v>
      </c>
      <c r="Q18" s="76" t="s">
        <v>78</v>
      </c>
      <c r="R18" s="77" t="s">
        <v>117</v>
      </c>
      <c r="S18" s="18">
        <v>5.95</v>
      </c>
      <c r="T18" s="70" t="s">
        <v>3</v>
      </c>
      <c r="U18" s="76" t="s">
        <v>78</v>
      </c>
      <c r="V18" s="77" t="s">
        <v>132</v>
      </c>
      <c r="W18" s="345">
        <f>7.95+0.95</f>
        <v>8.9</v>
      </c>
      <c r="X18" s="70" t="s">
        <v>17</v>
      </c>
      <c r="Y18" s="76" t="s">
        <v>78</v>
      </c>
      <c r="Z18" s="77" t="s">
        <v>137</v>
      </c>
      <c r="AA18" s="345">
        <v>20</v>
      </c>
      <c r="AB18" s="70" t="s">
        <v>40</v>
      </c>
      <c r="AC18" s="76" t="s">
        <v>78</v>
      </c>
      <c r="AD18" s="77" t="s">
        <v>293</v>
      </c>
      <c r="AE18" s="345">
        <v>9.7799999999999994</v>
      </c>
      <c r="AF18" s="70" t="s">
        <v>47</v>
      </c>
      <c r="AG18" s="76" t="s">
        <v>145</v>
      </c>
      <c r="AH18" s="77" t="s">
        <v>393</v>
      </c>
      <c r="AI18" s="18">
        <v>30.11</v>
      </c>
      <c r="AJ18" s="236" t="s">
        <v>7</v>
      </c>
      <c r="AK18" s="76" t="s">
        <v>78</v>
      </c>
      <c r="AL18" s="77" t="s">
        <v>102</v>
      </c>
      <c r="AM18" s="18">
        <v>7.85</v>
      </c>
      <c r="AN18" s="326" t="s">
        <v>3</v>
      </c>
      <c r="AO18" s="76" t="s">
        <v>78</v>
      </c>
      <c r="AR18" s="70" t="s">
        <v>85</v>
      </c>
      <c r="AS18" s="76"/>
      <c r="AV18" s="70" t="s">
        <v>85</v>
      </c>
      <c r="AW18" s="76"/>
      <c r="AY18" s="66"/>
      <c r="AZ18" s="102"/>
      <c r="BA18" s="66"/>
    </row>
    <row r="19" spans="1:93" ht="31.5" customHeight="1" x14ac:dyDescent="0.2">
      <c r="A19" s="108" t="s">
        <v>92</v>
      </c>
      <c r="B19" s="70" t="s">
        <v>3</v>
      </c>
      <c r="C19" s="65">
        <v>830.53</v>
      </c>
      <c r="D19" s="70" t="s">
        <v>3</v>
      </c>
      <c r="F19" s="70" t="s">
        <v>3</v>
      </c>
      <c r="G19" s="65">
        <v>713</v>
      </c>
      <c r="H19" s="70" t="s">
        <v>3</v>
      </c>
      <c r="I19" s="76"/>
      <c r="J19" s="70" t="s">
        <v>3</v>
      </c>
      <c r="K19" s="65">
        <v>550.41999999999996</v>
      </c>
      <c r="L19" s="70" t="s">
        <v>3</v>
      </c>
      <c r="M19" s="76"/>
      <c r="N19" s="77" t="s">
        <v>103</v>
      </c>
      <c r="O19" s="18">
        <v>265.5</v>
      </c>
      <c r="P19" s="70" t="s">
        <v>7</v>
      </c>
      <c r="Q19" s="76" t="s">
        <v>78</v>
      </c>
      <c r="R19" s="77" t="s">
        <v>118</v>
      </c>
      <c r="S19" s="18">
        <v>13</v>
      </c>
      <c r="T19" s="70" t="s">
        <v>3</v>
      </c>
      <c r="U19" s="76" t="s">
        <v>78</v>
      </c>
      <c r="V19" s="77" t="s">
        <v>133</v>
      </c>
      <c r="W19" s="345">
        <v>2.34</v>
      </c>
      <c r="X19" s="70" t="s">
        <v>3</v>
      </c>
      <c r="Y19" s="76" t="s">
        <v>78</v>
      </c>
      <c r="Z19" s="77" t="s">
        <v>112</v>
      </c>
      <c r="AA19" s="345">
        <v>23.95</v>
      </c>
      <c r="AB19" s="70" t="s">
        <v>48</v>
      </c>
      <c r="AC19" s="76" t="s">
        <v>78</v>
      </c>
      <c r="AD19" s="77" t="s">
        <v>343</v>
      </c>
      <c r="AE19" s="345">
        <v>207</v>
      </c>
      <c r="AF19" s="70" t="s">
        <v>8</v>
      </c>
      <c r="AG19" s="76" t="s">
        <v>394</v>
      </c>
      <c r="AH19" s="77" t="s">
        <v>360</v>
      </c>
      <c r="AI19" s="18">
        <v>4.2300000000000004</v>
      </c>
      <c r="AJ19" s="236" t="s">
        <v>3</v>
      </c>
      <c r="AK19" s="76" t="s">
        <v>78</v>
      </c>
      <c r="AL19" s="77" t="s">
        <v>513</v>
      </c>
      <c r="AM19" s="18">
        <f>6.95+10.95+2.27</f>
        <v>20.169999999999998</v>
      </c>
      <c r="AN19" s="326" t="s">
        <v>3</v>
      </c>
      <c r="AO19" s="76" t="s">
        <v>78</v>
      </c>
      <c r="AR19" s="70" t="s">
        <v>85</v>
      </c>
      <c r="AS19" s="76"/>
      <c r="AV19" s="70" t="s">
        <v>85</v>
      </c>
      <c r="AW19" s="76"/>
      <c r="AY19" s="7" t="str">
        <f>IF(ISBLANK('Planned Expenses'!M3),"",'Planned Expenses'!M3)</f>
        <v>Health and Wellness</v>
      </c>
      <c r="BA19" s="7" t="s">
        <v>78</v>
      </c>
    </row>
    <row r="20" spans="1:93" ht="31.5" customHeight="1" x14ac:dyDescent="0.2">
      <c r="A20" s="228"/>
      <c r="B20" s="70" t="s">
        <v>7</v>
      </c>
      <c r="C20" s="65">
        <v>267.49</v>
      </c>
      <c r="D20" s="70" t="s">
        <v>7</v>
      </c>
      <c r="F20" s="70" t="s">
        <v>7</v>
      </c>
      <c r="G20" s="65">
        <v>96.4</v>
      </c>
      <c r="H20" s="70" t="s">
        <v>7</v>
      </c>
      <c r="I20" s="76"/>
      <c r="J20" s="70" t="s">
        <v>7</v>
      </c>
      <c r="K20" s="65">
        <v>411.37</v>
      </c>
      <c r="L20" s="70" t="s">
        <v>7</v>
      </c>
      <c r="M20" s="76"/>
      <c r="N20" s="77" t="s">
        <v>104</v>
      </c>
      <c r="O20" s="18">
        <v>5.05</v>
      </c>
      <c r="P20" s="70" t="s">
        <v>3</v>
      </c>
      <c r="Q20" s="76" t="s">
        <v>78</v>
      </c>
      <c r="R20" s="77" t="s">
        <v>119</v>
      </c>
      <c r="S20" s="18">
        <v>19.989999999999998</v>
      </c>
      <c r="T20" s="70" t="s">
        <v>3</v>
      </c>
      <c r="U20" s="76" t="s">
        <v>78</v>
      </c>
      <c r="V20" s="77" t="s">
        <v>134</v>
      </c>
      <c r="W20" s="345">
        <v>33</v>
      </c>
      <c r="X20" s="70" t="s">
        <v>7</v>
      </c>
      <c r="Y20" s="76" t="s">
        <v>78</v>
      </c>
      <c r="Z20" s="77" t="s">
        <v>138</v>
      </c>
      <c r="AA20" s="345">
        <v>14.75</v>
      </c>
      <c r="AB20" s="70" t="s">
        <v>3</v>
      </c>
      <c r="AC20" s="76" t="s">
        <v>78</v>
      </c>
      <c r="AD20" s="77" t="s">
        <v>344</v>
      </c>
      <c r="AE20" s="345">
        <v>12.5</v>
      </c>
      <c r="AF20" s="70" t="s">
        <v>17</v>
      </c>
      <c r="AG20" s="76" t="s">
        <v>145</v>
      </c>
      <c r="AH20" s="77" t="s">
        <v>138</v>
      </c>
      <c r="AI20" s="18">
        <v>9.34</v>
      </c>
      <c r="AJ20" s="236" t="s">
        <v>3</v>
      </c>
      <c r="AK20" s="76" t="s">
        <v>78</v>
      </c>
      <c r="AL20" s="77" t="s">
        <v>210</v>
      </c>
      <c r="AM20" s="18">
        <v>20.09</v>
      </c>
      <c r="AN20" s="326" t="s">
        <v>3</v>
      </c>
      <c r="AO20" s="76" t="s">
        <v>78</v>
      </c>
      <c r="AR20" s="70" t="s">
        <v>85</v>
      </c>
      <c r="AS20" s="76"/>
      <c r="AV20" s="70" t="s">
        <v>85</v>
      </c>
      <c r="AW20" s="76"/>
      <c r="AY20" s="7" t="str">
        <f>IF(ISBLANK('Planned Expenses'!M4),"",'Planned Expenses'!M4)</f>
        <v>Monthly Subscriptions</v>
      </c>
      <c r="BA20" s="7" t="s">
        <v>145</v>
      </c>
    </row>
    <row r="21" spans="1:93" ht="31.5" customHeight="1" x14ac:dyDescent="0.2">
      <c r="A21" s="99"/>
      <c r="B21" s="70" t="s">
        <v>95</v>
      </c>
      <c r="C21" s="65">
        <v>31.5</v>
      </c>
      <c r="D21" s="70" t="s">
        <v>40</v>
      </c>
      <c r="F21" s="70" t="s">
        <v>95</v>
      </c>
      <c r="G21" s="65">
        <f>806.45-G25</f>
        <v>196.83000000000004</v>
      </c>
      <c r="H21" s="70" t="s">
        <v>40</v>
      </c>
      <c r="I21" s="76"/>
      <c r="J21" s="70" t="s">
        <v>95</v>
      </c>
      <c r="K21" s="65">
        <v>288.26</v>
      </c>
      <c r="L21" s="70" t="s">
        <v>40</v>
      </c>
      <c r="M21" s="76"/>
      <c r="N21" s="77" t="s">
        <v>105</v>
      </c>
      <c r="O21" s="18">
        <f>7.96+10.17</f>
        <v>18.13</v>
      </c>
      <c r="P21" s="70" t="s">
        <v>3</v>
      </c>
      <c r="Q21" s="76" t="s">
        <v>78</v>
      </c>
      <c r="R21" s="77" t="s">
        <v>120</v>
      </c>
      <c r="S21" s="18">
        <v>27.14</v>
      </c>
      <c r="T21" s="70" t="s">
        <v>7</v>
      </c>
      <c r="U21" s="76" t="s">
        <v>78</v>
      </c>
      <c r="V21" s="77" t="s">
        <v>106</v>
      </c>
      <c r="W21" s="345">
        <v>20</v>
      </c>
      <c r="X21" s="70" t="s">
        <v>40</v>
      </c>
      <c r="Y21" s="76" t="s">
        <v>78</v>
      </c>
      <c r="Z21" s="77" t="s">
        <v>325</v>
      </c>
      <c r="AA21" s="345">
        <f>-1464/4</f>
        <v>-366</v>
      </c>
      <c r="AB21" s="70" t="s">
        <v>8</v>
      </c>
      <c r="AC21" s="76" t="s">
        <v>145</v>
      </c>
      <c r="AD21" s="77" t="s">
        <v>345</v>
      </c>
      <c r="AE21" s="345">
        <f>37.72</f>
        <v>37.72</v>
      </c>
      <c r="AF21" s="70" t="s">
        <v>7</v>
      </c>
      <c r="AG21" s="76" t="s">
        <v>78</v>
      </c>
      <c r="AH21" s="77" t="s">
        <v>356</v>
      </c>
      <c r="AI21" s="18">
        <f>1+0.75</f>
        <v>1.75</v>
      </c>
      <c r="AJ21" s="236" t="s">
        <v>7</v>
      </c>
      <c r="AK21" s="76" t="s">
        <v>78</v>
      </c>
      <c r="AL21" s="77" t="s">
        <v>514</v>
      </c>
      <c r="AM21" s="18">
        <f>1.25+1.25+36+6.25+0.25</f>
        <v>45</v>
      </c>
      <c r="AN21" s="326" t="s">
        <v>82</v>
      </c>
      <c r="AO21" s="76" t="s">
        <v>78</v>
      </c>
      <c r="AR21" s="70" t="s">
        <v>85</v>
      </c>
      <c r="AS21" s="76"/>
      <c r="AV21" s="70" t="s">
        <v>85</v>
      </c>
      <c r="AW21" s="76"/>
      <c r="AY21" s="7" t="str">
        <f>IF(ISBLANK('Planned Expenses'!M5),"",'Planned Expenses'!M5)</f>
        <v>Food</v>
      </c>
      <c r="BA21" s="7" t="s">
        <v>79</v>
      </c>
    </row>
    <row r="22" spans="1:93" ht="31.5" customHeight="1" x14ac:dyDescent="0.2">
      <c r="A22" s="422" t="s">
        <v>332</v>
      </c>
      <c r="B22" s="70" t="s">
        <v>96</v>
      </c>
      <c r="C22" s="65">
        <v>72</v>
      </c>
      <c r="D22" s="70" t="s">
        <v>48</v>
      </c>
      <c r="F22" s="70" t="s">
        <v>96</v>
      </c>
      <c r="G22" s="65">
        <v>0</v>
      </c>
      <c r="H22" s="70" t="s">
        <v>48</v>
      </c>
      <c r="I22" s="76"/>
      <c r="J22" s="70" t="s">
        <v>96</v>
      </c>
      <c r="K22" s="65">
        <v>2</v>
      </c>
      <c r="L22" s="70" t="s">
        <v>48</v>
      </c>
      <c r="M22" s="76"/>
      <c r="N22" s="77" t="s">
        <v>106</v>
      </c>
      <c r="O22" s="18">
        <v>20</v>
      </c>
      <c r="P22" s="70" t="s">
        <v>40</v>
      </c>
      <c r="Q22" s="76" t="s">
        <v>78</v>
      </c>
      <c r="R22" s="77" t="s">
        <v>121</v>
      </c>
      <c r="S22" s="18">
        <v>35.450000000000003</v>
      </c>
      <c r="T22" s="70" t="s">
        <v>44</v>
      </c>
      <c r="U22" s="76" t="s">
        <v>78</v>
      </c>
      <c r="V22" s="77" t="s">
        <v>135</v>
      </c>
      <c r="W22" s="345">
        <v>2.16</v>
      </c>
      <c r="X22" s="70" t="s">
        <v>3</v>
      </c>
      <c r="Y22" s="76" t="s">
        <v>78</v>
      </c>
      <c r="Z22" s="77" t="s">
        <v>143</v>
      </c>
      <c r="AA22" s="345">
        <v>1850</v>
      </c>
      <c r="AB22" s="70" t="s">
        <v>1</v>
      </c>
      <c r="AC22" s="76" t="s">
        <v>145</v>
      </c>
      <c r="AD22" s="77" t="s">
        <v>346</v>
      </c>
      <c r="AE22" s="345">
        <v>20</v>
      </c>
      <c r="AF22" s="70" t="s">
        <v>3</v>
      </c>
      <c r="AG22" s="76" t="s">
        <v>78</v>
      </c>
      <c r="AH22" s="77" t="s">
        <v>399</v>
      </c>
      <c r="AI22" s="18">
        <v>16.899999999999999</v>
      </c>
      <c r="AJ22" s="236" t="s">
        <v>3</v>
      </c>
      <c r="AK22" s="76" t="s">
        <v>78</v>
      </c>
      <c r="AL22" s="77" t="s">
        <v>515</v>
      </c>
      <c r="AM22" s="18">
        <v>35</v>
      </c>
      <c r="AN22" s="326" t="s">
        <v>3</v>
      </c>
      <c r="AO22" s="76" t="s">
        <v>78</v>
      </c>
      <c r="AR22" s="70" t="s">
        <v>85</v>
      </c>
      <c r="AS22" s="76"/>
      <c r="AV22" s="70" t="s">
        <v>85</v>
      </c>
      <c r="AW22" s="76"/>
      <c r="AY22" s="7" t="str">
        <f>IF(ISBLANK('Planned Expenses'!M6),"",'Planned Expenses'!M6)</f>
        <v>Transportation</v>
      </c>
      <c r="BA22" s="7" t="s">
        <v>80</v>
      </c>
    </row>
    <row r="23" spans="1:93" ht="31.5" customHeight="1" x14ac:dyDescent="0.2">
      <c r="A23" s="422"/>
      <c r="B23" s="70" t="s">
        <v>97</v>
      </c>
      <c r="C23" s="65">
        <v>0</v>
      </c>
      <c r="D23" s="70" t="s">
        <v>1</v>
      </c>
      <c r="F23" s="70" t="s">
        <v>97</v>
      </c>
      <c r="G23" s="65">
        <v>0</v>
      </c>
      <c r="H23" s="70" t="s">
        <v>1</v>
      </c>
      <c r="I23" s="76"/>
      <c r="J23" s="70" t="s">
        <v>97</v>
      </c>
      <c r="K23" s="65">
        <v>0</v>
      </c>
      <c r="L23" s="70" t="s">
        <v>1</v>
      </c>
      <c r="M23" s="76"/>
      <c r="N23" s="77" t="s">
        <v>107</v>
      </c>
      <c r="O23" s="18">
        <v>10.59</v>
      </c>
      <c r="P23" s="70" t="s">
        <v>3</v>
      </c>
      <c r="Q23" s="76" t="s">
        <v>78</v>
      </c>
      <c r="R23" s="77" t="s">
        <v>122</v>
      </c>
      <c r="S23" s="18">
        <v>1.69</v>
      </c>
      <c r="T23" s="70" t="s">
        <v>3</v>
      </c>
      <c r="U23" s="76" t="s">
        <v>78</v>
      </c>
      <c r="V23" s="77" t="s">
        <v>136</v>
      </c>
      <c r="W23" s="345">
        <v>6.28</v>
      </c>
      <c r="X23" s="70" t="s">
        <v>3</v>
      </c>
      <c r="Y23" s="76" t="s">
        <v>78</v>
      </c>
      <c r="Z23" s="77" t="s">
        <v>144</v>
      </c>
      <c r="AA23" s="345">
        <v>15.94</v>
      </c>
      <c r="AB23" s="70" t="s">
        <v>1</v>
      </c>
      <c r="AC23" s="76" t="s">
        <v>145</v>
      </c>
      <c r="AD23" s="77" t="s">
        <v>347</v>
      </c>
      <c r="AE23" s="345">
        <v>60</v>
      </c>
      <c r="AF23" s="70" t="s">
        <v>40</v>
      </c>
      <c r="AG23" s="76" t="s">
        <v>78</v>
      </c>
      <c r="AH23" s="77" t="s">
        <v>400</v>
      </c>
      <c r="AI23" s="18">
        <v>40</v>
      </c>
      <c r="AJ23" s="236" t="s">
        <v>40</v>
      </c>
      <c r="AK23" s="76" t="s">
        <v>78</v>
      </c>
      <c r="AL23" s="77" t="s">
        <v>516</v>
      </c>
      <c r="AM23" s="18">
        <v>29.5</v>
      </c>
      <c r="AN23" s="326" t="s">
        <v>3</v>
      </c>
      <c r="AO23" s="76" t="s">
        <v>78</v>
      </c>
      <c r="AR23" s="70" t="s">
        <v>85</v>
      </c>
      <c r="AS23" s="76"/>
      <c r="AV23" s="70" t="s">
        <v>85</v>
      </c>
      <c r="AW23" s="76"/>
      <c r="AY23" s="7" t="str">
        <f>IF(ISBLANK('Planned Expenses'!M7),"",'Planned Expenses'!M7)</f>
        <v>Housing</v>
      </c>
      <c r="BA23" s="7" t="s">
        <v>81</v>
      </c>
    </row>
    <row r="24" spans="1:93" ht="31.5" customHeight="1" x14ac:dyDescent="0.2">
      <c r="A24" s="422"/>
      <c r="B24" s="70" t="s">
        <v>17</v>
      </c>
      <c r="C24" s="65">
        <v>157.27000000000001</v>
      </c>
      <c r="D24" s="70" t="s">
        <v>17</v>
      </c>
      <c r="F24" s="70" t="s">
        <v>17</v>
      </c>
      <c r="G24" s="65">
        <v>56.29</v>
      </c>
      <c r="H24" s="70" t="s">
        <v>17</v>
      </c>
      <c r="I24" s="76"/>
      <c r="J24" s="70" t="s">
        <v>17</v>
      </c>
      <c r="K24" s="65">
        <v>998.37</v>
      </c>
      <c r="L24" s="70" t="s">
        <v>17</v>
      </c>
      <c r="M24" s="76"/>
      <c r="N24" s="77" t="s">
        <v>108</v>
      </c>
      <c r="O24" s="18">
        <v>5</v>
      </c>
      <c r="P24" s="70" t="s">
        <v>109</v>
      </c>
      <c r="Q24" s="76" t="s">
        <v>78</v>
      </c>
      <c r="R24" s="77" t="s">
        <v>123</v>
      </c>
      <c r="S24" s="18">
        <v>19.82</v>
      </c>
      <c r="T24" s="70" t="s">
        <v>3</v>
      </c>
      <c r="U24" s="76" t="s">
        <v>78</v>
      </c>
      <c r="V24" s="77" t="s">
        <v>102</v>
      </c>
      <c r="W24" s="345">
        <v>2.81</v>
      </c>
      <c r="X24" s="70" t="s">
        <v>3</v>
      </c>
      <c r="Y24" s="76" t="s">
        <v>78</v>
      </c>
      <c r="Z24" s="77" t="s">
        <v>199</v>
      </c>
      <c r="AA24" s="345">
        <v>41.92</v>
      </c>
      <c r="AB24" s="70" t="s">
        <v>7</v>
      </c>
      <c r="AC24" s="76" t="s">
        <v>79</v>
      </c>
      <c r="AD24" s="77" t="s">
        <v>348</v>
      </c>
      <c r="AE24" s="345">
        <v>167</v>
      </c>
      <c r="AF24" s="70" t="s">
        <v>44</v>
      </c>
      <c r="AG24" s="76" t="s">
        <v>78</v>
      </c>
      <c r="AH24" s="77" t="s">
        <v>401</v>
      </c>
      <c r="AI24" s="18">
        <v>2.2000000000000002</v>
      </c>
      <c r="AJ24" s="236" t="s">
        <v>109</v>
      </c>
      <c r="AK24" s="76" t="s">
        <v>78</v>
      </c>
      <c r="AL24" s="77" t="s">
        <v>517</v>
      </c>
      <c r="AM24" s="18">
        <v>151.05000000000001</v>
      </c>
      <c r="AN24" s="326" t="s">
        <v>3</v>
      </c>
      <c r="AO24" s="76" t="s">
        <v>78</v>
      </c>
      <c r="AR24" s="70" t="s">
        <v>85</v>
      </c>
      <c r="AS24" s="76"/>
      <c r="AV24" s="70" t="s">
        <v>85</v>
      </c>
      <c r="AW24" s="76"/>
      <c r="AY24" s="7" t="str">
        <f>IF(ISBLANK('Planned Expenses'!M8),"",'Planned Expenses'!M8)</f>
        <v>Misc Entertainment</v>
      </c>
      <c r="BA24" s="7" t="s">
        <v>394</v>
      </c>
    </row>
    <row r="25" spans="1:93" ht="31.5" customHeight="1" x14ac:dyDescent="0.2">
      <c r="A25" s="99"/>
      <c r="B25" s="158"/>
      <c r="C25" s="157"/>
      <c r="D25" s="158"/>
      <c r="F25" s="77" t="s">
        <v>98</v>
      </c>
      <c r="G25" s="18">
        <v>609.62</v>
      </c>
      <c r="H25" s="70" t="s">
        <v>82</v>
      </c>
      <c r="I25" s="76"/>
      <c r="J25" s="158"/>
      <c r="K25" s="159"/>
      <c r="L25" s="158"/>
      <c r="M25" s="76"/>
      <c r="N25" s="77" t="s">
        <v>110</v>
      </c>
      <c r="O25" s="18">
        <f>2.5+1.25</f>
        <v>3.75</v>
      </c>
      <c r="P25" s="70" t="s">
        <v>7</v>
      </c>
      <c r="Q25" s="76" t="s">
        <v>78</v>
      </c>
      <c r="R25" s="77" t="s">
        <v>124</v>
      </c>
      <c r="S25" s="18">
        <v>22.97</v>
      </c>
      <c r="T25" s="70" t="s">
        <v>82</v>
      </c>
      <c r="U25" s="76" t="s">
        <v>78</v>
      </c>
      <c r="V25" s="77" t="s">
        <v>140</v>
      </c>
      <c r="W25" s="345">
        <v>58.95</v>
      </c>
      <c r="X25" s="70" t="s">
        <v>1</v>
      </c>
      <c r="Y25" s="76" t="s">
        <v>145</v>
      </c>
      <c r="Z25" s="77" t="s">
        <v>138</v>
      </c>
      <c r="AA25" s="345">
        <v>10.06</v>
      </c>
      <c r="AB25" s="70" t="s">
        <v>3</v>
      </c>
      <c r="AC25" s="76" t="s">
        <v>79</v>
      </c>
      <c r="AD25" s="77" t="s">
        <v>349</v>
      </c>
      <c r="AE25" s="345">
        <v>21.61</v>
      </c>
      <c r="AF25" s="70" t="s">
        <v>7</v>
      </c>
      <c r="AG25" s="76" t="s">
        <v>78</v>
      </c>
      <c r="AH25" s="77" t="s">
        <v>102</v>
      </c>
      <c r="AI25" s="18">
        <v>9.6</v>
      </c>
      <c r="AJ25" s="236" t="s">
        <v>109</v>
      </c>
      <c r="AK25" s="76" t="s">
        <v>78</v>
      </c>
      <c r="AL25" s="77" t="s">
        <v>518</v>
      </c>
      <c r="AM25" s="18">
        <v>72.5</v>
      </c>
      <c r="AN25" s="326" t="s">
        <v>3</v>
      </c>
      <c r="AO25" s="76" t="s">
        <v>78</v>
      </c>
      <c r="AR25" s="70" t="s">
        <v>85</v>
      </c>
      <c r="AS25" s="76"/>
      <c r="AV25" s="70" t="s">
        <v>85</v>
      </c>
      <c r="AW25" s="76"/>
      <c r="AY25" s="7" t="str">
        <f>IF(ISBLANK('Planned Expenses'!M9),"",'Planned Expenses'!M9)</f>
        <v>Education</v>
      </c>
    </row>
    <row r="26" spans="1:93" ht="31.5" customHeight="1" x14ac:dyDescent="0.2">
      <c r="A26" s="99"/>
      <c r="B26" s="158"/>
      <c r="C26" s="157"/>
      <c r="D26" s="158"/>
      <c r="F26" s="158"/>
      <c r="G26" s="159"/>
      <c r="H26" s="158"/>
      <c r="I26" s="162"/>
      <c r="J26" s="158"/>
      <c r="K26" s="159"/>
      <c r="L26" s="158"/>
      <c r="M26" s="76"/>
      <c r="N26" s="77" t="s">
        <v>111</v>
      </c>
      <c r="O26" s="18">
        <v>30.71</v>
      </c>
      <c r="P26" s="70" t="s">
        <v>7</v>
      </c>
      <c r="Q26" s="76" t="s">
        <v>78</v>
      </c>
      <c r="R26" s="77" t="s">
        <v>102</v>
      </c>
      <c r="S26" s="18">
        <v>8.25</v>
      </c>
      <c r="T26" s="70" t="s">
        <v>3</v>
      </c>
      <c r="U26" s="76" t="s">
        <v>78</v>
      </c>
      <c r="V26" s="77" t="s">
        <v>141</v>
      </c>
      <c r="W26" s="345">
        <v>34.479999999999997</v>
      </c>
      <c r="X26" s="70" t="s">
        <v>1</v>
      </c>
      <c r="Y26" s="76" t="s">
        <v>145</v>
      </c>
      <c r="Z26" s="77" t="s">
        <v>200</v>
      </c>
      <c r="AA26" s="345">
        <v>29.2</v>
      </c>
      <c r="AB26" s="70" t="s">
        <v>3</v>
      </c>
      <c r="AC26" s="76" t="s">
        <v>79</v>
      </c>
      <c r="AD26" s="77" t="s">
        <v>350</v>
      </c>
      <c r="AE26" s="345">
        <v>3.94</v>
      </c>
      <c r="AF26" s="70" t="s">
        <v>3</v>
      </c>
      <c r="AG26" s="76" t="s">
        <v>78</v>
      </c>
      <c r="AH26" s="77" t="s">
        <v>402</v>
      </c>
      <c r="AI26" s="18">
        <v>4.08</v>
      </c>
      <c r="AJ26" s="236" t="s">
        <v>3</v>
      </c>
      <c r="AK26" s="76" t="s">
        <v>78</v>
      </c>
      <c r="AL26" s="77" t="s">
        <v>513</v>
      </c>
      <c r="AM26" s="18">
        <f>2.97+2.97+4.65</f>
        <v>10.59</v>
      </c>
      <c r="AN26" s="326" t="s">
        <v>3</v>
      </c>
      <c r="AO26" s="76" t="s">
        <v>78</v>
      </c>
      <c r="AR26" s="70" t="s">
        <v>85</v>
      </c>
      <c r="AS26" s="76"/>
      <c r="AV26" s="70" t="s">
        <v>85</v>
      </c>
      <c r="AW26" s="76"/>
      <c r="AY26" s="7" t="str">
        <f>IF(ISBLANK('Planned Expenses'!M10),"",'Planned Expenses'!M10)</f>
        <v>Savings</v>
      </c>
    </row>
    <row r="27" spans="1:93" ht="31.5" customHeight="1" x14ac:dyDescent="0.2">
      <c r="A27" s="99"/>
      <c r="B27" s="158"/>
      <c r="C27" s="157"/>
      <c r="D27" s="158"/>
      <c r="F27" s="158"/>
      <c r="G27" s="159"/>
      <c r="H27" s="158"/>
      <c r="I27" s="162"/>
      <c r="J27" s="158"/>
      <c r="K27" s="159"/>
      <c r="L27" s="158"/>
      <c r="M27" s="76"/>
      <c r="N27" s="77" t="s">
        <v>112</v>
      </c>
      <c r="O27" s="18">
        <v>31.97</v>
      </c>
      <c r="P27" s="70" t="s">
        <v>48</v>
      </c>
      <c r="Q27" s="76" t="s">
        <v>78</v>
      </c>
      <c r="R27" s="77" t="s">
        <v>125</v>
      </c>
      <c r="S27" s="18">
        <v>7.59</v>
      </c>
      <c r="T27" s="70" t="s">
        <v>3</v>
      </c>
      <c r="U27" s="76" t="s">
        <v>78</v>
      </c>
      <c r="V27" s="77" t="s">
        <v>142</v>
      </c>
      <c r="W27" s="345">
        <v>1171.54</v>
      </c>
      <c r="X27" s="70" t="s">
        <v>1</v>
      </c>
      <c r="Y27" s="76" t="s">
        <v>145</v>
      </c>
      <c r="Z27" s="77" t="s">
        <v>162</v>
      </c>
      <c r="AA27" s="345">
        <v>86.95</v>
      </c>
      <c r="AB27" s="70" t="s">
        <v>3</v>
      </c>
      <c r="AC27" s="76" t="s">
        <v>79</v>
      </c>
      <c r="AD27" s="77" t="s">
        <v>351</v>
      </c>
      <c r="AE27" s="345">
        <v>25.75</v>
      </c>
      <c r="AF27" s="70" t="s">
        <v>40</v>
      </c>
      <c r="AG27" s="76" t="s">
        <v>78</v>
      </c>
      <c r="AH27" s="77" t="s">
        <v>138</v>
      </c>
      <c r="AI27" s="18">
        <v>10.71</v>
      </c>
      <c r="AJ27" s="236" t="s">
        <v>3</v>
      </c>
      <c r="AK27" s="76" t="s">
        <v>78</v>
      </c>
      <c r="AL27" s="77" t="s">
        <v>210</v>
      </c>
      <c r="AM27" s="18">
        <v>7.34</v>
      </c>
      <c r="AN27" s="70" t="s">
        <v>3</v>
      </c>
      <c r="AO27" s="76" t="s">
        <v>78</v>
      </c>
      <c r="AR27" s="70" t="s">
        <v>85</v>
      </c>
      <c r="AS27" s="76"/>
      <c r="AV27" s="70" t="s">
        <v>85</v>
      </c>
      <c r="AW27" s="76"/>
      <c r="AY27" s="7" t="str">
        <f>IF(ISBLANK('Planned Expenses'!M11),"",'Planned Expenses'!M11)</f>
        <v>Vacation</v>
      </c>
    </row>
    <row r="28" spans="1:93" ht="31.5" customHeight="1" x14ac:dyDescent="0.2">
      <c r="A28" s="99"/>
      <c r="B28" s="113"/>
      <c r="C28" s="114"/>
      <c r="D28" s="113"/>
      <c r="F28" s="158"/>
      <c r="G28" s="159"/>
      <c r="H28" s="158"/>
      <c r="I28" s="162"/>
      <c r="J28" s="163"/>
      <c r="K28" s="164"/>
      <c r="L28" s="161" t="s">
        <v>85</v>
      </c>
      <c r="M28" s="76"/>
      <c r="N28" s="77" t="s">
        <v>106</v>
      </c>
      <c r="O28" s="18">
        <v>40</v>
      </c>
      <c r="P28" s="70" t="s">
        <v>40</v>
      </c>
      <c r="Q28" s="76" t="s">
        <v>78</v>
      </c>
      <c r="R28" s="77" t="s">
        <v>126</v>
      </c>
      <c r="S28" s="18">
        <v>80</v>
      </c>
      <c r="T28" s="70" t="s">
        <v>82</v>
      </c>
      <c r="U28" s="76" t="s">
        <v>78</v>
      </c>
      <c r="V28" s="77" t="s">
        <v>176</v>
      </c>
      <c r="W28" s="345">
        <v>20.85</v>
      </c>
      <c r="X28" s="70" t="s">
        <v>3</v>
      </c>
      <c r="Y28" s="76" t="s">
        <v>79</v>
      </c>
      <c r="Z28" s="77" t="s">
        <v>201</v>
      </c>
      <c r="AA28" s="345">
        <v>17.48</v>
      </c>
      <c r="AB28" s="70" t="s">
        <v>3</v>
      </c>
      <c r="AC28" s="76" t="s">
        <v>79</v>
      </c>
      <c r="AD28" s="77" t="s">
        <v>352</v>
      </c>
      <c r="AE28" s="345">
        <v>15</v>
      </c>
      <c r="AF28" s="70" t="s">
        <v>40</v>
      </c>
      <c r="AG28" s="76" t="s">
        <v>78</v>
      </c>
      <c r="AH28" s="77" t="s">
        <v>102</v>
      </c>
      <c r="AI28" s="18">
        <v>2.82</v>
      </c>
      <c r="AJ28" s="236" t="s">
        <v>3</v>
      </c>
      <c r="AK28" s="76" t="s">
        <v>78</v>
      </c>
      <c r="AL28" s="77" t="s">
        <v>102</v>
      </c>
      <c r="AM28" s="18">
        <v>12.54</v>
      </c>
      <c r="AN28" s="70" t="s">
        <v>3</v>
      </c>
      <c r="AO28" s="76" t="s">
        <v>78</v>
      </c>
      <c r="AR28" s="70" t="s">
        <v>85</v>
      </c>
      <c r="AS28" s="76"/>
      <c r="AV28" s="70" t="s">
        <v>85</v>
      </c>
      <c r="AW28" s="76"/>
      <c r="AY28" s="21" t="str">
        <f>IF(ISBLANK('Planned Expenses'!M12),"",'Planned Expenses'!M12)</f>
        <v>Other</v>
      </c>
      <c r="BA28" s="21"/>
    </row>
    <row r="29" spans="1:93" ht="31.5" customHeight="1" x14ac:dyDescent="0.2">
      <c r="B29" s="113"/>
      <c r="C29" s="160"/>
      <c r="D29" s="161"/>
      <c r="F29" s="158"/>
      <c r="G29" s="159"/>
      <c r="H29" s="158"/>
      <c r="I29" s="162"/>
      <c r="J29" s="163"/>
      <c r="K29" s="164"/>
      <c r="L29" s="161" t="s">
        <v>85</v>
      </c>
      <c r="M29" s="76"/>
      <c r="N29" s="77" t="s">
        <v>107</v>
      </c>
      <c r="O29" s="18">
        <v>14.46</v>
      </c>
      <c r="P29" s="70" t="s">
        <v>3</v>
      </c>
      <c r="Q29" s="76" t="s">
        <v>78</v>
      </c>
      <c r="R29" s="77" t="s">
        <v>127</v>
      </c>
      <c r="S29" s="18">
        <v>3.08</v>
      </c>
      <c r="T29" s="70" t="s">
        <v>82</v>
      </c>
      <c r="U29" s="76" t="s">
        <v>78</v>
      </c>
      <c r="V29" s="77" t="s">
        <v>177</v>
      </c>
      <c r="W29" s="345">
        <v>20.25</v>
      </c>
      <c r="X29" s="70" t="s">
        <v>1</v>
      </c>
      <c r="Y29" s="76" t="s">
        <v>79</v>
      </c>
      <c r="Z29" s="77" t="s">
        <v>202</v>
      </c>
      <c r="AA29" s="345">
        <v>1.9</v>
      </c>
      <c r="AB29" s="70" t="s">
        <v>40</v>
      </c>
      <c r="AC29" s="76" t="s">
        <v>79</v>
      </c>
      <c r="AD29" s="77" t="s">
        <v>353</v>
      </c>
      <c r="AE29" s="345">
        <v>4.3499999999999996</v>
      </c>
      <c r="AF29" s="70" t="s">
        <v>3</v>
      </c>
      <c r="AG29" s="76" t="s">
        <v>78</v>
      </c>
      <c r="AH29" s="77" t="s">
        <v>138</v>
      </c>
      <c r="AI29" s="18">
        <v>7.1</v>
      </c>
      <c r="AJ29" s="236" t="s">
        <v>3</v>
      </c>
      <c r="AK29" s="76" t="s">
        <v>78</v>
      </c>
      <c r="AL29" s="77" t="s">
        <v>131</v>
      </c>
      <c r="AM29" s="18">
        <v>6.39</v>
      </c>
      <c r="AN29" s="70" t="s">
        <v>3</v>
      </c>
      <c r="AO29" s="76" t="s">
        <v>78</v>
      </c>
      <c r="AR29" s="70" t="s">
        <v>85</v>
      </c>
      <c r="AS29" s="76"/>
      <c r="AV29" s="70" t="s">
        <v>85</v>
      </c>
      <c r="AW29" s="76"/>
    </row>
    <row r="30" spans="1:93" ht="31.5" customHeight="1" x14ac:dyDescent="0.2">
      <c r="B30" s="161"/>
      <c r="C30" s="160"/>
      <c r="D30" s="161" t="s">
        <v>85</v>
      </c>
      <c r="F30" s="158"/>
      <c r="G30" s="159"/>
      <c r="H30" s="158"/>
      <c r="I30" s="162"/>
      <c r="J30" s="163"/>
      <c r="K30" s="164"/>
      <c r="L30" s="161" t="s">
        <v>85</v>
      </c>
      <c r="M30" s="76"/>
      <c r="N30" s="77" t="s">
        <v>113</v>
      </c>
      <c r="O30" s="18">
        <v>12.78</v>
      </c>
      <c r="P30" s="70" t="s">
        <v>3</v>
      </c>
      <c r="Q30" s="76" t="s">
        <v>78</v>
      </c>
      <c r="R30" s="77" t="s">
        <v>128</v>
      </c>
      <c r="S30" s="18">
        <v>30.72</v>
      </c>
      <c r="T30" s="70" t="s">
        <v>7</v>
      </c>
      <c r="U30" s="76" t="s">
        <v>78</v>
      </c>
      <c r="V30" s="77" t="s">
        <v>178</v>
      </c>
      <c r="W30" s="345">
        <v>33.549999999999997</v>
      </c>
      <c r="X30" s="70" t="s">
        <v>7</v>
      </c>
      <c r="Y30" s="76" t="s">
        <v>79</v>
      </c>
      <c r="Z30" s="77" t="s">
        <v>176</v>
      </c>
      <c r="AA30" s="345">
        <v>50.22</v>
      </c>
      <c r="AB30" s="70" t="s">
        <v>3</v>
      </c>
      <c r="AC30" s="76" t="s">
        <v>79</v>
      </c>
      <c r="AD30" s="77" t="s">
        <v>354</v>
      </c>
      <c r="AE30" s="345">
        <f>27.67</f>
        <v>27.67</v>
      </c>
      <c r="AF30" s="70" t="s">
        <v>7</v>
      </c>
      <c r="AG30" s="76" t="s">
        <v>78</v>
      </c>
      <c r="AH30" s="77" t="s">
        <v>403</v>
      </c>
      <c r="AI30" s="18">
        <v>32</v>
      </c>
      <c r="AJ30" s="236" t="s">
        <v>3</v>
      </c>
      <c r="AK30" s="76" t="s">
        <v>78</v>
      </c>
      <c r="AL30" s="77" t="s">
        <v>519</v>
      </c>
      <c r="AM30" s="18">
        <v>25</v>
      </c>
      <c r="AN30" s="70" t="s">
        <v>40</v>
      </c>
      <c r="AO30" s="76" t="s">
        <v>78</v>
      </c>
      <c r="AR30" s="70" t="s">
        <v>85</v>
      </c>
      <c r="AS30" s="76"/>
      <c r="AV30" s="70" t="s">
        <v>85</v>
      </c>
      <c r="AW30" s="76"/>
    </row>
    <row r="31" spans="1:93" ht="31.5" customHeight="1" x14ac:dyDescent="0.2">
      <c r="B31" s="161"/>
      <c r="C31" s="160"/>
      <c r="D31" s="161" t="s">
        <v>85</v>
      </c>
      <c r="F31" s="158"/>
      <c r="G31" s="159"/>
      <c r="H31" s="158"/>
      <c r="I31" s="162"/>
      <c r="J31" s="163"/>
      <c r="K31" s="164"/>
      <c r="L31" s="161" t="s">
        <v>85</v>
      </c>
      <c r="M31" s="76"/>
      <c r="N31" s="77" t="s">
        <v>114</v>
      </c>
      <c r="O31" s="18">
        <f>21.5+38.98</f>
        <v>60.48</v>
      </c>
      <c r="P31" s="70" t="s">
        <v>3</v>
      </c>
      <c r="Q31" s="76" t="s">
        <v>78</v>
      </c>
      <c r="R31" s="77" t="s">
        <v>112</v>
      </c>
      <c r="S31" s="18">
        <v>18.04</v>
      </c>
      <c r="T31" s="70" t="s">
        <v>48</v>
      </c>
      <c r="U31" s="76" t="s">
        <v>78</v>
      </c>
      <c r="V31" s="77" t="s">
        <v>179</v>
      </c>
      <c r="W31" s="345">
        <v>113.66</v>
      </c>
      <c r="X31" s="70" t="s">
        <v>47</v>
      </c>
      <c r="Y31" s="76" t="s">
        <v>79</v>
      </c>
      <c r="Z31" s="77" t="s">
        <v>155</v>
      </c>
      <c r="AA31" s="345">
        <v>9.9700000000000006</v>
      </c>
      <c r="AB31" s="70" t="s">
        <v>3</v>
      </c>
      <c r="AC31" s="76" t="s">
        <v>79</v>
      </c>
      <c r="AD31" s="77" t="s">
        <v>355</v>
      </c>
      <c r="AE31" s="345">
        <v>21.85</v>
      </c>
      <c r="AF31" s="70" t="s">
        <v>3</v>
      </c>
      <c r="AG31" s="76" t="s">
        <v>79</v>
      </c>
      <c r="AH31" s="77" t="s">
        <v>356</v>
      </c>
      <c r="AI31" s="18">
        <v>8</v>
      </c>
      <c r="AJ31" s="236" t="s">
        <v>7</v>
      </c>
      <c r="AK31" s="76" t="s">
        <v>78</v>
      </c>
      <c r="AL31" s="77" t="s">
        <v>520</v>
      </c>
      <c r="AM31" s="18">
        <v>61.79</v>
      </c>
      <c r="AN31" s="70" t="s">
        <v>3</v>
      </c>
      <c r="AO31" s="76" t="s">
        <v>78</v>
      </c>
      <c r="AR31" s="70" t="s">
        <v>85</v>
      </c>
      <c r="AS31" s="76"/>
      <c r="AV31" s="70" t="s">
        <v>85</v>
      </c>
      <c r="AW31" s="76"/>
    </row>
    <row r="32" spans="1:93" ht="31.5" customHeight="1" x14ac:dyDescent="0.2">
      <c r="D32" s="70" t="s">
        <v>85</v>
      </c>
      <c r="F32" s="163"/>
      <c r="G32" s="164"/>
      <c r="H32" s="161" t="s">
        <v>85</v>
      </c>
      <c r="I32" s="162"/>
      <c r="J32" s="163"/>
      <c r="K32" s="164"/>
      <c r="L32" s="161" t="s">
        <v>85</v>
      </c>
      <c r="M32" s="76"/>
      <c r="N32" s="77" t="s">
        <v>115</v>
      </c>
      <c r="O32" s="18">
        <v>30</v>
      </c>
      <c r="P32" s="70" t="s">
        <v>3</v>
      </c>
      <c r="Q32" s="76" t="s">
        <v>78</v>
      </c>
      <c r="R32" s="77" t="s">
        <v>129</v>
      </c>
      <c r="S32" s="18">
        <v>5.4</v>
      </c>
      <c r="T32" s="70" t="s">
        <v>82</v>
      </c>
      <c r="U32" s="76" t="s">
        <v>78</v>
      </c>
      <c r="V32" s="77" t="s">
        <v>180</v>
      </c>
      <c r="W32" s="345">
        <v>7.68</v>
      </c>
      <c r="X32" s="70" t="s">
        <v>40</v>
      </c>
      <c r="Y32" s="76" t="s">
        <v>79</v>
      </c>
      <c r="Z32" s="77" t="s">
        <v>203</v>
      </c>
      <c r="AA32" s="345">
        <v>23.11</v>
      </c>
      <c r="AB32" s="70" t="s">
        <v>7</v>
      </c>
      <c r="AC32" s="76" t="s">
        <v>79</v>
      </c>
      <c r="AD32" s="77" t="s">
        <v>356</v>
      </c>
      <c r="AE32" s="345">
        <v>10</v>
      </c>
      <c r="AF32" s="70" t="s">
        <v>7</v>
      </c>
      <c r="AG32" s="76" t="s">
        <v>79</v>
      </c>
      <c r="AH32" s="77" t="s">
        <v>356</v>
      </c>
      <c r="AI32" s="18">
        <v>2</v>
      </c>
      <c r="AJ32" s="236" t="s">
        <v>7</v>
      </c>
      <c r="AK32" s="76" t="s">
        <v>78</v>
      </c>
      <c r="AL32" s="77" t="s">
        <v>521</v>
      </c>
      <c r="AM32" s="18">
        <v>1.5</v>
      </c>
      <c r="AN32" s="70" t="s">
        <v>7</v>
      </c>
      <c r="AO32" s="76" t="s">
        <v>78</v>
      </c>
      <c r="AR32" s="70" t="s">
        <v>85</v>
      </c>
      <c r="AS32" s="76"/>
      <c r="AV32" s="70" t="s">
        <v>85</v>
      </c>
      <c r="AW32" s="76"/>
    </row>
    <row r="33" spans="1:49" ht="31.5" customHeight="1" x14ac:dyDescent="0.2">
      <c r="D33" s="70" t="s">
        <v>85</v>
      </c>
      <c r="F33" s="163"/>
      <c r="G33" s="164"/>
      <c r="H33" s="161" t="s">
        <v>85</v>
      </c>
      <c r="I33" s="162"/>
      <c r="L33" s="70" t="s">
        <v>85</v>
      </c>
      <c r="M33" s="76"/>
      <c r="N33" s="77" t="s">
        <v>107</v>
      </c>
      <c r="O33" s="18">
        <v>4.6399999999999997</v>
      </c>
      <c r="P33" s="70" t="s">
        <v>3</v>
      </c>
      <c r="Q33" s="76" t="s">
        <v>78</v>
      </c>
      <c r="R33" s="77" t="s">
        <v>130</v>
      </c>
      <c r="S33" s="18">
        <v>11.3</v>
      </c>
      <c r="T33" s="70" t="s">
        <v>1</v>
      </c>
      <c r="U33" s="76" t="s">
        <v>78</v>
      </c>
      <c r="V33" s="77" t="s">
        <v>125</v>
      </c>
      <c r="W33" s="345">
        <v>8.0299999999999994</v>
      </c>
      <c r="X33" s="70" t="s">
        <v>3</v>
      </c>
      <c r="Y33" s="76" t="s">
        <v>79</v>
      </c>
      <c r="Z33" s="77" t="s">
        <v>204</v>
      </c>
      <c r="AA33" s="345">
        <v>8.65</v>
      </c>
      <c r="AB33" s="70" t="s">
        <v>40</v>
      </c>
      <c r="AC33" s="76" t="s">
        <v>79</v>
      </c>
      <c r="AD33" s="77" t="s">
        <v>358</v>
      </c>
      <c r="AE33" s="345">
        <v>42.1</v>
      </c>
      <c r="AF33" s="70" t="s">
        <v>3</v>
      </c>
      <c r="AG33" s="76" t="s">
        <v>79</v>
      </c>
      <c r="AH33" s="77" t="s">
        <v>404</v>
      </c>
      <c r="AI33" s="18">
        <v>3.75</v>
      </c>
      <c r="AJ33" s="236" t="s">
        <v>3</v>
      </c>
      <c r="AK33" s="76" t="s">
        <v>78</v>
      </c>
      <c r="AL33" s="77" t="s">
        <v>113</v>
      </c>
      <c r="AM33" s="18">
        <v>29.83</v>
      </c>
      <c r="AN33" s="70" t="s">
        <v>3</v>
      </c>
      <c r="AO33" s="76" t="s">
        <v>78</v>
      </c>
      <c r="AR33" s="70" t="s">
        <v>85</v>
      </c>
      <c r="AS33" s="76"/>
      <c r="AV33" s="70" t="s">
        <v>85</v>
      </c>
      <c r="AW33" s="76"/>
    </row>
    <row r="34" spans="1:49" ht="31.5" customHeight="1" x14ac:dyDescent="0.2">
      <c r="D34" s="70" t="s">
        <v>85</v>
      </c>
      <c r="F34" s="163"/>
      <c r="G34" s="164"/>
      <c r="H34" s="161" t="s">
        <v>85</v>
      </c>
      <c r="I34" s="162"/>
      <c r="L34" s="70" t="s">
        <v>85</v>
      </c>
      <c r="M34" s="76"/>
      <c r="N34" s="77" t="s">
        <v>104</v>
      </c>
      <c r="O34" s="18">
        <v>4.12</v>
      </c>
      <c r="P34" s="70" t="s">
        <v>3</v>
      </c>
      <c r="Q34" s="76" t="s">
        <v>78</v>
      </c>
      <c r="R34" s="77" t="s">
        <v>131</v>
      </c>
      <c r="S34" s="18">
        <v>2.81</v>
      </c>
      <c r="T34" s="70" t="s">
        <v>3</v>
      </c>
      <c r="U34" s="76" t="s">
        <v>78</v>
      </c>
      <c r="V34" s="77" t="s">
        <v>181</v>
      </c>
      <c r="W34" s="345">
        <v>1.42</v>
      </c>
      <c r="X34" s="70" t="s">
        <v>17</v>
      </c>
      <c r="Y34" s="76" t="s">
        <v>79</v>
      </c>
      <c r="Z34" s="77" t="s">
        <v>238</v>
      </c>
      <c r="AA34" s="345">
        <v>16.22</v>
      </c>
      <c r="AB34" s="70" t="s">
        <v>1</v>
      </c>
      <c r="AC34" s="76" t="s">
        <v>81</v>
      </c>
      <c r="AD34" s="77" t="s">
        <v>353</v>
      </c>
      <c r="AE34" s="345">
        <v>18.190000000000001</v>
      </c>
      <c r="AF34" s="70" t="s">
        <v>3</v>
      </c>
      <c r="AG34" s="76" t="s">
        <v>79</v>
      </c>
      <c r="AH34" s="77" t="s">
        <v>405</v>
      </c>
      <c r="AI34" s="18">
        <v>10</v>
      </c>
      <c r="AJ34" s="70" t="s">
        <v>3</v>
      </c>
      <c r="AK34" s="76" t="s">
        <v>78</v>
      </c>
      <c r="AL34" s="77" t="s">
        <v>522</v>
      </c>
      <c r="AM34" s="18">
        <v>46</v>
      </c>
      <c r="AN34" s="70" t="s">
        <v>1</v>
      </c>
      <c r="AO34" s="76" t="s">
        <v>78</v>
      </c>
      <c r="AR34" s="70" t="s">
        <v>85</v>
      </c>
      <c r="AS34" s="76"/>
      <c r="AV34" s="70" t="s">
        <v>85</v>
      </c>
      <c r="AW34" s="76"/>
    </row>
    <row r="35" spans="1:49" ht="31.5" customHeight="1" x14ac:dyDescent="0.2">
      <c r="D35" s="70" t="s">
        <v>85</v>
      </c>
      <c r="F35" s="163"/>
      <c r="G35" s="164"/>
      <c r="H35" s="161" t="s">
        <v>85</v>
      </c>
      <c r="I35" s="162"/>
      <c r="L35" s="70" t="s">
        <v>85</v>
      </c>
      <c r="M35" s="76"/>
      <c r="N35" s="70" t="s">
        <v>116</v>
      </c>
      <c r="O35" s="18">
        <v>1011.18</v>
      </c>
      <c r="P35" s="70" t="s">
        <v>1</v>
      </c>
      <c r="Q35" s="76" t="s">
        <v>78</v>
      </c>
      <c r="R35" s="77" t="s">
        <v>113</v>
      </c>
      <c r="S35" s="18">
        <v>17</v>
      </c>
      <c r="T35" s="70" t="s">
        <v>3</v>
      </c>
      <c r="U35" s="76" t="s">
        <v>78</v>
      </c>
      <c r="V35" s="77" t="s">
        <v>138</v>
      </c>
      <c r="W35" s="345">
        <v>12.51</v>
      </c>
      <c r="X35" s="70" t="s">
        <v>3</v>
      </c>
      <c r="Y35" s="76" t="s">
        <v>79</v>
      </c>
      <c r="Z35" s="77" t="s">
        <v>125</v>
      </c>
      <c r="AA35" s="345">
        <v>12.5</v>
      </c>
      <c r="AB35" s="70" t="s">
        <v>3</v>
      </c>
      <c r="AC35" s="76" t="s">
        <v>81</v>
      </c>
      <c r="AD35" s="77" t="s">
        <v>359</v>
      </c>
      <c r="AE35" s="345">
        <v>12</v>
      </c>
      <c r="AF35" s="70" t="s">
        <v>3</v>
      </c>
      <c r="AG35" s="76" t="s">
        <v>79</v>
      </c>
      <c r="AH35" s="77" t="s">
        <v>406</v>
      </c>
      <c r="AI35" s="18">
        <v>17.86</v>
      </c>
      <c r="AJ35" s="70" t="s">
        <v>1</v>
      </c>
      <c r="AK35" s="76" t="s">
        <v>78</v>
      </c>
      <c r="AL35" s="77" t="s">
        <v>523</v>
      </c>
      <c r="AM35" s="18">
        <v>1.34</v>
      </c>
      <c r="AN35" s="70" t="s">
        <v>3</v>
      </c>
      <c r="AO35" s="76" t="s">
        <v>78</v>
      </c>
      <c r="AR35" s="70" t="s">
        <v>85</v>
      </c>
      <c r="AS35" s="76"/>
      <c r="AV35" s="70" t="s">
        <v>85</v>
      </c>
      <c r="AW35" s="76"/>
    </row>
    <row r="36" spans="1:49" ht="31.5" customHeight="1" x14ac:dyDescent="0.2">
      <c r="D36" s="70" t="s">
        <v>85</v>
      </c>
      <c r="H36" s="70" t="s">
        <v>85</v>
      </c>
      <c r="I36" s="76"/>
      <c r="L36" s="70" t="s">
        <v>85</v>
      </c>
      <c r="M36" s="76"/>
      <c r="N36" s="77" t="s">
        <v>146</v>
      </c>
      <c r="O36" s="18">
        <v>10.01</v>
      </c>
      <c r="P36" s="70" t="s">
        <v>3</v>
      </c>
      <c r="Q36" s="76" t="s">
        <v>79</v>
      </c>
      <c r="R36" s="77" t="s">
        <v>107</v>
      </c>
      <c r="S36" s="18">
        <v>7.35</v>
      </c>
      <c r="T36" s="70" t="s">
        <v>3</v>
      </c>
      <c r="U36" s="76" t="s">
        <v>78</v>
      </c>
      <c r="V36" s="77" t="s">
        <v>182</v>
      </c>
      <c r="W36" s="345">
        <v>8.48</v>
      </c>
      <c r="X36" s="70" t="s">
        <v>1</v>
      </c>
      <c r="Y36" s="76" t="s">
        <v>79</v>
      </c>
      <c r="Z36" s="77" t="s">
        <v>239</v>
      </c>
      <c r="AA36" s="345">
        <v>57</v>
      </c>
      <c r="AB36" s="70" t="s">
        <v>3</v>
      </c>
      <c r="AC36" s="76" t="s">
        <v>81</v>
      </c>
      <c r="AD36" s="77" t="s">
        <v>360</v>
      </c>
      <c r="AE36" s="345">
        <v>8.27</v>
      </c>
      <c r="AF36" s="70" t="s">
        <v>3</v>
      </c>
      <c r="AG36" s="76" t="s">
        <v>79</v>
      </c>
      <c r="AH36" s="77" t="s">
        <v>407</v>
      </c>
      <c r="AI36" s="18">
        <v>4.5</v>
      </c>
      <c r="AJ36" s="70" t="s">
        <v>3</v>
      </c>
      <c r="AK36" s="76" t="s">
        <v>78</v>
      </c>
      <c r="AL36" s="77" t="s">
        <v>293</v>
      </c>
      <c r="AM36" s="18">
        <v>10.06</v>
      </c>
      <c r="AN36" s="70" t="s">
        <v>47</v>
      </c>
      <c r="AO36" s="76" t="s">
        <v>145</v>
      </c>
      <c r="AR36" s="70" t="s">
        <v>85</v>
      </c>
      <c r="AS36" s="76"/>
      <c r="AV36" s="70" t="s">
        <v>85</v>
      </c>
      <c r="AW36" s="76"/>
    </row>
    <row r="37" spans="1:49" ht="31.5" customHeight="1" x14ac:dyDescent="0.2">
      <c r="D37" s="70" t="s">
        <v>85</v>
      </c>
      <c r="H37" s="70" t="s">
        <v>85</v>
      </c>
      <c r="I37" s="76"/>
      <c r="L37" s="70" t="s">
        <v>85</v>
      </c>
      <c r="M37" s="76"/>
      <c r="N37" s="77" t="s">
        <v>147</v>
      </c>
      <c r="O37" s="18">
        <v>14.68</v>
      </c>
      <c r="P37" s="70" t="s">
        <v>3</v>
      </c>
      <c r="Q37" s="76" t="s">
        <v>79</v>
      </c>
      <c r="R37" s="77" t="s">
        <v>139</v>
      </c>
      <c r="S37" s="18">
        <v>518.9</v>
      </c>
      <c r="T37" s="70" t="s">
        <v>1</v>
      </c>
      <c r="U37" s="76" t="s">
        <v>145</v>
      </c>
      <c r="V37" s="77" t="s">
        <v>183</v>
      </c>
      <c r="W37" s="345">
        <v>28</v>
      </c>
      <c r="X37" s="70" t="s">
        <v>3</v>
      </c>
      <c r="Y37" s="76" t="s">
        <v>79</v>
      </c>
      <c r="Z37" s="77" t="s">
        <v>125</v>
      </c>
      <c r="AA37" s="345">
        <v>12.48</v>
      </c>
      <c r="AB37" s="70" t="s">
        <v>3</v>
      </c>
      <c r="AC37" s="76" t="s">
        <v>81</v>
      </c>
      <c r="AD37" s="77" t="s">
        <v>360</v>
      </c>
      <c r="AE37" s="345">
        <v>5.23</v>
      </c>
      <c r="AF37" s="70" t="s">
        <v>3</v>
      </c>
      <c r="AG37" s="76" t="s">
        <v>79</v>
      </c>
      <c r="AH37" s="77" t="s">
        <v>147</v>
      </c>
      <c r="AI37" s="18">
        <v>17.04</v>
      </c>
      <c r="AJ37" s="70" t="s">
        <v>3</v>
      </c>
      <c r="AK37" s="76" t="s">
        <v>78</v>
      </c>
      <c r="AL37" s="77" t="s">
        <v>526</v>
      </c>
      <c r="AM37" s="18">
        <v>1850</v>
      </c>
      <c r="AN37" s="70" t="s">
        <v>1</v>
      </c>
      <c r="AO37" s="76" t="s">
        <v>145</v>
      </c>
      <c r="AR37" s="70" t="s">
        <v>85</v>
      </c>
      <c r="AS37" s="76"/>
      <c r="AV37" s="70" t="s">
        <v>85</v>
      </c>
      <c r="AW37" s="76"/>
    </row>
    <row r="38" spans="1:49" ht="31.5" customHeight="1" x14ac:dyDescent="0.2">
      <c r="D38" s="70" t="s">
        <v>85</v>
      </c>
      <c r="H38" s="70" t="s">
        <v>85</v>
      </c>
      <c r="I38" s="76"/>
      <c r="L38" s="70" t="s">
        <v>85</v>
      </c>
      <c r="M38" s="76"/>
      <c r="N38" s="77" t="s">
        <v>148</v>
      </c>
      <c r="O38" s="18">
        <v>25.18</v>
      </c>
      <c r="P38" s="70" t="s">
        <v>7</v>
      </c>
      <c r="Q38" s="76" t="s">
        <v>79</v>
      </c>
      <c r="R38" s="77" t="s">
        <v>118</v>
      </c>
      <c r="S38" s="18">
        <v>22</v>
      </c>
      <c r="T38" s="70" t="s">
        <v>3</v>
      </c>
      <c r="U38" s="76" t="s">
        <v>79</v>
      </c>
      <c r="V38" s="77" t="s">
        <v>184</v>
      </c>
      <c r="W38" s="345">
        <f>7.07+7.88+7.61</f>
        <v>22.56</v>
      </c>
      <c r="X38" s="70" t="s">
        <v>3</v>
      </c>
      <c r="Y38" s="76" t="s">
        <v>79</v>
      </c>
      <c r="Z38" s="77" t="s">
        <v>138</v>
      </c>
      <c r="AA38" s="345">
        <v>13.38</v>
      </c>
      <c r="AB38" s="70" t="s">
        <v>3</v>
      </c>
      <c r="AC38" s="76" t="s">
        <v>81</v>
      </c>
      <c r="AD38" s="77" t="s">
        <v>353</v>
      </c>
      <c r="AE38" s="345">
        <v>19.77</v>
      </c>
      <c r="AF38" s="70" t="s">
        <v>3</v>
      </c>
      <c r="AG38" s="76" t="s">
        <v>79</v>
      </c>
      <c r="AH38" s="77" t="s">
        <v>408</v>
      </c>
      <c r="AI38" s="18">
        <v>21.51</v>
      </c>
      <c r="AJ38" s="70" t="s">
        <v>3</v>
      </c>
      <c r="AK38" s="76" t="s">
        <v>78</v>
      </c>
      <c r="AL38" s="77" t="s">
        <v>528</v>
      </c>
      <c r="AM38" s="18">
        <v>37.049999999999997</v>
      </c>
      <c r="AN38" s="70" t="s">
        <v>7</v>
      </c>
      <c r="AO38" s="76" t="s">
        <v>79</v>
      </c>
      <c r="AR38" s="70" t="s">
        <v>85</v>
      </c>
      <c r="AS38" s="76"/>
      <c r="AV38" s="70" t="s">
        <v>85</v>
      </c>
      <c r="AW38" s="76"/>
    </row>
    <row r="39" spans="1:49" ht="31.5" customHeight="1" x14ac:dyDescent="0.2">
      <c r="D39" s="70" t="s">
        <v>85</v>
      </c>
      <c r="H39" s="70" t="s">
        <v>85</v>
      </c>
      <c r="I39" s="76"/>
      <c r="L39" s="70" t="s">
        <v>85</v>
      </c>
      <c r="M39" s="76"/>
      <c r="N39" s="77" t="s">
        <v>149</v>
      </c>
      <c r="O39" s="18">
        <v>22.56</v>
      </c>
      <c r="P39" s="70" t="s">
        <v>7</v>
      </c>
      <c r="Q39" s="76" t="s">
        <v>79</v>
      </c>
      <c r="R39" s="77" t="s">
        <v>114</v>
      </c>
      <c r="S39" s="18">
        <v>30.3</v>
      </c>
      <c r="T39" s="70" t="s">
        <v>3</v>
      </c>
      <c r="U39" s="76" t="s">
        <v>79</v>
      </c>
      <c r="V39" s="77" t="s">
        <v>185</v>
      </c>
      <c r="W39" s="345">
        <v>41.97</v>
      </c>
      <c r="X39" s="70" t="s">
        <v>7</v>
      </c>
      <c r="Y39" s="76" t="s">
        <v>79</v>
      </c>
      <c r="Z39" s="77" t="s">
        <v>289</v>
      </c>
      <c r="AA39" s="345" t="s">
        <v>498</v>
      </c>
      <c r="AB39" s="70" t="s">
        <v>8</v>
      </c>
      <c r="AC39" s="76"/>
      <c r="AD39" s="77" t="s">
        <v>361</v>
      </c>
      <c r="AE39" s="345">
        <v>208.95</v>
      </c>
      <c r="AF39" s="70" t="s">
        <v>17</v>
      </c>
      <c r="AG39" s="76" t="s">
        <v>79</v>
      </c>
      <c r="AH39" s="77" t="s">
        <v>293</v>
      </c>
      <c r="AI39" s="18">
        <v>8.2100000000000009</v>
      </c>
      <c r="AJ39" s="70" t="s">
        <v>1</v>
      </c>
      <c r="AK39" s="76" t="s">
        <v>145</v>
      </c>
      <c r="AL39" s="77" t="s">
        <v>131</v>
      </c>
      <c r="AM39" s="18">
        <v>3.98</v>
      </c>
      <c r="AN39" s="70" t="s">
        <v>3</v>
      </c>
      <c r="AO39" s="76" t="s">
        <v>79</v>
      </c>
      <c r="AR39" s="70" t="s">
        <v>85</v>
      </c>
      <c r="AS39" s="76"/>
      <c r="AV39" s="70" t="s">
        <v>85</v>
      </c>
      <c r="AW39" s="76"/>
    </row>
    <row r="40" spans="1:49" ht="31.5" customHeight="1" x14ac:dyDescent="0.2">
      <c r="A40" s="108" t="s">
        <v>92</v>
      </c>
      <c r="D40" s="70" t="s">
        <v>85</v>
      </c>
      <c r="H40" s="70" t="s">
        <v>85</v>
      </c>
      <c r="I40" s="76"/>
      <c r="L40" s="70" t="s">
        <v>85</v>
      </c>
      <c r="M40" s="76"/>
      <c r="N40" s="77" t="s">
        <v>150</v>
      </c>
      <c r="O40" s="18">
        <v>3.55</v>
      </c>
      <c r="P40" s="70" t="s">
        <v>3</v>
      </c>
      <c r="Q40" s="76" t="s">
        <v>79</v>
      </c>
      <c r="R40" s="77" t="s">
        <v>159</v>
      </c>
      <c r="S40" s="18">
        <f>20.91+31.73</f>
        <v>52.64</v>
      </c>
      <c r="T40" s="70" t="s">
        <v>3</v>
      </c>
      <c r="U40" s="76" t="s">
        <v>79</v>
      </c>
      <c r="V40" s="77" t="s">
        <v>138</v>
      </c>
      <c r="W40" s="345">
        <v>7.88</v>
      </c>
      <c r="X40" s="70" t="s">
        <v>3</v>
      </c>
      <c r="Y40" s="76" t="s">
        <v>79</v>
      </c>
      <c r="Z40" s="77" t="s">
        <v>290</v>
      </c>
      <c r="AA40" s="345">
        <v>19</v>
      </c>
      <c r="AB40" s="70" t="s">
        <v>40</v>
      </c>
      <c r="AC40" s="76" t="s">
        <v>145</v>
      </c>
      <c r="AD40" s="77" t="s">
        <v>362</v>
      </c>
      <c r="AE40" s="345">
        <v>30.3</v>
      </c>
      <c r="AF40" s="70" t="s">
        <v>109</v>
      </c>
      <c r="AG40" s="76" t="s">
        <v>79</v>
      </c>
      <c r="AH40" s="77" t="s">
        <v>410</v>
      </c>
      <c r="AI40" s="18">
        <v>107.53</v>
      </c>
      <c r="AJ40" s="70" t="s">
        <v>1</v>
      </c>
      <c r="AK40" s="76" t="s">
        <v>79</v>
      </c>
      <c r="AL40" s="77" t="s">
        <v>131</v>
      </c>
      <c r="AM40" s="18">
        <v>4.99</v>
      </c>
      <c r="AN40" s="70" t="s">
        <v>3</v>
      </c>
      <c r="AO40" s="76" t="s">
        <v>79</v>
      </c>
      <c r="AR40" s="70" t="s">
        <v>85</v>
      </c>
      <c r="AS40" s="76"/>
      <c r="AV40" s="70" t="s">
        <v>85</v>
      </c>
      <c r="AW40" s="76"/>
    </row>
    <row r="41" spans="1:49" ht="31.5" customHeight="1" x14ac:dyDescent="0.2">
      <c r="A41" s="228"/>
      <c r="D41" s="70" t="s">
        <v>85</v>
      </c>
      <c r="H41" s="70" t="s">
        <v>85</v>
      </c>
      <c r="I41" s="76"/>
      <c r="L41" s="70" t="s">
        <v>85</v>
      </c>
      <c r="M41" s="76"/>
      <c r="N41" s="77" t="s">
        <v>151</v>
      </c>
      <c r="O41" s="18">
        <v>157.82</v>
      </c>
      <c r="P41" s="70" t="s">
        <v>7</v>
      </c>
      <c r="Q41" s="76" t="s">
        <v>79</v>
      </c>
      <c r="R41" s="77" t="s">
        <v>160</v>
      </c>
      <c r="S41" s="18">
        <v>26.04</v>
      </c>
      <c r="T41" s="70" t="s">
        <v>7</v>
      </c>
      <c r="U41" s="76" t="s">
        <v>79</v>
      </c>
      <c r="V41" s="77" t="s">
        <v>186</v>
      </c>
      <c r="W41" s="345">
        <v>33.5</v>
      </c>
      <c r="X41" s="70" t="s">
        <v>40</v>
      </c>
      <c r="Y41" s="76" t="s">
        <v>79</v>
      </c>
      <c r="Z41" s="77" t="s">
        <v>291</v>
      </c>
      <c r="AA41" s="345" t="s">
        <v>499</v>
      </c>
      <c r="AB41" s="70" t="s">
        <v>8</v>
      </c>
      <c r="AC41" s="76"/>
      <c r="AD41" s="77" t="s">
        <v>363</v>
      </c>
      <c r="AE41" s="345">
        <v>131.83000000000001</v>
      </c>
      <c r="AF41" s="70" t="s">
        <v>1</v>
      </c>
      <c r="AG41" s="76" t="s">
        <v>79</v>
      </c>
      <c r="AH41" s="77" t="s">
        <v>411</v>
      </c>
      <c r="AI41" s="18">
        <v>11.98</v>
      </c>
      <c r="AJ41" s="70" t="s">
        <v>7</v>
      </c>
      <c r="AK41" s="76" t="s">
        <v>79</v>
      </c>
      <c r="AL41" s="77" t="s">
        <v>219</v>
      </c>
      <c r="AM41" s="18">
        <v>40.700000000000003</v>
      </c>
      <c r="AN41" s="70" t="s">
        <v>3</v>
      </c>
      <c r="AO41" s="76" t="s">
        <v>79</v>
      </c>
      <c r="AR41" s="70" t="s">
        <v>85</v>
      </c>
      <c r="AS41" s="76"/>
      <c r="AV41" s="70" t="s">
        <v>85</v>
      </c>
      <c r="AW41" s="76"/>
    </row>
    <row r="42" spans="1:49" ht="31.5" customHeight="1" x14ac:dyDescent="0.2">
      <c r="A42" s="99"/>
      <c r="D42" s="70" t="s">
        <v>85</v>
      </c>
      <c r="H42" s="70" t="s">
        <v>85</v>
      </c>
      <c r="I42" s="76"/>
      <c r="L42" s="70" t="s">
        <v>85</v>
      </c>
      <c r="M42" s="76"/>
      <c r="N42" s="77" t="s">
        <v>152</v>
      </c>
      <c r="O42" s="18">
        <v>10.72</v>
      </c>
      <c r="P42" s="70" t="s">
        <v>3</v>
      </c>
      <c r="Q42" s="76" t="s">
        <v>79</v>
      </c>
      <c r="R42" s="77" t="s">
        <v>131</v>
      </c>
      <c r="S42" s="18">
        <v>4.2</v>
      </c>
      <c r="T42" s="70" t="s">
        <v>3</v>
      </c>
      <c r="U42" s="76" t="s">
        <v>79</v>
      </c>
      <c r="V42" s="77" t="s">
        <v>187</v>
      </c>
      <c r="W42" s="345">
        <v>49.5</v>
      </c>
      <c r="X42" s="70" t="s">
        <v>3</v>
      </c>
      <c r="Y42" s="76" t="s">
        <v>79</v>
      </c>
      <c r="Z42" s="77" t="s">
        <v>292</v>
      </c>
      <c r="AA42" s="345" t="s">
        <v>500</v>
      </c>
      <c r="AB42" s="70" t="s">
        <v>8</v>
      </c>
      <c r="AC42" s="76"/>
      <c r="AD42" s="77" t="s">
        <v>364</v>
      </c>
      <c r="AE42" s="345">
        <v>65</v>
      </c>
      <c r="AF42" s="70" t="s">
        <v>44</v>
      </c>
      <c r="AG42" s="76" t="s">
        <v>79</v>
      </c>
      <c r="AH42" s="77" t="s">
        <v>412</v>
      </c>
      <c r="AI42" s="18">
        <v>326.72000000000003</v>
      </c>
      <c r="AJ42" s="70" t="s">
        <v>44</v>
      </c>
      <c r="AK42" s="76" t="s">
        <v>79</v>
      </c>
      <c r="AL42" s="77" t="s">
        <v>529</v>
      </c>
      <c r="AM42" s="18">
        <v>7.49</v>
      </c>
      <c r="AN42" s="70" t="s">
        <v>3</v>
      </c>
      <c r="AO42" s="76" t="s">
        <v>79</v>
      </c>
      <c r="AR42" s="70" t="s">
        <v>85</v>
      </c>
      <c r="AS42" s="76"/>
      <c r="AV42" s="70" t="s">
        <v>85</v>
      </c>
      <c r="AW42" s="76"/>
    </row>
    <row r="43" spans="1:49" ht="31.5" customHeight="1" x14ac:dyDescent="0.2">
      <c r="A43" s="422" t="s">
        <v>332</v>
      </c>
      <c r="D43" s="70" t="s">
        <v>85</v>
      </c>
      <c r="H43" s="70" t="s">
        <v>85</v>
      </c>
      <c r="I43" s="76"/>
      <c r="L43" s="70" t="s">
        <v>85</v>
      </c>
      <c r="M43" s="76"/>
      <c r="N43" s="77" t="s">
        <v>153</v>
      </c>
      <c r="O43" s="18">
        <v>11.41</v>
      </c>
      <c r="P43" s="70" t="s">
        <v>7</v>
      </c>
      <c r="Q43" s="76" t="s">
        <v>79</v>
      </c>
      <c r="R43" s="77" t="s">
        <v>161</v>
      </c>
      <c r="S43" s="18">
        <v>27.26</v>
      </c>
      <c r="T43" s="70" t="s">
        <v>3</v>
      </c>
      <c r="U43" s="76" t="s">
        <v>79</v>
      </c>
      <c r="V43" s="77" t="s">
        <v>188</v>
      </c>
      <c r="W43" s="345">
        <v>95.41</v>
      </c>
      <c r="X43" s="70" t="s">
        <v>3</v>
      </c>
      <c r="Y43" s="76" t="s">
        <v>79</v>
      </c>
      <c r="Z43" s="77" t="s">
        <v>138</v>
      </c>
      <c r="AA43" s="345">
        <v>14.75</v>
      </c>
      <c r="AB43" s="70" t="s">
        <v>3</v>
      </c>
      <c r="AC43" s="76" t="s">
        <v>78</v>
      </c>
      <c r="AD43" s="77" t="s">
        <v>365</v>
      </c>
      <c r="AE43" s="345">
        <v>18.8</v>
      </c>
      <c r="AF43" s="70" t="s">
        <v>1</v>
      </c>
      <c r="AG43" s="76" t="s">
        <v>79</v>
      </c>
      <c r="AH43" s="77" t="s">
        <v>413</v>
      </c>
      <c r="AI43" s="18">
        <f>657.49+19.72+2</f>
        <v>679.21</v>
      </c>
      <c r="AJ43" s="70" t="s">
        <v>82</v>
      </c>
      <c r="AK43" s="76" t="s">
        <v>79</v>
      </c>
      <c r="AL43" s="77" t="s">
        <v>530</v>
      </c>
      <c r="AM43" s="18">
        <v>34.49</v>
      </c>
      <c r="AN43" s="70" t="s">
        <v>7</v>
      </c>
      <c r="AO43" s="76" t="s">
        <v>79</v>
      </c>
      <c r="AR43" s="70" t="s">
        <v>85</v>
      </c>
      <c r="AS43" s="76"/>
      <c r="AV43" s="70" t="s">
        <v>85</v>
      </c>
      <c r="AW43" s="76"/>
    </row>
    <row r="44" spans="1:49" ht="31.5" customHeight="1" x14ac:dyDescent="0.2">
      <c r="A44" s="422"/>
      <c r="D44" s="70" t="s">
        <v>85</v>
      </c>
      <c r="H44" s="70" t="s">
        <v>85</v>
      </c>
      <c r="I44" s="76"/>
      <c r="L44" s="70" t="s">
        <v>85</v>
      </c>
      <c r="M44" s="76"/>
      <c r="N44" s="77" t="s">
        <v>153</v>
      </c>
      <c r="O44" s="18">
        <v>25.52</v>
      </c>
      <c r="P44" s="70" t="s">
        <v>7</v>
      </c>
      <c r="Q44" s="76" t="s">
        <v>79</v>
      </c>
      <c r="R44" s="77" t="s">
        <v>162</v>
      </c>
      <c r="S44" s="18">
        <v>34.130000000000003</v>
      </c>
      <c r="T44" s="70" t="s">
        <v>3</v>
      </c>
      <c r="U44" s="76" t="s">
        <v>79</v>
      </c>
      <c r="V44" s="77" t="s">
        <v>189</v>
      </c>
      <c r="W44" s="345">
        <v>4.49</v>
      </c>
      <c r="X44" s="70" t="s">
        <v>40</v>
      </c>
      <c r="Y44" s="76" t="s">
        <v>79</v>
      </c>
      <c r="Z44" s="77" t="s">
        <v>294</v>
      </c>
      <c r="AA44" s="345">
        <v>38.619999999999997</v>
      </c>
      <c r="AB44" s="70" t="s">
        <v>7</v>
      </c>
      <c r="AC44" s="76" t="s">
        <v>78</v>
      </c>
      <c r="AD44" s="77" t="s">
        <v>357</v>
      </c>
      <c r="AE44" s="345">
        <v>36.26</v>
      </c>
      <c r="AF44" s="70" t="s">
        <v>3</v>
      </c>
      <c r="AG44" s="76" t="s">
        <v>79</v>
      </c>
      <c r="AH44" s="77" t="s">
        <v>414</v>
      </c>
      <c r="AI44" s="18">
        <v>35.78</v>
      </c>
      <c r="AJ44" s="70" t="s">
        <v>7</v>
      </c>
      <c r="AK44" s="76" t="s">
        <v>79</v>
      </c>
      <c r="AL44" s="77" t="s">
        <v>131</v>
      </c>
      <c r="AM44" s="18">
        <v>1.69</v>
      </c>
      <c r="AN44" s="70" t="s">
        <v>3</v>
      </c>
      <c r="AO44" s="76" t="s">
        <v>79</v>
      </c>
      <c r="AR44" s="70" t="s">
        <v>85</v>
      </c>
      <c r="AS44" s="76"/>
      <c r="AV44" s="70" t="s">
        <v>85</v>
      </c>
      <c r="AW44" s="76"/>
    </row>
    <row r="45" spans="1:49" ht="31.5" customHeight="1" x14ac:dyDescent="0.2">
      <c r="A45" s="422"/>
      <c r="D45" s="70" t="s">
        <v>85</v>
      </c>
      <c r="H45" s="70" t="s">
        <v>85</v>
      </c>
      <c r="I45" s="76"/>
      <c r="L45" s="70" t="s">
        <v>85</v>
      </c>
      <c r="M45" s="76"/>
      <c r="N45" s="77" t="s">
        <v>154</v>
      </c>
      <c r="O45" s="18">
        <v>5</v>
      </c>
      <c r="P45" s="70" t="s">
        <v>7</v>
      </c>
      <c r="Q45" s="76" t="s">
        <v>79</v>
      </c>
      <c r="R45" s="77" t="s">
        <v>163</v>
      </c>
      <c r="S45" s="18">
        <v>16.71</v>
      </c>
      <c r="T45" s="70" t="s">
        <v>7</v>
      </c>
      <c r="U45" s="76" t="s">
        <v>79</v>
      </c>
      <c r="V45" s="77" t="s">
        <v>190</v>
      </c>
      <c r="W45" s="345">
        <v>7.2</v>
      </c>
      <c r="X45" s="70" t="s">
        <v>3</v>
      </c>
      <c r="Y45" s="76" t="s">
        <v>79</v>
      </c>
      <c r="Z45" s="77" t="s">
        <v>138</v>
      </c>
      <c r="AA45" s="345">
        <v>3.22</v>
      </c>
      <c r="AB45" s="70" t="s">
        <v>3</v>
      </c>
      <c r="AC45" s="76" t="s">
        <v>78</v>
      </c>
      <c r="AD45" s="77" t="s">
        <v>366</v>
      </c>
      <c r="AE45" s="345">
        <v>44.92</v>
      </c>
      <c r="AF45" s="70" t="s">
        <v>7</v>
      </c>
      <c r="AG45" s="76" t="s">
        <v>79</v>
      </c>
      <c r="AH45" s="77" t="s">
        <v>356</v>
      </c>
      <c r="AI45" s="18">
        <v>9</v>
      </c>
      <c r="AJ45" s="70" t="s">
        <v>7</v>
      </c>
      <c r="AK45" s="76" t="s">
        <v>79</v>
      </c>
      <c r="AL45" s="77" t="s">
        <v>523</v>
      </c>
      <c r="AM45" s="18">
        <v>7.57</v>
      </c>
      <c r="AN45" s="70" t="s">
        <v>3</v>
      </c>
      <c r="AO45" s="76" t="s">
        <v>79</v>
      </c>
      <c r="AR45" s="70" t="s">
        <v>85</v>
      </c>
      <c r="AS45" s="76"/>
      <c r="AV45" s="70" t="s">
        <v>85</v>
      </c>
      <c r="AW45" s="76"/>
    </row>
    <row r="46" spans="1:49" ht="31.5" customHeight="1" x14ac:dyDescent="0.2">
      <c r="D46" s="70" t="s">
        <v>85</v>
      </c>
      <c r="H46" s="70" t="s">
        <v>85</v>
      </c>
      <c r="I46" s="76"/>
      <c r="L46" s="70" t="s">
        <v>85</v>
      </c>
      <c r="M46" s="76"/>
      <c r="N46" s="77" t="s">
        <v>155</v>
      </c>
      <c r="O46" s="18">
        <v>3.48</v>
      </c>
      <c r="P46" s="70" t="s">
        <v>3</v>
      </c>
      <c r="Q46" s="76" t="s">
        <v>79</v>
      </c>
      <c r="R46" s="77" t="s">
        <v>163</v>
      </c>
      <c r="S46" s="18">
        <v>27.87</v>
      </c>
      <c r="T46" s="70" t="s">
        <v>7</v>
      </c>
      <c r="U46" s="76" t="s">
        <v>79</v>
      </c>
      <c r="V46" s="77" t="s">
        <v>191</v>
      </c>
      <c r="W46" s="345">
        <v>0</v>
      </c>
      <c r="X46" s="70" t="s">
        <v>8</v>
      </c>
      <c r="Y46" s="76" t="s">
        <v>79</v>
      </c>
      <c r="Z46" s="77" t="s">
        <v>192</v>
      </c>
      <c r="AA46" s="345">
        <v>16.98</v>
      </c>
      <c r="AB46" s="70" t="s">
        <v>3</v>
      </c>
      <c r="AC46" s="76" t="s">
        <v>78</v>
      </c>
      <c r="AD46" s="77" t="s">
        <v>367</v>
      </c>
      <c r="AE46" s="345">
        <v>70.17</v>
      </c>
      <c r="AF46" s="70" t="s">
        <v>40</v>
      </c>
      <c r="AG46" s="76" t="s">
        <v>79</v>
      </c>
      <c r="AH46" s="77" t="s">
        <v>415</v>
      </c>
      <c r="AI46" s="18">
        <f>6.72+19.14</f>
        <v>25.86</v>
      </c>
      <c r="AJ46" s="70" t="s">
        <v>3</v>
      </c>
      <c r="AK46" s="76" t="s">
        <v>79</v>
      </c>
      <c r="AL46" s="77" t="s">
        <v>531</v>
      </c>
      <c r="AM46" s="18">
        <v>14.46</v>
      </c>
      <c r="AN46" s="70" t="s">
        <v>7</v>
      </c>
      <c r="AO46" s="76" t="s">
        <v>79</v>
      </c>
      <c r="AR46" s="70" t="s">
        <v>85</v>
      </c>
      <c r="AS46" s="76"/>
      <c r="AV46" s="70" t="s">
        <v>85</v>
      </c>
      <c r="AW46" s="76"/>
    </row>
    <row r="47" spans="1:49" ht="31.5" customHeight="1" x14ac:dyDescent="0.2">
      <c r="D47" s="70" t="s">
        <v>85</v>
      </c>
      <c r="H47" s="70" t="s">
        <v>85</v>
      </c>
      <c r="I47" s="76"/>
      <c r="L47" s="70" t="s">
        <v>85</v>
      </c>
      <c r="M47" s="76"/>
      <c r="N47" s="77" t="s">
        <v>153</v>
      </c>
      <c r="O47" s="18">
        <v>12.01</v>
      </c>
      <c r="P47" s="70" t="s">
        <v>7</v>
      </c>
      <c r="Q47" s="76" t="s">
        <v>79</v>
      </c>
      <c r="R47" s="77" t="s">
        <v>164</v>
      </c>
      <c r="S47" s="18">
        <v>31.1</v>
      </c>
      <c r="T47" s="70" t="s">
        <v>7</v>
      </c>
      <c r="U47" s="76" t="s">
        <v>79</v>
      </c>
      <c r="V47" s="77" t="s">
        <v>192</v>
      </c>
      <c r="W47" s="345">
        <v>24.36</v>
      </c>
      <c r="X47" s="70" t="s">
        <v>3</v>
      </c>
      <c r="Y47" s="76" t="s">
        <v>79</v>
      </c>
      <c r="Z47" s="77" t="s">
        <v>295</v>
      </c>
      <c r="AA47" s="345">
        <v>8</v>
      </c>
      <c r="AB47" s="70" t="s">
        <v>3</v>
      </c>
      <c r="AC47" s="76" t="s">
        <v>78</v>
      </c>
      <c r="AD47" s="77" t="s">
        <v>368</v>
      </c>
      <c r="AE47" s="345">
        <v>28.76</v>
      </c>
      <c r="AF47" s="70" t="s">
        <v>3</v>
      </c>
      <c r="AG47" s="76" t="s">
        <v>79</v>
      </c>
      <c r="AH47" s="77" t="s">
        <v>176</v>
      </c>
      <c r="AI47" s="18">
        <v>23.63</v>
      </c>
      <c r="AJ47" s="70" t="s">
        <v>3</v>
      </c>
      <c r="AK47" s="76" t="s">
        <v>79</v>
      </c>
      <c r="AL47" s="77" t="s">
        <v>532</v>
      </c>
      <c r="AM47" s="18">
        <v>18.09</v>
      </c>
      <c r="AN47" s="70" t="s">
        <v>82</v>
      </c>
      <c r="AO47" s="76" t="s">
        <v>79</v>
      </c>
      <c r="AR47" s="70" t="s">
        <v>85</v>
      </c>
      <c r="AS47" s="76"/>
      <c r="AV47" s="70" t="s">
        <v>85</v>
      </c>
      <c r="AW47" s="76"/>
    </row>
    <row r="48" spans="1:49" ht="31.5" customHeight="1" x14ac:dyDescent="0.2">
      <c r="D48" s="70" t="s">
        <v>85</v>
      </c>
      <c r="H48" s="70" t="s">
        <v>85</v>
      </c>
      <c r="I48" s="76"/>
      <c r="L48" s="70" t="s">
        <v>85</v>
      </c>
      <c r="M48" s="76"/>
      <c r="N48" s="77" t="s">
        <v>153</v>
      </c>
      <c r="O48" s="18">
        <v>25.02</v>
      </c>
      <c r="P48" s="70" t="s">
        <v>7</v>
      </c>
      <c r="Q48" s="76" t="s">
        <v>79</v>
      </c>
      <c r="R48" s="77" t="s">
        <v>165</v>
      </c>
      <c r="S48" s="18">
        <v>120.99</v>
      </c>
      <c r="T48" s="70" t="s">
        <v>82</v>
      </c>
      <c r="U48" s="76" t="s">
        <v>79</v>
      </c>
      <c r="V48" s="77" t="s">
        <v>193</v>
      </c>
      <c r="W48" s="345">
        <v>9.9499999999999993</v>
      </c>
      <c r="X48" s="70" t="s">
        <v>17</v>
      </c>
      <c r="Y48" s="76" t="s">
        <v>79</v>
      </c>
      <c r="Z48" s="77" t="s">
        <v>194</v>
      </c>
      <c r="AA48" s="345">
        <v>11.06</v>
      </c>
      <c r="AB48" s="70" t="s">
        <v>3</v>
      </c>
      <c r="AC48" s="76" t="s">
        <v>79</v>
      </c>
      <c r="AD48" s="77" t="s">
        <v>369</v>
      </c>
      <c r="AE48" s="345">
        <v>7.74</v>
      </c>
      <c r="AF48" s="70" t="s">
        <v>44</v>
      </c>
      <c r="AG48" s="76" t="s">
        <v>79</v>
      </c>
      <c r="AH48" s="77" t="s">
        <v>416</v>
      </c>
      <c r="AI48" s="18">
        <f>2+9.22</f>
        <v>11.22</v>
      </c>
      <c r="AJ48" s="70" t="s">
        <v>7</v>
      </c>
      <c r="AK48" s="76" t="s">
        <v>79</v>
      </c>
      <c r="AL48" s="77" t="s">
        <v>532</v>
      </c>
      <c r="AM48" s="18">
        <v>19.96</v>
      </c>
      <c r="AN48" s="70" t="s">
        <v>82</v>
      </c>
      <c r="AO48" s="76" t="s">
        <v>79</v>
      </c>
      <c r="AR48" s="70" t="s">
        <v>85</v>
      </c>
      <c r="AS48" s="76"/>
      <c r="AV48" s="70" t="s">
        <v>85</v>
      </c>
      <c r="AW48" s="76"/>
    </row>
    <row r="49" spans="1:49" ht="31.5" customHeight="1" x14ac:dyDescent="0.2">
      <c r="D49" s="70" t="s">
        <v>85</v>
      </c>
      <c r="H49" s="70" t="s">
        <v>85</v>
      </c>
      <c r="I49" s="76"/>
      <c r="L49" s="70" t="s">
        <v>85</v>
      </c>
      <c r="M49" s="76"/>
      <c r="N49" s="77" t="s">
        <v>150</v>
      </c>
      <c r="O49" s="18">
        <v>12.76</v>
      </c>
      <c r="P49" s="70" t="s">
        <v>3</v>
      </c>
      <c r="Q49" s="76" t="s">
        <v>79</v>
      </c>
      <c r="R49" s="77" t="s">
        <v>166</v>
      </c>
      <c r="S49" s="18">
        <v>43.46</v>
      </c>
      <c r="T49" s="70" t="s">
        <v>3</v>
      </c>
      <c r="U49" s="76" t="s">
        <v>79</v>
      </c>
      <c r="V49" s="77" t="s">
        <v>194</v>
      </c>
      <c r="W49" s="345">
        <v>15.31</v>
      </c>
      <c r="X49" s="70" t="s">
        <v>3</v>
      </c>
      <c r="Y49" s="76" t="s">
        <v>79</v>
      </c>
      <c r="Z49" s="77" t="s">
        <v>176</v>
      </c>
      <c r="AA49" s="345">
        <v>54.24</v>
      </c>
      <c r="AB49" s="70" t="s">
        <v>3</v>
      </c>
      <c r="AC49" s="76" t="s">
        <v>79</v>
      </c>
      <c r="AD49" s="77" t="s">
        <v>370</v>
      </c>
      <c r="AE49" s="345">
        <v>74.44</v>
      </c>
      <c r="AF49" s="70" t="s">
        <v>3</v>
      </c>
      <c r="AG49" s="76" t="s">
        <v>79</v>
      </c>
      <c r="AH49" s="77" t="s">
        <v>417</v>
      </c>
      <c r="AI49" s="18">
        <f>13.81+13.51</f>
        <v>27.32</v>
      </c>
      <c r="AJ49" s="70" t="s">
        <v>3</v>
      </c>
      <c r="AK49" s="76" t="s">
        <v>79</v>
      </c>
      <c r="AL49" s="77" t="s">
        <v>533</v>
      </c>
      <c r="AM49" s="18">
        <v>13.22</v>
      </c>
      <c r="AN49" s="70" t="s">
        <v>3</v>
      </c>
      <c r="AO49" s="76" t="s">
        <v>79</v>
      </c>
      <c r="AR49" s="70" t="s">
        <v>85</v>
      </c>
      <c r="AS49" s="76"/>
      <c r="AV49" s="70" t="s">
        <v>85</v>
      </c>
      <c r="AW49" s="76"/>
    </row>
    <row r="50" spans="1:49" ht="31.5" customHeight="1" x14ac:dyDescent="0.2">
      <c r="D50" s="70" t="s">
        <v>85</v>
      </c>
      <c r="H50" s="70" t="s">
        <v>85</v>
      </c>
      <c r="I50" s="76"/>
      <c r="L50" s="70" t="s">
        <v>85</v>
      </c>
      <c r="M50" s="76"/>
      <c r="N50" s="77" t="s">
        <v>150</v>
      </c>
      <c r="O50" s="18">
        <v>5.59</v>
      </c>
      <c r="P50" s="70" t="s">
        <v>3</v>
      </c>
      <c r="Q50" s="76" t="s">
        <v>79</v>
      </c>
      <c r="R50" s="77" t="s">
        <v>167</v>
      </c>
      <c r="S50" s="18">
        <v>30.8</v>
      </c>
      <c r="T50" s="70" t="s">
        <v>7</v>
      </c>
      <c r="U50" s="76" t="s">
        <v>79</v>
      </c>
      <c r="V50" s="77" t="s">
        <v>195</v>
      </c>
      <c r="W50" s="345">
        <v>19.989999999999998</v>
      </c>
      <c r="X50" s="70" t="s">
        <v>17</v>
      </c>
      <c r="Y50" s="76" t="s">
        <v>79</v>
      </c>
      <c r="Z50" s="77" t="s">
        <v>296</v>
      </c>
      <c r="AA50" s="345">
        <v>3</v>
      </c>
      <c r="AB50" s="70" t="s">
        <v>7</v>
      </c>
      <c r="AC50" s="76" t="s">
        <v>79</v>
      </c>
      <c r="AD50" s="77" t="s">
        <v>507</v>
      </c>
      <c r="AE50" s="345">
        <v>30</v>
      </c>
      <c r="AF50" s="70" t="s">
        <v>44</v>
      </c>
      <c r="AG50" s="76" t="s">
        <v>79</v>
      </c>
      <c r="AH50" s="77" t="s">
        <v>418</v>
      </c>
      <c r="AI50" s="18">
        <f>7.65+18.43</f>
        <v>26.08</v>
      </c>
      <c r="AJ50" s="70" t="s">
        <v>7</v>
      </c>
      <c r="AK50" s="76" t="s">
        <v>79</v>
      </c>
      <c r="AL50" s="77" t="s">
        <v>534</v>
      </c>
      <c r="AM50" s="18">
        <v>7.18</v>
      </c>
      <c r="AN50" s="70" t="s">
        <v>3</v>
      </c>
      <c r="AO50" s="76" t="s">
        <v>79</v>
      </c>
      <c r="AR50" s="70" t="s">
        <v>85</v>
      </c>
      <c r="AS50" s="76"/>
      <c r="AV50" s="70" t="s">
        <v>85</v>
      </c>
      <c r="AW50" s="76"/>
    </row>
    <row r="51" spans="1:49" ht="31.5" customHeight="1" x14ac:dyDescent="0.2">
      <c r="D51" s="70" t="s">
        <v>85</v>
      </c>
      <c r="H51" s="70" t="s">
        <v>85</v>
      </c>
      <c r="I51" s="76"/>
      <c r="L51" s="70" t="s">
        <v>85</v>
      </c>
      <c r="M51" s="76"/>
      <c r="N51" s="77" t="s">
        <v>131</v>
      </c>
      <c r="O51" s="18">
        <v>7.18</v>
      </c>
      <c r="P51" s="70" t="s">
        <v>3</v>
      </c>
      <c r="Q51" s="76" t="s">
        <v>79</v>
      </c>
      <c r="R51" s="77" t="s">
        <v>168</v>
      </c>
      <c r="S51" s="18">
        <v>24.49</v>
      </c>
      <c r="T51" s="70" t="s">
        <v>7</v>
      </c>
      <c r="U51" s="76" t="s">
        <v>79</v>
      </c>
      <c r="V51" s="77" t="s">
        <v>196</v>
      </c>
      <c r="W51" s="345">
        <v>20.39</v>
      </c>
      <c r="X51" s="70" t="s">
        <v>109</v>
      </c>
      <c r="Y51" s="76" t="s">
        <v>79</v>
      </c>
      <c r="Z51" s="77" t="s">
        <v>297</v>
      </c>
      <c r="AA51" s="345">
        <v>16.37</v>
      </c>
      <c r="AB51" s="70" t="s">
        <v>44</v>
      </c>
      <c r="AC51" s="76" t="s">
        <v>79</v>
      </c>
      <c r="AD51" s="77" t="s">
        <v>138</v>
      </c>
      <c r="AE51" s="345">
        <v>9.2899999999999991</v>
      </c>
      <c r="AF51" s="70" t="s">
        <v>3</v>
      </c>
      <c r="AG51" s="76" t="s">
        <v>81</v>
      </c>
      <c r="AH51" s="77" t="s">
        <v>419</v>
      </c>
      <c r="AI51" s="18">
        <f>25.37+12+21.4</f>
        <v>58.77</v>
      </c>
      <c r="AJ51" s="70" t="s">
        <v>7</v>
      </c>
      <c r="AK51" s="76" t="s">
        <v>79</v>
      </c>
      <c r="AL51" s="77" t="s">
        <v>532</v>
      </c>
      <c r="AM51" s="18">
        <v>20.28</v>
      </c>
      <c r="AN51" s="70" t="s">
        <v>82</v>
      </c>
      <c r="AO51" s="76" t="s">
        <v>79</v>
      </c>
      <c r="AR51" s="70" t="s">
        <v>85</v>
      </c>
      <c r="AS51" s="76"/>
      <c r="AV51" s="70" t="s">
        <v>85</v>
      </c>
      <c r="AW51" s="76"/>
    </row>
    <row r="52" spans="1:49" ht="31.5" customHeight="1" x14ac:dyDescent="0.2">
      <c r="D52" s="70" t="s">
        <v>85</v>
      </c>
      <c r="H52" s="70" t="s">
        <v>85</v>
      </c>
      <c r="I52" s="76"/>
      <c r="L52" s="70" t="s">
        <v>85</v>
      </c>
      <c r="M52" s="76"/>
      <c r="N52" s="77" t="s">
        <v>156</v>
      </c>
      <c r="O52" s="18">
        <v>24.2</v>
      </c>
      <c r="P52" s="70" t="s">
        <v>7</v>
      </c>
      <c r="Q52" s="76" t="s">
        <v>79</v>
      </c>
      <c r="R52" s="77" t="s">
        <v>131</v>
      </c>
      <c r="S52" s="18">
        <v>10.95</v>
      </c>
      <c r="T52" s="70" t="s">
        <v>3</v>
      </c>
      <c r="U52" s="76" t="s">
        <v>79</v>
      </c>
      <c r="V52" s="77" t="s">
        <v>197</v>
      </c>
      <c r="W52" s="345">
        <v>29.05</v>
      </c>
      <c r="X52" s="70" t="s">
        <v>7</v>
      </c>
      <c r="Y52" s="76" t="s">
        <v>79</v>
      </c>
      <c r="Z52" s="77" t="s">
        <v>176</v>
      </c>
      <c r="AA52" s="345">
        <v>52.3</v>
      </c>
      <c r="AB52" s="70" t="s">
        <v>3</v>
      </c>
      <c r="AC52" s="76" t="s">
        <v>79</v>
      </c>
      <c r="AD52" s="77" t="s">
        <v>102</v>
      </c>
      <c r="AE52" s="345">
        <v>6.96</v>
      </c>
      <c r="AF52" s="70" t="s">
        <v>3</v>
      </c>
      <c r="AG52" s="76" t="s">
        <v>81</v>
      </c>
      <c r="AH52" s="77" t="s">
        <v>420</v>
      </c>
      <c r="AI52" s="18">
        <v>9.9700000000000006</v>
      </c>
      <c r="AJ52" s="70" t="s">
        <v>3</v>
      </c>
      <c r="AK52" s="76" t="s">
        <v>79</v>
      </c>
      <c r="AL52" s="77" t="s">
        <v>535</v>
      </c>
      <c r="AM52" s="18">
        <v>349.61</v>
      </c>
      <c r="AN52" s="70" t="s">
        <v>82</v>
      </c>
      <c r="AO52" s="76" t="s">
        <v>79</v>
      </c>
      <c r="AR52" s="70" t="s">
        <v>85</v>
      </c>
      <c r="AS52" s="76"/>
      <c r="AV52" s="70" t="s">
        <v>85</v>
      </c>
      <c r="AW52" s="76"/>
    </row>
    <row r="53" spans="1:49" ht="31.5" customHeight="1" x14ac:dyDescent="0.2">
      <c r="D53" s="70" t="s">
        <v>85</v>
      </c>
      <c r="H53" s="70" t="s">
        <v>85</v>
      </c>
      <c r="I53" s="76"/>
      <c r="L53" s="70" t="s">
        <v>85</v>
      </c>
      <c r="M53" s="76"/>
      <c r="N53" s="77" t="s">
        <v>157</v>
      </c>
      <c r="O53" s="18">
        <v>20.62</v>
      </c>
      <c r="P53" s="70" t="s">
        <v>7</v>
      </c>
      <c r="Q53" s="76" t="s">
        <v>79</v>
      </c>
      <c r="R53" s="77" t="s">
        <v>168</v>
      </c>
      <c r="S53" s="18">
        <v>25.43</v>
      </c>
      <c r="T53" s="70" t="s">
        <v>7</v>
      </c>
      <c r="U53" s="76" t="s">
        <v>79</v>
      </c>
      <c r="V53" s="77" t="s">
        <v>179</v>
      </c>
      <c r="W53" s="345">
        <v>184.24</v>
      </c>
      <c r="X53" s="70" t="s">
        <v>47</v>
      </c>
      <c r="Y53" s="76" t="s">
        <v>79</v>
      </c>
      <c r="Z53" s="77" t="s">
        <v>298</v>
      </c>
      <c r="AA53" s="345">
        <v>2.96</v>
      </c>
      <c r="AB53" s="70" t="s">
        <v>3</v>
      </c>
      <c r="AC53" s="76" t="s">
        <v>79</v>
      </c>
      <c r="AD53" s="77" t="s">
        <v>377</v>
      </c>
      <c r="AE53" s="345">
        <f>3.46+9.83+2.96+7.92+4.94+2.75+5.15+3.95+1.9+6.56</f>
        <v>49.420000000000009</v>
      </c>
      <c r="AF53" s="70" t="s">
        <v>3</v>
      </c>
      <c r="AG53" s="76" t="s">
        <v>81</v>
      </c>
      <c r="AH53" s="77" t="s">
        <v>421</v>
      </c>
      <c r="AI53" s="18">
        <f>10+10.36</f>
        <v>20.36</v>
      </c>
      <c r="AJ53" s="70" t="s">
        <v>7</v>
      </c>
      <c r="AK53" s="76" t="s">
        <v>79</v>
      </c>
      <c r="AL53" s="77" t="s">
        <v>536</v>
      </c>
      <c r="AM53" s="18">
        <v>1.99</v>
      </c>
      <c r="AN53" s="70" t="s">
        <v>3</v>
      </c>
      <c r="AO53" s="76" t="s">
        <v>79</v>
      </c>
      <c r="AR53" s="70" t="s">
        <v>85</v>
      </c>
      <c r="AS53" s="76"/>
      <c r="AV53" s="70" t="s">
        <v>85</v>
      </c>
      <c r="AW53" s="76"/>
    </row>
    <row r="54" spans="1:49" ht="31.5" customHeight="1" x14ac:dyDescent="0.2">
      <c r="D54" s="70" t="s">
        <v>85</v>
      </c>
      <c r="H54" s="70" t="s">
        <v>85</v>
      </c>
      <c r="I54" s="76"/>
      <c r="L54" s="70" t="s">
        <v>85</v>
      </c>
      <c r="M54" s="76"/>
      <c r="N54" s="77" t="s">
        <v>150</v>
      </c>
      <c r="O54" s="18">
        <f>8.44+2.92+1.01</f>
        <v>12.37</v>
      </c>
      <c r="P54" s="70" t="s">
        <v>3</v>
      </c>
      <c r="Q54" s="76" t="s">
        <v>79</v>
      </c>
      <c r="R54" s="77" t="s">
        <v>169</v>
      </c>
      <c r="S54" s="18">
        <v>12</v>
      </c>
      <c r="T54" s="70" t="s">
        <v>40</v>
      </c>
      <c r="U54" s="76" t="s">
        <v>79</v>
      </c>
      <c r="V54" s="77" t="s">
        <v>198</v>
      </c>
      <c r="W54" s="345">
        <f>102.12+2.17</f>
        <v>104.29</v>
      </c>
      <c r="X54" s="70" t="s">
        <v>1</v>
      </c>
      <c r="Y54" s="76" t="s">
        <v>79</v>
      </c>
      <c r="Z54" s="77" t="s">
        <v>299</v>
      </c>
      <c r="AA54" s="345">
        <v>24.9</v>
      </c>
      <c r="AB54" s="70" t="s">
        <v>17</v>
      </c>
      <c r="AC54" s="76" t="s">
        <v>79</v>
      </c>
      <c r="AD54" s="77" t="s">
        <v>102</v>
      </c>
      <c r="AE54" s="345">
        <v>5.22</v>
      </c>
      <c r="AF54" s="232" t="s">
        <v>3</v>
      </c>
      <c r="AG54" s="76" t="s">
        <v>81</v>
      </c>
      <c r="AH54" s="77" t="s">
        <v>176</v>
      </c>
      <c r="AI54" s="18">
        <v>19.670000000000002</v>
      </c>
      <c r="AJ54" s="70" t="s">
        <v>3</v>
      </c>
      <c r="AK54" s="76" t="s">
        <v>79</v>
      </c>
      <c r="AL54" s="77" t="s">
        <v>537</v>
      </c>
      <c r="AM54" s="18">
        <v>28</v>
      </c>
      <c r="AN54" s="70" t="s">
        <v>3</v>
      </c>
      <c r="AO54" s="76" t="s">
        <v>79</v>
      </c>
      <c r="AR54" s="70" t="s">
        <v>85</v>
      </c>
      <c r="AS54" s="76"/>
      <c r="AV54" s="70" t="s">
        <v>85</v>
      </c>
      <c r="AW54" s="76"/>
    </row>
    <row r="55" spans="1:49" ht="31.5" customHeight="1" x14ac:dyDescent="0.2">
      <c r="D55" s="70" t="s">
        <v>85</v>
      </c>
      <c r="H55" s="70" t="s">
        <v>85</v>
      </c>
      <c r="I55" s="76"/>
      <c r="L55" s="70" t="s">
        <v>85</v>
      </c>
      <c r="M55" s="76"/>
      <c r="N55" s="77" t="s">
        <v>158</v>
      </c>
      <c r="O55" s="18">
        <v>26.1</v>
      </c>
      <c r="P55" s="70" t="s">
        <v>7</v>
      </c>
      <c r="Q55" s="76" t="s">
        <v>79</v>
      </c>
      <c r="R55" s="77" t="s">
        <v>170</v>
      </c>
      <c r="S55" s="18">
        <v>70.44</v>
      </c>
      <c r="T55" s="70" t="s">
        <v>17</v>
      </c>
      <c r="U55" s="76" t="s">
        <v>79</v>
      </c>
      <c r="V55" s="77" t="s">
        <v>37</v>
      </c>
      <c r="W55" s="345">
        <v>10.82</v>
      </c>
      <c r="X55" s="70" t="s">
        <v>47</v>
      </c>
      <c r="Y55" s="76" t="s">
        <v>80</v>
      </c>
      <c r="Z55" s="77" t="s">
        <v>300</v>
      </c>
      <c r="AA55" s="345">
        <v>30.42</v>
      </c>
      <c r="AB55" s="70" t="s">
        <v>7</v>
      </c>
      <c r="AC55" s="76" t="s">
        <v>79</v>
      </c>
      <c r="AD55" s="77" t="s">
        <v>374</v>
      </c>
      <c r="AE55" s="345">
        <v>13.96</v>
      </c>
      <c r="AF55" s="232" t="s">
        <v>3</v>
      </c>
      <c r="AG55" s="76" t="s">
        <v>81</v>
      </c>
      <c r="AH55" s="77" t="s">
        <v>422</v>
      </c>
      <c r="AI55" s="18">
        <v>42.58</v>
      </c>
      <c r="AJ55" s="70" t="s">
        <v>7</v>
      </c>
      <c r="AK55" s="76" t="s">
        <v>79</v>
      </c>
      <c r="AL55" s="77" t="s">
        <v>539</v>
      </c>
      <c r="AM55" s="18">
        <v>29.11</v>
      </c>
      <c r="AN55" s="70" t="s">
        <v>7</v>
      </c>
      <c r="AO55" s="76" t="s">
        <v>79</v>
      </c>
      <c r="AR55" s="70" t="s">
        <v>85</v>
      </c>
      <c r="AS55" s="76"/>
      <c r="AV55" s="70" t="s">
        <v>85</v>
      </c>
      <c r="AW55" s="76"/>
    </row>
    <row r="56" spans="1:49" ht="31.5" customHeight="1" x14ac:dyDescent="0.2">
      <c r="D56" s="70" t="s">
        <v>85</v>
      </c>
      <c r="H56" s="70" t="s">
        <v>85</v>
      </c>
      <c r="I56" s="76"/>
      <c r="L56" s="70" t="s">
        <v>85</v>
      </c>
      <c r="M56" s="76"/>
      <c r="N56" s="77" t="s">
        <v>150</v>
      </c>
      <c r="O56" s="18">
        <f>13.78+3.05</f>
        <v>16.829999999999998</v>
      </c>
      <c r="P56" s="70" t="s">
        <v>3</v>
      </c>
      <c r="Q56" s="76" t="s">
        <v>79</v>
      </c>
      <c r="R56" s="77" t="s">
        <v>171</v>
      </c>
      <c r="S56" s="18">
        <v>35</v>
      </c>
      <c r="T56" s="70" t="s">
        <v>3</v>
      </c>
      <c r="U56" s="76" t="s">
        <v>79</v>
      </c>
      <c r="V56" s="77" t="s">
        <v>209</v>
      </c>
      <c r="W56" s="345">
        <v>30.57</v>
      </c>
      <c r="X56" s="70" t="s">
        <v>7</v>
      </c>
      <c r="Y56" s="76" t="s">
        <v>80</v>
      </c>
      <c r="Z56" s="77" t="s">
        <v>301</v>
      </c>
      <c r="AA56" s="345">
        <v>35.869999999999997</v>
      </c>
      <c r="AB56" s="70" t="s">
        <v>17</v>
      </c>
      <c r="AC56" s="76" t="s">
        <v>79</v>
      </c>
      <c r="AD56" s="77" t="s">
        <v>375</v>
      </c>
      <c r="AE56" s="345">
        <f>8.65+13</f>
        <v>21.65</v>
      </c>
      <c r="AF56" s="232" t="s">
        <v>3</v>
      </c>
      <c r="AG56" s="76" t="s">
        <v>81</v>
      </c>
      <c r="AH56" s="77" t="s">
        <v>176</v>
      </c>
      <c r="AI56" s="18">
        <v>35.090000000000003</v>
      </c>
      <c r="AJ56" s="70" t="s">
        <v>7</v>
      </c>
      <c r="AK56" s="76" t="s">
        <v>79</v>
      </c>
      <c r="AL56" s="77" t="s">
        <v>538</v>
      </c>
      <c r="AM56" s="18">
        <v>14.02</v>
      </c>
      <c r="AN56" s="70" t="s">
        <v>7</v>
      </c>
      <c r="AO56" s="76" t="s">
        <v>79</v>
      </c>
      <c r="AR56" s="70" t="s">
        <v>85</v>
      </c>
      <c r="AS56" s="76"/>
      <c r="AV56" s="70" t="s">
        <v>85</v>
      </c>
      <c r="AW56" s="76"/>
    </row>
    <row r="57" spans="1:49" ht="31.5" customHeight="1" x14ac:dyDescent="0.2">
      <c r="D57" s="70" t="s">
        <v>85</v>
      </c>
      <c r="H57" s="70" t="s">
        <v>85</v>
      </c>
      <c r="I57" s="76"/>
      <c r="L57" s="70" t="s">
        <v>85</v>
      </c>
      <c r="M57" s="76"/>
      <c r="N57" s="77" t="s">
        <v>37</v>
      </c>
      <c r="O57" s="18">
        <v>10.82</v>
      </c>
      <c r="P57" s="70" t="s">
        <v>47</v>
      </c>
      <c r="Q57" s="76" t="s">
        <v>80</v>
      </c>
      <c r="R57" s="77" t="s">
        <v>150</v>
      </c>
      <c r="S57" s="18">
        <v>11.52</v>
      </c>
      <c r="T57" s="70" t="s">
        <v>3</v>
      </c>
      <c r="U57" s="76" t="s">
        <v>79</v>
      </c>
      <c r="V57" s="77" t="s">
        <v>138</v>
      </c>
      <c r="W57" s="345">
        <v>11.42</v>
      </c>
      <c r="X57" s="70" t="s">
        <v>3</v>
      </c>
      <c r="Y57" s="76" t="s">
        <v>80</v>
      </c>
      <c r="Z57" s="77" t="s">
        <v>318</v>
      </c>
      <c r="AA57" s="345">
        <f>82.81+50.2+50.2</f>
        <v>183.20999999999998</v>
      </c>
      <c r="AB57" s="70" t="s">
        <v>17</v>
      </c>
      <c r="AC57" s="76" t="s">
        <v>79</v>
      </c>
      <c r="AD57" s="77" t="s">
        <v>376</v>
      </c>
      <c r="AE57" s="345">
        <v>24.02</v>
      </c>
      <c r="AF57" s="232" t="s">
        <v>3</v>
      </c>
      <c r="AG57" s="76" t="s">
        <v>81</v>
      </c>
      <c r="AH57" s="77" t="s">
        <v>338</v>
      </c>
      <c r="AI57" s="18">
        <v>30</v>
      </c>
      <c r="AJ57" s="70" t="s">
        <v>44</v>
      </c>
      <c r="AK57" s="76" t="s">
        <v>79</v>
      </c>
      <c r="AL57" s="77" t="s">
        <v>176</v>
      </c>
      <c r="AM57" s="18">
        <v>51.4</v>
      </c>
      <c r="AN57" s="70" t="s">
        <v>3</v>
      </c>
      <c r="AO57" s="76" t="s">
        <v>79</v>
      </c>
      <c r="AR57" s="70" t="s">
        <v>85</v>
      </c>
      <c r="AS57" s="76"/>
      <c r="AV57" s="70" t="s">
        <v>85</v>
      </c>
      <c r="AW57" s="76"/>
    </row>
    <row r="58" spans="1:49" ht="31.5" customHeight="1" x14ac:dyDescent="0.2">
      <c r="D58" s="70" t="s">
        <v>85</v>
      </c>
      <c r="H58" s="70" t="s">
        <v>85</v>
      </c>
      <c r="I58" s="76"/>
      <c r="L58" s="70" t="s">
        <v>85</v>
      </c>
      <c r="M58" s="76"/>
      <c r="N58" s="77" t="s">
        <v>213</v>
      </c>
      <c r="O58" s="18">
        <v>38.01</v>
      </c>
      <c r="P58" s="70" t="s">
        <v>3</v>
      </c>
      <c r="Q58" s="76" t="s">
        <v>81</v>
      </c>
      <c r="R58" s="77" t="s">
        <v>172</v>
      </c>
      <c r="S58" s="18">
        <v>10.11</v>
      </c>
      <c r="T58" s="70" t="s">
        <v>1</v>
      </c>
      <c r="U58" s="76" t="s">
        <v>79</v>
      </c>
      <c r="V58" s="77" t="s">
        <v>176</v>
      </c>
      <c r="W58" s="345">
        <v>51.68</v>
      </c>
      <c r="X58" s="70" t="s">
        <v>3</v>
      </c>
      <c r="Y58" s="76" t="s">
        <v>80</v>
      </c>
      <c r="Z58" s="77" t="s">
        <v>302</v>
      </c>
      <c r="AA58" s="345">
        <v>89.07</v>
      </c>
      <c r="AB58" s="70" t="s">
        <v>17</v>
      </c>
      <c r="AC58" s="76" t="s">
        <v>79</v>
      </c>
      <c r="AD58" s="77" t="s">
        <v>378</v>
      </c>
      <c r="AE58" s="345">
        <v>63</v>
      </c>
      <c r="AF58" s="70" t="s">
        <v>3</v>
      </c>
      <c r="AG58" s="76" t="s">
        <v>81</v>
      </c>
      <c r="AH58" s="77" t="s">
        <v>423</v>
      </c>
      <c r="AI58" s="18">
        <v>33.5</v>
      </c>
      <c r="AJ58" s="70" t="s">
        <v>40</v>
      </c>
      <c r="AK58" s="76" t="s">
        <v>79</v>
      </c>
      <c r="AL58" s="77" t="s">
        <v>544</v>
      </c>
      <c r="AM58" s="18">
        <v>43</v>
      </c>
      <c r="AN58" s="70" t="s">
        <v>40</v>
      </c>
      <c r="AO58" s="76" t="s">
        <v>81</v>
      </c>
      <c r="AR58" s="70" t="s">
        <v>85</v>
      </c>
      <c r="AS58" s="76"/>
      <c r="AV58" s="70" t="s">
        <v>85</v>
      </c>
      <c r="AW58" s="76"/>
    </row>
    <row r="59" spans="1:49" ht="31.5" customHeight="1" x14ac:dyDescent="0.2">
      <c r="D59" s="70" t="s">
        <v>85</v>
      </c>
      <c r="H59" s="70" t="s">
        <v>85</v>
      </c>
      <c r="I59" s="76"/>
      <c r="L59" s="70" t="s">
        <v>85</v>
      </c>
      <c r="M59" s="76"/>
      <c r="N59" s="77" t="s">
        <v>212</v>
      </c>
      <c r="O59" s="18">
        <v>84</v>
      </c>
      <c r="P59" s="70" t="s">
        <v>3</v>
      </c>
      <c r="Q59" s="76" t="s">
        <v>81</v>
      </c>
      <c r="R59" s="77" t="s">
        <v>157</v>
      </c>
      <c r="S59" s="18">
        <v>65.13</v>
      </c>
      <c r="T59" s="70" t="s">
        <v>7</v>
      </c>
      <c r="U59" s="76" t="s">
        <v>79</v>
      </c>
      <c r="V59" s="77" t="s">
        <v>206</v>
      </c>
      <c r="W59" s="345">
        <v>16.239999999999998</v>
      </c>
      <c r="X59" s="70" t="s">
        <v>47</v>
      </c>
      <c r="Y59" s="76" t="s">
        <v>80</v>
      </c>
      <c r="Z59" s="77" t="s">
        <v>303</v>
      </c>
      <c r="AA59" s="345">
        <v>89.07</v>
      </c>
      <c r="AB59" s="70" t="s">
        <v>17</v>
      </c>
      <c r="AC59" s="76" t="s">
        <v>79</v>
      </c>
      <c r="AD59" s="77" t="s">
        <v>190</v>
      </c>
      <c r="AE59" s="345">
        <v>9.5</v>
      </c>
      <c r="AF59" s="70" t="s">
        <v>3</v>
      </c>
      <c r="AG59" s="76" t="s">
        <v>81</v>
      </c>
      <c r="AH59" s="77" t="s">
        <v>176</v>
      </c>
      <c r="AI59" s="18">
        <v>37.659999999999997</v>
      </c>
      <c r="AJ59" s="70" t="s">
        <v>3</v>
      </c>
      <c r="AK59" s="76" t="s">
        <v>79</v>
      </c>
      <c r="AL59" s="77" t="s">
        <v>545</v>
      </c>
      <c r="AM59" s="18">
        <v>11.99</v>
      </c>
      <c r="AN59" s="70" t="s">
        <v>3</v>
      </c>
      <c r="AO59" s="76" t="s">
        <v>81</v>
      </c>
      <c r="AR59" s="70" t="s">
        <v>85</v>
      </c>
      <c r="AS59" s="76"/>
      <c r="AV59" s="70" t="s">
        <v>85</v>
      </c>
      <c r="AW59" s="76"/>
    </row>
    <row r="60" spans="1:49" ht="31.5" customHeight="1" x14ac:dyDescent="0.2">
      <c r="D60" s="70" t="s">
        <v>85</v>
      </c>
      <c r="H60" s="70" t="s">
        <v>85</v>
      </c>
      <c r="I60" s="76"/>
      <c r="L60" s="70" t="s">
        <v>85</v>
      </c>
      <c r="M60" s="76"/>
      <c r="N60" s="77" t="s">
        <v>214</v>
      </c>
      <c r="O60" s="18">
        <v>20.010000000000002</v>
      </c>
      <c r="P60" s="70" t="s">
        <v>3</v>
      </c>
      <c r="Q60" s="76" t="s">
        <v>81</v>
      </c>
      <c r="R60" s="77" t="s">
        <v>173</v>
      </c>
      <c r="S60" s="18">
        <v>37</v>
      </c>
      <c r="T60" s="70" t="s">
        <v>3</v>
      </c>
      <c r="U60" s="76" t="s">
        <v>79</v>
      </c>
      <c r="V60" s="77" t="s">
        <v>138</v>
      </c>
      <c r="W60" s="345">
        <v>6.53</v>
      </c>
      <c r="X60" s="70" t="s">
        <v>3</v>
      </c>
      <c r="Y60" s="76" t="s">
        <v>80</v>
      </c>
      <c r="Z60" s="77" t="s">
        <v>179</v>
      </c>
      <c r="AA60" s="345">
        <v>161.56</v>
      </c>
      <c r="AB60" s="70" t="s">
        <v>47</v>
      </c>
      <c r="AC60" s="76" t="s">
        <v>79</v>
      </c>
      <c r="AD60" s="77" t="s">
        <v>379</v>
      </c>
      <c r="AE60" s="345">
        <v>69</v>
      </c>
      <c r="AF60" s="70" t="s">
        <v>3</v>
      </c>
      <c r="AG60" s="76" t="s">
        <v>81</v>
      </c>
      <c r="AH60" s="77" t="s">
        <v>424</v>
      </c>
      <c r="AI60" s="18">
        <v>-90</v>
      </c>
      <c r="AJ60" s="70" t="s">
        <v>17</v>
      </c>
      <c r="AK60" s="76" t="s">
        <v>79</v>
      </c>
      <c r="AL60" s="77" t="s">
        <v>549</v>
      </c>
      <c r="AM60" s="18">
        <v>45.44</v>
      </c>
      <c r="AN60" s="70" t="s">
        <v>48</v>
      </c>
      <c r="AO60" s="76" t="s">
        <v>145</v>
      </c>
      <c r="AR60" s="70" t="s">
        <v>85</v>
      </c>
      <c r="AS60" s="76"/>
      <c r="AV60" s="70" t="s">
        <v>85</v>
      </c>
      <c r="AW60" s="76"/>
    </row>
    <row r="61" spans="1:49" ht="31.5" customHeight="1" x14ac:dyDescent="0.2">
      <c r="A61" s="229" t="s">
        <v>92</v>
      </c>
      <c r="D61" s="70" t="s">
        <v>85</v>
      </c>
      <c r="H61" s="70" t="s">
        <v>85</v>
      </c>
      <c r="I61" s="76"/>
      <c r="L61" s="70" t="s">
        <v>85</v>
      </c>
      <c r="M61" s="76"/>
      <c r="N61" s="77" t="s">
        <v>215</v>
      </c>
      <c r="O61" s="18">
        <v>28.37</v>
      </c>
      <c r="P61" s="70" t="s">
        <v>17</v>
      </c>
      <c r="Q61" s="76" t="s">
        <v>81</v>
      </c>
      <c r="R61" s="77" t="s">
        <v>174</v>
      </c>
      <c r="S61" s="18">
        <v>24.73</v>
      </c>
      <c r="T61" s="70" t="s">
        <v>7</v>
      </c>
      <c r="U61" s="76" t="s">
        <v>79</v>
      </c>
      <c r="V61" s="77" t="s">
        <v>202</v>
      </c>
      <c r="W61" s="345">
        <v>0.54</v>
      </c>
      <c r="X61" s="70" t="s">
        <v>40</v>
      </c>
      <c r="Y61" s="76" t="s">
        <v>80</v>
      </c>
      <c r="Z61" s="77" t="s">
        <v>304</v>
      </c>
      <c r="AA61" s="345">
        <f>24+9.45+8</f>
        <v>41.45</v>
      </c>
      <c r="AB61" s="70" t="s">
        <v>40</v>
      </c>
      <c r="AC61" s="76" t="s">
        <v>79</v>
      </c>
      <c r="AD61" s="77" t="s">
        <v>446</v>
      </c>
      <c r="AE61" s="345">
        <v>13.21</v>
      </c>
      <c r="AF61" s="70" t="s">
        <v>3</v>
      </c>
      <c r="AG61" s="76" t="s">
        <v>81</v>
      </c>
      <c r="AH61" s="77" t="s">
        <v>425</v>
      </c>
      <c r="AI61" s="492">
        <v>48.58</v>
      </c>
      <c r="AJ61" s="70" t="s">
        <v>3</v>
      </c>
      <c r="AK61" s="76" t="s">
        <v>80</v>
      </c>
      <c r="AN61" s="70" t="s">
        <v>85</v>
      </c>
      <c r="AO61" s="76"/>
      <c r="AR61" s="70" t="s">
        <v>85</v>
      </c>
      <c r="AS61" s="76"/>
      <c r="AV61" s="70" t="s">
        <v>85</v>
      </c>
      <c r="AW61" s="76"/>
    </row>
    <row r="62" spans="1:49" ht="31.5" customHeight="1" x14ac:dyDescent="0.2">
      <c r="A62" s="230"/>
      <c r="D62" s="70" t="s">
        <v>85</v>
      </c>
      <c r="H62" s="70" t="s">
        <v>85</v>
      </c>
      <c r="I62" s="76"/>
      <c r="L62" s="70" t="s">
        <v>85</v>
      </c>
      <c r="M62" s="76"/>
      <c r="N62" s="77" t="s">
        <v>216</v>
      </c>
      <c r="O62" s="18">
        <v>20.66</v>
      </c>
      <c r="P62" s="70" t="s">
        <v>3</v>
      </c>
      <c r="Q62" s="76" t="s">
        <v>81</v>
      </c>
      <c r="R62" s="77" t="s">
        <v>174</v>
      </c>
      <c r="S62" s="18">
        <v>13.6</v>
      </c>
      <c r="T62" s="70" t="s">
        <v>7</v>
      </c>
      <c r="U62" s="76" t="s">
        <v>79</v>
      </c>
      <c r="V62" s="77" t="s">
        <v>210</v>
      </c>
      <c r="W62" s="345">
        <v>22.83</v>
      </c>
      <c r="X62" s="70" t="s">
        <v>3</v>
      </c>
      <c r="Y62" s="76" t="s">
        <v>80</v>
      </c>
      <c r="Z62" s="77" t="s">
        <v>192</v>
      </c>
      <c r="AA62" s="345">
        <v>7.24</v>
      </c>
      <c r="AB62" s="70" t="s">
        <v>3</v>
      </c>
      <c r="AC62" s="76" t="s">
        <v>79</v>
      </c>
      <c r="AD62" s="77" t="s">
        <v>380</v>
      </c>
      <c r="AE62" s="345">
        <v>36.97</v>
      </c>
      <c r="AF62" s="70" t="s">
        <v>44</v>
      </c>
      <c r="AG62" s="76" t="s">
        <v>81</v>
      </c>
      <c r="AH62" s="77" t="s">
        <v>427</v>
      </c>
      <c r="AI62" s="18">
        <v>50.27</v>
      </c>
      <c r="AJ62" s="70" t="s">
        <v>3</v>
      </c>
      <c r="AK62" s="76" t="s">
        <v>81</v>
      </c>
      <c r="AN62" s="70" t="s">
        <v>85</v>
      </c>
      <c r="AO62" s="76"/>
      <c r="AR62" s="70" t="s">
        <v>85</v>
      </c>
      <c r="AS62" s="76"/>
      <c r="AV62" s="70" t="s">
        <v>85</v>
      </c>
      <c r="AW62" s="76"/>
    </row>
    <row r="63" spans="1:49" ht="31.5" customHeight="1" x14ac:dyDescent="0.2">
      <c r="A63" s="231"/>
      <c r="D63" s="70" t="s">
        <v>85</v>
      </c>
      <c r="H63" s="70" t="s">
        <v>85</v>
      </c>
      <c r="I63" s="76"/>
      <c r="L63" s="70" t="s">
        <v>85</v>
      </c>
      <c r="M63" s="76"/>
      <c r="N63" s="77" t="s">
        <v>217</v>
      </c>
      <c r="O63" s="18">
        <v>8.85</v>
      </c>
      <c r="P63" s="70" t="s">
        <v>3</v>
      </c>
      <c r="Q63" s="76" t="s">
        <v>81</v>
      </c>
      <c r="R63" s="77" t="s">
        <v>175</v>
      </c>
      <c r="S63" s="18">
        <v>26.38</v>
      </c>
      <c r="T63" s="70" t="s">
        <v>7</v>
      </c>
      <c r="U63" s="76" t="s">
        <v>79</v>
      </c>
      <c r="V63" s="77" t="s">
        <v>211</v>
      </c>
      <c r="W63" s="345">
        <v>12</v>
      </c>
      <c r="X63" s="70" t="s">
        <v>3</v>
      </c>
      <c r="Y63" s="76" t="s">
        <v>80</v>
      </c>
      <c r="Z63" s="77" t="s">
        <v>102</v>
      </c>
      <c r="AA63" s="345">
        <v>4.68</v>
      </c>
      <c r="AB63" s="70" t="s">
        <v>3</v>
      </c>
      <c r="AC63" s="76" t="s">
        <v>79</v>
      </c>
      <c r="AD63" s="77" t="s">
        <v>381</v>
      </c>
      <c r="AE63" s="345">
        <v>43.69</v>
      </c>
      <c r="AF63" s="70" t="s">
        <v>3</v>
      </c>
      <c r="AG63" s="76" t="s">
        <v>81</v>
      </c>
      <c r="AH63" s="77" t="s">
        <v>420</v>
      </c>
      <c r="AI63" s="18">
        <v>11.26</v>
      </c>
      <c r="AJ63" s="70" t="s">
        <v>3</v>
      </c>
      <c r="AK63" s="76" t="s">
        <v>81</v>
      </c>
      <c r="AN63" s="70" t="s">
        <v>85</v>
      </c>
      <c r="AO63" s="76"/>
      <c r="AR63" s="70" t="s">
        <v>85</v>
      </c>
      <c r="AS63" s="76"/>
      <c r="AV63" s="70" t="s">
        <v>85</v>
      </c>
      <c r="AW63" s="76"/>
    </row>
    <row r="64" spans="1:49" ht="31.5" customHeight="1" x14ac:dyDescent="0.2">
      <c r="A64" s="413" t="s">
        <v>332</v>
      </c>
      <c r="D64" s="70" t="s">
        <v>85</v>
      </c>
      <c r="H64" s="70" t="s">
        <v>85</v>
      </c>
      <c r="I64" s="76"/>
      <c r="L64" s="70" t="s">
        <v>85</v>
      </c>
      <c r="M64" s="76"/>
      <c r="N64" s="77" t="s">
        <v>218</v>
      </c>
      <c r="O64" s="18">
        <v>11.55</v>
      </c>
      <c r="P64" s="70" t="s">
        <v>40</v>
      </c>
      <c r="Q64" s="76" t="s">
        <v>81</v>
      </c>
      <c r="R64" s="77" t="s">
        <v>175</v>
      </c>
      <c r="S64" s="18">
        <v>10.67</v>
      </c>
      <c r="T64" s="70" t="s">
        <v>7</v>
      </c>
      <c r="U64" s="76" t="s">
        <v>79</v>
      </c>
      <c r="V64" s="77" t="s">
        <v>232</v>
      </c>
      <c r="W64" s="345">
        <v>28.46</v>
      </c>
      <c r="X64" s="70" t="s">
        <v>1</v>
      </c>
      <c r="Y64" s="76" t="s">
        <v>81</v>
      </c>
      <c r="Z64" s="77" t="s">
        <v>296</v>
      </c>
      <c r="AA64" s="345">
        <v>3</v>
      </c>
      <c r="AB64" s="70" t="s">
        <v>7</v>
      </c>
      <c r="AC64" s="76" t="s">
        <v>79</v>
      </c>
      <c r="AD64" s="77" t="s">
        <v>382</v>
      </c>
      <c r="AE64" s="345">
        <v>1850</v>
      </c>
      <c r="AF64" s="70" t="s">
        <v>1</v>
      </c>
      <c r="AG64" s="76" t="s">
        <v>145</v>
      </c>
      <c r="AH64" s="77" t="s">
        <v>138</v>
      </c>
      <c r="AI64" s="18">
        <v>2.96</v>
      </c>
      <c r="AJ64" s="70" t="s">
        <v>3</v>
      </c>
      <c r="AK64" s="76" t="s">
        <v>81</v>
      </c>
      <c r="AN64" s="70" t="s">
        <v>85</v>
      </c>
      <c r="AO64" s="76"/>
      <c r="AR64" s="70" t="s">
        <v>85</v>
      </c>
      <c r="AS64" s="76"/>
      <c r="AV64" s="70" t="s">
        <v>85</v>
      </c>
      <c r="AW64" s="76"/>
    </row>
    <row r="65" spans="1:49" ht="31.5" customHeight="1" x14ac:dyDescent="0.2">
      <c r="A65" s="413"/>
      <c r="D65" s="70" t="s">
        <v>85</v>
      </c>
      <c r="H65" s="70" t="s">
        <v>85</v>
      </c>
      <c r="I65" s="76"/>
      <c r="L65" s="70" t="s">
        <v>85</v>
      </c>
      <c r="M65" s="76"/>
      <c r="N65" s="77" t="s">
        <v>131</v>
      </c>
      <c r="O65" s="18">
        <v>9.7799999999999994</v>
      </c>
      <c r="P65" s="70" t="s">
        <v>3</v>
      </c>
      <c r="Q65" s="76" t="s">
        <v>81</v>
      </c>
      <c r="R65" s="77" t="s">
        <v>37</v>
      </c>
      <c r="S65" s="18">
        <v>10.82</v>
      </c>
      <c r="T65" s="70" t="s">
        <v>47</v>
      </c>
      <c r="U65" s="76" t="s">
        <v>80</v>
      </c>
      <c r="V65" s="77" t="s">
        <v>218</v>
      </c>
      <c r="W65" s="345">
        <v>28.2</v>
      </c>
      <c r="X65" s="70" t="s">
        <v>1</v>
      </c>
      <c r="Y65" s="76" t="s">
        <v>81</v>
      </c>
      <c r="Z65" s="77" t="s">
        <v>305</v>
      </c>
      <c r="AA65" s="345">
        <v>11.8</v>
      </c>
      <c r="AB65" s="70" t="s">
        <v>1</v>
      </c>
      <c r="AC65" s="76" t="s">
        <v>79</v>
      </c>
      <c r="AD65" s="77" t="s">
        <v>138</v>
      </c>
      <c r="AE65" s="345">
        <f>2.45+7.37+2.69+5.46+7.92+5.38+13.93+6.28+2.75</f>
        <v>54.230000000000004</v>
      </c>
      <c r="AF65" s="70" t="s">
        <v>3</v>
      </c>
      <c r="AG65" s="76" t="s">
        <v>81</v>
      </c>
      <c r="AH65" s="77" t="s">
        <v>210</v>
      </c>
      <c r="AI65" s="18">
        <v>9.16</v>
      </c>
      <c r="AJ65" s="70" t="s">
        <v>3</v>
      </c>
      <c r="AK65" s="76" t="s">
        <v>81</v>
      </c>
      <c r="AN65" s="70" t="s">
        <v>85</v>
      </c>
      <c r="AO65" s="76"/>
      <c r="AR65" s="70" t="s">
        <v>85</v>
      </c>
      <c r="AS65" s="76"/>
      <c r="AV65" s="70" t="s">
        <v>85</v>
      </c>
      <c r="AW65" s="76"/>
    </row>
    <row r="66" spans="1:49" ht="31.5" customHeight="1" x14ac:dyDescent="0.2">
      <c r="A66" s="413"/>
      <c r="D66" s="70" t="s">
        <v>85</v>
      </c>
      <c r="H66" s="70" t="s">
        <v>85</v>
      </c>
      <c r="I66" s="76"/>
      <c r="L66" s="70" t="s">
        <v>85</v>
      </c>
      <c r="M66" s="76"/>
      <c r="N66" s="77" t="s">
        <v>219</v>
      </c>
      <c r="O66" s="18">
        <v>5.58</v>
      </c>
      <c r="P66" s="70" t="s">
        <v>3</v>
      </c>
      <c r="Q66" s="76" t="s">
        <v>81</v>
      </c>
      <c r="R66" s="77" t="s">
        <v>119</v>
      </c>
      <c r="S66" s="18">
        <v>25.8</v>
      </c>
      <c r="T66" s="70" t="s">
        <v>3</v>
      </c>
      <c r="U66" s="76" t="s">
        <v>80</v>
      </c>
      <c r="V66" s="77" t="s">
        <v>240</v>
      </c>
      <c r="W66" s="345">
        <v>86.98</v>
      </c>
      <c r="X66" s="70" t="s">
        <v>17</v>
      </c>
      <c r="Y66" s="76" t="s">
        <v>81</v>
      </c>
      <c r="Z66" s="77" t="s">
        <v>306</v>
      </c>
      <c r="AA66" s="345">
        <v>71.09</v>
      </c>
      <c r="AB66" s="70" t="s">
        <v>40</v>
      </c>
      <c r="AC66" s="76" t="s">
        <v>79</v>
      </c>
      <c r="AD66" s="77" t="s">
        <v>190</v>
      </c>
      <c r="AE66" s="345">
        <v>9.5</v>
      </c>
      <c r="AF66" s="70" t="s">
        <v>3</v>
      </c>
      <c r="AG66" s="76" t="s">
        <v>81</v>
      </c>
      <c r="AH66" s="77" t="s">
        <v>210</v>
      </c>
      <c r="AI66" s="18">
        <v>18.46</v>
      </c>
      <c r="AJ66" s="70" t="s">
        <v>3</v>
      </c>
      <c r="AK66" s="76" t="s">
        <v>81</v>
      </c>
      <c r="AN66" s="70" t="s">
        <v>85</v>
      </c>
      <c r="AO66" s="76"/>
      <c r="AR66" s="70" t="s">
        <v>85</v>
      </c>
      <c r="AS66" s="76"/>
      <c r="AV66" s="70" t="s">
        <v>85</v>
      </c>
      <c r="AW66" s="76"/>
    </row>
    <row r="67" spans="1:49" ht="31.5" customHeight="1" x14ac:dyDescent="0.2">
      <c r="D67" s="70" t="s">
        <v>85</v>
      </c>
      <c r="H67" s="70" t="s">
        <v>85</v>
      </c>
      <c r="I67" s="76"/>
      <c r="L67" s="70" t="s">
        <v>85</v>
      </c>
      <c r="M67" s="76"/>
      <c r="N67" s="77" t="s">
        <v>155</v>
      </c>
      <c r="O67" s="18">
        <v>9.73</v>
      </c>
      <c r="P67" s="70" t="s">
        <v>3</v>
      </c>
      <c r="Q67" s="76" t="s">
        <v>81</v>
      </c>
      <c r="R67" s="77" t="s">
        <v>205</v>
      </c>
      <c r="S67" s="18">
        <v>36.369999999999997</v>
      </c>
      <c r="T67" s="70" t="s">
        <v>3</v>
      </c>
      <c r="U67" s="76" t="s">
        <v>80</v>
      </c>
      <c r="V67" s="77" t="s">
        <v>233</v>
      </c>
      <c r="W67" s="345">
        <v>219.65</v>
      </c>
      <c r="X67" s="70" t="s">
        <v>44</v>
      </c>
      <c r="Y67" s="76" t="s">
        <v>81</v>
      </c>
      <c r="Z67" s="77" t="s">
        <v>307</v>
      </c>
      <c r="AA67" s="345">
        <v>21.85</v>
      </c>
      <c r="AB67" s="70" t="s">
        <v>3</v>
      </c>
      <c r="AC67" s="76" t="s">
        <v>79</v>
      </c>
      <c r="AD67" s="77" t="s">
        <v>383</v>
      </c>
      <c r="AE67" s="345">
        <v>49.22</v>
      </c>
      <c r="AF67" s="70" t="s">
        <v>1</v>
      </c>
      <c r="AG67" s="76" t="s">
        <v>81</v>
      </c>
      <c r="AH67" s="77" t="s">
        <v>428</v>
      </c>
      <c r="AI67" s="18">
        <f>78.62+12.54</f>
        <v>91.16</v>
      </c>
      <c r="AJ67" s="70" t="s">
        <v>7</v>
      </c>
      <c r="AK67" s="76" t="s">
        <v>81</v>
      </c>
      <c r="AN67" s="70" t="s">
        <v>85</v>
      </c>
      <c r="AO67" s="76"/>
      <c r="AR67" s="70" t="s">
        <v>85</v>
      </c>
      <c r="AS67" s="76"/>
      <c r="AV67" s="70" t="s">
        <v>85</v>
      </c>
      <c r="AW67" s="76"/>
    </row>
    <row r="68" spans="1:49" ht="31.5" customHeight="1" x14ac:dyDescent="0.2">
      <c r="D68" s="70" t="s">
        <v>85</v>
      </c>
      <c r="H68" s="70" t="s">
        <v>85</v>
      </c>
      <c r="I68" s="76"/>
      <c r="L68" s="70" t="s">
        <v>85</v>
      </c>
      <c r="M68" s="76"/>
      <c r="N68" s="77" t="s">
        <v>220</v>
      </c>
      <c r="O68" s="18">
        <v>14.09</v>
      </c>
      <c r="P68" s="70" t="s">
        <v>3</v>
      </c>
      <c r="Q68" s="76" t="s">
        <v>81</v>
      </c>
      <c r="R68" s="77" t="s">
        <v>207</v>
      </c>
      <c r="S68" s="18">
        <v>13.14</v>
      </c>
      <c r="T68" s="70" t="s">
        <v>40</v>
      </c>
      <c r="U68" s="76" t="s">
        <v>80</v>
      </c>
      <c r="V68" s="77" t="s">
        <v>234</v>
      </c>
      <c r="W68" s="345">
        <v>19.940000000000001</v>
      </c>
      <c r="X68" s="70" t="s">
        <v>17</v>
      </c>
      <c r="Y68" s="76" t="s">
        <v>81</v>
      </c>
      <c r="Z68" s="77" t="s">
        <v>308</v>
      </c>
      <c r="AA68" s="345">
        <v>10</v>
      </c>
      <c r="AB68" s="70" t="s">
        <v>7</v>
      </c>
      <c r="AC68" s="76" t="s">
        <v>79</v>
      </c>
      <c r="AD68" s="77" t="s">
        <v>426</v>
      </c>
      <c r="AE68" s="345">
        <v>16.989999999999998</v>
      </c>
      <c r="AF68" s="70" t="s">
        <v>1</v>
      </c>
      <c r="AG68" s="76" t="s">
        <v>81</v>
      </c>
      <c r="AH68" s="77" t="s">
        <v>138</v>
      </c>
      <c r="AI68" s="18">
        <v>13.11</v>
      </c>
      <c r="AJ68" s="70" t="s">
        <v>3</v>
      </c>
      <c r="AK68" s="76" t="s">
        <v>81</v>
      </c>
      <c r="AN68" s="70" t="s">
        <v>85</v>
      </c>
      <c r="AO68" s="76"/>
      <c r="AR68" s="70" t="s">
        <v>85</v>
      </c>
      <c r="AS68" s="76"/>
      <c r="AV68" s="70" t="s">
        <v>85</v>
      </c>
      <c r="AW68" s="76"/>
    </row>
    <row r="69" spans="1:49" ht="31.5" customHeight="1" x14ac:dyDescent="0.2">
      <c r="D69" s="70" t="s">
        <v>85</v>
      </c>
      <c r="H69" s="70" t="s">
        <v>85</v>
      </c>
      <c r="I69" s="76"/>
      <c r="L69" s="70" t="s">
        <v>85</v>
      </c>
      <c r="M69" s="76"/>
      <c r="N69" s="77" t="s">
        <v>162</v>
      </c>
      <c r="O69" s="18">
        <v>115</v>
      </c>
      <c r="P69" s="70" t="s">
        <v>3</v>
      </c>
      <c r="Q69" s="76" t="s">
        <v>81</v>
      </c>
      <c r="R69" s="77" t="s">
        <v>206</v>
      </c>
      <c r="S69" s="18">
        <v>16.239999999999998</v>
      </c>
      <c r="T69" s="70" t="s">
        <v>47</v>
      </c>
      <c r="U69" s="76" t="s">
        <v>80</v>
      </c>
      <c r="V69" s="77" t="s">
        <v>235</v>
      </c>
      <c r="W69" s="345">
        <v>99.96</v>
      </c>
      <c r="X69" s="70" t="s">
        <v>1</v>
      </c>
      <c r="Y69" s="76" t="s">
        <v>81</v>
      </c>
      <c r="Z69" s="77" t="s">
        <v>296</v>
      </c>
      <c r="AA69" s="345">
        <v>2</v>
      </c>
      <c r="AB69" s="70" t="s">
        <v>7</v>
      </c>
      <c r="AC69" s="76" t="s">
        <v>80</v>
      </c>
      <c r="AD69" s="77" t="s">
        <v>384</v>
      </c>
      <c r="AE69" s="345">
        <v>25.58</v>
      </c>
      <c r="AF69" s="70" t="s">
        <v>3</v>
      </c>
      <c r="AG69" s="76" t="s">
        <v>79</v>
      </c>
      <c r="AH69" s="77" t="s">
        <v>429</v>
      </c>
      <c r="AI69" s="18">
        <v>162.86000000000001</v>
      </c>
      <c r="AJ69" s="70" t="s">
        <v>3</v>
      </c>
      <c r="AK69" s="76" t="s">
        <v>81</v>
      </c>
      <c r="AN69" s="70" t="s">
        <v>85</v>
      </c>
      <c r="AO69" s="76"/>
      <c r="AR69" s="70" t="s">
        <v>85</v>
      </c>
      <c r="AS69" s="76"/>
      <c r="AV69" s="70" t="s">
        <v>85</v>
      </c>
      <c r="AW69" s="76"/>
    </row>
    <row r="70" spans="1:49" ht="31.5" customHeight="1" x14ac:dyDescent="0.2">
      <c r="D70" s="70" t="s">
        <v>85</v>
      </c>
      <c r="H70" s="70" t="s">
        <v>85</v>
      </c>
      <c r="I70" s="76"/>
      <c r="L70" s="70" t="s">
        <v>85</v>
      </c>
      <c r="M70" s="76"/>
      <c r="N70" s="77" t="s">
        <v>221</v>
      </c>
      <c r="O70" s="18">
        <v>42</v>
      </c>
      <c r="P70" s="70" t="s">
        <v>3</v>
      </c>
      <c r="Q70" s="76" t="s">
        <v>81</v>
      </c>
      <c r="R70" s="77" t="s">
        <v>202</v>
      </c>
      <c r="S70" s="18">
        <v>1.62</v>
      </c>
      <c r="T70" s="70" t="s">
        <v>40</v>
      </c>
      <c r="U70" s="76" t="s">
        <v>80</v>
      </c>
      <c r="V70" s="77" t="s">
        <v>236</v>
      </c>
      <c r="W70" s="345">
        <v>3.89</v>
      </c>
      <c r="X70" s="70" t="s">
        <v>40</v>
      </c>
      <c r="Y70" s="76" t="s">
        <v>81</v>
      </c>
      <c r="Z70" s="77" t="s">
        <v>38</v>
      </c>
      <c r="AA70" s="345">
        <v>16.239999999999998</v>
      </c>
      <c r="AB70" s="70" t="s">
        <v>47</v>
      </c>
      <c r="AC70" s="76" t="s">
        <v>80</v>
      </c>
      <c r="AD70" s="77" t="s">
        <v>385</v>
      </c>
      <c r="AE70" s="345">
        <v>115.36</v>
      </c>
      <c r="AF70" s="70" t="s">
        <v>47</v>
      </c>
      <c r="AG70" s="76" t="s">
        <v>79</v>
      </c>
      <c r="AH70" s="77" t="s">
        <v>430</v>
      </c>
      <c r="AI70" s="18">
        <v>99</v>
      </c>
      <c r="AJ70" s="70" t="s">
        <v>3</v>
      </c>
      <c r="AK70" s="76" t="s">
        <v>81</v>
      </c>
      <c r="AN70" s="70" t="s">
        <v>85</v>
      </c>
      <c r="AO70" s="76"/>
      <c r="AR70" s="70" t="s">
        <v>85</v>
      </c>
      <c r="AS70" s="76"/>
      <c r="AV70" s="70" t="s">
        <v>85</v>
      </c>
      <c r="AW70" s="76"/>
    </row>
    <row r="71" spans="1:49" ht="31.5" customHeight="1" x14ac:dyDescent="0.2">
      <c r="D71" s="70" t="s">
        <v>85</v>
      </c>
      <c r="H71" s="70" t="s">
        <v>85</v>
      </c>
      <c r="I71" s="76"/>
      <c r="L71" s="70" t="s">
        <v>85</v>
      </c>
      <c r="M71" s="76"/>
      <c r="N71" s="77" t="s">
        <v>147</v>
      </c>
      <c r="O71" s="18">
        <v>15.6</v>
      </c>
      <c r="P71" s="70" t="s">
        <v>3</v>
      </c>
      <c r="Q71" s="76" t="s">
        <v>81</v>
      </c>
      <c r="R71" s="77" t="s">
        <v>208</v>
      </c>
      <c r="S71" s="18">
        <v>4.32</v>
      </c>
      <c r="T71" s="70" t="s">
        <v>3</v>
      </c>
      <c r="U71" s="76" t="s">
        <v>80</v>
      </c>
      <c r="V71" s="77" t="s">
        <v>237</v>
      </c>
      <c r="W71" s="345">
        <v>54.3</v>
      </c>
      <c r="X71" s="70" t="s">
        <v>17</v>
      </c>
      <c r="Y71" s="76" t="s">
        <v>81</v>
      </c>
      <c r="Z71" s="77" t="s">
        <v>298</v>
      </c>
      <c r="AA71" s="345">
        <v>2.75</v>
      </c>
      <c r="AB71" s="70" t="s">
        <v>3</v>
      </c>
      <c r="AC71" s="76" t="s">
        <v>80</v>
      </c>
      <c r="AD71" s="77" t="s">
        <v>384</v>
      </c>
      <c r="AE71" s="345">
        <v>17.13</v>
      </c>
      <c r="AF71" s="70" t="s">
        <v>3</v>
      </c>
      <c r="AG71" s="76" t="s">
        <v>79</v>
      </c>
      <c r="AH71" s="77" t="s">
        <v>431</v>
      </c>
      <c r="AI71" s="18">
        <v>17.760000000000002</v>
      </c>
      <c r="AJ71" s="70" t="s">
        <v>3</v>
      </c>
      <c r="AK71" s="76" t="s">
        <v>81</v>
      </c>
      <c r="AN71" s="70" t="s">
        <v>85</v>
      </c>
      <c r="AO71" s="76"/>
      <c r="AR71" s="70" t="s">
        <v>85</v>
      </c>
      <c r="AS71" s="76"/>
      <c r="AV71" s="70" t="s">
        <v>85</v>
      </c>
      <c r="AW71" s="76"/>
    </row>
    <row r="72" spans="1:49" ht="31.5" customHeight="1" x14ac:dyDescent="0.2">
      <c r="D72" s="70" t="s">
        <v>85</v>
      </c>
      <c r="H72" s="70" t="s">
        <v>85</v>
      </c>
      <c r="I72" s="76"/>
      <c r="L72" s="70" t="s">
        <v>85</v>
      </c>
      <c r="M72" s="76"/>
      <c r="N72" s="77" t="s">
        <v>222</v>
      </c>
      <c r="O72" s="18">
        <v>614.62</v>
      </c>
      <c r="P72" s="70" t="s">
        <v>7</v>
      </c>
      <c r="Q72" s="76" t="s">
        <v>81</v>
      </c>
      <c r="R72" s="77" t="s">
        <v>223</v>
      </c>
      <c r="S72" s="18">
        <v>60</v>
      </c>
      <c r="T72" s="70" t="s">
        <v>3</v>
      </c>
      <c r="U72" s="76" t="s">
        <v>81</v>
      </c>
      <c r="X72" s="70"/>
      <c r="Y72" s="76"/>
      <c r="Z72" s="77" t="s">
        <v>37</v>
      </c>
      <c r="AA72" s="345">
        <v>10.82</v>
      </c>
      <c r="AB72" s="70" t="s">
        <v>47</v>
      </c>
      <c r="AC72" s="76" t="s">
        <v>80</v>
      </c>
      <c r="AD72" s="77" t="s">
        <v>37</v>
      </c>
      <c r="AE72" s="345">
        <v>10.82</v>
      </c>
      <c r="AF72" s="70" t="s">
        <v>47</v>
      </c>
      <c r="AG72" s="76" t="s">
        <v>80</v>
      </c>
      <c r="AH72" s="77" t="s">
        <v>432</v>
      </c>
      <c r="AI72" s="18">
        <v>22.58</v>
      </c>
      <c r="AJ72" s="70" t="s">
        <v>1</v>
      </c>
      <c r="AK72" s="76" t="s">
        <v>81</v>
      </c>
      <c r="AN72" s="70" t="s">
        <v>85</v>
      </c>
      <c r="AO72" s="76"/>
      <c r="AR72" s="70" t="s">
        <v>85</v>
      </c>
      <c r="AS72" s="76"/>
      <c r="AV72" s="70" t="s">
        <v>85</v>
      </c>
      <c r="AW72" s="76"/>
    </row>
    <row r="73" spans="1:49" ht="31.5" customHeight="1" x14ac:dyDescent="0.2">
      <c r="D73" s="70" t="s">
        <v>85</v>
      </c>
      <c r="H73" s="70" t="s">
        <v>85</v>
      </c>
      <c r="I73" s="76"/>
      <c r="L73" s="70" t="s">
        <v>85</v>
      </c>
      <c r="M73" s="76"/>
      <c r="P73" s="70"/>
      <c r="Q73" s="76"/>
      <c r="R73" s="77" t="s">
        <v>162</v>
      </c>
      <c r="S73" s="18">
        <v>31</v>
      </c>
      <c r="T73" s="70" t="s">
        <v>3</v>
      </c>
      <c r="U73" s="76" t="s">
        <v>81</v>
      </c>
      <c r="V73" s="112" t="s">
        <v>283</v>
      </c>
      <c r="W73" s="18">
        <f>-W74-W75-W76</f>
        <v>337.51</v>
      </c>
      <c r="X73" s="77" t="s">
        <v>48</v>
      </c>
      <c r="Y73" s="76"/>
      <c r="Z73" s="77" t="s">
        <v>309</v>
      </c>
      <c r="AA73" s="345">
        <v>15.5</v>
      </c>
      <c r="AB73" s="70" t="s">
        <v>3</v>
      </c>
      <c r="AC73" s="76" t="s">
        <v>80</v>
      </c>
      <c r="AD73" s="77" t="s">
        <v>384</v>
      </c>
      <c r="AE73" s="345">
        <v>100.29</v>
      </c>
      <c r="AF73" s="70" t="s">
        <v>3</v>
      </c>
      <c r="AG73" s="76" t="s">
        <v>79</v>
      </c>
      <c r="AH73" s="77" t="s">
        <v>433</v>
      </c>
      <c r="AI73" s="18">
        <v>63.31</v>
      </c>
      <c r="AJ73" s="70" t="s">
        <v>17</v>
      </c>
      <c r="AK73" s="76" t="s">
        <v>81</v>
      </c>
      <c r="AN73" s="70" t="s">
        <v>85</v>
      </c>
      <c r="AO73" s="76"/>
      <c r="AR73" s="70" t="s">
        <v>85</v>
      </c>
      <c r="AS73" s="76"/>
      <c r="AV73" s="70" t="s">
        <v>85</v>
      </c>
      <c r="AW73" s="76"/>
    </row>
    <row r="74" spans="1:49" ht="31.5" customHeight="1" x14ac:dyDescent="0.2">
      <c r="D74" s="70" t="s">
        <v>85</v>
      </c>
      <c r="H74" s="70" t="s">
        <v>85</v>
      </c>
      <c r="I74" s="76"/>
      <c r="L74" s="70" t="s">
        <v>85</v>
      </c>
      <c r="M74" s="76"/>
      <c r="P74" s="70"/>
      <c r="Q74" s="76"/>
      <c r="R74" s="77" t="s">
        <v>224</v>
      </c>
      <c r="S74" s="18">
        <v>37</v>
      </c>
      <c r="T74" s="70" t="s">
        <v>3</v>
      </c>
      <c r="U74" s="76" t="s">
        <v>81</v>
      </c>
      <c r="V74" s="112" t="s">
        <v>280</v>
      </c>
      <c r="W74" s="18">
        <v>-160.63</v>
      </c>
      <c r="X74" s="70" t="s">
        <v>47</v>
      </c>
      <c r="Y74" s="76"/>
      <c r="Z74" s="77" t="s">
        <v>316</v>
      </c>
      <c r="AA74" s="345">
        <v>30.09</v>
      </c>
      <c r="AB74" s="70" t="s">
        <v>17</v>
      </c>
      <c r="AC74" s="76" t="s">
        <v>81</v>
      </c>
      <c r="AD74" s="77" t="s">
        <v>386</v>
      </c>
      <c r="AE74" s="345">
        <v>10.42</v>
      </c>
      <c r="AF74" s="70" t="s">
        <v>17</v>
      </c>
      <c r="AG74" s="76" t="s">
        <v>79</v>
      </c>
      <c r="AH74" s="77" t="s">
        <v>434</v>
      </c>
      <c r="AI74" s="18">
        <v>59.75</v>
      </c>
      <c r="AJ74" s="70" t="s">
        <v>17</v>
      </c>
      <c r="AK74" s="76" t="s">
        <v>81</v>
      </c>
      <c r="AN74" s="70" t="s">
        <v>85</v>
      </c>
      <c r="AO74" s="76"/>
      <c r="AR74" s="70" t="s">
        <v>85</v>
      </c>
      <c r="AS74" s="76"/>
      <c r="AV74" s="70" t="s">
        <v>85</v>
      </c>
      <c r="AW74" s="76"/>
    </row>
    <row r="75" spans="1:49" ht="31.5" customHeight="1" x14ac:dyDescent="0.2">
      <c r="D75" s="70" t="s">
        <v>85</v>
      </c>
      <c r="H75" s="70" t="s">
        <v>85</v>
      </c>
      <c r="I75" s="76"/>
      <c r="L75" s="70" t="s">
        <v>85</v>
      </c>
      <c r="M75" s="76"/>
      <c r="P75" s="70"/>
      <c r="Q75" s="76"/>
      <c r="R75" s="77" t="s">
        <v>218</v>
      </c>
      <c r="S75" s="18">
        <v>16.940000000000001</v>
      </c>
      <c r="T75" s="70" t="s">
        <v>40</v>
      </c>
      <c r="U75" s="76" t="s">
        <v>81</v>
      </c>
      <c r="V75" s="112" t="s">
        <v>281</v>
      </c>
      <c r="W75" s="18">
        <f>-W67+'Planned Expenses'!Q3</f>
        <v>-39.650000000000006</v>
      </c>
      <c r="X75" s="70" t="s">
        <v>44</v>
      </c>
      <c r="Y75" s="76"/>
      <c r="Z75" s="77" t="s">
        <v>210</v>
      </c>
      <c r="AA75" s="345">
        <v>11.64</v>
      </c>
      <c r="AB75" s="70" t="s">
        <v>3</v>
      </c>
      <c r="AC75" s="76" t="s">
        <v>81</v>
      </c>
      <c r="AD75" s="77" t="s">
        <v>387</v>
      </c>
      <c r="AE75" s="345">
        <v>63.11</v>
      </c>
      <c r="AF75" s="70" t="s">
        <v>7</v>
      </c>
      <c r="AG75" s="76" t="s">
        <v>78</v>
      </c>
      <c r="AH75" s="77" t="s">
        <v>435</v>
      </c>
      <c r="AI75" s="18">
        <v>1850</v>
      </c>
      <c r="AJ75" s="70" t="s">
        <v>1</v>
      </c>
      <c r="AK75" s="76" t="s">
        <v>145</v>
      </c>
      <c r="AN75" s="70" t="s">
        <v>85</v>
      </c>
      <c r="AO75" s="76"/>
      <c r="AR75" s="70" t="s">
        <v>85</v>
      </c>
      <c r="AS75" s="76"/>
      <c r="AV75" s="70" t="s">
        <v>85</v>
      </c>
      <c r="AW75" s="76"/>
    </row>
    <row r="76" spans="1:49" ht="31.5" customHeight="1" x14ac:dyDescent="0.2">
      <c r="D76" s="70" t="s">
        <v>85</v>
      </c>
      <c r="H76" s="70" t="s">
        <v>85</v>
      </c>
      <c r="I76" s="76"/>
      <c r="L76" s="70" t="s">
        <v>85</v>
      </c>
      <c r="M76" s="76"/>
      <c r="P76" s="70"/>
      <c r="Q76" s="76"/>
      <c r="R76" s="77" t="s">
        <v>225</v>
      </c>
      <c r="S76" s="18">
        <v>33</v>
      </c>
      <c r="T76" s="70" t="s">
        <v>82</v>
      </c>
      <c r="U76" s="76" t="s">
        <v>81</v>
      </c>
      <c r="V76" s="112" t="s">
        <v>333</v>
      </c>
      <c r="W76" s="18">
        <f>-SUM(W68,W66,W50,W34,W18)</f>
        <v>-137.22999999999999</v>
      </c>
      <c r="X76" s="70" t="s">
        <v>17</v>
      </c>
      <c r="Y76" s="76"/>
      <c r="Z76" s="77" t="s">
        <v>152</v>
      </c>
      <c r="AA76" s="345">
        <v>5.55</v>
      </c>
      <c r="AB76" s="70" t="s">
        <v>3</v>
      </c>
      <c r="AC76" s="76" t="s">
        <v>81</v>
      </c>
      <c r="AD76" s="77" t="s">
        <v>388</v>
      </c>
      <c r="AE76" s="345">
        <v>52.17</v>
      </c>
      <c r="AF76" s="70" t="s">
        <v>3</v>
      </c>
      <c r="AG76" s="76" t="s">
        <v>78</v>
      </c>
      <c r="AH76" s="77" t="s">
        <v>436</v>
      </c>
      <c r="AI76" s="18">
        <v>-325</v>
      </c>
      <c r="AJ76" s="70" t="s">
        <v>82</v>
      </c>
      <c r="AK76" s="76" t="s">
        <v>145</v>
      </c>
      <c r="AN76" s="70" t="s">
        <v>85</v>
      </c>
      <c r="AO76" s="76"/>
      <c r="AR76" s="70" t="s">
        <v>85</v>
      </c>
      <c r="AS76" s="76"/>
      <c r="AV76" s="70" t="s">
        <v>85</v>
      </c>
      <c r="AW76" s="76"/>
    </row>
    <row r="77" spans="1:49" ht="31.5" customHeight="1" x14ac:dyDescent="0.2">
      <c r="D77" s="70" t="s">
        <v>85</v>
      </c>
      <c r="H77" s="70" t="s">
        <v>85</v>
      </c>
      <c r="I77" s="76"/>
      <c r="L77" s="70" t="s">
        <v>85</v>
      </c>
      <c r="M77" s="76"/>
      <c r="P77" s="70" t="s">
        <v>85</v>
      </c>
      <c r="Q77" s="76"/>
      <c r="R77" s="77" t="s">
        <v>226</v>
      </c>
      <c r="S77" s="18">
        <v>80</v>
      </c>
      <c r="T77" s="70" t="s">
        <v>82</v>
      </c>
      <c r="U77" s="76" t="s">
        <v>81</v>
      </c>
      <c r="X77" s="70" t="s">
        <v>85</v>
      </c>
      <c r="Y77" s="76"/>
      <c r="Z77" s="77" t="s">
        <v>138</v>
      </c>
      <c r="AA77" s="345">
        <v>9.2899999999999991</v>
      </c>
      <c r="AB77" s="70" t="s">
        <v>3</v>
      </c>
      <c r="AC77" s="76" t="s">
        <v>81</v>
      </c>
      <c r="AD77" s="77" t="s">
        <v>389</v>
      </c>
      <c r="AE77" s="345">
        <v>28.38</v>
      </c>
      <c r="AF77" s="70" t="s">
        <v>3</v>
      </c>
      <c r="AG77" s="76" t="s">
        <v>78</v>
      </c>
      <c r="AH77" s="77" t="s">
        <v>326</v>
      </c>
      <c r="AI77" s="18">
        <v>128.99</v>
      </c>
      <c r="AJ77" s="70" t="s">
        <v>1</v>
      </c>
      <c r="AK77" s="76" t="s">
        <v>145</v>
      </c>
      <c r="AN77" s="70" t="s">
        <v>85</v>
      </c>
      <c r="AO77" s="76"/>
      <c r="AR77" s="70" t="s">
        <v>85</v>
      </c>
      <c r="AS77" s="76"/>
      <c r="AV77" s="70" t="s">
        <v>85</v>
      </c>
      <c r="AW77" s="76"/>
    </row>
    <row r="78" spans="1:49" ht="31.5" customHeight="1" x14ac:dyDescent="0.2">
      <c r="D78" s="70" t="s">
        <v>85</v>
      </c>
      <c r="H78" s="70" t="s">
        <v>85</v>
      </c>
      <c r="I78" s="76"/>
      <c r="L78" s="70" t="s">
        <v>85</v>
      </c>
      <c r="M78" s="76"/>
      <c r="P78" s="70" t="s">
        <v>85</v>
      </c>
      <c r="Q78" s="76"/>
      <c r="R78" s="77" t="s">
        <v>102</v>
      </c>
      <c r="S78" s="18">
        <v>9.4600000000000009</v>
      </c>
      <c r="T78" s="70" t="s">
        <v>3</v>
      </c>
      <c r="U78" s="76" t="s">
        <v>81</v>
      </c>
      <c r="V78" s="112" t="s">
        <v>328</v>
      </c>
      <c r="W78" s="18">
        <f>AA83/2</f>
        <v>57.594999999999999</v>
      </c>
      <c r="X78" s="70" t="s">
        <v>1</v>
      </c>
      <c r="Y78" s="76"/>
      <c r="Z78" s="77" t="s">
        <v>317</v>
      </c>
      <c r="AA78" s="345">
        <v>149</v>
      </c>
      <c r="AB78" s="70" t="s">
        <v>17</v>
      </c>
      <c r="AC78" s="76" t="s">
        <v>81</v>
      </c>
      <c r="AD78" s="77" t="s">
        <v>390</v>
      </c>
      <c r="AE78" s="345">
        <v>4.1399999999999997</v>
      </c>
      <c r="AF78" s="70" t="s">
        <v>17</v>
      </c>
      <c r="AG78" s="76" t="s">
        <v>78</v>
      </c>
      <c r="AH78" s="77" t="s">
        <v>343</v>
      </c>
      <c r="AI78" s="492">
        <v>110</v>
      </c>
      <c r="AJ78" s="493" t="s">
        <v>8</v>
      </c>
      <c r="AK78" s="494" t="s">
        <v>394</v>
      </c>
      <c r="AN78" s="70" t="s">
        <v>85</v>
      </c>
      <c r="AO78" s="76"/>
      <c r="AR78" s="70" t="s">
        <v>85</v>
      </c>
      <c r="AS78" s="76"/>
      <c r="AV78" s="70" t="s">
        <v>85</v>
      </c>
      <c r="AW78" s="76"/>
    </row>
    <row r="79" spans="1:49" ht="31.5" customHeight="1" x14ac:dyDescent="0.2">
      <c r="D79" s="70" t="s">
        <v>85</v>
      </c>
      <c r="H79" s="70" t="s">
        <v>85</v>
      </c>
      <c r="I79" s="76"/>
      <c r="L79" s="70" t="s">
        <v>85</v>
      </c>
      <c r="M79" s="76"/>
      <c r="P79" s="70" t="s">
        <v>85</v>
      </c>
      <c r="Q79" s="76"/>
      <c r="R79" s="77" t="s">
        <v>227</v>
      </c>
      <c r="S79" s="18">
        <v>31.16</v>
      </c>
      <c r="T79" s="70" t="s">
        <v>17</v>
      </c>
      <c r="U79" s="76" t="s">
        <v>81</v>
      </c>
      <c r="X79" s="70" t="s">
        <v>85</v>
      </c>
      <c r="Y79" s="76"/>
      <c r="Z79" s="77" t="s">
        <v>322</v>
      </c>
      <c r="AA79" s="345">
        <v>15.65</v>
      </c>
      <c r="AB79" s="70" t="s">
        <v>40</v>
      </c>
      <c r="AC79" s="76" t="s">
        <v>81</v>
      </c>
      <c r="AD79" s="77" t="s">
        <v>357</v>
      </c>
      <c r="AE79" s="345">
        <v>6.75</v>
      </c>
      <c r="AF79" s="70" t="s">
        <v>3</v>
      </c>
      <c r="AG79" s="76" t="s">
        <v>78</v>
      </c>
      <c r="AH79" s="77" t="s">
        <v>102</v>
      </c>
      <c r="AI79" s="18">
        <v>4.2300000000000004</v>
      </c>
      <c r="AJ79" s="241" t="s">
        <v>3</v>
      </c>
      <c r="AK79" s="76" t="s">
        <v>78</v>
      </c>
      <c r="AN79" s="70" t="s">
        <v>85</v>
      </c>
      <c r="AO79" s="76"/>
      <c r="AR79" s="70" t="s">
        <v>85</v>
      </c>
      <c r="AS79" s="76"/>
      <c r="AV79" s="70" t="s">
        <v>85</v>
      </c>
      <c r="AW79" s="76"/>
    </row>
    <row r="80" spans="1:49" ht="31.5" customHeight="1" x14ac:dyDescent="0.2">
      <c r="D80" s="70" t="s">
        <v>85</v>
      </c>
      <c r="H80" s="70" t="s">
        <v>85</v>
      </c>
      <c r="I80" s="76"/>
      <c r="L80" s="70" t="s">
        <v>85</v>
      </c>
      <c r="M80" s="76"/>
      <c r="P80" s="70" t="s">
        <v>85</v>
      </c>
      <c r="Q80" s="76"/>
      <c r="R80" s="77" t="s">
        <v>228</v>
      </c>
      <c r="S80" s="18">
        <v>7.36</v>
      </c>
      <c r="T80" s="70" t="s">
        <v>7</v>
      </c>
      <c r="U80" s="76" t="s">
        <v>81</v>
      </c>
      <c r="X80" s="70" t="s">
        <v>85</v>
      </c>
      <c r="Y80" s="76"/>
      <c r="Z80" s="77" t="s">
        <v>138</v>
      </c>
      <c r="AA80" s="345">
        <v>12.84</v>
      </c>
      <c r="AB80" s="70" t="s">
        <v>3</v>
      </c>
      <c r="AC80" s="76" t="s">
        <v>81</v>
      </c>
      <c r="AD80" s="77" t="s">
        <v>192</v>
      </c>
      <c r="AE80" s="345">
        <v>27.17</v>
      </c>
      <c r="AF80" s="70" t="s">
        <v>3</v>
      </c>
      <c r="AG80" s="76" t="s">
        <v>78</v>
      </c>
      <c r="AH80" s="77" t="s">
        <v>210</v>
      </c>
      <c r="AI80" s="18">
        <v>12</v>
      </c>
      <c r="AJ80" s="70" t="s">
        <v>3</v>
      </c>
      <c r="AK80" s="76" t="s">
        <v>78</v>
      </c>
      <c r="AN80" s="70" t="s">
        <v>85</v>
      </c>
      <c r="AO80" s="76"/>
      <c r="AR80" s="70" t="s">
        <v>85</v>
      </c>
      <c r="AS80" s="76"/>
      <c r="AV80" s="70" t="s">
        <v>85</v>
      </c>
      <c r="AW80" s="76"/>
    </row>
    <row r="81" spans="1:49" ht="31.5" customHeight="1" x14ac:dyDescent="0.2">
      <c r="D81" s="70" t="s">
        <v>85</v>
      </c>
      <c r="H81" s="70" t="s">
        <v>85</v>
      </c>
      <c r="I81" s="76"/>
      <c r="L81" s="70" t="s">
        <v>85</v>
      </c>
      <c r="M81" s="76"/>
      <c r="P81" s="70" t="s">
        <v>85</v>
      </c>
      <c r="Q81" s="76"/>
      <c r="R81" s="77" t="s">
        <v>229</v>
      </c>
      <c r="S81" s="18">
        <v>1294.7</v>
      </c>
      <c r="T81" s="70" t="s">
        <v>1</v>
      </c>
      <c r="U81" s="76" t="s">
        <v>81</v>
      </c>
      <c r="X81" s="70" t="s">
        <v>85</v>
      </c>
      <c r="Y81" s="76"/>
      <c r="Z81" s="77" t="s">
        <v>323</v>
      </c>
      <c r="AA81" s="345">
        <v>32.78</v>
      </c>
      <c r="AB81" s="70" t="s">
        <v>3</v>
      </c>
      <c r="AC81" s="76" t="s">
        <v>81</v>
      </c>
      <c r="AD81" s="77" t="s">
        <v>391</v>
      </c>
      <c r="AE81" s="345">
        <v>65.150000000000006</v>
      </c>
      <c r="AF81" s="70" t="s">
        <v>40</v>
      </c>
      <c r="AG81" s="76" t="s">
        <v>78</v>
      </c>
      <c r="AH81" s="77" t="s">
        <v>525</v>
      </c>
      <c r="AI81" s="18">
        <v>55.6</v>
      </c>
      <c r="AJ81" s="70" t="s">
        <v>44</v>
      </c>
      <c r="AK81" s="76" t="s">
        <v>145</v>
      </c>
      <c r="AN81" s="70" t="s">
        <v>85</v>
      </c>
      <c r="AO81" s="76"/>
      <c r="AR81" s="70" t="s">
        <v>85</v>
      </c>
      <c r="AS81" s="76"/>
      <c r="AV81" s="70" t="s">
        <v>85</v>
      </c>
      <c r="AW81" s="76"/>
    </row>
    <row r="82" spans="1:49" ht="31.5" customHeight="1" x14ac:dyDescent="0.2">
      <c r="A82" s="229" t="s">
        <v>92</v>
      </c>
      <c r="D82" s="70" t="s">
        <v>85</v>
      </c>
      <c r="H82" s="70" t="s">
        <v>85</v>
      </c>
      <c r="I82" s="76"/>
      <c r="L82" s="70" t="s">
        <v>85</v>
      </c>
      <c r="M82" s="76"/>
      <c r="P82" s="70" t="s">
        <v>85</v>
      </c>
      <c r="Q82" s="76"/>
      <c r="R82" s="77" t="s">
        <v>220</v>
      </c>
      <c r="S82" s="18">
        <v>19.920000000000002</v>
      </c>
      <c r="T82" s="70" t="s">
        <v>3</v>
      </c>
      <c r="U82" s="76" t="s">
        <v>81</v>
      </c>
      <c r="X82" s="70" t="s">
        <v>85</v>
      </c>
      <c r="Y82" s="76"/>
      <c r="Z82" s="77" t="s">
        <v>309</v>
      </c>
      <c r="AA82" s="345">
        <v>12</v>
      </c>
      <c r="AB82" s="70" t="s">
        <v>3</v>
      </c>
      <c r="AC82" s="76" t="s">
        <v>81</v>
      </c>
      <c r="AD82" s="77" t="s">
        <v>392</v>
      </c>
      <c r="AE82" s="345">
        <v>24.99</v>
      </c>
      <c r="AF82" s="70" t="s">
        <v>7</v>
      </c>
      <c r="AG82" s="76" t="s">
        <v>78</v>
      </c>
      <c r="AH82" s="77" t="s">
        <v>527</v>
      </c>
      <c r="AI82" s="18">
        <v>20.98</v>
      </c>
      <c r="AJ82" s="70" t="s">
        <v>17</v>
      </c>
      <c r="AK82" s="76" t="s">
        <v>79</v>
      </c>
      <c r="AN82" s="70" t="s">
        <v>85</v>
      </c>
      <c r="AO82" s="76"/>
      <c r="AR82" s="70" t="s">
        <v>85</v>
      </c>
      <c r="AS82" s="76"/>
      <c r="AV82" s="70" t="s">
        <v>85</v>
      </c>
      <c r="AW82" s="76"/>
    </row>
    <row r="83" spans="1:49" ht="31.5" customHeight="1" x14ac:dyDescent="0.2">
      <c r="A83" s="230"/>
      <c r="D83" s="70" t="s">
        <v>85</v>
      </c>
      <c r="H83" s="70" t="s">
        <v>85</v>
      </c>
      <c r="I83" s="76"/>
      <c r="L83" s="70" t="s">
        <v>85</v>
      </c>
      <c r="M83" s="76"/>
      <c r="P83" s="70" t="s">
        <v>85</v>
      </c>
      <c r="Q83" s="76"/>
      <c r="R83" s="77" t="s">
        <v>230</v>
      </c>
      <c r="S83" s="18">
        <v>64.88</v>
      </c>
      <c r="T83" s="70" t="s">
        <v>3</v>
      </c>
      <c r="U83" s="76" t="s">
        <v>81</v>
      </c>
      <c r="X83" s="70" t="s">
        <v>85</v>
      </c>
      <c r="Y83" s="76"/>
      <c r="Z83" s="77" t="s">
        <v>326</v>
      </c>
      <c r="AA83" s="345">
        <v>115.19</v>
      </c>
      <c r="AB83" s="70" t="s">
        <v>1</v>
      </c>
      <c r="AC83" s="226" t="s">
        <v>145</v>
      </c>
      <c r="AD83" s="77" t="s">
        <v>398</v>
      </c>
      <c r="AE83" s="345">
        <f>-AE81</f>
        <v>-65.150000000000006</v>
      </c>
      <c r="AF83" s="236" t="s">
        <v>40</v>
      </c>
      <c r="AG83" s="76" t="s">
        <v>78</v>
      </c>
      <c r="AH83" s="77" t="s">
        <v>385</v>
      </c>
      <c r="AI83" s="18">
        <v>122.85</v>
      </c>
      <c r="AJ83" s="70" t="s">
        <v>47</v>
      </c>
      <c r="AK83" s="76" t="s">
        <v>79</v>
      </c>
      <c r="AN83" s="70" t="s">
        <v>85</v>
      </c>
      <c r="AO83" s="76"/>
      <c r="AR83" s="70" t="s">
        <v>85</v>
      </c>
      <c r="AS83" s="76"/>
      <c r="AV83" s="70" t="s">
        <v>85</v>
      </c>
      <c r="AW83" s="76"/>
    </row>
    <row r="84" spans="1:49" ht="31.5" customHeight="1" x14ac:dyDescent="0.2">
      <c r="A84" s="231"/>
      <c r="D84" s="70" t="s">
        <v>85</v>
      </c>
      <c r="H84" s="70" t="s">
        <v>85</v>
      </c>
      <c r="I84" s="76"/>
      <c r="L84" s="70" t="s">
        <v>85</v>
      </c>
      <c r="M84" s="76"/>
      <c r="P84" s="70" t="s">
        <v>85</v>
      </c>
      <c r="Q84" s="76"/>
      <c r="R84" s="77" t="s">
        <v>231</v>
      </c>
      <c r="S84" s="18">
        <v>55.39</v>
      </c>
      <c r="T84" s="70" t="s">
        <v>1</v>
      </c>
      <c r="U84" s="76" t="s">
        <v>81</v>
      </c>
      <c r="X84" s="70" t="s">
        <v>85</v>
      </c>
      <c r="Y84" s="76"/>
      <c r="Z84" s="113" t="s">
        <v>335</v>
      </c>
      <c r="AA84" s="346">
        <v>200</v>
      </c>
      <c r="AB84" s="225" t="s">
        <v>8</v>
      </c>
      <c r="AC84" s="76"/>
      <c r="AF84" s="70"/>
      <c r="AG84" s="76"/>
      <c r="AH84" s="77" t="s">
        <v>32</v>
      </c>
      <c r="AI84" s="18">
        <v>165</v>
      </c>
      <c r="AJ84" s="70" t="s">
        <v>1</v>
      </c>
      <c r="AK84" s="76" t="s">
        <v>79</v>
      </c>
      <c r="AN84" s="70" t="s">
        <v>85</v>
      </c>
      <c r="AO84" s="76"/>
      <c r="AR84" s="70" t="s">
        <v>85</v>
      </c>
      <c r="AS84" s="76"/>
      <c r="AV84" s="70" t="s">
        <v>85</v>
      </c>
      <c r="AW84" s="76"/>
    </row>
    <row r="85" spans="1:49" ht="31.5" customHeight="1" x14ac:dyDescent="0.2">
      <c r="A85" s="413" t="s">
        <v>332</v>
      </c>
      <c r="D85" s="70" t="s">
        <v>85</v>
      </c>
      <c r="H85" s="70" t="s">
        <v>85</v>
      </c>
      <c r="I85" s="76"/>
      <c r="L85" s="70" t="s">
        <v>85</v>
      </c>
      <c r="M85" s="76"/>
      <c r="P85" s="70" t="s">
        <v>85</v>
      </c>
      <c r="Q85" s="76"/>
      <c r="R85" s="158"/>
      <c r="S85" s="159"/>
      <c r="T85" s="158"/>
      <c r="U85" s="76"/>
      <c r="X85" s="70" t="s">
        <v>85</v>
      </c>
      <c r="Y85" s="76"/>
      <c r="Z85" s="227" t="s">
        <v>327</v>
      </c>
      <c r="AA85" s="18">
        <f>-W78</f>
        <v>-57.594999999999999</v>
      </c>
      <c r="AB85" s="70" t="s">
        <v>1</v>
      </c>
      <c r="AC85" s="76"/>
      <c r="AF85" s="241"/>
      <c r="AG85" s="76"/>
      <c r="AH85" s="77" t="s">
        <v>37</v>
      </c>
      <c r="AI85" s="18">
        <v>10.82</v>
      </c>
      <c r="AJ85" s="70" t="s">
        <v>47</v>
      </c>
      <c r="AK85" s="76" t="s">
        <v>80</v>
      </c>
      <c r="AN85" s="70" t="s">
        <v>85</v>
      </c>
      <c r="AO85" s="76"/>
      <c r="AR85" s="70" t="s">
        <v>85</v>
      </c>
      <c r="AS85" s="76"/>
      <c r="AV85" s="70" t="s">
        <v>85</v>
      </c>
      <c r="AW85" s="76"/>
    </row>
    <row r="86" spans="1:49" ht="31.5" customHeight="1" x14ac:dyDescent="0.2">
      <c r="A86" s="413"/>
      <c r="D86" s="70" t="s">
        <v>85</v>
      </c>
      <c r="H86" s="70" t="s">
        <v>85</v>
      </c>
      <c r="I86" s="76"/>
      <c r="L86" s="70" t="s">
        <v>85</v>
      </c>
      <c r="M86" s="76"/>
      <c r="P86" s="70" t="s">
        <v>85</v>
      </c>
      <c r="Q86" s="76"/>
      <c r="R86" s="158"/>
      <c r="S86" s="159"/>
      <c r="T86" s="158"/>
      <c r="U86" s="76"/>
      <c r="X86" s="70" t="s">
        <v>85</v>
      </c>
      <c r="Y86" s="76"/>
      <c r="AB86" s="70" t="s">
        <v>85</v>
      </c>
      <c r="AC86" s="76"/>
      <c r="AF86" s="70"/>
      <c r="AG86" s="76"/>
      <c r="AH86" s="77" t="s">
        <v>540</v>
      </c>
      <c r="AI86" s="18">
        <v>16.239999999999998</v>
      </c>
      <c r="AJ86" s="70" t="s">
        <v>47</v>
      </c>
      <c r="AK86" s="76" t="s">
        <v>80</v>
      </c>
      <c r="AN86" s="70" t="s">
        <v>85</v>
      </c>
      <c r="AO86" s="76"/>
      <c r="AR86" s="70" t="s">
        <v>85</v>
      </c>
      <c r="AS86" s="76"/>
      <c r="AV86" s="70" t="s">
        <v>85</v>
      </c>
      <c r="AW86" s="76"/>
    </row>
    <row r="87" spans="1:49" ht="31.5" customHeight="1" x14ac:dyDescent="0.2">
      <c r="A87" s="413"/>
      <c r="D87" s="70" t="s">
        <v>85</v>
      </c>
      <c r="H87" s="70" t="s">
        <v>85</v>
      </c>
      <c r="I87" s="76"/>
      <c r="L87" s="70" t="s">
        <v>85</v>
      </c>
      <c r="M87" s="76"/>
      <c r="P87" s="70" t="s">
        <v>85</v>
      </c>
      <c r="Q87" s="76"/>
      <c r="R87" s="158"/>
      <c r="S87" s="159"/>
      <c r="T87" s="158"/>
      <c r="U87" s="76"/>
      <c r="X87" s="70" t="s">
        <v>85</v>
      </c>
      <c r="Y87" s="76"/>
      <c r="Z87" s="112" t="s">
        <v>283</v>
      </c>
      <c r="AA87" s="18">
        <f>-SUM(AA88:AA92)</f>
        <v>393.09999999999997</v>
      </c>
      <c r="AB87" s="77" t="s">
        <v>48</v>
      </c>
      <c r="AC87" s="76"/>
      <c r="AF87" s="70"/>
      <c r="AG87" s="76"/>
      <c r="AH87" s="77" t="s">
        <v>541</v>
      </c>
      <c r="AI87" s="18">
        <v>5.38</v>
      </c>
      <c r="AJ87" s="70" t="s">
        <v>40</v>
      </c>
      <c r="AK87" s="76" t="s">
        <v>80</v>
      </c>
      <c r="AN87" s="70" t="s">
        <v>85</v>
      </c>
      <c r="AO87" s="76"/>
      <c r="AR87" s="70" t="s">
        <v>85</v>
      </c>
      <c r="AS87" s="76"/>
      <c r="AV87" s="70" t="s">
        <v>85</v>
      </c>
      <c r="AW87" s="76"/>
    </row>
    <row r="88" spans="1:49" ht="31.5" customHeight="1" x14ac:dyDescent="0.2">
      <c r="D88" s="70" t="s">
        <v>85</v>
      </c>
      <c r="H88" s="70" t="s">
        <v>85</v>
      </c>
      <c r="I88" s="76"/>
      <c r="L88" s="70" t="s">
        <v>85</v>
      </c>
      <c r="M88" s="76"/>
      <c r="P88" s="70" t="s">
        <v>85</v>
      </c>
      <c r="Q88" s="76"/>
      <c r="T88" s="70" t="s">
        <v>85</v>
      </c>
      <c r="U88" s="76"/>
      <c r="X88" s="70" t="s">
        <v>85</v>
      </c>
      <c r="Y88" s="76"/>
      <c r="Z88" s="112" t="s">
        <v>329</v>
      </c>
      <c r="AA88" s="18">
        <f>-(AA58+AA59)</f>
        <v>-178.14</v>
      </c>
      <c r="AB88" s="70" t="s">
        <v>17</v>
      </c>
      <c r="AC88" s="76"/>
      <c r="AF88" s="70"/>
      <c r="AG88" s="76"/>
      <c r="AH88" s="77" t="s">
        <v>542</v>
      </c>
      <c r="AI88" s="18">
        <v>119.28</v>
      </c>
      <c r="AJ88" s="70" t="s">
        <v>7</v>
      </c>
      <c r="AK88" s="76" t="s">
        <v>81</v>
      </c>
      <c r="AN88" s="70" t="s">
        <v>85</v>
      </c>
      <c r="AO88" s="76"/>
      <c r="AR88" s="70" t="s">
        <v>85</v>
      </c>
      <c r="AS88" s="76"/>
      <c r="AV88" s="70" t="s">
        <v>85</v>
      </c>
      <c r="AW88" s="76"/>
    </row>
    <row r="89" spans="1:49" ht="31.5" customHeight="1" x14ac:dyDescent="0.2">
      <c r="D89" s="70" t="s">
        <v>85</v>
      </c>
      <c r="H89" s="70" t="s">
        <v>85</v>
      </c>
      <c r="I89" s="76"/>
      <c r="L89" s="70" t="s">
        <v>85</v>
      </c>
      <c r="M89" s="76"/>
      <c r="P89" s="70" t="s">
        <v>85</v>
      </c>
      <c r="Q89" s="76"/>
      <c r="T89" s="70" t="s">
        <v>85</v>
      </c>
      <c r="U89" s="76"/>
      <c r="X89" s="70" t="s">
        <v>85</v>
      </c>
      <c r="Y89" s="76"/>
      <c r="Z89" s="112" t="s">
        <v>330</v>
      </c>
      <c r="AA89" s="18">
        <f>-(AA56+AA74)</f>
        <v>-65.959999999999994</v>
      </c>
      <c r="AB89" s="70" t="s">
        <v>17</v>
      </c>
      <c r="AC89" s="76"/>
      <c r="AF89" s="70"/>
      <c r="AG89" s="76"/>
      <c r="AH89" s="77" t="s">
        <v>543</v>
      </c>
      <c r="AI89" s="18">
        <v>30.25</v>
      </c>
      <c r="AJ89" s="70" t="s">
        <v>3</v>
      </c>
      <c r="AK89" s="76" t="s">
        <v>81</v>
      </c>
      <c r="AN89" s="70" t="s">
        <v>85</v>
      </c>
      <c r="AO89" s="76"/>
      <c r="AR89" s="70" t="s">
        <v>85</v>
      </c>
      <c r="AS89" s="76"/>
      <c r="AV89" s="70" t="s">
        <v>85</v>
      </c>
      <c r="AW89" s="76"/>
    </row>
    <row r="90" spans="1:49" ht="31.5" customHeight="1" x14ac:dyDescent="0.2">
      <c r="D90" s="70" t="s">
        <v>85</v>
      </c>
      <c r="H90" s="70" t="s">
        <v>85</v>
      </c>
      <c r="I90" s="76"/>
      <c r="L90" s="70" t="s">
        <v>85</v>
      </c>
      <c r="M90" s="76"/>
      <c r="P90" s="70" t="s">
        <v>85</v>
      </c>
      <c r="Q90" s="76"/>
      <c r="T90" s="70" t="s">
        <v>85</v>
      </c>
      <c r="U90" s="76"/>
      <c r="X90" s="70" t="s">
        <v>85</v>
      </c>
      <c r="Y90" s="76"/>
      <c r="Z90" s="112" t="s">
        <v>331</v>
      </c>
      <c r="AA90" s="18">
        <f>-AA78</f>
        <v>-149</v>
      </c>
      <c r="AB90" s="70" t="s">
        <v>17</v>
      </c>
      <c r="AC90" s="76"/>
      <c r="AF90" s="70"/>
      <c r="AG90" s="76"/>
      <c r="AJ90" s="70" t="s">
        <v>85</v>
      </c>
      <c r="AK90" s="76"/>
      <c r="AN90" s="70" t="s">
        <v>85</v>
      </c>
      <c r="AO90" s="76"/>
      <c r="AR90" s="70" t="s">
        <v>85</v>
      </c>
      <c r="AS90" s="76"/>
      <c r="AV90" s="70" t="s">
        <v>85</v>
      </c>
      <c r="AW90" s="76"/>
    </row>
    <row r="91" spans="1:49" ht="31.5" customHeight="1" x14ac:dyDescent="0.2">
      <c r="D91" s="70" t="s">
        <v>85</v>
      </c>
      <c r="H91" s="70" t="s">
        <v>85</v>
      </c>
      <c r="I91" s="76"/>
      <c r="L91" s="70" t="s">
        <v>85</v>
      </c>
      <c r="M91" s="76"/>
      <c r="P91" s="70" t="s">
        <v>85</v>
      </c>
      <c r="Q91" s="76"/>
      <c r="T91" s="70" t="s">
        <v>85</v>
      </c>
      <c r="U91" s="76"/>
      <c r="X91" s="70" t="s">
        <v>85</v>
      </c>
      <c r="Y91" s="76"/>
      <c r="AB91" s="70" t="s">
        <v>85</v>
      </c>
      <c r="AC91" s="76"/>
      <c r="AF91" s="70"/>
      <c r="AG91" s="76"/>
      <c r="AJ91" s="70" t="s">
        <v>85</v>
      </c>
      <c r="AK91" s="76"/>
      <c r="AN91" s="70" t="s">
        <v>85</v>
      </c>
      <c r="AO91" s="76"/>
      <c r="AR91" s="70" t="s">
        <v>85</v>
      </c>
      <c r="AS91" s="76"/>
      <c r="AV91" s="70" t="s">
        <v>85</v>
      </c>
      <c r="AW91" s="76"/>
    </row>
    <row r="92" spans="1:49" ht="31.5" customHeight="1" x14ac:dyDescent="0.2">
      <c r="D92" s="70" t="s">
        <v>85</v>
      </c>
      <c r="H92" s="70" t="s">
        <v>85</v>
      </c>
      <c r="I92" s="76"/>
      <c r="L92" s="70" t="s">
        <v>85</v>
      </c>
      <c r="M92" s="76"/>
      <c r="P92" s="70" t="s">
        <v>85</v>
      </c>
      <c r="Q92" s="76"/>
      <c r="T92" s="70" t="s">
        <v>85</v>
      </c>
      <c r="U92" s="76"/>
      <c r="X92" s="70" t="s">
        <v>85</v>
      </c>
      <c r="Y92" s="76"/>
      <c r="Z92" s="414" t="s">
        <v>337</v>
      </c>
      <c r="AA92" s="415"/>
      <c r="AB92" s="70" t="s">
        <v>85</v>
      </c>
      <c r="AC92" s="76"/>
      <c r="AF92" s="70"/>
      <c r="AG92" s="76"/>
      <c r="AJ92" s="70" t="s">
        <v>85</v>
      </c>
      <c r="AK92" s="76"/>
      <c r="AN92" s="70" t="s">
        <v>85</v>
      </c>
      <c r="AO92" s="76"/>
      <c r="AR92" s="70" t="s">
        <v>85</v>
      </c>
      <c r="AS92" s="76"/>
      <c r="AV92" s="70" t="s">
        <v>85</v>
      </c>
      <c r="AW92" s="76"/>
    </row>
    <row r="93" spans="1:49" ht="31.5" customHeight="1" x14ac:dyDescent="0.2">
      <c r="D93" s="70" t="s">
        <v>85</v>
      </c>
      <c r="H93" s="70" t="s">
        <v>85</v>
      </c>
      <c r="I93" s="76"/>
      <c r="L93" s="70" t="s">
        <v>85</v>
      </c>
      <c r="M93" s="76"/>
      <c r="P93" s="70" t="s">
        <v>85</v>
      </c>
      <c r="Q93" s="76"/>
      <c r="T93" s="70" t="s">
        <v>85</v>
      </c>
      <c r="U93" s="76"/>
      <c r="X93" s="70" t="s">
        <v>85</v>
      </c>
      <c r="Y93" s="76"/>
      <c r="Z93" s="227" t="s">
        <v>336</v>
      </c>
      <c r="AA93" s="18" t="s">
        <v>501</v>
      </c>
      <c r="AB93" s="70" t="s">
        <v>8</v>
      </c>
      <c r="AC93" s="76"/>
      <c r="AF93" s="70"/>
      <c r="AG93" s="76"/>
      <c r="AJ93" s="70" t="s">
        <v>85</v>
      </c>
      <c r="AK93" s="76"/>
      <c r="AN93" s="70" t="s">
        <v>85</v>
      </c>
      <c r="AO93" s="76"/>
      <c r="AR93" s="70" t="s">
        <v>85</v>
      </c>
      <c r="AS93" s="76"/>
      <c r="AV93" s="70" t="s">
        <v>85</v>
      </c>
      <c r="AW93" s="76"/>
    </row>
    <row r="94" spans="1:49" ht="31.5" customHeight="1" x14ac:dyDescent="0.2">
      <c r="D94" s="70" t="s">
        <v>85</v>
      </c>
      <c r="H94" s="70" t="s">
        <v>85</v>
      </c>
      <c r="I94" s="76"/>
      <c r="L94" s="70" t="s">
        <v>85</v>
      </c>
      <c r="M94" s="76"/>
      <c r="P94" s="70" t="s">
        <v>85</v>
      </c>
      <c r="Q94" s="76"/>
      <c r="T94" s="70" t="s">
        <v>85</v>
      </c>
      <c r="U94" s="76"/>
      <c r="X94" s="70" t="s">
        <v>85</v>
      </c>
      <c r="Y94" s="76"/>
      <c r="AB94" s="70"/>
      <c r="AC94" s="76"/>
      <c r="AF94" s="70"/>
      <c r="AG94" s="76"/>
      <c r="AJ94" s="70" t="s">
        <v>85</v>
      </c>
      <c r="AK94" s="76"/>
      <c r="AN94" s="70" t="s">
        <v>85</v>
      </c>
      <c r="AO94" s="76"/>
      <c r="AR94" s="70" t="s">
        <v>85</v>
      </c>
      <c r="AS94" s="76"/>
      <c r="AV94" s="70" t="s">
        <v>85</v>
      </c>
      <c r="AW94" s="76"/>
    </row>
    <row r="95" spans="1:49" ht="31.5" customHeight="1" x14ac:dyDescent="0.2">
      <c r="D95" s="70" t="s">
        <v>85</v>
      </c>
      <c r="H95" s="70" t="s">
        <v>85</v>
      </c>
      <c r="I95" s="76"/>
      <c r="L95" s="70" t="s">
        <v>85</v>
      </c>
      <c r="M95" s="76"/>
      <c r="P95" s="70" t="s">
        <v>85</v>
      </c>
      <c r="Q95" s="76"/>
      <c r="T95" s="70" t="s">
        <v>85</v>
      </c>
      <c r="U95" s="76"/>
      <c r="X95" s="70" t="s">
        <v>85</v>
      </c>
      <c r="Y95" s="76"/>
      <c r="AB95" s="70" t="s">
        <v>85</v>
      </c>
      <c r="AC95" s="76"/>
      <c r="AF95" s="70"/>
      <c r="AG95" s="76"/>
      <c r="AJ95" s="70" t="s">
        <v>85</v>
      </c>
      <c r="AK95" s="76"/>
      <c r="AN95" s="70" t="s">
        <v>85</v>
      </c>
      <c r="AO95" s="76"/>
      <c r="AR95" s="70" t="s">
        <v>85</v>
      </c>
      <c r="AS95" s="76"/>
      <c r="AV95" s="70" t="s">
        <v>85</v>
      </c>
      <c r="AW95" s="76"/>
    </row>
    <row r="96" spans="1:49" ht="31.5" customHeight="1" x14ac:dyDescent="0.2">
      <c r="D96" s="70" t="s">
        <v>85</v>
      </c>
      <c r="H96" s="70" t="s">
        <v>85</v>
      </c>
      <c r="I96" s="76"/>
      <c r="L96" s="70" t="s">
        <v>85</v>
      </c>
      <c r="M96" s="76"/>
      <c r="P96" s="70" t="s">
        <v>85</v>
      </c>
      <c r="Q96" s="76"/>
      <c r="T96" s="70" t="s">
        <v>85</v>
      </c>
      <c r="U96" s="76"/>
      <c r="X96" s="70" t="s">
        <v>85</v>
      </c>
      <c r="Y96" s="76"/>
      <c r="AB96" s="70" t="s">
        <v>85</v>
      </c>
      <c r="AC96" s="76"/>
      <c r="AF96" s="70"/>
      <c r="AG96" s="76"/>
      <c r="AJ96" s="70" t="s">
        <v>85</v>
      </c>
      <c r="AK96" s="76"/>
      <c r="AN96" s="70" t="s">
        <v>85</v>
      </c>
      <c r="AO96" s="76"/>
      <c r="AR96" s="70" t="s">
        <v>85</v>
      </c>
      <c r="AS96" s="76"/>
      <c r="AV96" s="70" t="s">
        <v>85</v>
      </c>
      <c r="AW96" s="76"/>
    </row>
    <row r="97" spans="1:49" ht="31.5" customHeight="1" x14ac:dyDescent="0.2">
      <c r="D97" s="70" t="s">
        <v>85</v>
      </c>
      <c r="H97" s="70" t="s">
        <v>85</v>
      </c>
      <c r="I97" s="76"/>
      <c r="L97" s="70" t="s">
        <v>85</v>
      </c>
      <c r="M97" s="76"/>
      <c r="P97" s="70" t="s">
        <v>85</v>
      </c>
      <c r="Q97" s="76"/>
      <c r="T97" s="70" t="s">
        <v>85</v>
      </c>
      <c r="U97" s="76"/>
      <c r="X97" s="70" t="s">
        <v>85</v>
      </c>
      <c r="Y97" s="76"/>
      <c r="AB97" s="70" t="s">
        <v>85</v>
      </c>
      <c r="AC97" s="76"/>
      <c r="AF97" s="70"/>
      <c r="AG97" s="76"/>
      <c r="AJ97" s="70" t="s">
        <v>85</v>
      </c>
      <c r="AK97" s="76"/>
      <c r="AN97" s="70" t="s">
        <v>85</v>
      </c>
      <c r="AO97" s="76"/>
      <c r="AR97" s="70" t="s">
        <v>85</v>
      </c>
      <c r="AS97" s="76"/>
      <c r="AV97" s="70" t="s">
        <v>85</v>
      </c>
      <c r="AW97" s="76"/>
    </row>
    <row r="98" spans="1:49" ht="31.5" customHeight="1" x14ac:dyDescent="0.2">
      <c r="D98" s="70" t="s">
        <v>85</v>
      </c>
      <c r="H98" s="70" t="s">
        <v>85</v>
      </c>
      <c r="I98" s="76"/>
      <c r="L98" s="70" t="s">
        <v>85</v>
      </c>
      <c r="M98" s="76"/>
      <c r="P98" s="70" t="s">
        <v>85</v>
      </c>
      <c r="Q98" s="76"/>
      <c r="T98" s="70" t="s">
        <v>85</v>
      </c>
      <c r="U98" s="76"/>
      <c r="X98" s="70" t="s">
        <v>85</v>
      </c>
      <c r="Y98" s="76"/>
      <c r="AB98" s="70" t="s">
        <v>85</v>
      </c>
      <c r="AC98" s="76"/>
      <c r="AF98" s="70"/>
      <c r="AG98" s="76"/>
      <c r="AJ98" s="70" t="s">
        <v>85</v>
      </c>
      <c r="AK98" s="76"/>
      <c r="AN98" s="70" t="s">
        <v>85</v>
      </c>
      <c r="AO98" s="76"/>
      <c r="AR98" s="70" t="s">
        <v>85</v>
      </c>
      <c r="AS98" s="76"/>
      <c r="AV98" s="70" t="s">
        <v>85</v>
      </c>
      <c r="AW98" s="76"/>
    </row>
    <row r="99" spans="1:49" ht="31.5" customHeight="1" x14ac:dyDescent="0.2">
      <c r="D99" s="70" t="s">
        <v>85</v>
      </c>
      <c r="H99" s="70" t="s">
        <v>85</v>
      </c>
      <c r="I99" s="76"/>
      <c r="L99" s="70" t="s">
        <v>85</v>
      </c>
      <c r="M99" s="76"/>
      <c r="P99" s="70" t="s">
        <v>85</v>
      </c>
      <c r="Q99" s="76"/>
      <c r="T99" s="70" t="s">
        <v>85</v>
      </c>
      <c r="U99" s="76"/>
      <c r="X99" s="70" t="s">
        <v>85</v>
      </c>
      <c r="Y99" s="76"/>
      <c r="AB99" s="70" t="s">
        <v>85</v>
      </c>
      <c r="AC99" s="76"/>
      <c r="AF99" s="70" t="s">
        <v>85</v>
      </c>
      <c r="AG99" s="76"/>
      <c r="AJ99" s="70" t="s">
        <v>85</v>
      </c>
      <c r="AK99" s="76"/>
      <c r="AN99" s="70" t="s">
        <v>85</v>
      </c>
      <c r="AO99" s="76"/>
      <c r="AR99" s="70" t="s">
        <v>85</v>
      </c>
      <c r="AS99" s="76"/>
      <c r="AV99" s="70" t="s">
        <v>85</v>
      </c>
      <c r="AW99" s="76"/>
    </row>
    <row r="100" spans="1:49" ht="31.5" customHeight="1" x14ac:dyDescent="0.2">
      <c r="D100" s="70" t="s">
        <v>85</v>
      </c>
      <c r="H100" s="70" t="s">
        <v>85</v>
      </c>
      <c r="I100" s="76"/>
      <c r="L100" s="70" t="s">
        <v>85</v>
      </c>
      <c r="M100" s="76"/>
      <c r="P100" s="70" t="s">
        <v>85</v>
      </c>
      <c r="Q100" s="76"/>
      <c r="T100" s="70" t="s">
        <v>85</v>
      </c>
      <c r="U100" s="76"/>
      <c r="X100" s="70" t="s">
        <v>85</v>
      </c>
      <c r="Y100" s="76"/>
      <c r="AB100" s="70" t="s">
        <v>85</v>
      </c>
      <c r="AC100" s="76"/>
      <c r="AF100" s="70" t="s">
        <v>85</v>
      </c>
      <c r="AG100" s="76"/>
      <c r="AJ100" s="70" t="s">
        <v>85</v>
      </c>
      <c r="AK100" s="76"/>
      <c r="AN100" s="70" t="s">
        <v>85</v>
      </c>
      <c r="AO100" s="76"/>
      <c r="AR100" s="70" t="s">
        <v>85</v>
      </c>
      <c r="AS100" s="76"/>
      <c r="AV100" s="70" t="s">
        <v>85</v>
      </c>
      <c r="AW100" s="76"/>
    </row>
    <row r="101" spans="1:49" ht="31.5" customHeight="1" x14ac:dyDescent="0.2">
      <c r="D101" s="70" t="s">
        <v>85</v>
      </c>
      <c r="H101" s="70" t="s">
        <v>85</v>
      </c>
      <c r="I101" s="76"/>
      <c r="L101" s="70" t="s">
        <v>85</v>
      </c>
      <c r="M101" s="76"/>
      <c r="P101" s="70" t="s">
        <v>85</v>
      </c>
      <c r="Q101" s="76"/>
      <c r="T101" s="70" t="s">
        <v>85</v>
      </c>
      <c r="U101" s="76"/>
      <c r="X101" s="70" t="s">
        <v>85</v>
      </c>
      <c r="Y101" s="76"/>
      <c r="AB101" s="70" t="s">
        <v>85</v>
      </c>
      <c r="AC101" s="76"/>
      <c r="AF101" s="70" t="s">
        <v>85</v>
      </c>
      <c r="AG101" s="76"/>
      <c r="AJ101" s="70" t="s">
        <v>85</v>
      </c>
      <c r="AK101" s="76"/>
      <c r="AN101" s="70" t="s">
        <v>85</v>
      </c>
      <c r="AO101" s="76"/>
      <c r="AR101" s="70" t="s">
        <v>85</v>
      </c>
      <c r="AS101" s="76"/>
      <c r="AV101" s="70" t="s">
        <v>85</v>
      </c>
      <c r="AW101" s="76"/>
    </row>
    <row r="102" spans="1:49" ht="31.5" customHeight="1" x14ac:dyDescent="0.2">
      <c r="D102" s="70" t="s">
        <v>85</v>
      </c>
      <c r="H102" s="70" t="s">
        <v>85</v>
      </c>
      <c r="I102" s="76"/>
      <c r="L102" s="70" t="s">
        <v>85</v>
      </c>
      <c r="M102" s="76"/>
      <c r="P102" s="70" t="s">
        <v>85</v>
      </c>
      <c r="Q102" s="76"/>
      <c r="T102" s="70" t="s">
        <v>85</v>
      </c>
      <c r="U102" s="76"/>
      <c r="X102" s="70" t="s">
        <v>85</v>
      </c>
      <c r="Y102" s="76"/>
      <c r="AB102" s="70" t="s">
        <v>85</v>
      </c>
      <c r="AC102" s="76"/>
      <c r="AF102" s="70" t="s">
        <v>85</v>
      </c>
      <c r="AG102" s="76"/>
      <c r="AJ102" s="70" t="s">
        <v>85</v>
      </c>
      <c r="AK102" s="76"/>
      <c r="AN102" s="70" t="s">
        <v>85</v>
      </c>
      <c r="AO102" s="76"/>
      <c r="AR102" s="70" t="s">
        <v>85</v>
      </c>
      <c r="AS102" s="76"/>
      <c r="AV102" s="70" t="s">
        <v>85</v>
      </c>
      <c r="AW102" s="76"/>
    </row>
    <row r="103" spans="1:49" ht="31.5" customHeight="1" x14ac:dyDescent="0.2">
      <c r="A103" s="229" t="s">
        <v>92</v>
      </c>
      <c r="D103" s="70" t="s">
        <v>85</v>
      </c>
      <c r="H103" s="70" t="s">
        <v>85</v>
      </c>
      <c r="I103" s="76"/>
      <c r="L103" s="70" t="s">
        <v>85</v>
      </c>
      <c r="M103" s="76"/>
      <c r="P103" s="70" t="s">
        <v>85</v>
      </c>
      <c r="Q103" s="76"/>
      <c r="T103" s="70" t="s">
        <v>85</v>
      </c>
      <c r="U103" s="76"/>
      <c r="X103" s="70" t="s">
        <v>85</v>
      </c>
      <c r="Y103" s="76"/>
      <c r="AB103" s="70" t="s">
        <v>85</v>
      </c>
      <c r="AC103" s="76"/>
      <c r="AF103" s="70" t="s">
        <v>85</v>
      </c>
      <c r="AG103" s="76"/>
      <c r="AJ103" s="70" t="s">
        <v>85</v>
      </c>
      <c r="AK103" s="76"/>
      <c r="AN103" s="70" t="s">
        <v>85</v>
      </c>
      <c r="AO103" s="76"/>
      <c r="AR103" s="70" t="s">
        <v>85</v>
      </c>
      <c r="AS103" s="76"/>
      <c r="AV103" s="70" t="s">
        <v>85</v>
      </c>
      <c r="AW103" s="76"/>
    </row>
    <row r="104" spans="1:49" ht="31.5" customHeight="1" x14ac:dyDescent="0.2">
      <c r="A104" s="230"/>
      <c r="D104" s="70" t="s">
        <v>85</v>
      </c>
      <c r="H104" s="70" t="s">
        <v>85</v>
      </c>
      <c r="I104" s="76"/>
      <c r="L104" s="70" t="s">
        <v>85</v>
      </c>
      <c r="M104" s="76"/>
      <c r="P104" s="70" t="s">
        <v>85</v>
      </c>
      <c r="Q104" s="76"/>
      <c r="T104" s="70" t="s">
        <v>85</v>
      </c>
      <c r="U104" s="76"/>
      <c r="X104" s="70" t="s">
        <v>85</v>
      </c>
      <c r="Y104" s="76"/>
      <c r="AB104" s="70" t="s">
        <v>85</v>
      </c>
      <c r="AC104" s="76"/>
      <c r="AF104" s="70" t="s">
        <v>85</v>
      </c>
      <c r="AG104" s="76"/>
      <c r="AJ104" s="70" t="s">
        <v>85</v>
      </c>
      <c r="AK104" s="76"/>
      <c r="AN104" s="70" t="s">
        <v>85</v>
      </c>
      <c r="AO104" s="76"/>
      <c r="AR104" s="70" t="s">
        <v>85</v>
      </c>
      <c r="AS104" s="76"/>
      <c r="AV104" s="70" t="s">
        <v>85</v>
      </c>
      <c r="AW104" s="76"/>
    </row>
    <row r="105" spans="1:49" ht="31.5" customHeight="1" x14ac:dyDescent="0.2">
      <c r="A105" s="231"/>
      <c r="D105" s="70" t="s">
        <v>85</v>
      </c>
      <c r="H105" s="70" t="s">
        <v>85</v>
      </c>
      <c r="I105" s="76"/>
      <c r="L105" s="70" t="s">
        <v>85</v>
      </c>
      <c r="M105" s="76"/>
      <c r="P105" s="70" t="s">
        <v>85</v>
      </c>
      <c r="Q105" s="76"/>
      <c r="T105" s="70" t="s">
        <v>85</v>
      </c>
      <c r="U105" s="76"/>
      <c r="X105" s="70" t="s">
        <v>85</v>
      </c>
      <c r="Y105" s="76"/>
      <c r="AB105" s="70" t="s">
        <v>85</v>
      </c>
      <c r="AC105" s="76"/>
      <c r="AF105" s="70" t="s">
        <v>85</v>
      </c>
      <c r="AG105" s="76"/>
      <c r="AJ105" s="70" t="s">
        <v>85</v>
      </c>
      <c r="AK105" s="76"/>
      <c r="AN105" s="70" t="s">
        <v>85</v>
      </c>
      <c r="AO105" s="76"/>
      <c r="AR105" s="70" t="s">
        <v>85</v>
      </c>
      <c r="AS105" s="76"/>
      <c r="AV105" s="70" t="s">
        <v>85</v>
      </c>
      <c r="AW105" s="76"/>
    </row>
    <row r="106" spans="1:49" ht="31.5" customHeight="1" x14ac:dyDescent="0.2">
      <c r="A106" s="413" t="s">
        <v>332</v>
      </c>
      <c r="D106" s="70" t="s">
        <v>85</v>
      </c>
      <c r="H106" s="70" t="s">
        <v>85</v>
      </c>
      <c r="I106" s="76"/>
      <c r="L106" s="70" t="s">
        <v>85</v>
      </c>
      <c r="M106" s="76"/>
      <c r="P106" s="70" t="s">
        <v>85</v>
      </c>
      <c r="Q106" s="76"/>
      <c r="T106" s="70" t="s">
        <v>85</v>
      </c>
      <c r="U106" s="76"/>
      <c r="X106" s="70" t="s">
        <v>85</v>
      </c>
      <c r="Y106" s="76"/>
      <c r="AB106" s="70" t="s">
        <v>85</v>
      </c>
      <c r="AC106" s="76"/>
      <c r="AF106" s="70" t="s">
        <v>85</v>
      </c>
      <c r="AG106" s="76"/>
      <c r="AJ106" s="70" t="s">
        <v>85</v>
      </c>
      <c r="AK106" s="76"/>
      <c r="AN106" s="70" t="s">
        <v>85</v>
      </c>
      <c r="AO106" s="76"/>
      <c r="AR106" s="70" t="s">
        <v>85</v>
      </c>
      <c r="AS106" s="76"/>
      <c r="AV106" s="70" t="s">
        <v>85</v>
      </c>
      <c r="AW106" s="76"/>
    </row>
    <row r="107" spans="1:49" ht="31.5" customHeight="1" x14ac:dyDescent="0.2">
      <c r="A107" s="413"/>
      <c r="D107" s="70" t="s">
        <v>85</v>
      </c>
      <c r="H107" s="70" t="s">
        <v>85</v>
      </c>
      <c r="I107" s="76"/>
      <c r="L107" s="70" t="s">
        <v>85</v>
      </c>
      <c r="M107" s="76"/>
      <c r="P107" s="70" t="s">
        <v>85</v>
      </c>
      <c r="Q107" s="76"/>
      <c r="T107" s="70" t="s">
        <v>85</v>
      </c>
      <c r="U107" s="76"/>
      <c r="X107" s="70" t="s">
        <v>85</v>
      </c>
      <c r="Y107" s="76"/>
      <c r="AB107" s="70" t="s">
        <v>85</v>
      </c>
      <c r="AC107" s="76"/>
      <c r="AF107" s="70" t="s">
        <v>85</v>
      </c>
      <c r="AG107" s="76"/>
      <c r="AJ107" s="70" t="s">
        <v>85</v>
      </c>
      <c r="AK107" s="76"/>
      <c r="AN107" s="70" t="s">
        <v>85</v>
      </c>
      <c r="AO107" s="76"/>
      <c r="AR107" s="70" t="s">
        <v>85</v>
      </c>
      <c r="AS107" s="76"/>
      <c r="AV107" s="70" t="s">
        <v>85</v>
      </c>
      <c r="AW107" s="76"/>
    </row>
    <row r="108" spans="1:49" ht="31.5" customHeight="1" x14ac:dyDescent="0.2">
      <c r="A108" s="413"/>
      <c r="D108" s="70" t="s">
        <v>85</v>
      </c>
      <c r="H108" s="70" t="s">
        <v>85</v>
      </c>
      <c r="I108" s="76"/>
      <c r="L108" s="70" t="s">
        <v>85</v>
      </c>
      <c r="M108" s="76"/>
      <c r="P108" s="70" t="s">
        <v>85</v>
      </c>
      <c r="Q108" s="76"/>
      <c r="T108" s="70" t="s">
        <v>85</v>
      </c>
      <c r="U108" s="76"/>
      <c r="X108" s="70" t="s">
        <v>85</v>
      </c>
      <c r="Y108" s="76"/>
      <c r="AB108" s="70" t="s">
        <v>85</v>
      </c>
      <c r="AC108" s="76"/>
      <c r="AF108" s="70" t="s">
        <v>85</v>
      </c>
      <c r="AG108" s="76"/>
      <c r="AJ108" s="70" t="s">
        <v>85</v>
      </c>
      <c r="AK108" s="76"/>
      <c r="AN108" s="70" t="s">
        <v>85</v>
      </c>
      <c r="AO108" s="76"/>
      <c r="AR108" s="70" t="s">
        <v>85</v>
      </c>
      <c r="AS108" s="76"/>
      <c r="AV108" s="70" t="s">
        <v>85</v>
      </c>
      <c r="AW108" s="76"/>
    </row>
    <row r="109" spans="1:49" ht="31.5" customHeight="1" x14ac:dyDescent="0.2">
      <c r="D109" s="70" t="s">
        <v>85</v>
      </c>
      <c r="H109" s="70" t="s">
        <v>85</v>
      </c>
      <c r="I109" s="76"/>
      <c r="L109" s="70" t="s">
        <v>85</v>
      </c>
      <c r="M109" s="76"/>
      <c r="P109" s="70" t="s">
        <v>85</v>
      </c>
      <c r="Q109" s="76"/>
      <c r="T109" s="70" t="s">
        <v>85</v>
      </c>
      <c r="U109" s="76"/>
      <c r="X109" s="70" t="s">
        <v>85</v>
      </c>
      <c r="Y109" s="76"/>
      <c r="AB109" s="70" t="s">
        <v>85</v>
      </c>
      <c r="AC109" s="76"/>
      <c r="AF109" s="70" t="s">
        <v>85</v>
      </c>
      <c r="AG109" s="76"/>
      <c r="AJ109" s="70" t="s">
        <v>85</v>
      </c>
      <c r="AK109" s="76"/>
      <c r="AN109" s="70" t="s">
        <v>85</v>
      </c>
      <c r="AO109" s="76"/>
      <c r="AR109" s="70" t="s">
        <v>85</v>
      </c>
      <c r="AS109" s="76"/>
      <c r="AV109" s="70" t="s">
        <v>85</v>
      </c>
      <c r="AW109" s="76"/>
    </row>
    <row r="110" spans="1:49" ht="31.5" customHeight="1" x14ac:dyDescent="0.2">
      <c r="D110" s="70" t="s">
        <v>85</v>
      </c>
      <c r="H110" s="70" t="s">
        <v>85</v>
      </c>
      <c r="I110" s="76"/>
      <c r="L110" s="70" t="s">
        <v>85</v>
      </c>
      <c r="M110" s="76"/>
      <c r="P110" s="70" t="s">
        <v>85</v>
      </c>
      <c r="Q110" s="76"/>
      <c r="T110" s="70" t="s">
        <v>85</v>
      </c>
      <c r="U110" s="76"/>
      <c r="X110" s="70" t="s">
        <v>85</v>
      </c>
      <c r="Y110" s="76"/>
      <c r="AB110" s="70" t="s">
        <v>85</v>
      </c>
      <c r="AC110" s="76"/>
      <c r="AF110" s="70" t="s">
        <v>85</v>
      </c>
      <c r="AG110" s="76"/>
      <c r="AJ110" s="70" t="s">
        <v>85</v>
      </c>
      <c r="AK110" s="76"/>
      <c r="AN110" s="70" t="s">
        <v>85</v>
      </c>
      <c r="AO110" s="76"/>
      <c r="AR110" s="70" t="s">
        <v>85</v>
      </c>
      <c r="AS110" s="76"/>
      <c r="AV110" s="70" t="s">
        <v>85</v>
      </c>
      <c r="AW110" s="76"/>
    </row>
    <row r="111" spans="1:49" ht="31.5" customHeight="1" x14ac:dyDescent="0.2">
      <c r="D111" s="70" t="s">
        <v>85</v>
      </c>
      <c r="H111" s="70" t="s">
        <v>85</v>
      </c>
      <c r="I111" s="76"/>
      <c r="L111" s="70" t="s">
        <v>85</v>
      </c>
      <c r="M111" s="76"/>
      <c r="P111" s="70" t="s">
        <v>85</v>
      </c>
      <c r="Q111" s="76"/>
      <c r="T111" s="70" t="s">
        <v>85</v>
      </c>
      <c r="U111" s="76"/>
      <c r="X111" s="70" t="s">
        <v>85</v>
      </c>
      <c r="Y111" s="76"/>
      <c r="AB111" s="70" t="s">
        <v>85</v>
      </c>
      <c r="AC111" s="76"/>
      <c r="AF111" s="70" t="s">
        <v>85</v>
      </c>
      <c r="AG111" s="76"/>
      <c r="AJ111" s="70" t="s">
        <v>85</v>
      </c>
      <c r="AK111" s="76"/>
      <c r="AN111" s="70" t="s">
        <v>85</v>
      </c>
      <c r="AO111" s="76"/>
      <c r="AR111" s="70" t="s">
        <v>85</v>
      </c>
      <c r="AS111" s="76"/>
      <c r="AV111" s="70" t="s">
        <v>85</v>
      </c>
      <c r="AW111" s="76"/>
    </row>
    <row r="112" spans="1:49" ht="31.5" customHeight="1" x14ac:dyDescent="0.2">
      <c r="D112" s="70" t="s">
        <v>85</v>
      </c>
      <c r="H112" s="70" t="s">
        <v>85</v>
      </c>
      <c r="I112" s="76"/>
      <c r="L112" s="70" t="s">
        <v>85</v>
      </c>
      <c r="M112" s="76"/>
      <c r="P112" s="70" t="s">
        <v>85</v>
      </c>
      <c r="Q112" s="76"/>
      <c r="T112" s="70" t="s">
        <v>85</v>
      </c>
      <c r="U112" s="76"/>
      <c r="X112" s="70" t="s">
        <v>85</v>
      </c>
      <c r="Y112" s="76"/>
      <c r="AB112" s="70" t="s">
        <v>85</v>
      </c>
      <c r="AC112" s="76"/>
      <c r="AF112" s="70" t="s">
        <v>85</v>
      </c>
      <c r="AG112" s="76"/>
      <c r="AJ112" s="70" t="s">
        <v>85</v>
      </c>
      <c r="AK112" s="76"/>
      <c r="AN112" s="70" t="s">
        <v>85</v>
      </c>
      <c r="AO112" s="76"/>
      <c r="AR112" s="70" t="s">
        <v>85</v>
      </c>
      <c r="AS112" s="76"/>
      <c r="AV112" s="70" t="s">
        <v>85</v>
      </c>
      <c r="AW112" s="76"/>
    </row>
    <row r="113" spans="4:49" ht="31.5" customHeight="1" x14ac:dyDescent="0.2">
      <c r="D113" s="70" t="s">
        <v>85</v>
      </c>
      <c r="H113" s="70" t="s">
        <v>85</v>
      </c>
      <c r="I113" s="76"/>
      <c r="L113" s="70" t="s">
        <v>85</v>
      </c>
      <c r="M113" s="76"/>
      <c r="P113" s="70" t="s">
        <v>85</v>
      </c>
      <c r="Q113" s="76"/>
      <c r="T113" s="70" t="s">
        <v>85</v>
      </c>
      <c r="U113" s="76"/>
      <c r="X113" s="70" t="s">
        <v>85</v>
      </c>
      <c r="Y113" s="76"/>
      <c r="AB113" s="70" t="s">
        <v>85</v>
      </c>
      <c r="AC113" s="76"/>
      <c r="AF113" s="70" t="s">
        <v>85</v>
      </c>
      <c r="AG113" s="76"/>
      <c r="AJ113" s="70" t="s">
        <v>85</v>
      </c>
      <c r="AK113" s="76"/>
      <c r="AN113" s="70" t="s">
        <v>85</v>
      </c>
      <c r="AO113" s="76"/>
      <c r="AR113" s="70" t="s">
        <v>85</v>
      </c>
      <c r="AS113" s="76"/>
      <c r="AV113" s="70" t="s">
        <v>85</v>
      </c>
      <c r="AW113" s="76"/>
    </row>
    <row r="114" spans="4:49" ht="31.5" customHeight="1" x14ac:dyDescent="0.2">
      <c r="D114" s="70" t="s">
        <v>85</v>
      </c>
      <c r="H114" s="70" t="s">
        <v>85</v>
      </c>
      <c r="I114" s="76"/>
      <c r="L114" s="70" t="s">
        <v>85</v>
      </c>
      <c r="M114" s="76"/>
      <c r="P114" s="70" t="s">
        <v>85</v>
      </c>
      <c r="Q114" s="76"/>
      <c r="T114" s="70" t="s">
        <v>85</v>
      </c>
      <c r="U114" s="76"/>
      <c r="X114" s="70" t="s">
        <v>85</v>
      </c>
      <c r="Y114" s="76"/>
      <c r="AB114" s="70" t="s">
        <v>85</v>
      </c>
      <c r="AC114" s="76"/>
      <c r="AF114" s="70" t="s">
        <v>85</v>
      </c>
      <c r="AG114" s="76"/>
      <c r="AJ114" s="70" t="s">
        <v>85</v>
      </c>
      <c r="AK114" s="76"/>
      <c r="AN114" s="70" t="s">
        <v>85</v>
      </c>
      <c r="AO114" s="76"/>
      <c r="AR114" s="70" t="s">
        <v>85</v>
      </c>
      <c r="AS114" s="76"/>
      <c r="AV114" s="70" t="s">
        <v>85</v>
      </c>
      <c r="AW114" s="76"/>
    </row>
    <row r="115" spans="4:49" ht="31.5" customHeight="1" x14ac:dyDescent="0.2">
      <c r="D115" s="70" t="s">
        <v>85</v>
      </c>
      <c r="H115" s="70" t="s">
        <v>85</v>
      </c>
      <c r="I115" s="76"/>
      <c r="L115" s="70" t="s">
        <v>85</v>
      </c>
      <c r="M115" s="76"/>
      <c r="P115" s="70" t="s">
        <v>85</v>
      </c>
      <c r="Q115" s="76"/>
      <c r="T115" s="70" t="s">
        <v>85</v>
      </c>
      <c r="U115" s="76"/>
      <c r="X115" s="70" t="s">
        <v>85</v>
      </c>
      <c r="Y115" s="76"/>
      <c r="AB115" s="70" t="s">
        <v>85</v>
      </c>
      <c r="AC115" s="76"/>
      <c r="AF115" s="70" t="s">
        <v>85</v>
      </c>
      <c r="AG115" s="76"/>
      <c r="AJ115" s="70" t="s">
        <v>85</v>
      </c>
      <c r="AK115" s="76"/>
      <c r="AN115" s="70" t="s">
        <v>85</v>
      </c>
      <c r="AO115" s="76"/>
      <c r="AR115" s="70" t="s">
        <v>85</v>
      </c>
      <c r="AS115" s="76"/>
      <c r="AV115" s="70" t="s">
        <v>85</v>
      </c>
      <c r="AW115" s="76"/>
    </row>
    <row r="116" spans="4:49" ht="31.5" customHeight="1" x14ac:dyDescent="0.2">
      <c r="D116" s="70" t="s">
        <v>85</v>
      </c>
      <c r="H116" s="70" t="s">
        <v>85</v>
      </c>
      <c r="I116" s="76"/>
      <c r="L116" s="70" t="s">
        <v>85</v>
      </c>
      <c r="M116" s="76"/>
      <c r="P116" s="70" t="s">
        <v>85</v>
      </c>
      <c r="Q116" s="76"/>
      <c r="T116" s="70" t="s">
        <v>85</v>
      </c>
      <c r="U116" s="76"/>
      <c r="X116" s="70" t="s">
        <v>85</v>
      </c>
      <c r="Y116" s="76"/>
      <c r="AB116" s="70" t="s">
        <v>85</v>
      </c>
      <c r="AC116" s="76"/>
      <c r="AF116" s="70" t="s">
        <v>85</v>
      </c>
      <c r="AG116" s="76"/>
      <c r="AJ116" s="70" t="s">
        <v>85</v>
      </c>
      <c r="AK116" s="76"/>
      <c r="AN116" s="70" t="s">
        <v>85</v>
      </c>
      <c r="AO116" s="76"/>
      <c r="AR116" s="70" t="s">
        <v>85</v>
      </c>
      <c r="AS116" s="76"/>
      <c r="AV116" s="70" t="s">
        <v>85</v>
      </c>
      <c r="AW116" s="76"/>
    </row>
    <row r="117" spans="4:49" ht="31.5" customHeight="1" x14ac:dyDescent="0.2">
      <c r="D117" s="70" t="s">
        <v>85</v>
      </c>
      <c r="H117" s="70" t="s">
        <v>85</v>
      </c>
      <c r="I117" s="76"/>
      <c r="L117" s="70" t="s">
        <v>85</v>
      </c>
      <c r="M117" s="76"/>
      <c r="P117" s="70" t="s">
        <v>85</v>
      </c>
      <c r="Q117" s="76"/>
      <c r="T117" s="70" t="s">
        <v>85</v>
      </c>
      <c r="U117" s="76"/>
      <c r="X117" s="70" t="s">
        <v>85</v>
      </c>
      <c r="Y117" s="76"/>
      <c r="AB117" s="70" t="s">
        <v>85</v>
      </c>
      <c r="AC117" s="76"/>
      <c r="AF117" s="70" t="s">
        <v>85</v>
      </c>
      <c r="AG117" s="76"/>
      <c r="AJ117" s="70" t="s">
        <v>85</v>
      </c>
      <c r="AK117" s="76"/>
      <c r="AN117" s="70" t="s">
        <v>85</v>
      </c>
      <c r="AO117" s="76"/>
      <c r="AR117" s="70" t="s">
        <v>85</v>
      </c>
      <c r="AS117" s="76"/>
      <c r="AV117" s="70" t="s">
        <v>85</v>
      </c>
      <c r="AW117" s="76"/>
    </row>
    <row r="118" spans="4:49" ht="31.5" customHeight="1" x14ac:dyDescent="0.2">
      <c r="D118" s="70" t="s">
        <v>85</v>
      </c>
      <c r="H118" s="70" t="s">
        <v>85</v>
      </c>
      <c r="I118" s="76"/>
      <c r="L118" s="70" t="s">
        <v>85</v>
      </c>
      <c r="M118" s="76"/>
      <c r="P118" s="70" t="s">
        <v>85</v>
      </c>
      <c r="Q118" s="76"/>
      <c r="T118" s="70" t="s">
        <v>85</v>
      </c>
      <c r="U118" s="76"/>
      <c r="X118" s="70" t="s">
        <v>85</v>
      </c>
      <c r="Y118" s="76"/>
      <c r="AB118" s="70" t="s">
        <v>85</v>
      </c>
      <c r="AC118" s="76"/>
      <c r="AF118" s="70" t="s">
        <v>85</v>
      </c>
      <c r="AG118" s="76"/>
      <c r="AJ118" s="70" t="s">
        <v>85</v>
      </c>
      <c r="AK118" s="76"/>
      <c r="AN118" s="70" t="s">
        <v>85</v>
      </c>
      <c r="AO118" s="76"/>
      <c r="AR118" s="70" t="s">
        <v>85</v>
      </c>
      <c r="AS118" s="76"/>
      <c r="AV118" s="70" t="s">
        <v>85</v>
      </c>
      <c r="AW118" s="76"/>
    </row>
    <row r="119" spans="4:49" ht="31.5" customHeight="1" x14ac:dyDescent="0.2">
      <c r="D119" s="70" t="s">
        <v>85</v>
      </c>
      <c r="H119" s="70" t="s">
        <v>85</v>
      </c>
      <c r="I119" s="76"/>
      <c r="L119" s="70" t="s">
        <v>85</v>
      </c>
      <c r="M119" s="76"/>
      <c r="P119" s="70" t="s">
        <v>85</v>
      </c>
      <c r="Q119" s="76"/>
      <c r="T119" s="70" t="s">
        <v>85</v>
      </c>
      <c r="U119" s="76"/>
      <c r="X119" s="70" t="s">
        <v>85</v>
      </c>
      <c r="Y119" s="76"/>
      <c r="AB119" s="70" t="s">
        <v>85</v>
      </c>
      <c r="AC119" s="76"/>
      <c r="AF119" s="70" t="s">
        <v>85</v>
      </c>
      <c r="AG119" s="76"/>
      <c r="AJ119" s="70" t="s">
        <v>85</v>
      </c>
      <c r="AK119" s="76"/>
      <c r="AN119" s="70" t="s">
        <v>85</v>
      </c>
      <c r="AO119" s="76"/>
      <c r="AR119" s="70" t="s">
        <v>85</v>
      </c>
      <c r="AS119" s="76"/>
      <c r="AV119" s="70" t="s">
        <v>85</v>
      </c>
      <c r="AW119" s="76"/>
    </row>
    <row r="120" spans="4:49" ht="31.5" customHeight="1" x14ac:dyDescent="0.2">
      <c r="D120" s="70" t="s">
        <v>85</v>
      </c>
      <c r="H120" s="70" t="s">
        <v>85</v>
      </c>
      <c r="I120" s="76"/>
      <c r="L120" s="70" t="s">
        <v>85</v>
      </c>
      <c r="M120" s="76"/>
      <c r="P120" s="70" t="s">
        <v>85</v>
      </c>
      <c r="Q120" s="76"/>
      <c r="T120" s="70" t="s">
        <v>85</v>
      </c>
      <c r="U120" s="76"/>
      <c r="X120" s="70" t="s">
        <v>85</v>
      </c>
      <c r="Y120" s="76"/>
      <c r="AB120" s="70" t="s">
        <v>85</v>
      </c>
      <c r="AC120" s="76"/>
      <c r="AF120" s="70" t="s">
        <v>85</v>
      </c>
      <c r="AG120" s="76"/>
      <c r="AJ120" s="70" t="s">
        <v>85</v>
      </c>
      <c r="AK120" s="76"/>
      <c r="AN120" s="70" t="s">
        <v>85</v>
      </c>
      <c r="AO120" s="76"/>
      <c r="AR120" s="70" t="s">
        <v>85</v>
      </c>
      <c r="AS120" s="76"/>
      <c r="AV120" s="70" t="s">
        <v>85</v>
      </c>
      <c r="AW120" s="76"/>
    </row>
    <row r="121" spans="4:49" ht="31.5" customHeight="1" x14ac:dyDescent="0.2">
      <c r="D121" s="70" t="s">
        <v>85</v>
      </c>
      <c r="H121" s="70" t="s">
        <v>85</v>
      </c>
      <c r="I121" s="76"/>
      <c r="L121" s="70" t="s">
        <v>85</v>
      </c>
      <c r="M121" s="76"/>
      <c r="P121" s="70" t="s">
        <v>85</v>
      </c>
      <c r="Q121" s="76"/>
      <c r="T121" s="70" t="s">
        <v>85</v>
      </c>
      <c r="U121" s="76"/>
      <c r="X121" s="70" t="s">
        <v>85</v>
      </c>
      <c r="Y121" s="76"/>
      <c r="AB121" s="70" t="s">
        <v>85</v>
      </c>
      <c r="AC121" s="76"/>
      <c r="AF121" s="70" t="s">
        <v>85</v>
      </c>
      <c r="AG121" s="76"/>
      <c r="AJ121" s="70" t="s">
        <v>85</v>
      </c>
      <c r="AK121" s="76"/>
      <c r="AN121" s="70" t="s">
        <v>85</v>
      </c>
      <c r="AO121" s="76"/>
      <c r="AR121" s="70" t="s">
        <v>85</v>
      </c>
      <c r="AS121" s="76"/>
      <c r="AV121" s="70" t="s">
        <v>85</v>
      </c>
      <c r="AW121" s="76"/>
    </row>
    <row r="122" spans="4:49" ht="31.5" customHeight="1" x14ac:dyDescent="0.2">
      <c r="D122" s="70" t="s">
        <v>85</v>
      </c>
      <c r="H122" s="70" t="s">
        <v>85</v>
      </c>
      <c r="I122" s="76"/>
      <c r="L122" s="70" t="s">
        <v>85</v>
      </c>
      <c r="M122" s="76"/>
      <c r="P122" s="70" t="s">
        <v>85</v>
      </c>
      <c r="Q122" s="76"/>
      <c r="T122" s="70" t="s">
        <v>85</v>
      </c>
      <c r="U122" s="76"/>
      <c r="X122" s="70" t="s">
        <v>85</v>
      </c>
      <c r="Y122" s="76"/>
      <c r="AB122" s="70" t="s">
        <v>85</v>
      </c>
      <c r="AC122" s="76"/>
      <c r="AF122" s="70" t="s">
        <v>85</v>
      </c>
      <c r="AG122" s="76"/>
      <c r="AJ122" s="70" t="s">
        <v>85</v>
      </c>
      <c r="AK122" s="76"/>
      <c r="AN122" s="70" t="s">
        <v>85</v>
      </c>
      <c r="AO122" s="76"/>
      <c r="AR122" s="70" t="s">
        <v>85</v>
      </c>
      <c r="AS122" s="76"/>
      <c r="AV122" s="70" t="s">
        <v>85</v>
      </c>
      <c r="AW122" s="76"/>
    </row>
    <row r="123" spans="4:49" ht="31.5" customHeight="1" x14ac:dyDescent="0.2">
      <c r="D123" s="70" t="s">
        <v>85</v>
      </c>
      <c r="H123" s="70" t="s">
        <v>85</v>
      </c>
      <c r="I123" s="76"/>
      <c r="L123" s="70" t="s">
        <v>85</v>
      </c>
      <c r="M123" s="76"/>
      <c r="P123" s="70" t="s">
        <v>85</v>
      </c>
      <c r="Q123" s="76"/>
      <c r="T123" s="70" t="s">
        <v>85</v>
      </c>
      <c r="U123" s="76"/>
      <c r="X123" s="70" t="s">
        <v>85</v>
      </c>
      <c r="Y123" s="76"/>
      <c r="AB123" s="70" t="s">
        <v>85</v>
      </c>
      <c r="AC123" s="76"/>
      <c r="AF123" s="70" t="s">
        <v>85</v>
      </c>
      <c r="AG123" s="76"/>
      <c r="AJ123" s="70" t="s">
        <v>85</v>
      </c>
      <c r="AK123" s="76"/>
      <c r="AN123" s="70" t="s">
        <v>85</v>
      </c>
      <c r="AO123" s="76"/>
      <c r="AR123" s="70" t="s">
        <v>85</v>
      </c>
      <c r="AS123" s="76"/>
      <c r="AV123" s="70" t="s">
        <v>85</v>
      </c>
      <c r="AW123" s="76"/>
    </row>
    <row r="124" spans="4:49" ht="31.5" customHeight="1" x14ac:dyDescent="0.2">
      <c r="D124" s="70" t="s">
        <v>85</v>
      </c>
      <c r="H124" s="70" t="s">
        <v>85</v>
      </c>
      <c r="I124" s="76"/>
      <c r="L124" s="70" t="s">
        <v>85</v>
      </c>
      <c r="M124" s="76"/>
      <c r="P124" s="70" t="s">
        <v>85</v>
      </c>
      <c r="Q124" s="76"/>
      <c r="T124" s="70" t="s">
        <v>85</v>
      </c>
      <c r="U124" s="76"/>
      <c r="X124" s="70" t="s">
        <v>85</v>
      </c>
      <c r="Y124" s="76"/>
      <c r="AB124" s="70" t="s">
        <v>85</v>
      </c>
      <c r="AC124" s="76"/>
      <c r="AF124" s="70" t="s">
        <v>85</v>
      </c>
      <c r="AG124" s="76"/>
      <c r="AJ124" s="70" t="s">
        <v>85</v>
      </c>
      <c r="AK124" s="76"/>
      <c r="AN124" s="70" t="s">
        <v>85</v>
      </c>
      <c r="AO124" s="76"/>
      <c r="AR124" s="70" t="s">
        <v>85</v>
      </c>
      <c r="AS124" s="76"/>
      <c r="AV124" s="70" t="s">
        <v>85</v>
      </c>
      <c r="AW124" s="76"/>
    </row>
    <row r="125" spans="4:49" ht="31.5" customHeight="1" x14ac:dyDescent="0.2">
      <c r="D125" s="70" t="s">
        <v>85</v>
      </c>
      <c r="H125" s="70" t="s">
        <v>85</v>
      </c>
      <c r="I125" s="76"/>
      <c r="L125" s="70" t="s">
        <v>85</v>
      </c>
      <c r="M125" s="76"/>
      <c r="P125" s="70" t="s">
        <v>85</v>
      </c>
      <c r="Q125" s="76"/>
      <c r="T125" s="70" t="s">
        <v>85</v>
      </c>
      <c r="U125" s="76"/>
      <c r="X125" s="70" t="s">
        <v>85</v>
      </c>
      <c r="Y125" s="76"/>
      <c r="AB125" s="70" t="s">
        <v>85</v>
      </c>
      <c r="AC125" s="76"/>
      <c r="AF125" s="70" t="s">
        <v>85</v>
      </c>
      <c r="AG125" s="76"/>
      <c r="AJ125" s="70" t="s">
        <v>85</v>
      </c>
      <c r="AK125" s="76"/>
      <c r="AN125" s="70" t="s">
        <v>85</v>
      </c>
      <c r="AO125" s="76"/>
      <c r="AR125" s="70" t="s">
        <v>85</v>
      </c>
      <c r="AS125" s="76"/>
      <c r="AV125" s="70" t="s">
        <v>85</v>
      </c>
      <c r="AW125" s="76"/>
    </row>
    <row r="126" spans="4:49" ht="31.5" customHeight="1" x14ac:dyDescent="0.2">
      <c r="D126" s="70" t="s">
        <v>85</v>
      </c>
      <c r="H126" s="70" t="s">
        <v>85</v>
      </c>
      <c r="I126" s="76"/>
      <c r="L126" s="70" t="s">
        <v>85</v>
      </c>
      <c r="M126" s="76"/>
      <c r="P126" s="70" t="s">
        <v>85</v>
      </c>
      <c r="Q126" s="76"/>
      <c r="T126" s="70" t="s">
        <v>85</v>
      </c>
      <c r="U126" s="76"/>
      <c r="X126" s="70" t="s">
        <v>85</v>
      </c>
      <c r="Y126" s="76"/>
      <c r="AB126" s="70" t="s">
        <v>85</v>
      </c>
      <c r="AC126" s="76"/>
      <c r="AF126" s="70" t="s">
        <v>85</v>
      </c>
      <c r="AG126" s="76"/>
      <c r="AJ126" s="70" t="s">
        <v>85</v>
      </c>
      <c r="AK126" s="76"/>
      <c r="AN126" s="70" t="s">
        <v>85</v>
      </c>
      <c r="AO126" s="76"/>
      <c r="AR126" s="70" t="s">
        <v>85</v>
      </c>
      <c r="AS126" s="76"/>
      <c r="AV126" s="70" t="s">
        <v>85</v>
      </c>
      <c r="AW126" s="76"/>
    </row>
    <row r="127" spans="4:49" ht="31.5" customHeight="1" x14ac:dyDescent="0.2">
      <c r="D127" s="70" t="s">
        <v>85</v>
      </c>
      <c r="H127" s="70" t="s">
        <v>85</v>
      </c>
      <c r="I127" s="76"/>
      <c r="L127" s="70" t="s">
        <v>85</v>
      </c>
      <c r="M127" s="76"/>
      <c r="P127" s="70" t="s">
        <v>85</v>
      </c>
      <c r="Q127" s="76"/>
      <c r="T127" s="70" t="s">
        <v>85</v>
      </c>
      <c r="U127" s="76"/>
      <c r="X127" s="70" t="s">
        <v>85</v>
      </c>
      <c r="Y127" s="76"/>
      <c r="AB127" s="70" t="s">
        <v>85</v>
      </c>
      <c r="AC127" s="76"/>
      <c r="AF127" s="70" t="s">
        <v>85</v>
      </c>
      <c r="AG127" s="76"/>
      <c r="AJ127" s="70" t="s">
        <v>85</v>
      </c>
      <c r="AK127" s="76"/>
      <c r="AN127" s="70" t="s">
        <v>85</v>
      </c>
      <c r="AO127" s="76"/>
      <c r="AR127" s="70" t="s">
        <v>85</v>
      </c>
      <c r="AS127" s="76"/>
      <c r="AV127" s="70" t="s">
        <v>85</v>
      </c>
      <c r="AW127" s="76"/>
    </row>
    <row r="128" spans="4:49" ht="31.5" customHeight="1" x14ac:dyDescent="0.2">
      <c r="D128" s="70" t="s">
        <v>85</v>
      </c>
      <c r="H128" s="70" t="s">
        <v>85</v>
      </c>
      <c r="I128" s="76"/>
      <c r="L128" s="70" t="s">
        <v>85</v>
      </c>
      <c r="M128" s="76"/>
      <c r="P128" s="70" t="s">
        <v>85</v>
      </c>
      <c r="Q128" s="76"/>
      <c r="T128" s="70" t="s">
        <v>85</v>
      </c>
      <c r="U128" s="76"/>
      <c r="X128" s="70" t="s">
        <v>85</v>
      </c>
      <c r="Y128" s="76"/>
      <c r="AB128" s="70" t="s">
        <v>85</v>
      </c>
      <c r="AC128" s="76"/>
      <c r="AF128" s="70" t="s">
        <v>85</v>
      </c>
      <c r="AG128" s="76"/>
      <c r="AJ128" s="70" t="s">
        <v>85</v>
      </c>
      <c r="AK128" s="76"/>
      <c r="AN128" s="70" t="s">
        <v>85</v>
      </c>
      <c r="AO128" s="76"/>
      <c r="AR128" s="70" t="s">
        <v>85</v>
      </c>
      <c r="AS128" s="76"/>
      <c r="AV128" s="70" t="s">
        <v>85</v>
      </c>
      <c r="AW128" s="76"/>
    </row>
    <row r="129" spans="4:49" ht="31.5" customHeight="1" x14ac:dyDescent="0.2">
      <c r="D129" s="70" t="s">
        <v>85</v>
      </c>
      <c r="H129" s="70" t="s">
        <v>85</v>
      </c>
      <c r="I129" s="76"/>
      <c r="L129" s="70" t="s">
        <v>85</v>
      </c>
      <c r="M129" s="76"/>
      <c r="P129" s="70" t="s">
        <v>85</v>
      </c>
      <c r="Q129" s="76"/>
      <c r="T129" s="70" t="s">
        <v>85</v>
      </c>
      <c r="U129" s="76"/>
      <c r="X129" s="70" t="s">
        <v>85</v>
      </c>
      <c r="Y129" s="76"/>
      <c r="AB129" s="70" t="s">
        <v>85</v>
      </c>
      <c r="AC129" s="76"/>
      <c r="AF129" s="70" t="s">
        <v>85</v>
      </c>
      <c r="AG129" s="76"/>
      <c r="AJ129" s="70" t="s">
        <v>85</v>
      </c>
      <c r="AK129" s="76"/>
      <c r="AN129" s="70" t="s">
        <v>85</v>
      </c>
      <c r="AO129" s="76"/>
      <c r="AR129" s="70" t="s">
        <v>85</v>
      </c>
      <c r="AS129" s="76"/>
      <c r="AV129" s="70" t="s">
        <v>85</v>
      </c>
      <c r="AW129" s="76"/>
    </row>
    <row r="130" spans="4:49" ht="31.5" customHeight="1" x14ac:dyDescent="0.2">
      <c r="D130" s="70" t="s">
        <v>85</v>
      </c>
      <c r="H130" s="70" t="s">
        <v>85</v>
      </c>
      <c r="I130" s="76"/>
      <c r="L130" s="70" t="s">
        <v>85</v>
      </c>
      <c r="M130" s="76"/>
      <c r="P130" s="70" t="s">
        <v>85</v>
      </c>
      <c r="Q130" s="76"/>
      <c r="T130" s="70" t="s">
        <v>85</v>
      </c>
      <c r="U130" s="76"/>
      <c r="X130" s="70" t="s">
        <v>85</v>
      </c>
      <c r="Y130" s="76"/>
      <c r="AB130" s="70" t="s">
        <v>85</v>
      </c>
      <c r="AC130" s="76"/>
      <c r="AF130" s="70" t="s">
        <v>85</v>
      </c>
      <c r="AG130" s="76"/>
      <c r="AJ130" s="70" t="s">
        <v>85</v>
      </c>
      <c r="AK130" s="76"/>
      <c r="AN130" s="70" t="s">
        <v>85</v>
      </c>
      <c r="AO130" s="76"/>
      <c r="AR130" s="70" t="s">
        <v>85</v>
      </c>
      <c r="AS130" s="76"/>
      <c r="AV130" s="70" t="s">
        <v>85</v>
      </c>
      <c r="AW130" s="76"/>
    </row>
    <row r="131" spans="4:49" ht="31.5" customHeight="1" x14ac:dyDescent="0.2">
      <c r="D131" s="70" t="s">
        <v>85</v>
      </c>
      <c r="H131" s="70" t="s">
        <v>85</v>
      </c>
      <c r="I131" s="76"/>
      <c r="L131" s="70" t="s">
        <v>85</v>
      </c>
      <c r="M131" s="76"/>
      <c r="P131" s="70" t="s">
        <v>85</v>
      </c>
      <c r="Q131" s="76"/>
      <c r="T131" s="70" t="s">
        <v>85</v>
      </c>
      <c r="U131" s="76"/>
      <c r="X131" s="70" t="s">
        <v>85</v>
      </c>
      <c r="Y131" s="76"/>
      <c r="AB131" s="70" t="s">
        <v>85</v>
      </c>
      <c r="AC131" s="76"/>
      <c r="AF131" s="70" t="s">
        <v>85</v>
      </c>
      <c r="AG131" s="76"/>
      <c r="AJ131" s="70" t="s">
        <v>85</v>
      </c>
      <c r="AK131" s="76"/>
      <c r="AN131" s="70" t="s">
        <v>85</v>
      </c>
      <c r="AO131" s="76"/>
      <c r="AR131" s="70" t="s">
        <v>85</v>
      </c>
      <c r="AS131" s="76"/>
      <c r="AV131" s="70" t="s">
        <v>85</v>
      </c>
      <c r="AW131" s="76"/>
    </row>
    <row r="132" spans="4:49" ht="31.5" customHeight="1" x14ac:dyDescent="0.2">
      <c r="D132" s="70" t="s">
        <v>85</v>
      </c>
      <c r="H132" s="70" t="s">
        <v>85</v>
      </c>
      <c r="I132" s="76"/>
      <c r="L132" s="70" t="s">
        <v>85</v>
      </c>
      <c r="M132" s="76"/>
      <c r="P132" s="70" t="s">
        <v>85</v>
      </c>
      <c r="Q132" s="76"/>
      <c r="T132" s="70" t="s">
        <v>85</v>
      </c>
      <c r="U132" s="76"/>
      <c r="X132" s="70" t="s">
        <v>85</v>
      </c>
      <c r="Y132" s="76"/>
      <c r="AB132" s="70" t="s">
        <v>85</v>
      </c>
      <c r="AC132" s="76"/>
      <c r="AF132" s="70" t="s">
        <v>85</v>
      </c>
      <c r="AG132" s="76"/>
      <c r="AJ132" s="70" t="s">
        <v>85</v>
      </c>
      <c r="AK132" s="76"/>
      <c r="AN132" s="70" t="s">
        <v>85</v>
      </c>
      <c r="AO132" s="76"/>
      <c r="AR132" s="70" t="s">
        <v>85</v>
      </c>
      <c r="AS132" s="76"/>
      <c r="AV132" s="70" t="s">
        <v>85</v>
      </c>
      <c r="AW132" s="76"/>
    </row>
    <row r="133" spans="4:49" ht="31.5" customHeight="1" x14ac:dyDescent="0.2">
      <c r="D133" s="70" t="s">
        <v>85</v>
      </c>
      <c r="H133" s="70" t="s">
        <v>85</v>
      </c>
      <c r="I133" s="76"/>
      <c r="L133" s="70" t="s">
        <v>85</v>
      </c>
      <c r="M133" s="76"/>
      <c r="P133" s="70" t="s">
        <v>85</v>
      </c>
      <c r="Q133" s="76"/>
      <c r="T133" s="70" t="s">
        <v>85</v>
      </c>
      <c r="U133" s="76"/>
      <c r="X133" s="70" t="s">
        <v>85</v>
      </c>
      <c r="Y133" s="76"/>
      <c r="AB133" s="70" t="s">
        <v>85</v>
      </c>
      <c r="AC133" s="76"/>
      <c r="AF133" s="70" t="s">
        <v>85</v>
      </c>
      <c r="AG133" s="76"/>
      <c r="AJ133" s="70" t="s">
        <v>85</v>
      </c>
      <c r="AK133" s="76"/>
      <c r="AN133" s="70" t="s">
        <v>85</v>
      </c>
      <c r="AO133" s="76"/>
      <c r="AR133" s="70" t="s">
        <v>85</v>
      </c>
      <c r="AS133" s="76"/>
      <c r="AV133" s="70" t="s">
        <v>85</v>
      </c>
      <c r="AW133" s="76"/>
    </row>
    <row r="134" spans="4:49" ht="31.5" customHeight="1" x14ac:dyDescent="0.2">
      <c r="D134" s="70" t="s">
        <v>85</v>
      </c>
      <c r="H134" s="70" t="s">
        <v>85</v>
      </c>
      <c r="I134" s="76"/>
      <c r="L134" s="70" t="s">
        <v>85</v>
      </c>
      <c r="M134" s="76"/>
      <c r="P134" s="70" t="s">
        <v>85</v>
      </c>
      <c r="Q134" s="76"/>
      <c r="T134" s="70" t="s">
        <v>85</v>
      </c>
      <c r="U134" s="76"/>
      <c r="X134" s="70" t="s">
        <v>85</v>
      </c>
      <c r="Y134" s="76"/>
      <c r="AB134" s="70" t="s">
        <v>85</v>
      </c>
      <c r="AC134" s="76"/>
      <c r="AF134" s="70" t="s">
        <v>85</v>
      </c>
      <c r="AG134" s="76"/>
      <c r="AJ134" s="70" t="s">
        <v>85</v>
      </c>
      <c r="AK134" s="76"/>
      <c r="AN134" s="70" t="s">
        <v>85</v>
      </c>
      <c r="AO134" s="76"/>
      <c r="AR134" s="70" t="s">
        <v>85</v>
      </c>
      <c r="AS134" s="76"/>
      <c r="AV134" s="70" t="s">
        <v>85</v>
      </c>
      <c r="AW134" s="76"/>
    </row>
    <row r="135" spans="4:49" ht="31.5" customHeight="1" x14ac:dyDescent="0.2">
      <c r="D135" s="70" t="s">
        <v>85</v>
      </c>
      <c r="H135" s="70" t="s">
        <v>85</v>
      </c>
      <c r="I135" s="76"/>
      <c r="L135" s="70" t="s">
        <v>85</v>
      </c>
      <c r="M135" s="76"/>
      <c r="P135" s="70" t="s">
        <v>85</v>
      </c>
      <c r="Q135" s="76"/>
      <c r="T135" s="70" t="s">
        <v>85</v>
      </c>
      <c r="U135" s="76"/>
      <c r="X135" s="70" t="s">
        <v>85</v>
      </c>
      <c r="Y135" s="76"/>
      <c r="AB135" s="70" t="s">
        <v>85</v>
      </c>
      <c r="AC135" s="76"/>
      <c r="AF135" s="70" t="s">
        <v>85</v>
      </c>
      <c r="AG135" s="76"/>
      <c r="AJ135" s="70" t="s">
        <v>85</v>
      </c>
      <c r="AK135" s="76"/>
      <c r="AN135" s="70" t="s">
        <v>85</v>
      </c>
      <c r="AO135" s="76"/>
      <c r="AR135" s="70" t="s">
        <v>85</v>
      </c>
      <c r="AS135" s="76"/>
      <c r="AV135" s="70" t="s">
        <v>85</v>
      </c>
      <c r="AW135" s="76"/>
    </row>
    <row r="136" spans="4:49" ht="31.5" customHeight="1" x14ac:dyDescent="0.2">
      <c r="D136" s="70" t="s">
        <v>85</v>
      </c>
      <c r="H136" s="70" t="s">
        <v>85</v>
      </c>
      <c r="I136" s="76"/>
      <c r="L136" s="70" t="s">
        <v>85</v>
      </c>
      <c r="M136" s="76"/>
      <c r="P136" s="70" t="s">
        <v>85</v>
      </c>
      <c r="Q136" s="76"/>
      <c r="T136" s="70" t="s">
        <v>85</v>
      </c>
      <c r="U136" s="76"/>
      <c r="X136" s="70" t="s">
        <v>85</v>
      </c>
      <c r="Y136" s="76"/>
      <c r="AB136" s="70" t="s">
        <v>85</v>
      </c>
      <c r="AC136" s="76"/>
      <c r="AF136" s="70" t="s">
        <v>85</v>
      </c>
      <c r="AG136" s="76"/>
      <c r="AJ136" s="70" t="s">
        <v>85</v>
      </c>
      <c r="AK136" s="76"/>
      <c r="AN136" s="70" t="s">
        <v>85</v>
      </c>
      <c r="AO136" s="76"/>
      <c r="AR136" s="70" t="s">
        <v>85</v>
      </c>
      <c r="AS136" s="76"/>
      <c r="AV136" s="70" t="s">
        <v>85</v>
      </c>
      <c r="AW136" s="76"/>
    </row>
    <row r="137" spans="4:49" ht="31.5" customHeight="1" x14ac:dyDescent="0.2">
      <c r="D137" s="70" t="s">
        <v>85</v>
      </c>
      <c r="H137" s="70" t="s">
        <v>85</v>
      </c>
      <c r="I137" s="76"/>
      <c r="L137" s="70" t="s">
        <v>85</v>
      </c>
      <c r="M137" s="76"/>
      <c r="P137" s="70" t="s">
        <v>85</v>
      </c>
      <c r="Q137" s="76"/>
      <c r="T137" s="70" t="s">
        <v>85</v>
      </c>
      <c r="U137" s="76"/>
      <c r="X137" s="70" t="s">
        <v>85</v>
      </c>
      <c r="Y137" s="76"/>
      <c r="AB137" s="70" t="s">
        <v>85</v>
      </c>
      <c r="AC137" s="76"/>
      <c r="AF137" s="70" t="s">
        <v>85</v>
      </c>
      <c r="AG137" s="76"/>
      <c r="AJ137" s="70" t="s">
        <v>85</v>
      </c>
      <c r="AK137" s="76"/>
      <c r="AN137" s="70" t="s">
        <v>85</v>
      </c>
      <c r="AO137" s="76"/>
      <c r="AR137" s="70" t="s">
        <v>85</v>
      </c>
      <c r="AS137" s="76"/>
      <c r="AV137" s="70" t="s">
        <v>85</v>
      </c>
      <c r="AW137" s="76"/>
    </row>
    <row r="138" spans="4:49" ht="31.5" customHeight="1" x14ac:dyDescent="0.2">
      <c r="D138" s="70" t="s">
        <v>85</v>
      </c>
      <c r="H138" s="70" t="s">
        <v>85</v>
      </c>
      <c r="I138" s="76"/>
      <c r="L138" s="70" t="s">
        <v>85</v>
      </c>
      <c r="M138" s="76"/>
      <c r="P138" s="70" t="s">
        <v>85</v>
      </c>
      <c r="Q138" s="76"/>
      <c r="T138" s="70" t="s">
        <v>85</v>
      </c>
      <c r="U138" s="76"/>
      <c r="X138" s="70" t="s">
        <v>85</v>
      </c>
      <c r="Y138" s="76"/>
      <c r="AB138" s="70" t="s">
        <v>85</v>
      </c>
      <c r="AC138" s="76"/>
      <c r="AF138" s="70" t="s">
        <v>85</v>
      </c>
      <c r="AG138" s="76"/>
      <c r="AJ138" s="70" t="s">
        <v>85</v>
      </c>
      <c r="AK138" s="76"/>
      <c r="AN138" s="70" t="s">
        <v>85</v>
      </c>
      <c r="AO138" s="76"/>
      <c r="AR138" s="70" t="s">
        <v>85</v>
      </c>
      <c r="AS138" s="76"/>
      <c r="AV138" s="70" t="s">
        <v>85</v>
      </c>
      <c r="AW138" s="76"/>
    </row>
    <row r="139" spans="4:49" ht="31.5" customHeight="1" x14ac:dyDescent="0.2">
      <c r="D139" s="70" t="s">
        <v>85</v>
      </c>
      <c r="H139" s="70" t="s">
        <v>85</v>
      </c>
      <c r="I139" s="76"/>
      <c r="L139" s="70" t="s">
        <v>85</v>
      </c>
      <c r="M139" s="76"/>
      <c r="P139" s="70" t="s">
        <v>85</v>
      </c>
      <c r="Q139" s="76"/>
      <c r="T139" s="70" t="s">
        <v>85</v>
      </c>
      <c r="U139" s="76"/>
      <c r="X139" s="70" t="s">
        <v>85</v>
      </c>
      <c r="Y139" s="76"/>
      <c r="AB139" s="70" t="s">
        <v>85</v>
      </c>
      <c r="AC139" s="76"/>
      <c r="AF139" s="70" t="s">
        <v>85</v>
      </c>
      <c r="AG139" s="76"/>
      <c r="AJ139" s="70" t="s">
        <v>85</v>
      </c>
      <c r="AK139" s="76"/>
      <c r="AN139" s="70" t="s">
        <v>85</v>
      </c>
      <c r="AO139" s="76"/>
      <c r="AR139" s="70" t="s">
        <v>85</v>
      </c>
      <c r="AS139" s="76"/>
      <c r="AV139" s="70" t="s">
        <v>85</v>
      </c>
      <c r="AW139" s="76"/>
    </row>
    <row r="140" spans="4:49" ht="31.5" customHeight="1" x14ac:dyDescent="0.2">
      <c r="D140" s="70" t="s">
        <v>85</v>
      </c>
      <c r="H140" s="70" t="s">
        <v>85</v>
      </c>
      <c r="I140" s="76"/>
      <c r="L140" s="70" t="s">
        <v>85</v>
      </c>
      <c r="M140" s="76"/>
      <c r="P140" s="70" t="s">
        <v>85</v>
      </c>
      <c r="Q140" s="76"/>
      <c r="T140" s="70" t="s">
        <v>85</v>
      </c>
      <c r="U140" s="76"/>
      <c r="X140" s="70" t="s">
        <v>85</v>
      </c>
      <c r="Y140" s="76"/>
      <c r="AB140" s="70" t="s">
        <v>85</v>
      </c>
      <c r="AC140" s="76"/>
      <c r="AF140" s="70" t="s">
        <v>85</v>
      </c>
      <c r="AG140" s="76"/>
      <c r="AJ140" s="70" t="s">
        <v>85</v>
      </c>
      <c r="AK140" s="76"/>
      <c r="AN140" s="70" t="s">
        <v>85</v>
      </c>
      <c r="AO140" s="76"/>
      <c r="AR140" s="70" t="s">
        <v>85</v>
      </c>
      <c r="AS140" s="76"/>
      <c r="AV140" s="70" t="s">
        <v>85</v>
      </c>
      <c r="AW140" s="76"/>
    </row>
    <row r="141" spans="4:49" ht="31.5" customHeight="1" x14ac:dyDescent="0.2">
      <c r="D141" s="70" t="s">
        <v>85</v>
      </c>
      <c r="H141" s="70" t="s">
        <v>85</v>
      </c>
      <c r="I141" s="76"/>
      <c r="L141" s="70" t="s">
        <v>85</v>
      </c>
      <c r="M141" s="76"/>
      <c r="P141" s="70" t="s">
        <v>85</v>
      </c>
      <c r="Q141" s="76"/>
      <c r="T141" s="70" t="s">
        <v>85</v>
      </c>
      <c r="U141" s="76"/>
      <c r="X141" s="70" t="s">
        <v>85</v>
      </c>
      <c r="Y141" s="76"/>
      <c r="AB141" s="70" t="s">
        <v>85</v>
      </c>
      <c r="AC141" s="76"/>
      <c r="AF141" s="70" t="s">
        <v>85</v>
      </c>
      <c r="AG141" s="76"/>
      <c r="AJ141" s="70" t="s">
        <v>85</v>
      </c>
      <c r="AK141" s="76"/>
      <c r="AN141" s="70" t="s">
        <v>85</v>
      </c>
      <c r="AO141" s="76"/>
      <c r="AR141" s="70" t="s">
        <v>85</v>
      </c>
      <c r="AS141" s="76"/>
      <c r="AV141" s="70" t="s">
        <v>85</v>
      </c>
      <c r="AW141" s="76"/>
    </row>
    <row r="142" spans="4:49" ht="31.5" customHeight="1" x14ac:dyDescent="0.2">
      <c r="D142" s="70" t="s">
        <v>85</v>
      </c>
      <c r="H142" s="70" t="s">
        <v>85</v>
      </c>
      <c r="I142" s="76"/>
      <c r="L142" s="70" t="s">
        <v>85</v>
      </c>
      <c r="M142" s="76"/>
      <c r="P142" s="70" t="s">
        <v>85</v>
      </c>
      <c r="Q142" s="76"/>
      <c r="T142" s="70" t="s">
        <v>85</v>
      </c>
      <c r="U142" s="76"/>
      <c r="X142" s="70" t="s">
        <v>85</v>
      </c>
      <c r="Y142" s="76"/>
      <c r="AB142" s="70" t="s">
        <v>85</v>
      </c>
      <c r="AC142" s="76"/>
      <c r="AF142" s="70" t="s">
        <v>85</v>
      </c>
      <c r="AG142" s="76"/>
      <c r="AJ142" s="70" t="s">
        <v>85</v>
      </c>
      <c r="AK142" s="76"/>
      <c r="AN142" s="70" t="s">
        <v>85</v>
      </c>
      <c r="AO142" s="76"/>
      <c r="AR142" s="70" t="s">
        <v>85</v>
      </c>
      <c r="AS142" s="76"/>
      <c r="AV142" s="70" t="s">
        <v>85</v>
      </c>
      <c r="AW142" s="76"/>
    </row>
    <row r="143" spans="4:49" ht="31.5" customHeight="1" x14ac:dyDescent="0.2">
      <c r="D143" s="70" t="s">
        <v>85</v>
      </c>
      <c r="H143" s="70" t="s">
        <v>85</v>
      </c>
      <c r="I143" s="76"/>
      <c r="L143" s="70" t="s">
        <v>85</v>
      </c>
      <c r="M143" s="76"/>
      <c r="P143" s="70" t="s">
        <v>85</v>
      </c>
      <c r="Q143" s="76"/>
      <c r="T143" s="70" t="s">
        <v>85</v>
      </c>
      <c r="U143" s="76"/>
      <c r="X143" s="70" t="s">
        <v>85</v>
      </c>
      <c r="Y143" s="76"/>
      <c r="AB143" s="70" t="s">
        <v>85</v>
      </c>
      <c r="AC143" s="76"/>
      <c r="AF143" s="70" t="s">
        <v>85</v>
      </c>
      <c r="AG143" s="76"/>
      <c r="AJ143" s="70" t="s">
        <v>85</v>
      </c>
      <c r="AK143" s="76"/>
      <c r="AN143" s="70" t="s">
        <v>85</v>
      </c>
      <c r="AO143" s="76"/>
      <c r="AR143" s="70" t="s">
        <v>85</v>
      </c>
      <c r="AS143" s="76"/>
      <c r="AV143" s="70" t="s">
        <v>85</v>
      </c>
      <c r="AW143" s="76"/>
    </row>
    <row r="144" spans="4:49" ht="31.5" customHeight="1" x14ac:dyDescent="0.2">
      <c r="D144" s="70" t="s">
        <v>85</v>
      </c>
      <c r="H144" s="70" t="s">
        <v>85</v>
      </c>
      <c r="I144" s="76"/>
      <c r="L144" s="70" t="s">
        <v>85</v>
      </c>
      <c r="M144" s="76"/>
      <c r="P144" s="70" t="s">
        <v>85</v>
      </c>
      <c r="Q144" s="76"/>
      <c r="T144" s="70" t="s">
        <v>85</v>
      </c>
      <c r="U144" s="76"/>
      <c r="X144" s="70" t="s">
        <v>85</v>
      </c>
      <c r="Y144" s="76"/>
      <c r="AB144" s="70" t="s">
        <v>85</v>
      </c>
      <c r="AC144" s="76"/>
      <c r="AF144" s="70" t="s">
        <v>85</v>
      </c>
      <c r="AG144" s="76"/>
      <c r="AJ144" s="70" t="s">
        <v>85</v>
      </c>
      <c r="AK144" s="76"/>
      <c r="AN144" s="70" t="s">
        <v>85</v>
      </c>
      <c r="AO144" s="76"/>
      <c r="AR144" s="70" t="s">
        <v>85</v>
      </c>
      <c r="AS144" s="76"/>
      <c r="AV144" s="70" t="s">
        <v>85</v>
      </c>
      <c r="AW144" s="76"/>
    </row>
    <row r="145" spans="4:49" ht="31.5" customHeight="1" x14ac:dyDescent="0.2">
      <c r="D145" s="70" t="s">
        <v>85</v>
      </c>
      <c r="H145" s="70" t="s">
        <v>85</v>
      </c>
      <c r="I145" s="76"/>
      <c r="L145" s="70" t="s">
        <v>85</v>
      </c>
      <c r="M145" s="76"/>
      <c r="P145" s="70" t="s">
        <v>85</v>
      </c>
      <c r="Q145" s="76"/>
      <c r="T145" s="70" t="s">
        <v>85</v>
      </c>
      <c r="U145" s="76"/>
      <c r="X145" s="70" t="s">
        <v>85</v>
      </c>
      <c r="Y145" s="76"/>
      <c r="AB145" s="70" t="s">
        <v>85</v>
      </c>
      <c r="AC145" s="76"/>
      <c r="AF145" s="70" t="s">
        <v>85</v>
      </c>
      <c r="AG145" s="76"/>
      <c r="AJ145" s="70" t="s">
        <v>85</v>
      </c>
      <c r="AK145" s="76"/>
      <c r="AN145" s="70" t="s">
        <v>85</v>
      </c>
      <c r="AO145" s="76"/>
      <c r="AR145" s="70" t="s">
        <v>85</v>
      </c>
      <c r="AS145" s="76"/>
      <c r="AV145" s="70" t="s">
        <v>85</v>
      </c>
      <c r="AW145" s="76"/>
    </row>
    <row r="146" spans="4:49" ht="31.5" customHeight="1" x14ac:dyDescent="0.2">
      <c r="D146" s="70" t="s">
        <v>85</v>
      </c>
      <c r="H146" s="70" t="s">
        <v>85</v>
      </c>
      <c r="I146" s="76"/>
      <c r="L146" s="70" t="s">
        <v>85</v>
      </c>
      <c r="M146" s="76"/>
      <c r="P146" s="70" t="s">
        <v>85</v>
      </c>
      <c r="Q146" s="76"/>
      <c r="T146" s="70" t="s">
        <v>85</v>
      </c>
      <c r="U146" s="76"/>
      <c r="X146" s="70" t="s">
        <v>85</v>
      </c>
      <c r="Y146" s="76"/>
      <c r="AB146" s="70" t="s">
        <v>85</v>
      </c>
      <c r="AC146" s="76"/>
      <c r="AF146" s="70" t="s">
        <v>85</v>
      </c>
      <c r="AG146" s="76"/>
      <c r="AJ146" s="70" t="s">
        <v>85</v>
      </c>
      <c r="AK146" s="76"/>
      <c r="AN146" s="70" t="s">
        <v>85</v>
      </c>
      <c r="AO146" s="76"/>
      <c r="AR146" s="70" t="s">
        <v>85</v>
      </c>
      <c r="AS146" s="76"/>
      <c r="AV146" s="70" t="s">
        <v>85</v>
      </c>
      <c r="AW146" s="76"/>
    </row>
    <row r="147" spans="4:49" ht="31.5" customHeight="1" x14ac:dyDescent="0.2">
      <c r="D147" s="70" t="s">
        <v>85</v>
      </c>
      <c r="H147" s="70" t="s">
        <v>85</v>
      </c>
      <c r="I147" s="76"/>
      <c r="L147" s="70" t="s">
        <v>85</v>
      </c>
      <c r="M147" s="76"/>
      <c r="P147" s="70" t="s">
        <v>85</v>
      </c>
      <c r="Q147" s="76"/>
      <c r="T147" s="70" t="s">
        <v>85</v>
      </c>
      <c r="U147" s="76"/>
      <c r="X147" s="70" t="s">
        <v>85</v>
      </c>
      <c r="Y147" s="76"/>
      <c r="AB147" s="70" t="s">
        <v>85</v>
      </c>
      <c r="AC147" s="76"/>
      <c r="AF147" s="70" t="s">
        <v>85</v>
      </c>
      <c r="AG147" s="76"/>
      <c r="AJ147" s="70" t="s">
        <v>85</v>
      </c>
      <c r="AK147" s="76"/>
      <c r="AN147" s="70" t="s">
        <v>85</v>
      </c>
      <c r="AO147" s="76"/>
      <c r="AR147" s="70" t="s">
        <v>85</v>
      </c>
      <c r="AS147" s="76"/>
      <c r="AV147" s="70" t="s">
        <v>85</v>
      </c>
      <c r="AW147" s="76"/>
    </row>
    <row r="148" spans="4:49" ht="31.5" customHeight="1" x14ac:dyDescent="0.2">
      <c r="D148" s="70" t="s">
        <v>85</v>
      </c>
      <c r="H148" s="70" t="s">
        <v>85</v>
      </c>
      <c r="I148" s="76"/>
      <c r="L148" s="70" t="s">
        <v>85</v>
      </c>
      <c r="M148" s="76"/>
      <c r="P148" s="70" t="s">
        <v>85</v>
      </c>
      <c r="Q148" s="76"/>
      <c r="T148" s="70" t="s">
        <v>85</v>
      </c>
      <c r="U148" s="76"/>
      <c r="X148" s="70" t="s">
        <v>85</v>
      </c>
      <c r="Y148" s="76"/>
      <c r="AB148" s="70" t="s">
        <v>85</v>
      </c>
      <c r="AC148" s="76"/>
      <c r="AF148" s="70" t="s">
        <v>85</v>
      </c>
      <c r="AG148" s="76"/>
      <c r="AJ148" s="70" t="s">
        <v>85</v>
      </c>
      <c r="AK148" s="76"/>
      <c r="AN148" s="70" t="s">
        <v>85</v>
      </c>
      <c r="AO148" s="76"/>
      <c r="AR148" s="70" t="s">
        <v>85</v>
      </c>
      <c r="AS148" s="76"/>
      <c r="AV148" s="70" t="s">
        <v>85</v>
      </c>
      <c r="AW148" s="76"/>
    </row>
    <row r="149" spans="4:49" ht="31.5" customHeight="1" x14ac:dyDescent="0.2">
      <c r="D149" s="70" t="s">
        <v>85</v>
      </c>
      <c r="H149" s="70" t="s">
        <v>85</v>
      </c>
      <c r="I149" s="76"/>
      <c r="L149" s="70" t="s">
        <v>85</v>
      </c>
      <c r="M149" s="76"/>
      <c r="P149" s="70" t="s">
        <v>85</v>
      </c>
      <c r="Q149" s="76"/>
      <c r="T149" s="70" t="s">
        <v>85</v>
      </c>
      <c r="U149" s="76"/>
      <c r="X149" s="70" t="s">
        <v>85</v>
      </c>
      <c r="Y149" s="76"/>
      <c r="AB149" s="70" t="s">
        <v>85</v>
      </c>
      <c r="AC149" s="76"/>
      <c r="AF149" s="70" t="s">
        <v>85</v>
      </c>
      <c r="AG149" s="76"/>
      <c r="AJ149" s="70" t="s">
        <v>85</v>
      </c>
      <c r="AK149" s="76"/>
      <c r="AN149" s="70" t="s">
        <v>85</v>
      </c>
      <c r="AO149" s="76"/>
      <c r="AR149" s="70" t="s">
        <v>85</v>
      </c>
      <c r="AS149" s="76"/>
      <c r="AV149" s="70" t="s">
        <v>85</v>
      </c>
      <c r="AW149" s="76"/>
    </row>
    <row r="150" spans="4:49" ht="31.5" customHeight="1" x14ac:dyDescent="0.2">
      <c r="D150" s="70" t="s">
        <v>85</v>
      </c>
      <c r="H150" s="70" t="s">
        <v>85</v>
      </c>
      <c r="I150" s="76"/>
      <c r="L150" s="70" t="s">
        <v>85</v>
      </c>
      <c r="M150" s="76"/>
      <c r="P150" s="70" t="s">
        <v>85</v>
      </c>
      <c r="Q150" s="76"/>
      <c r="T150" s="70" t="s">
        <v>85</v>
      </c>
      <c r="U150" s="76"/>
      <c r="X150" s="70" t="s">
        <v>85</v>
      </c>
      <c r="Y150" s="76"/>
      <c r="AB150" s="70" t="s">
        <v>85</v>
      </c>
      <c r="AC150" s="76"/>
      <c r="AF150" s="70" t="s">
        <v>85</v>
      </c>
      <c r="AG150" s="76"/>
      <c r="AJ150" s="70" t="s">
        <v>85</v>
      </c>
      <c r="AK150" s="76"/>
      <c r="AN150" s="70" t="s">
        <v>85</v>
      </c>
      <c r="AO150" s="76"/>
      <c r="AR150" s="70" t="s">
        <v>85</v>
      </c>
      <c r="AS150" s="76"/>
      <c r="AV150" s="70" t="s">
        <v>85</v>
      </c>
      <c r="AW150" s="76"/>
    </row>
    <row r="151" spans="4:49" ht="31.5" customHeight="1" x14ac:dyDescent="0.2">
      <c r="D151" s="70" t="s">
        <v>85</v>
      </c>
      <c r="H151" s="70" t="s">
        <v>85</v>
      </c>
      <c r="I151" s="76"/>
      <c r="L151" s="70" t="s">
        <v>85</v>
      </c>
      <c r="M151" s="76"/>
      <c r="P151" s="70" t="s">
        <v>85</v>
      </c>
      <c r="Q151" s="76"/>
      <c r="T151" s="70" t="s">
        <v>85</v>
      </c>
      <c r="U151" s="76"/>
      <c r="X151" s="70" t="s">
        <v>85</v>
      </c>
      <c r="Y151" s="76"/>
      <c r="AB151" s="70" t="s">
        <v>85</v>
      </c>
      <c r="AC151" s="76"/>
      <c r="AF151" s="70" t="s">
        <v>85</v>
      </c>
      <c r="AG151" s="76"/>
      <c r="AJ151" s="70" t="s">
        <v>85</v>
      </c>
      <c r="AK151" s="76"/>
      <c r="AN151" s="70" t="s">
        <v>85</v>
      </c>
      <c r="AO151" s="76"/>
      <c r="AR151" s="70" t="s">
        <v>85</v>
      </c>
      <c r="AS151" s="76"/>
      <c r="AV151" s="70" t="s">
        <v>85</v>
      </c>
      <c r="AW151" s="76"/>
    </row>
    <row r="152" spans="4:49" ht="31.5" customHeight="1" x14ac:dyDescent="0.2">
      <c r="D152" s="70" t="s">
        <v>85</v>
      </c>
      <c r="H152" s="70" t="s">
        <v>85</v>
      </c>
      <c r="I152" s="76"/>
      <c r="L152" s="70" t="s">
        <v>85</v>
      </c>
      <c r="M152" s="76"/>
      <c r="P152" s="70" t="s">
        <v>85</v>
      </c>
      <c r="Q152" s="76"/>
      <c r="T152" s="70" t="s">
        <v>85</v>
      </c>
      <c r="U152" s="76"/>
      <c r="X152" s="70" t="s">
        <v>85</v>
      </c>
      <c r="Y152" s="76"/>
      <c r="AB152" s="70" t="s">
        <v>85</v>
      </c>
      <c r="AC152" s="76"/>
      <c r="AF152" s="70" t="s">
        <v>85</v>
      </c>
      <c r="AG152" s="76"/>
      <c r="AJ152" s="70" t="s">
        <v>85</v>
      </c>
      <c r="AK152" s="76"/>
      <c r="AN152" s="70" t="s">
        <v>85</v>
      </c>
      <c r="AO152" s="76"/>
      <c r="AR152" s="70" t="s">
        <v>85</v>
      </c>
      <c r="AS152" s="76"/>
      <c r="AV152" s="70" t="s">
        <v>85</v>
      </c>
      <c r="AW152" s="76"/>
    </row>
    <row r="153" spans="4:49" ht="31.5" customHeight="1" x14ac:dyDescent="0.2">
      <c r="D153" s="70" t="s">
        <v>85</v>
      </c>
      <c r="H153" s="70" t="s">
        <v>85</v>
      </c>
      <c r="I153" s="76"/>
      <c r="L153" s="70" t="s">
        <v>85</v>
      </c>
      <c r="M153" s="76"/>
      <c r="P153" s="70" t="s">
        <v>85</v>
      </c>
      <c r="Q153" s="76"/>
      <c r="T153" s="70" t="s">
        <v>85</v>
      </c>
      <c r="U153" s="76"/>
      <c r="X153" s="70" t="s">
        <v>85</v>
      </c>
      <c r="Y153" s="76"/>
      <c r="AB153" s="70" t="s">
        <v>85</v>
      </c>
      <c r="AC153" s="76"/>
      <c r="AF153" s="70" t="s">
        <v>85</v>
      </c>
      <c r="AG153" s="76"/>
      <c r="AJ153" s="70" t="s">
        <v>85</v>
      </c>
      <c r="AK153" s="76"/>
      <c r="AN153" s="70" t="s">
        <v>85</v>
      </c>
      <c r="AO153" s="76"/>
      <c r="AR153" s="70" t="s">
        <v>85</v>
      </c>
      <c r="AS153" s="76"/>
      <c r="AV153" s="70" t="s">
        <v>85</v>
      </c>
      <c r="AW153" s="76"/>
    </row>
    <row r="154" spans="4:49" ht="31.5" customHeight="1" x14ac:dyDescent="0.2">
      <c r="D154" s="70" t="s">
        <v>85</v>
      </c>
      <c r="H154" s="70" t="s">
        <v>85</v>
      </c>
      <c r="I154" s="76"/>
      <c r="L154" s="70" t="s">
        <v>85</v>
      </c>
      <c r="M154" s="76"/>
      <c r="P154" s="70" t="s">
        <v>85</v>
      </c>
      <c r="Q154" s="76"/>
      <c r="T154" s="70" t="s">
        <v>85</v>
      </c>
      <c r="U154" s="76"/>
      <c r="X154" s="70" t="s">
        <v>85</v>
      </c>
      <c r="Y154" s="76"/>
      <c r="AB154" s="70" t="s">
        <v>85</v>
      </c>
      <c r="AC154" s="76"/>
      <c r="AF154" s="70" t="s">
        <v>85</v>
      </c>
      <c r="AG154" s="76"/>
      <c r="AJ154" s="70" t="s">
        <v>85</v>
      </c>
      <c r="AK154" s="76"/>
      <c r="AN154" s="70" t="s">
        <v>85</v>
      </c>
      <c r="AO154" s="76"/>
      <c r="AR154" s="70" t="s">
        <v>85</v>
      </c>
      <c r="AS154" s="76"/>
      <c r="AV154" s="70" t="s">
        <v>85</v>
      </c>
      <c r="AW154" s="76"/>
    </row>
    <row r="155" spans="4:49" ht="31.5" customHeight="1" x14ac:dyDescent="0.2">
      <c r="D155" s="70" t="s">
        <v>85</v>
      </c>
      <c r="H155" s="70" t="s">
        <v>85</v>
      </c>
      <c r="I155" s="76"/>
      <c r="L155" s="70" t="s">
        <v>85</v>
      </c>
      <c r="M155" s="76"/>
      <c r="P155" s="70" t="s">
        <v>85</v>
      </c>
      <c r="Q155" s="76"/>
      <c r="T155" s="70" t="s">
        <v>85</v>
      </c>
      <c r="U155" s="76"/>
      <c r="X155" s="70" t="s">
        <v>85</v>
      </c>
      <c r="Y155" s="76"/>
      <c r="AB155" s="70" t="s">
        <v>85</v>
      </c>
      <c r="AC155" s="76"/>
      <c r="AF155" s="70" t="s">
        <v>85</v>
      </c>
      <c r="AG155" s="76"/>
      <c r="AJ155" s="70" t="s">
        <v>85</v>
      </c>
      <c r="AK155" s="76"/>
      <c r="AN155" s="70" t="s">
        <v>85</v>
      </c>
      <c r="AO155" s="76"/>
      <c r="AR155" s="70" t="s">
        <v>85</v>
      </c>
      <c r="AS155" s="76"/>
      <c r="AV155" s="70" t="s">
        <v>85</v>
      </c>
      <c r="AW155" s="76"/>
    </row>
    <row r="156" spans="4:49" ht="31.5" customHeight="1" x14ac:dyDescent="0.2">
      <c r="D156" s="70" t="s">
        <v>85</v>
      </c>
      <c r="H156" s="70" t="s">
        <v>85</v>
      </c>
      <c r="I156" s="76"/>
      <c r="L156" s="70" t="s">
        <v>85</v>
      </c>
      <c r="M156" s="76"/>
      <c r="P156" s="70" t="s">
        <v>85</v>
      </c>
      <c r="Q156" s="76"/>
      <c r="T156" s="70" t="s">
        <v>85</v>
      </c>
      <c r="U156" s="76"/>
      <c r="X156" s="70" t="s">
        <v>85</v>
      </c>
      <c r="Y156" s="76"/>
      <c r="AB156" s="70" t="s">
        <v>85</v>
      </c>
      <c r="AC156" s="76"/>
      <c r="AF156" s="70" t="s">
        <v>85</v>
      </c>
      <c r="AG156" s="76"/>
      <c r="AJ156" s="70" t="s">
        <v>85</v>
      </c>
      <c r="AK156" s="76"/>
      <c r="AN156" s="70" t="s">
        <v>85</v>
      </c>
      <c r="AO156" s="76"/>
      <c r="AR156" s="70" t="s">
        <v>85</v>
      </c>
      <c r="AS156" s="76"/>
      <c r="AV156" s="70" t="s">
        <v>85</v>
      </c>
      <c r="AW156" s="76"/>
    </row>
    <row r="157" spans="4:49" ht="31.5" customHeight="1" x14ac:dyDescent="0.2">
      <c r="D157" s="70" t="s">
        <v>85</v>
      </c>
      <c r="H157" s="70" t="s">
        <v>85</v>
      </c>
      <c r="I157" s="76"/>
      <c r="L157" s="70" t="s">
        <v>85</v>
      </c>
      <c r="M157" s="76"/>
      <c r="P157" s="70" t="s">
        <v>85</v>
      </c>
      <c r="Q157" s="76"/>
      <c r="T157" s="70" t="s">
        <v>85</v>
      </c>
      <c r="U157" s="76"/>
      <c r="X157" s="70" t="s">
        <v>85</v>
      </c>
      <c r="Y157" s="76"/>
      <c r="AB157" s="70" t="s">
        <v>85</v>
      </c>
      <c r="AC157" s="76"/>
      <c r="AF157" s="70" t="s">
        <v>85</v>
      </c>
      <c r="AG157" s="76"/>
      <c r="AJ157" s="70" t="s">
        <v>85</v>
      </c>
      <c r="AK157" s="76"/>
      <c r="AN157" s="70" t="s">
        <v>85</v>
      </c>
      <c r="AO157" s="76"/>
      <c r="AR157" s="70" t="s">
        <v>85</v>
      </c>
      <c r="AS157" s="76"/>
      <c r="AV157" s="70" t="s">
        <v>85</v>
      </c>
      <c r="AW157" s="76"/>
    </row>
    <row r="158" spans="4:49" ht="31.5" customHeight="1" x14ac:dyDescent="0.2">
      <c r="D158" s="70" t="s">
        <v>85</v>
      </c>
      <c r="H158" s="70" t="s">
        <v>85</v>
      </c>
      <c r="I158" s="76"/>
      <c r="L158" s="70" t="s">
        <v>85</v>
      </c>
      <c r="M158" s="76"/>
      <c r="P158" s="70" t="s">
        <v>85</v>
      </c>
      <c r="Q158" s="76"/>
      <c r="T158" s="70" t="s">
        <v>85</v>
      </c>
      <c r="U158" s="76"/>
      <c r="X158" s="70" t="s">
        <v>85</v>
      </c>
      <c r="Y158" s="76"/>
      <c r="AB158" s="70" t="s">
        <v>85</v>
      </c>
      <c r="AC158" s="76"/>
      <c r="AF158" s="70" t="s">
        <v>85</v>
      </c>
      <c r="AG158" s="76"/>
      <c r="AJ158" s="70" t="s">
        <v>85</v>
      </c>
      <c r="AK158" s="76"/>
      <c r="AN158" s="70" t="s">
        <v>85</v>
      </c>
      <c r="AO158" s="76"/>
      <c r="AR158" s="70" t="s">
        <v>85</v>
      </c>
      <c r="AS158" s="76"/>
      <c r="AV158" s="70" t="s">
        <v>85</v>
      </c>
      <c r="AW158" s="76"/>
    </row>
    <row r="159" spans="4:49" ht="31.5" customHeight="1" x14ac:dyDescent="0.2">
      <c r="D159" s="70" t="s">
        <v>85</v>
      </c>
      <c r="H159" s="70" t="s">
        <v>85</v>
      </c>
      <c r="I159" s="76"/>
      <c r="L159" s="70" t="s">
        <v>85</v>
      </c>
      <c r="M159" s="76"/>
      <c r="P159" s="70" t="s">
        <v>85</v>
      </c>
      <c r="Q159" s="76"/>
      <c r="T159" s="70" t="s">
        <v>85</v>
      </c>
      <c r="U159" s="76"/>
      <c r="X159" s="70" t="s">
        <v>85</v>
      </c>
      <c r="Y159" s="76"/>
      <c r="AB159" s="70" t="s">
        <v>85</v>
      </c>
      <c r="AC159" s="76"/>
      <c r="AF159" s="70" t="s">
        <v>85</v>
      </c>
      <c r="AG159" s="76"/>
      <c r="AJ159" s="70" t="s">
        <v>85</v>
      </c>
      <c r="AK159" s="76"/>
      <c r="AN159" s="70" t="s">
        <v>85</v>
      </c>
      <c r="AO159" s="76"/>
      <c r="AR159" s="70" t="s">
        <v>85</v>
      </c>
      <c r="AS159" s="76"/>
      <c r="AV159" s="70" t="s">
        <v>85</v>
      </c>
      <c r="AW159" s="76"/>
    </row>
    <row r="160" spans="4:49" ht="31.5" customHeight="1" x14ac:dyDescent="0.2">
      <c r="D160" s="70" t="s">
        <v>85</v>
      </c>
      <c r="H160" s="70" t="s">
        <v>85</v>
      </c>
      <c r="I160" s="76"/>
      <c r="L160" s="70" t="s">
        <v>85</v>
      </c>
      <c r="M160" s="76"/>
      <c r="P160" s="70" t="s">
        <v>85</v>
      </c>
      <c r="Q160" s="76"/>
      <c r="T160" s="70" t="s">
        <v>85</v>
      </c>
      <c r="U160" s="76"/>
      <c r="X160" s="70" t="s">
        <v>85</v>
      </c>
      <c r="Y160" s="76"/>
      <c r="AB160" s="70" t="s">
        <v>85</v>
      </c>
      <c r="AC160" s="76"/>
      <c r="AF160" s="70" t="s">
        <v>85</v>
      </c>
      <c r="AG160" s="76"/>
      <c r="AJ160" s="70" t="s">
        <v>85</v>
      </c>
      <c r="AK160" s="76"/>
      <c r="AN160" s="70" t="s">
        <v>85</v>
      </c>
      <c r="AO160" s="76"/>
      <c r="AR160" s="70" t="s">
        <v>85</v>
      </c>
      <c r="AS160" s="76"/>
      <c r="AV160" s="70" t="s">
        <v>85</v>
      </c>
      <c r="AW160" s="76"/>
    </row>
    <row r="161" spans="4:49" ht="31.5" customHeight="1" x14ac:dyDescent="0.2">
      <c r="D161" s="70" t="s">
        <v>85</v>
      </c>
      <c r="H161" s="70" t="s">
        <v>85</v>
      </c>
      <c r="I161" s="76"/>
      <c r="L161" s="70" t="s">
        <v>85</v>
      </c>
      <c r="M161" s="76"/>
      <c r="P161" s="70" t="s">
        <v>85</v>
      </c>
      <c r="Q161" s="76"/>
      <c r="T161" s="70" t="s">
        <v>85</v>
      </c>
      <c r="U161" s="76"/>
      <c r="X161" s="70" t="s">
        <v>85</v>
      </c>
      <c r="Y161" s="76"/>
      <c r="AB161" s="70" t="s">
        <v>85</v>
      </c>
      <c r="AC161" s="76"/>
      <c r="AF161" s="70" t="s">
        <v>85</v>
      </c>
      <c r="AG161" s="76"/>
      <c r="AJ161" s="70" t="s">
        <v>85</v>
      </c>
      <c r="AK161" s="76"/>
      <c r="AN161" s="70" t="s">
        <v>85</v>
      </c>
      <c r="AO161" s="76"/>
      <c r="AR161" s="70" t="s">
        <v>85</v>
      </c>
      <c r="AS161" s="76"/>
      <c r="AV161" s="70" t="s">
        <v>85</v>
      </c>
      <c r="AW161" s="76"/>
    </row>
    <row r="162" spans="4:49" ht="31.5" customHeight="1" x14ac:dyDescent="0.2">
      <c r="D162" s="70" t="s">
        <v>85</v>
      </c>
      <c r="H162" s="70" t="s">
        <v>85</v>
      </c>
      <c r="I162" s="76"/>
      <c r="L162" s="70" t="s">
        <v>85</v>
      </c>
      <c r="M162" s="76"/>
      <c r="P162" s="70" t="s">
        <v>85</v>
      </c>
      <c r="Q162" s="76"/>
      <c r="T162" s="70" t="s">
        <v>85</v>
      </c>
      <c r="U162" s="76"/>
      <c r="X162" s="70" t="s">
        <v>85</v>
      </c>
      <c r="Y162" s="76"/>
      <c r="AB162" s="70" t="s">
        <v>85</v>
      </c>
      <c r="AC162" s="76"/>
      <c r="AF162" s="70" t="s">
        <v>85</v>
      </c>
      <c r="AG162" s="76"/>
      <c r="AJ162" s="70" t="s">
        <v>85</v>
      </c>
      <c r="AK162" s="76"/>
      <c r="AN162" s="70" t="s">
        <v>85</v>
      </c>
      <c r="AO162" s="76"/>
      <c r="AR162" s="70" t="s">
        <v>85</v>
      </c>
      <c r="AS162" s="76"/>
      <c r="AV162" s="70" t="s">
        <v>85</v>
      </c>
      <c r="AW162" s="76"/>
    </row>
    <row r="163" spans="4:49" ht="31.5" customHeight="1" x14ac:dyDescent="0.2">
      <c r="D163" s="70" t="s">
        <v>85</v>
      </c>
      <c r="H163" s="70" t="s">
        <v>85</v>
      </c>
      <c r="I163" s="76"/>
      <c r="L163" s="70" t="s">
        <v>85</v>
      </c>
      <c r="M163" s="76"/>
      <c r="P163" s="70" t="s">
        <v>85</v>
      </c>
      <c r="Q163" s="76"/>
      <c r="T163" s="70" t="s">
        <v>85</v>
      </c>
      <c r="U163" s="76"/>
      <c r="X163" s="70" t="s">
        <v>85</v>
      </c>
      <c r="Y163" s="76"/>
      <c r="AB163" s="70" t="s">
        <v>85</v>
      </c>
      <c r="AC163" s="76"/>
      <c r="AF163" s="70" t="s">
        <v>85</v>
      </c>
      <c r="AG163" s="76"/>
      <c r="AJ163" s="70" t="s">
        <v>85</v>
      </c>
      <c r="AK163" s="76"/>
      <c r="AN163" s="70" t="s">
        <v>85</v>
      </c>
      <c r="AO163" s="76"/>
      <c r="AR163" s="70" t="s">
        <v>85</v>
      </c>
      <c r="AS163" s="76"/>
      <c r="AV163" s="70" t="s">
        <v>85</v>
      </c>
      <c r="AW163" s="76"/>
    </row>
    <row r="164" spans="4:49" ht="31.5" customHeight="1" x14ac:dyDescent="0.2">
      <c r="D164" s="70" t="s">
        <v>85</v>
      </c>
      <c r="H164" s="70" t="s">
        <v>85</v>
      </c>
      <c r="I164" s="76"/>
      <c r="L164" s="70" t="s">
        <v>85</v>
      </c>
      <c r="M164" s="76"/>
      <c r="P164" s="70" t="s">
        <v>85</v>
      </c>
      <c r="Q164" s="76"/>
      <c r="T164" s="70" t="s">
        <v>85</v>
      </c>
      <c r="U164" s="76"/>
      <c r="X164" s="70" t="s">
        <v>85</v>
      </c>
      <c r="Y164" s="76"/>
      <c r="AB164" s="70" t="s">
        <v>85</v>
      </c>
      <c r="AC164" s="76"/>
      <c r="AF164" s="70" t="s">
        <v>85</v>
      </c>
      <c r="AG164" s="76"/>
      <c r="AJ164" s="70" t="s">
        <v>85</v>
      </c>
      <c r="AK164" s="76"/>
      <c r="AN164" s="70" t="s">
        <v>85</v>
      </c>
      <c r="AO164" s="76"/>
      <c r="AR164" s="70" t="s">
        <v>85</v>
      </c>
      <c r="AS164" s="76"/>
      <c r="AV164" s="70" t="s">
        <v>85</v>
      </c>
      <c r="AW164" s="76"/>
    </row>
    <row r="165" spans="4:49" ht="31.5" customHeight="1" x14ac:dyDescent="0.2">
      <c r="D165" s="70" t="s">
        <v>85</v>
      </c>
      <c r="H165" s="70" t="s">
        <v>85</v>
      </c>
      <c r="I165" s="76"/>
      <c r="L165" s="70" t="s">
        <v>85</v>
      </c>
      <c r="M165" s="76"/>
      <c r="P165" s="70" t="s">
        <v>85</v>
      </c>
      <c r="Q165" s="76"/>
      <c r="T165" s="70" t="s">
        <v>85</v>
      </c>
      <c r="U165" s="76"/>
      <c r="X165" s="70" t="s">
        <v>85</v>
      </c>
      <c r="Y165" s="76"/>
      <c r="AB165" s="70" t="s">
        <v>85</v>
      </c>
      <c r="AC165" s="76"/>
      <c r="AF165" s="70" t="s">
        <v>85</v>
      </c>
      <c r="AG165" s="76"/>
      <c r="AJ165" s="70" t="s">
        <v>85</v>
      </c>
      <c r="AK165" s="76"/>
      <c r="AN165" s="70" t="s">
        <v>85</v>
      </c>
      <c r="AO165" s="76"/>
      <c r="AR165" s="70" t="s">
        <v>85</v>
      </c>
      <c r="AS165" s="76"/>
      <c r="AV165" s="70" t="s">
        <v>85</v>
      </c>
      <c r="AW165" s="76"/>
    </row>
    <row r="166" spans="4:49" ht="31.5" customHeight="1" x14ac:dyDescent="0.2">
      <c r="D166" s="70" t="s">
        <v>85</v>
      </c>
      <c r="H166" s="70" t="s">
        <v>85</v>
      </c>
      <c r="I166" s="76"/>
      <c r="L166" s="70" t="s">
        <v>85</v>
      </c>
      <c r="M166" s="76"/>
      <c r="P166" s="70" t="s">
        <v>85</v>
      </c>
      <c r="Q166" s="76"/>
      <c r="T166" s="70" t="s">
        <v>85</v>
      </c>
      <c r="U166" s="76"/>
      <c r="X166" s="70" t="s">
        <v>85</v>
      </c>
      <c r="Y166" s="76"/>
      <c r="AB166" s="70" t="s">
        <v>85</v>
      </c>
      <c r="AC166" s="76"/>
      <c r="AF166" s="70" t="s">
        <v>85</v>
      </c>
      <c r="AG166" s="76"/>
      <c r="AJ166" s="70" t="s">
        <v>85</v>
      </c>
      <c r="AK166" s="76"/>
      <c r="AN166" s="70" t="s">
        <v>85</v>
      </c>
      <c r="AO166" s="76"/>
      <c r="AR166" s="70" t="s">
        <v>85</v>
      </c>
      <c r="AS166" s="76"/>
      <c r="AV166" s="70" t="s">
        <v>85</v>
      </c>
      <c r="AW166" s="76"/>
    </row>
    <row r="167" spans="4:49" ht="31.5" customHeight="1" x14ac:dyDescent="0.2">
      <c r="D167" s="70" t="s">
        <v>85</v>
      </c>
      <c r="H167" s="70" t="s">
        <v>85</v>
      </c>
      <c r="I167" s="76"/>
      <c r="L167" s="70" t="s">
        <v>85</v>
      </c>
      <c r="M167" s="76"/>
      <c r="P167" s="70" t="s">
        <v>85</v>
      </c>
      <c r="Q167" s="76"/>
      <c r="T167" s="70" t="s">
        <v>85</v>
      </c>
      <c r="U167" s="76"/>
      <c r="X167" s="70" t="s">
        <v>85</v>
      </c>
      <c r="Y167" s="76"/>
      <c r="AB167" s="70" t="s">
        <v>85</v>
      </c>
      <c r="AC167" s="76"/>
      <c r="AF167" s="70" t="s">
        <v>85</v>
      </c>
      <c r="AG167" s="76"/>
      <c r="AJ167" s="70" t="s">
        <v>85</v>
      </c>
      <c r="AK167" s="76"/>
      <c r="AN167" s="70" t="s">
        <v>85</v>
      </c>
      <c r="AO167" s="76"/>
      <c r="AR167" s="70" t="s">
        <v>85</v>
      </c>
      <c r="AS167" s="76"/>
      <c r="AV167" s="70" t="s">
        <v>85</v>
      </c>
      <c r="AW167" s="76"/>
    </row>
    <row r="168" spans="4:49" ht="31.5" customHeight="1" x14ac:dyDescent="0.2">
      <c r="D168" s="70" t="s">
        <v>85</v>
      </c>
      <c r="H168" s="70" t="s">
        <v>85</v>
      </c>
      <c r="I168" s="76"/>
      <c r="L168" s="70" t="s">
        <v>85</v>
      </c>
      <c r="M168" s="76"/>
      <c r="P168" s="70" t="s">
        <v>85</v>
      </c>
      <c r="Q168" s="76"/>
      <c r="T168" s="70" t="s">
        <v>85</v>
      </c>
      <c r="U168" s="76"/>
      <c r="X168" s="70" t="s">
        <v>85</v>
      </c>
      <c r="Y168" s="76"/>
      <c r="AB168" s="70" t="s">
        <v>85</v>
      </c>
      <c r="AC168" s="76"/>
      <c r="AF168" s="70" t="s">
        <v>85</v>
      </c>
      <c r="AG168" s="76"/>
      <c r="AJ168" s="70" t="s">
        <v>85</v>
      </c>
      <c r="AK168" s="76"/>
      <c r="AN168" s="70" t="s">
        <v>85</v>
      </c>
      <c r="AO168" s="76"/>
      <c r="AR168" s="70" t="s">
        <v>85</v>
      </c>
      <c r="AS168" s="76"/>
      <c r="AV168" s="70" t="s">
        <v>85</v>
      </c>
      <c r="AW168" s="76"/>
    </row>
    <row r="169" spans="4:49" ht="31.5" customHeight="1" x14ac:dyDescent="0.2">
      <c r="D169" s="70" t="s">
        <v>85</v>
      </c>
      <c r="H169" s="70" t="s">
        <v>85</v>
      </c>
      <c r="I169" s="76"/>
      <c r="L169" s="70" t="s">
        <v>85</v>
      </c>
      <c r="M169" s="76"/>
      <c r="P169" s="70" t="s">
        <v>85</v>
      </c>
      <c r="Q169" s="76"/>
      <c r="T169" s="70" t="s">
        <v>85</v>
      </c>
      <c r="U169" s="76"/>
      <c r="X169" s="70" t="s">
        <v>85</v>
      </c>
      <c r="Y169" s="76"/>
      <c r="AB169" s="70" t="s">
        <v>85</v>
      </c>
      <c r="AC169" s="76"/>
      <c r="AF169" s="70" t="s">
        <v>85</v>
      </c>
      <c r="AG169" s="76"/>
      <c r="AJ169" s="70" t="s">
        <v>85</v>
      </c>
      <c r="AK169" s="76"/>
      <c r="AN169" s="70" t="s">
        <v>85</v>
      </c>
      <c r="AO169" s="76"/>
      <c r="AR169" s="70" t="s">
        <v>85</v>
      </c>
      <c r="AS169" s="76"/>
      <c r="AV169" s="70" t="s">
        <v>85</v>
      </c>
      <c r="AW169" s="76"/>
    </row>
    <row r="170" spans="4:49" ht="31.5" customHeight="1" x14ac:dyDescent="0.2">
      <c r="D170" s="70" t="s">
        <v>85</v>
      </c>
      <c r="H170" s="70" t="s">
        <v>85</v>
      </c>
      <c r="I170" s="76"/>
      <c r="L170" s="70" t="s">
        <v>85</v>
      </c>
      <c r="M170" s="76"/>
      <c r="P170" s="70" t="s">
        <v>85</v>
      </c>
      <c r="Q170" s="76"/>
      <c r="T170" s="70" t="s">
        <v>85</v>
      </c>
      <c r="U170" s="76"/>
      <c r="X170" s="70" t="s">
        <v>85</v>
      </c>
      <c r="Y170" s="76"/>
      <c r="AB170" s="70" t="s">
        <v>85</v>
      </c>
      <c r="AC170" s="76"/>
      <c r="AF170" s="70" t="s">
        <v>85</v>
      </c>
      <c r="AG170" s="76"/>
      <c r="AJ170" s="70" t="s">
        <v>85</v>
      </c>
      <c r="AK170" s="76"/>
      <c r="AN170" s="70" t="s">
        <v>85</v>
      </c>
      <c r="AO170" s="76"/>
      <c r="AR170" s="70" t="s">
        <v>85</v>
      </c>
      <c r="AS170" s="76"/>
      <c r="AV170" s="70" t="s">
        <v>85</v>
      </c>
      <c r="AW170" s="76"/>
    </row>
    <row r="171" spans="4:49" ht="31.5" customHeight="1" x14ac:dyDescent="0.2">
      <c r="D171" s="70" t="s">
        <v>85</v>
      </c>
      <c r="H171" s="70" t="s">
        <v>85</v>
      </c>
      <c r="I171" s="76"/>
      <c r="L171" s="70" t="s">
        <v>85</v>
      </c>
      <c r="M171" s="76"/>
      <c r="P171" s="70" t="s">
        <v>85</v>
      </c>
      <c r="Q171" s="76"/>
      <c r="T171" s="70" t="s">
        <v>85</v>
      </c>
      <c r="U171" s="76"/>
      <c r="X171" s="70" t="s">
        <v>85</v>
      </c>
      <c r="Y171" s="76"/>
      <c r="AB171" s="70" t="s">
        <v>85</v>
      </c>
      <c r="AC171" s="76"/>
      <c r="AF171" s="70" t="s">
        <v>85</v>
      </c>
      <c r="AG171" s="76"/>
      <c r="AJ171" s="70" t="s">
        <v>85</v>
      </c>
      <c r="AK171" s="76"/>
      <c r="AN171" s="70" t="s">
        <v>85</v>
      </c>
      <c r="AO171" s="76"/>
      <c r="AR171" s="70" t="s">
        <v>85</v>
      </c>
      <c r="AS171" s="76"/>
      <c r="AV171" s="70" t="s">
        <v>85</v>
      </c>
      <c r="AW171" s="76"/>
    </row>
    <row r="172" spans="4:49" ht="31.5" customHeight="1" x14ac:dyDescent="0.2">
      <c r="D172" s="70" t="s">
        <v>85</v>
      </c>
      <c r="H172" s="70" t="s">
        <v>85</v>
      </c>
      <c r="I172" s="76"/>
      <c r="L172" s="70" t="s">
        <v>85</v>
      </c>
      <c r="M172" s="76"/>
      <c r="P172" s="70" t="s">
        <v>85</v>
      </c>
      <c r="Q172" s="76"/>
      <c r="T172" s="70" t="s">
        <v>85</v>
      </c>
      <c r="U172" s="76"/>
      <c r="X172" s="70" t="s">
        <v>85</v>
      </c>
      <c r="Y172" s="76"/>
      <c r="AB172" s="70" t="s">
        <v>85</v>
      </c>
      <c r="AC172" s="76"/>
      <c r="AF172" s="70" t="s">
        <v>85</v>
      </c>
      <c r="AG172" s="76"/>
      <c r="AJ172" s="70" t="s">
        <v>85</v>
      </c>
      <c r="AK172" s="76"/>
      <c r="AN172" s="70" t="s">
        <v>85</v>
      </c>
      <c r="AO172" s="76"/>
      <c r="AR172" s="70" t="s">
        <v>85</v>
      </c>
      <c r="AS172" s="76"/>
      <c r="AV172" s="70" t="s">
        <v>85</v>
      </c>
      <c r="AW172" s="76"/>
    </row>
    <row r="173" spans="4:49" ht="31.5" customHeight="1" x14ac:dyDescent="0.2">
      <c r="D173" s="70" t="s">
        <v>85</v>
      </c>
      <c r="H173" s="70" t="s">
        <v>85</v>
      </c>
      <c r="I173" s="76"/>
      <c r="L173" s="70" t="s">
        <v>85</v>
      </c>
      <c r="M173" s="76"/>
      <c r="P173" s="70" t="s">
        <v>85</v>
      </c>
      <c r="Q173" s="76"/>
      <c r="T173" s="70" t="s">
        <v>85</v>
      </c>
      <c r="U173" s="76"/>
      <c r="X173" s="70" t="s">
        <v>85</v>
      </c>
      <c r="Y173" s="76"/>
      <c r="AB173" s="70" t="s">
        <v>85</v>
      </c>
      <c r="AC173" s="76"/>
      <c r="AF173" s="70" t="s">
        <v>85</v>
      </c>
      <c r="AG173" s="76"/>
      <c r="AJ173" s="70" t="s">
        <v>85</v>
      </c>
      <c r="AK173" s="76"/>
      <c r="AN173" s="70" t="s">
        <v>85</v>
      </c>
      <c r="AO173" s="76"/>
      <c r="AR173" s="70" t="s">
        <v>85</v>
      </c>
      <c r="AS173" s="76"/>
      <c r="AV173" s="70" t="s">
        <v>85</v>
      </c>
      <c r="AW173" s="76"/>
    </row>
    <row r="174" spans="4:49" ht="31.5" customHeight="1" x14ac:dyDescent="0.2">
      <c r="D174" s="70" t="s">
        <v>85</v>
      </c>
      <c r="H174" s="70" t="s">
        <v>85</v>
      </c>
      <c r="I174" s="76"/>
      <c r="L174" s="70" t="s">
        <v>85</v>
      </c>
      <c r="M174" s="76"/>
      <c r="P174" s="70" t="s">
        <v>85</v>
      </c>
      <c r="Q174" s="76"/>
      <c r="T174" s="70" t="s">
        <v>85</v>
      </c>
      <c r="U174" s="76"/>
      <c r="X174" s="70" t="s">
        <v>85</v>
      </c>
      <c r="Y174" s="76"/>
      <c r="AB174" s="70" t="s">
        <v>85</v>
      </c>
      <c r="AC174" s="76"/>
      <c r="AF174" s="70" t="s">
        <v>85</v>
      </c>
      <c r="AG174" s="76"/>
      <c r="AJ174" s="70" t="s">
        <v>85</v>
      </c>
      <c r="AK174" s="76"/>
      <c r="AN174" s="70" t="s">
        <v>85</v>
      </c>
      <c r="AO174" s="76"/>
      <c r="AR174" s="70" t="s">
        <v>85</v>
      </c>
      <c r="AS174" s="76"/>
      <c r="AV174" s="70" t="s">
        <v>85</v>
      </c>
      <c r="AW174" s="76"/>
    </row>
    <row r="175" spans="4:49" ht="31.5" customHeight="1" x14ac:dyDescent="0.2">
      <c r="D175" s="70" t="s">
        <v>85</v>
      </c>
      <c r="H175" s="70" t="s">
        <v>85</v>
      </c>
      <c r="I175" s="76"/>
      <c r="L175" s="70" t="s">
        <v>85</v>
      </c>
      <c r="M175" s="76"/>
      <c r="P175" s="70" t="s">
        <v>85</v>
      </c>
      <c r="Q175" s="76"/>
      <c r="T175" s="70" t="s">
        <v>85</v>
      </c>
      <c r="U175" s="76"/>
      <c r="X175" s="70" t="s">
        <v>85</v>
      </c>
      <c r="Y175" s="76"/>
      <c r="AB175" s="70" t="s">
        <v>85</v>
      </c>
      <c r="AC175" s="76"/>
      <c r="AF175" s="70" t="s">
        <v>85</v>
      </c>
      <c r="AG175" s="76"/>
      <c r="AJ175" s="70" t="s">
        <v>85</v>
      </c>
      <c r="AK175" s="76"/>
      <c r="AN175" s="70" t="s">
        <v>85</v>
      </c>
      <c r="AO175" s="76"/>
      <c r="AR175" s="70" t="s">
        <v>85</v>
      </c>
      <c r="AS175" s="76"/>
      <c r="AV175" s="70" t="s">
        <v>85</v>
      </c>
      <c r="AW175" s="76"/>
    </row>
    <row r="176" spans="4:49" ht="31.5" customHeight="1" x14ac:dyDescent="0.2">
      <c r="D176" s="70" t="s">
        <v>85</v>
      </c>
      <c r="H176" s="70" t="s">
        <v>85</v>
      </c>
      <c r="I176" s="76"/>
      <c r="L176" s="70" t="s">
        <v>85</v>
      </c>
      <c r="M176" s="76"/>
      <c r="P176" s="70" t="s">
        <v>85</v>
      </c>
      <c r="Q176" s="76"/>
      <c r="T176" s="70" t="s">
        <v>85</v>
      </c>
      <c r="U176" s="76"/>
      <c r="X176" s="70" t="s">
        <v>85</v>
      </c>
      <c r="Y176" s="76"/>
      <c r="AB176" s="70" t="s">
        <v>85</v>
      </c>
      <c r="AC176" s="76"/>
      <c r="AF176" s="70" t="s">
        <v>85</v>
      </c>
      <c r="AG176" s="76"/>
      <c r="AJ176" s="70" t="s">
        <v>85</v>
      </c>
      <c r="AK176" s="76"/>
      <c r="AN176" s="70" t="s">
        <v>85</v>
      </c>
      <c r="AO176" s="76"/>
      <c r="AR176" s="70" t="s">
        <v>85</v>
      </c>
      <c r="AS176" s="76"/>
      <c r="AV176" s="70" t="s">
        <v>85</v>
      </c>
      <c r="AW176" s="76"/>
    </row>
    <row r="177" spans="4:49" ht="31.5" customHeight="1" x14ac:dyDescent="0.2">
      <c r="D177" s="70" t="s">
        <v>85</v>
      </c>
      <c r="H177" s="70" t="s">
        <v>85</v>
      </c>
      <c r="I177" s="76"/>
      <c r="L177" s="70" t="s">
        <v>85</v>
      </c>
      <c r="M177" s="76"/>
      <c r="P177" s="70" t="s">
        <v>85</v>
      </c>
      <c r="Q177" s="76"/>
      <c r="T177" s="70" t="s">
        <v>85</v>
      </c>
      <c r="U177" s="76"/>
      <c r="X177" s="70" t="s">
        <v>85</v>
      </c>
      <c r="Y177" s="76"/>
      <c r="AB177" s="70" t="s">
        <v>85</v>
      </c>
      <c r="AC177" s="76"/>
      <c r="AF177" s="70" t="s">
        <v>85</v>
      </c>
      <c r="AG177" s="76"/>
      <c r="AJ177" s="70" t="s">
        <v>85</v>
      </c>
      <c r="AK177" s="76"/>
      <c r="AN177" s="70" t="s">
        <v>85</v>
      </c>
      <c r="AO177" s="76"/>
      <c r="AR177" s="70" t="s">
        <v>85</v>
      </c>
      <c r="AS177" s="76"/>
      <c r="AV177" s="70" t="s">
        <v>85</v>
      </c>
      <c r="AW177" s="76"/>
    </row>
    <row r="178" spans="4:49" ht="31.5" customHeight="1" x14ac:dyDescent="0.2">
      <c r="D178" s="70" t="s">
        <v>85</v>
      </c>
      <c r="H178" s="70" t="s">
        <v>85</v>
      </c>
      <c r="I178" s="76"/>
      <c r="L178" s="70" t="s">
        <v>85</v>
      </c>
      <c r="M178" s="76"/>
      <c r="P178" s="70" t="s">
        <v>85</v>
      </c>
      <c r="Q178" s="76"/>
      <c r="T178" s="70" t="s">
        <v>85</v>
      </c>
      <c r="U178" s="76"/>
      <c r="X178" s="70" t="s">
        <v>85</v>
      </c>
      <c r="Y178" s="76"/>
      <c r="AB178" s="70" t="s">
        <v>85</v>
      </c>
      <c r="AC178" s="76"/>
      <c r="AF178" s="70" t="s">
        <v>85</v>
      </c>
      <c r="AG178" s="76"/>
      <c r="AJ178" s="70" t="s">
        <v>85</v>
      </c>
      <c r="AK178" s="76"/>
      <c r="AN178" s="70" t="s">
        <v>85</v>
      </c>
      <c r="AO178" s="76"/>
      <c r="AR178" s="70" t="s">
        <v>85</v>
      </c>
      <c r="AS178" s="76"/>
      <c r="AV178" s="70" t="s">
        <v>85</v>
      </c>
      <c r="AW178" s="76"/>
    </row>
    <row r="179" spans="4:49" ht="31.5" customHeight="1" x14ac:dyDescent="0.2">
      <c r="D179" s="70" t="s">
        <v>85</v>
      </c>
      <c r="H179" s="70" t="s">
        <v>85</v>
      </c>
      <c r="I179" s="76"/>
      <c r="L179" s="70" t="s">
        <v>85</v>
      </c>
      <c r="M179" s="76"/>
      <c r="P179" s="70" t="s">
        <v>85</v>
      </c>
      <c r="Q179" s="76"/>
      <c r="T179" s="70" t="s">
        <v>85</v>
      </c>
      <c r="U179" s="76"/>
      <c r="X179" s="70" t="s">
        <v>85</v>
      </c>
      <c r="Y179" s="76"/>
      <c r="AB179" s="70" t="s">
        <v>85</v>
      </c>
      <c r="AC179" s="76"/>
      <c r="AF179" s="70" t="s">
        <v>85</v>
      </c>
      <c r="AG179" s="76"/>
      <c r="AJ179" s="70" t="s">
        <v>85</v>
      </c>
      <c r="AK179" s="76"/>
      <c r="AN179" s="70" t="s">
        <v>85</v>
      </c>
      <c r="AO179" s="76"/>
      <c r="AR179" s="70" t="s">
        <v>85</v>
      </c>
      <c r="AS179" s="76"/>
      <c r="AV179" s="70" t="s">
        <v>85</v>
      </c>
      <c r="AW179" s="76"/>
    </row>
    <row r="180" spans="4:49" ht="31.5" customHeight="1" x14ac:dyDescent="0.2">
      <c r="D180" s="70" t="s">
        <v>85</v>
      </c>
      <c r="H180" s="70" t="s">
        <v>85</v>
      </c>
      <c r="I180" s="76"/>
      <c r="L180" s="70" t="s">
        <v>85</v>
      </c>
      <c r="M180" s="76"/>
      <c r="P180" s="70" t="s">
        <v>85</v>
      </c>
      <c r="Q180" s="76"/>
      <c r="T180" s="70" t="s">
        <v>85</v>
      </c>
      <c r="U180" s="76"/>
      <c r="X180" s="70" t="s">
        <v>85</v>
      </c>
      <c r="Y180" s="76"/>
      <c r="AB180" s="70" t="s">
        <v>85</v>
      </c>
      <c r="AC180" s="76"/>
      <c r="AF180" s="70" t="s">
        <v>85</v>
      </c>
      <c r="AG180" s="76"/>
      <c r="AJ180" s="70" t="s">
        <v>85</v>
      </c>
      <c r="AK180" s="76"/>
      <c r="AN180" s="70" t="s">
        <v>85</v>
      </c>
      <c r="AO180" s="76"/>
      <c r="AR180" s="70" t="s">
        <v>85</v>
      </c>
      <c r="AS180" s="76"/>
      <c r="AV180" s="70" t="s">
        <v>85</v>
      </c>
      <c r="AW180" s="76"/>
    </row>
    <row r="181" spans="4:49" ht="31.5" customHeight="1" x14ac:dyDescent="0.2">
      <c r="D181" s="70" t="s">
        <v>85</v>
      </c>
      <c r="H181" s="70" t="s">
        <v>85</v>
      </c>
      <c r="I181" s="76"/>
      <c r="L181" s="70" t="s">
        <v>85</v>
      </c>
      <c r="M181" s="76"/>
      <c r="P181" s="70" t="s">
        <v>85</v>
      </c>
      <c r="Q181" s="76"/>
      <c r="T181" s="70" t="s">
        <v>85</v>
      </c>
      <c r="U181" s="76"/>
      <c r="X181" s="70" t="s">
        <v>85</v>
      </c>
      <c r="Y181" s="76"/>
      <c r="AB181" s="70" t="s">
        <v>85</v>
      </c>
      <c r="AC181" s="76"/>
      <c r="AF181" s="70" t="s">
        <v>85</v>
      </c>
      <c r="AG181" s="76"/>
      <c r="AJ181" s="70" t="s">
        <v>85</v>
      </c>
      <c r="AK181" s="76"/>
      <c r="AN181" s="70" t="s">
        <v>85</v>
      </c>
      <c r="AO181" s="76"/>
      <c r="AR181" s="70" t="s">
        <v>85</v>
      </c>
      <c r="AS181" s="76"/>
      <c r="AV181" s="70" t="s">
        <v>85</v>
      </c>
      <c r="AW181" s="76"/>
    </row>
    <row r="182" spans="4:49" ht="31.5" customHeight="1" x14ac:dyDescent="0.2">
      <c r="D182" s="70" t="s">
        <v>85</v>
      </c>
      <c r="H182" s="70" t="s">
        <v>85</v>
      </c>
      <c r="I182" s="76"/>
      <c r="L182" s="70" t="s">
        <v>85</v>
      </c>
      <c r="M182" s="76"/>
      <c r="P182" s="70" t="s">
        <v>85</v>
      </c>
      <c r="Q182" s="76"/>
      <c r="T182" s="70" t="s">
        <v>85</v>
      </c>
      <c r="U182" s="76"/>
      <c r="X182" s="70" t="s">
        <v>85</v>
      </c>
      <c r="Y182" s="76"/>
      <c r="AB182" s="70" t="s">
        <v>85</v>
      </c>
      <c r="AC182" s="76"/>
      <c r="AF182" s="70" t="s">
        <v>85</v>
      </c>
      <c r="AG182" s="76"/>
      <c r="AJ182" s="70" t="s">
        <v>85</v>
      </c>
      <c r="AK182" s="76"/>
      <c r="AN182" s="70" t="s">
        <v>85</v>
      </c>
      <c r="AO182" s="76"/>
      <c r="AR182" s="70" t="s">
        <v>85</v>
      </c>
      <c r="AS182" s="76"/>
      <c r="AV182" s="70" t="s">
        <v>85</v>
      </c>
      <c r="AW182" s="76"/>
    </row>
    <row r="183" spans="4:49" ht="31.5" customHeight="1" x14ac:dyDescent="0.2">
      <c r="D183" s="70" t="s">
        <v>85</v>
      </c>
      <c r="H183" s="70" t="s">
        <v>85</v>
      </c>
      <c r="I183" s="76"/>
      <c r="L183" s="70" t="s">
        <v>85</v>
      </c>
      <c r="M183" s="76"/>
      <c r="P183" s="70" t="s">
        <v>85</v>
      </c>
      <c r="Q183" s="76"/>
      <c r="T183" s="70" t="s">
        <v>85</v>
      </c>
      <c r="U183" s="76"/>
      <c r="X183" s="70" t="s">
        <v>85</v>
      </c>
      <c r="Y183" s="76"/>
      <c r="AB183" s="70" t="s">
        <v>85</v>
      </c>
      <c r="AC183" s="76"/>
      <c r="AF183" s="70" t="s">
        <v>85</v>
      </c>
      <c r="AG183" s="76"/>
      <c r="AJ183" s="70" t="s">
        <v>85</v>
      </c>
      <c r="AK183" s="76"/>
      <c r="AN183" s="70" t="s">
        <v>85</v>
      </c>
      <c r="AO183" s="76"/>
      <c r="AR183" s="70" t="s">
        <v>85</v>
      </c>
      <c r="AS183" s="76"/>
      <c r="AV183" s="70" t="s">
        <v>85</v>
      </c>
      <c r="AW183" s="76"/>
    </row>
    <row r="184" spans="4:49" ht="31.5" customHeight="1" x14ac:dyDescent="0.2">
      <c r="D184" s="70" t="s">
        <v>85</v>
      </c>
      <c r="H184" s="70" t="s">
        <v>85</v>
      </c>
      <c r="I184" s="76"/>
      <c r="L184" s="70" t="s">
        <v>85</v>
      </c>
      <c r="M184" s="76"/>
      <c r="P184" s="70" t="s">
        <v>85</v>
      </c>
      <c r="Q184" s="76"/>
      <c r="T184" s="70" t="s">
        <v>85</v>
      </c>
      <c r="U184" s="76"/>
      <c r="X184" s="70" t="s">
        <v>85</v>
      </c>
      <c r="Y184" s="76"/>
      <c r="AB184" s="70" t="s">
        <v>85</v>
      </c>
      <c r="AC184" s="76"/>
      <c r="AF184" s="70" t="s">
        <v>85</v>
      </c>
      <c r="AG184" s="76"/>
      <c r="AJ184" s="70" t="s">
        <v>85</v>
      </c>
      <c r="AK184" s="76"/>
      <c r="AN184" s="70" t="s">
        <v>85</v>
      </c>
      <c r="AO184" s="76"/>
      <c r="AR184" s="70" t="s">
        <v>85</v>
      </c>
      <c r="AS184" s="76"/>
      <c r="AV184" s="70" t="s">
        <v>85</v>
      </c>
      <c r="AW184" s="76"/>
    </row>
    <row r="185" spans="4:49" ht="31.5" customHeight="1" x14ac:dyDescent="0.2">
      <c r="D185" s="70" t="s">
        <v>85</v>
      </c>
      <c r="H185" s="70" t="s">
        <v>85</v>
      </c>
      <c r="I185" s="76"/>
      <c r="L185" s="70" t="s">
        <v>85</v>
      </c>
      <c r="M185" s="76"/>
      <c r="P185" s="70" t="s">
        <v>85</v>
      </c>
      <c r="Q185" s="76"/>
      <c r="T185" s="70" t="s">
        <v>85</v>
      </c>
      <c r="U185" s="76"/>
      <c r="X185" s="70" t="s">
        <v>85</v>
      </c>
      <c r="Y185" s="76"/>
      <c r="AB185" s="70" t="s">
        <v>85</v>
      </c>
      <c r="AC185" s="76"/>
      <c r="AF185" s="70" t="s">
        <v>85</v>
      </c>
      <c r="AG185" s="76"/>
      <c r="AJ185" s="70" t="s">
        <v>85</v>
      </c>
      <c r="AK185" s="76"/>
      <c r="AN185" s="70" t="s">
        <v>85</v>
      </c>
      <c r="AO185" s="76"/>
      <c r="AR185" s="70" t="s">
        <v>85</v>
      </c>
      <c r="AS185" s="76"/>
      <c r="AV185" s="70" t="s">
        <v>85</v>
      </c>
      <c r="AW185" s="76"/>
    </row>
    <row r="186" spans="4:49" ht="31.5" customHeight="1" x14ac:dyDescent="0.2">
      <c r="D186" s="70" t="s">
        <v>85</v>
      </c>
      <c r="H186" s="70" t="s">
        <v>85</v>
      </c>
      <c r="I186" s="76"/>
      <c r="L186" s="70" t="s">
        <v>85</v>
      </c>
      <c r="M186" s="76"/>
      <c r="P186" s="70" t="s">
        <v>85</v>
      </c>
      <c r="Q186" s="76"/>
      <c r="T186" s="70" t="s">
        <v>85</v>
      </c>
      <c r="U186" s="76"/>
      <c r="X186" s="70" t="s">
        <v>85</v>
      </c>
      <c r="Y186" s="76"/>
      <c r="AB186" s="70" t="s">
        <v>85</v>
      </c>
      <c r="AC186" s="76"/>
      <c r="AF186" s="70" t="s">
        <v>85</v>
      </c>
      <c r="AG186" s="76"/>
      <c r="AJ186" s="70" t="s">
        <v>85</v>
      </c>
      <c r="AK186" s="76"/>
      <c r="AN186" s="70" t="s">
        <v>85</v>
      </c>
      <c r="AO186" s="76"/>
      <c r="AR186" s="70" t="s">
        <v>85</v>
      </c>
      <c r="AS186" s="76"/>
      <c r="AV186" s="70" t="s">
        <v>85</v>
      </c>
      <c r="AW186" s="76"/>
    </row>
    <row r="187" spans="4:49" ht="31.5" customHeight="1" x14ac:dyDescent="0.2">
      <c r="D187" s="70" t="s">
        <v>85</v>
      </c>
      <c r="H187" s="70" t="s">
        <v>85</v>
      </c>
      <c r="I187" s="76"/>
      <c r="L187" s="70" t="s">
        <v>85</v>
      </c>
      <c r="M187" s="76"/>
      <c r="P187" s="70" t="s">
        <v>85</v>
      </c>
      <c r="Q187" s="76"/>
      <c r="T187" s="70" t="s">
        <v>85</v>
      </c>
      <c r="U187" s="76"/>
      <c r="X187" s="70" t="s">
        <v>85</v>
      </c>
      <c r="Y187" s="76"/>
      <c r="AB187" s="70" t="s">
        <v>85</v>
      </c>
      <c r="AC187" s="76"/>
      <c r="AF187" s="70" t="s">
        <v>85</v>
      </c>
      <c r="AG187" s="76"/>
      <c r="AJ187" s="70" t="s">
        <v>85</v>
      </c>
      <c r="AK187" s="76"/>
      <c r="AN187" s="70" t="s">
        <v>85</v>
      </c>
      <c r="AO187" s="76"/>
      <c r="AR187" s="70" t="s">
        <v>85</v>
      </c>
      <c r="AS187" s="76"/>
      <c r="AV187" s="70" t="s">
        <v>85</v>
      </c>
      <c r="AW187" s="76"/>
    </row>
    <row r="188" spans="4:49" ht="31.5" customHeight="1" x14ac:dyDescent="0.2">
      <c r="D188" s="70" t="s">
        <v>85</v>
      </c>
      <c r="H188" s="70" t="s">
        <v>85</v>
      </c>
      <c r="I188" s="76"/>
      <c r="L188" s="70" t="s">
        <v>85</v>
      </c>
      <c r="M188" s="76"/>
      <c r="P188" s="70" t="s">
        <v>85</v>
      </c>
      <c r="Q188" s="76"/>
      <c r="T188" s="70" t="s">
        <v>85</v>
      </c>
      <c r="U188" s="76"/>
      <c r="X188" s="70" t="s">
        <v>85</v>
      </c>
      <c r="Y188" s="76"/>
      <c r="AB188" s="70" t="s">
        <v>85</v>
      </c>
      <c r="AC188" s="76"/>
      <c r="AF188" s="70" t="s">
        <v>85</v>
      </c>
      <c r="AG188" s="76"/>
      <c r="AJ188" s="70" t="s">
        <v>85</v>
      </c>
      <c r="AK188" s="76"/>
      <c r="AN188" s="70" t="s">
        <v>85</v>
      </c>
      <c r="AO188" s="76"/>
      <c r="AR188" s="70" t="s">
        <v>85</v>
      </c>
      <c r="AS188" s="76"/>
      <c r="AV188" s="70" t="s">
        <v>85</v>
      </c>
      <c r="AW188" s="76"/>
    </row>
    <row r="189" spans="4:49" ht="31.5" customHeight="1" x14ac:dyDescent="0.2">
      <c r="D189" s="70" t="s">
        <v>85</v>
      </c>
      <c r="H189" s="70" t="s">
        <v>85</v>
      </c>
      <c r="I189" s="76"/>
      <c r="L189" s="70" t="s">
        <v>85</v>
      </c>
      <c r="M189" s="76"/>
      <c r="P189" s="70" t="s">
        <v>85</v>
      </c>
      <c r="Q189" s="76"/>
      <c r="T189" s="70" t="s">
        <v>85</v>
      </c>
      <c r="U189" s="76"/>
      <c r="X189" s="70" t="s">
        <v>85</v>
      </c>
      <c r="Y189" s="76"/>
      <c r="AB189" s="70" t="s">
        <v>85</v>
      </c>
      <c r="AC189" s="76"/>
      <c r="AF189" s="70" t="s">
        <v>85</v>
      </c>
      <c r="AG189" s="76"/>
      <c r="AJ189" s="70" t="s">
        <v>85</v>
      </c>
      <c r="AK189" s="76"/>
      <c r="AN189" s="70" t="s">
        <v>85</v>
      </c>
      <c r="AO189" s="76"/>
      <c r="AR189" s="70" t="s">
        <v>85</v>
      </c>
      <c r="AS189" s="76"/>
      <c r="AV189" s="70" t="s">
        <v>85</v>
      </c>
      <c r="AW189" s="76"/>
    </row>
    <row r="190" spans="4:49" ht="31.5" customHeight="1" x14ac:dyDescent="0.2">
      <c r="D190" s="70" t="s">
        <v>85</v>
      </c>
      <c r="H190" s="70" t="s">
        <v>85</v>
      </c>
      <c r="I190" s="76"/>
      <c r="L190" s="70" t="s">
        <v>85</v>
      </c>
      <c r="M190" s="76"/>
      <c r="P190" s="70" t="s">
        <v>85</v>
      </c>
      <c r="Q190" s="76"/>
      <c r="T190" s="70" t="s">
        <v>85</v>
      </c>
      <c r="U190" s="76"/>
      <c r="X190" s="70" t="s">
        <v>85</v>
      </c>
      <c r="Y190" s="76"/>
      <c r="AB190" s="70" t="s">
        <v>85</v>
      </c>
      <c r="AC190" s="76"/>
      <c r="AF190" s="70" t="s">
        <v>85</v>
      </c>
      <c r="AG190" s="76"/>
      <c r="AJ190" s="70" t="s">
        <v>85</v>
      </c>
      <c r="AK190" s="76"/>
      <c r="AN190" s="70" t="s">
        <v>85</v>
      </c>
      <c r="AO190" s="76"/>
      <c r="AR190" s="70" t="s">
        <v>85</v>
      </c>
      <c r="AS190" s="76"/>
      <c r="AV190" s="70" t="s">
        <v>85</v>
      </c>
      <c r="AW190" s="76"/>
    </row>
    <row r="191" spans="4:49" ht="31.5" customHeight="1" x14ac:dyDescent="0.2">
      <c r="D191" s="70" t="s">
        <v>85</v>
      </c>
      <c r="H191" s="70" t="s">
        <v>85</v>
      </c>
      <c r="I191" s="76"/>
      <c r="L191" s="70" t="s">
        <v>85</v>
      </c>
      <c r="M191" s="76"/>
      <c r="P191" s="70" t="s">
        <v>85</v>
      </c>
      <c r="Q191" s="76"/>
      <c r="T191" s="70" t="s">
        <v>85</v>
      </c>
      <c r="U191" s="76"/>
      <c r="X191" s="70" t="s">
        <v>85</v>
      </c>
      <c r="Y191" s="76"/>
      <c r="AB191" s="70" t="s">
        <v>85</v>
      </c>
      <c r="AC191" s="76"/>
      <c r="AF191" s="70" t="s">
        <v>85</v>
      </c>
      <c r="AG191" s="76"/>
      <c r="AJ191" s="70" t="s">
        <v>85</v>
      </c>
      <c r="AK191" s="76"/>
      <c r="AN191" s="70" t="s">
        <v>85</v>
      </c>
      <c r="AO191" s="76"/>
      <c r="AR191" s="70" t="s">
        <v>85</v>
      </c>
      <c r="AS191" s="76"/>
      <c r="AV191" s="70" t="s">
        <v>85</v>
      </c>
      <c r="AW191" s="76"/>
    </row>
    <row r="192" spans="4:49" ht="31.5" customHeight="1" x14ac:dyDescent="0.2">
      <c r="D192" s="70" t="s">
        <v>85</v>
      </c>
      <c r="H192" s="70" t="s">
        <v>85</v>
      </c>
      <c r="I192" s="76"/>
      <c r="L192" s="70" t="s">
        <v>85</v>
      </c>
      <c r="M192" s="76"/>
      <c r="P192" s="70" t="s">
        <v>85</v>
      </c>
      <c r="Q192" s="76"/>
      <c r="T192" s="70" t="s">
        <v>85</v>
      </c>
      <c r="U192" s="76"/>
      <c r="X192" s="70" t="s">
        <v>85</v>
      </c>
      <c r="Y192" s="76"/>
      <c r="AB192" s="70" t="s">
        <v>85</v>
      </c>
      <c r="AC192" s="76"/>
      <c r="AF192" s="70" t="s">
        <v>85</v>
      </c>
      <c r="AG192" s="76"/>
      <c r="AJ192" s="70" t="s">
        <v>85</v>
      </c>
      <c r="AK192" s="76"/>
      <c r="AN192" s="70" t="s">
        <v>85</v>
      </c>
      <c r="AO192" s="76"/>
      <c r="AR192" s="70" t="s">
        <v>85</v>
      </c>
      <c r="AS192" s="76"/>
      <c r="AV192" s="70" t="s">
        <v>85</v>
      </c>
      <c r="AW192" s="76"/>
    </row>
    <row r="193" spans="4:49" ht="31.5" customHeight="1" x14ac:dyDescent="0.2">
      <c r="D193" s="70" t="s">
        <v>85</v>
      </c>
      <c r="H193" s="70" t="s">
        <v>85</v>
      </c>
      <c r="I193" s="76"/>
      <c r="L193" s="70" t="s">
        <v>85</v>
      </c>
      <c r="M193" s="76"/>
      <c r="P193" s="70" t="s">
        <v>85</v>
      </c>
      <c r="Q193" s="76"/>
      <c r="T193" s="70" t="s">
        <v>85</v>
      </c>
      <c r="U193" s="76"/>
      <c r="X193" s="70" t="s">
        <v>85</v>
      </c>
      <c r="Y193" s="76"/>
      <c r="AB193" s="70" t="s">
        <v>85</v>
      </c>
      <c r="AC193" s="76"/>
      <c r="AF193" s="70" t="s">
        <v>85</v>
      </c>
      <c r="AG193" s="76"/>
      <c r="AJ193" s="70" t="s">
        <v>85</v>
      </c>
      <c r="AK193" s="76"/>
      <c r="AN193" s="70" t="s">
        <v>85</v>
      </c>
      <c r="AO193" s="76"/>
      <c r="AR193" s="70" t="s">
        <v>85</v>
      </c>
      <c r="AS193" s="76"/>
      <c r="AV193" s="70" t="s">
        <v>85</v>
      </c>
      <c r="AW193" s="76"/>
    </row>
    <row r="194" spans="4:49" ht="31.5" customHeight="1" x14ac:dyDescent="0.2">
      <c r="D194" s="70" t="s">
        <v>85</v>
      </c>
      <c r="H194" s="70" t="s">
        <v>85</v>
      </c>
      <c r="I194" s="76"/>
      <c r="L194" s="70" t="s">
        <v>85</v>
      </c>
      <c r="M194" s="76"/>
      <c r="P194" s="70" t="s">
        <v>85</v>
      </c>
      <c r="Q194" s="76"/>
      <c r="T194" s="70" t="s">
        <v>85</v>
      </c>
      <c r="U194" s="76"/>
      <c r="X194" s="70" t="s">
        <v>85</v>
      </c>
      <c r="Y194" s="76"/>
      <c r="AB194" s="70" t="s">
        <v>85</v>
      </c>
      <c r="AC194" s="76"/>
      <c r="AF194" s="70" t="s">
        <v>85</v>
      </c>
      <c r="AG194" s="76"/>
      <c r="AJ194" s="70" t="s">
        <v>85</v>
      </c>
      <c r="AK194" s="76"/>
      <c r="AN194" s="70" t="s">
        <v>85</v>
      </c>
      <c r="AO194" s="76"/>
      <c r="AR194" s="70" t="s">
        <v>85</v>
      </c>
      <c r="AS194" s="76"/>
      <c r="AV194" s="70" t="s">
        <v>85</v>
      </c>
      <c r="AW194" s="76"/>
    </row>
    <row r="195" spans="4:49" ht="31.5" customHeight="1" x14ac:dyDescent="0.2">
      <c r="D195" s="70" t="s">
        <v>85</v>
      </c>
      <c r="H195" s="70" t="s">
        <v>85</v>
      </c>
      <c r="I195" s="76"/>
      <c r="L195" s="70" t="s">
        <v>85</v>
      </c>
      <c r="M195" s="76"/>
      <c r="P195" s="70" t="s">
        <v>85</v>
      </c>
      <c r="Q195" s="76"/>
      <c r="T195" s="70" t="s">
        <v>85</v>
      </c>
      <c r="U195" s="76"/>
      <c r="X195" s="70" t="s">
        <v>85</v>
      </c>
      <c r="Y195" s="76"/>
      <c r="AB195" s="70" t="s">
        <v>85</v>
      </c>
      <c r="AC195" s="76"/>
      <c r="AF195" s="70" t="s">
        <v>85</v>
      </c>
      <c r="AG195" s="76"/>
      <c r="AJ195" s="70" t="s">
        <v>85</v>
      </c>
      <c r="AK195" s="76"/>
      <c r="AN195" s="70" t="s">
        <v>85</v>
      </c>
      <c r="AO195" s="76"/>
      <c r="AR195" s="70" t="s">
        <v>85</v>
      </c>
      <c r="AS195" s="76"/>
      <c r="AV195" s="70" t="s">
        <v>85</v>
      </c>
      <c r="AW195" s="76"/>
    </row>
    <row r="196" spans="4:49" ht="31.5" customHeight="1" x14ac:dyDescent="0.2">
      <c r="D196" s="70" t="s">
        <v>85</v>
      </c>
      <c r="H196" s="70" t="s">
        <v>85</v>
      </c>
      <c r="I196" s="76"/>
      <c r="L196" s="70" t="s">
        <v>85</v>
      </c>
      <c r="M196" s="76"/>
      <c r="P196" s="70" t="s">
        <v>85</v>
      </c>
      <c r="Q196" s="76"/>
      <c r="T196" s="70" t="s">
        <v>85</v>
      </c>
      <c r="U196" s="76"/>
      <c r="X196" s="70" t="s">
        <v>85</v>
      </c>
      <c r="Y196" s="76"/>
      <c r="AB196" s="70" t="s">
        <v>85</v>
      </c>
      <c r="AC196" s="76"/>
      <c r="AF196" s="70" t="s">
        <v>85</v>
      </c>
      <c r="AG196" s="76"/>
      <c r="AJ196" s="70" t="s">
        <v>85</v>
      </c>
      <c r="AK196" s="76"/>
      <c r="AN196" s="70" t="s">
        <v>85</v>
      </c>
      <c r="AO196" s="76"/>
      <c r="AR196" s="70" t="s">
        <v>85</v>
      </c>
      <c r="AS196" s="76"/>
      <c r="AV196" s="70" t="s">
        <v>85</v>
      </c>
      <c r="AW196" s="76"/>
    </row>
    <row r="197" spans="4:49" ht="31.5" customHeight="1" x14ac:dyDescent="0.2">
      <c r="D197" s="70" t="s">
        <v>85</v>
      </c>
      <c r="H197" s="70" t="s">
        <v>85</v>
      </c>
      <c r="I197" s="76"/>
      <c r="L197" s="70" t="s">
        <v>85</v>
      </c>
      <c r="M197" s="76"/>
      <c r="P197" s="70" t="s">
        <v>85</v>
      </c>
      <c r="Q197" s="76"/>
      <c r="T197" s="70" t="s">
        <v>85</v>
      </c>
      <c r="U197" s="76"/>
      <c r="X197" s="70" t="s">
        <v>85</v>
      </c>
      <c r="Y197" s="76"/>
      <c r="AB197" s="70" t="s">
        <v>85</v>
      </c>
      <c r="AC197" s="76"/>
      <c r="AF197" s="70" t="s">
        <v>85</v>
      </c>
      <c r="AG197" s="76"/>
      <c r="AJ197" s="70" t="s">
        <v>85</v>
      </c>
      <c r="AK197" s="76"/>
      <c r="AN197" s="70" t="s">
        <v>85</v>
      </c>
      <c r="AO197" s="76"/>
      <c r="AR197" s="70" t="s">
        <v>85</v>
      </c>
      <c r="AS197" s="76"/>
      <c r="AV197" s="70" t="s">
        <v>85</v>
      </c>
      <c r="AW197" s="76"/>
    </row>
    <row r="198" spans="4:49" ht="31.5" customHeight="1" x14ac:dyDescent="0.2">
      <c r="D198" s="70" t="s">
        <v>85</v>
      </c>
      <c r="H198" s="70" t="s">
        <v>85</v>
      </c>
      <c r="I198" s="76"/>
      <c r="L198" s="70" t="s">
        <v>85</v>
      </c>
      <c r="M198" s="76"/>
      <c r="P198" s="70" t="s">
        <v>85</v>
      </c>
      <c r="Q198" s="76"/>
      <c r="T198" s="70" t="s">
        <v>85</v>
      </c>
      <c r="U198" s="76"/>
      <c r="X198" s="70" t="s">
        <v>85</v>
      </c>
      <c r="Y198" s="76"/>
      <c r="AB198" s="70" t="s">
        <v>85</v>
      </c>
      <c r="AC198" s="76"/>
      <c r="AF198" s="70" t="s">
        <v>85</v>
      </c>
      <c r="AG198" s="76"/>
      <c r="AJ198" s="70" t="s">
        <v>85</v>
      </c>
      <c r="AK198" s="76"/>
      <c r="AN198" s="70" t="s">
        <v>85</v>
      </c>
      <c r="AO198" s="76"/>
      <c r="AR198" s="70" t="s">
        <v>85</v>
      </c>
      <c r="AS198" s="76"/>
      <c r="AV198" s="70" t="s">
        <v>85</v>
      </c>
      <c r="AW198" s="76"/>
    </row>
    <row r="199" spans="4:49" ht="31.5" customHeight="1" x14ac:dyDescent="0.2">
      <c r="D199" s="70" t="s">
        <v>85</v>
      </c>
      <c r="H199" s="70" t="s">
        <v>85</v>
      </c>
      <c r="I199" s="76"/>
      <c r="L199" s="70" t="s">
        <v>85</v>
      </c>
      <c r="M199" s="76"/>
      <c r="P199" s="70" t="s">
        <v>85</v>
      </c>
      <c r="Q199" s="76"/>
      <c r="T199" s="70" t="s">
        <v>85</v>
      </c>
      <c r="U199" s="76"/>
      <c r="X199" s="70" t="s">
        <v>85</v>
      </c>
      <c r="Y199" s="76"/>
      <c r="AB199" s="70" t="s">
        <v>85</v>
      </c>
      <c r="AC199" s="76"/>
      <c r="AF199" s="70" t="s">
        <v>85</v>
      </c>
      <c r="AG199" s="76"/>
      <c r="AJ199" s="70" t="s">
        <v>85</v>
      </c>
      <c r="AK199" s="76"/>
      <c r="AN199" s="70" t="s">
        <v>85</v>
      </c>
      <c r="AO199" s="76"/>
      <c r="AR199" s="70" t="s">
        <v>85</v>
      </c>
      <c r="AS199" s="76"/>
      <c r="AV199" s="70" t="s">
        <v>85</v>
      </c>
      <c r="AW199" s="76"/>
    </row>
    <row r="200" spans="4:49" ht="31.5" customHeight="1" x14ac:dyDescent="0.2">
      <c r="D200" s="70" t="s">
        <v>85</v>
      </c>
      <c r="H200" s="70" t="s">
        <v>85</v>
      </c>
      <c r="I200" s="76"/>
      <c r="L200" s="70" t="s">
        <v>85</v>
      </c>
      <c r="M200" s="76"/>
      <c r="P200" s="70" t="s">
        <v>85</v>
      </c>
      <c r="Q200" s="76"/>
      <c r="T200" s="70" t="s">
        <v>85</v>
      </c>
      <c r="U200" s="76"/>
      <c r="X200" s="70" t="s">
        <v>85</v>
      </c>
      <c r="Y200" s="76"/>
      <c r="AB200" s="70" t="s">
        <v>85</v>
      </c>
      <c r="AC200" s="76"/>
      <c r="AF200" s="70" t="s">
        <v>85</v>
      </c>
      <c r="AG200" s="76"/>
      <c r="AJ200" s="70" t="s">
        <v>85</v>
      </c>
      <c r="AK200" s="76"/>
      <c r="AN200" s="70" t="s">
        <v>85</v>
      </c>
      <c r="AO200" s="76"/>
      <c r="AR200" s="70" t="s">
        <v>85</v>
      </c>
      <c r="AS200" s="76"/>
      <c r="AV200" s="70" t="s">
        <v>85</v>
      </c>
      <c r="AW200" s="76"/>
    </row>
    <row r="201" spans="4:49" ht="31.5" customHeight="1" x14ac:dyDescent="0.2">
      <c r="D201" s="70" t="s">
        <v>85</v>
      </c>
      <c r="H201" s="70" t="s">
        <v>85</v>
      </c>
      <c r="I201" s="76"/>
      <c r="L201" s="70" t="s">
        <v>85</v>
      </c>
      <c r="M201" s="76"/>
      <c r="P201" s="70" t="s">
        <v>85</v>
      </c>
      <c r="Q201" s="76"/>
      <c r="T201" s="70" t="s">
        <v>85</v>
      </c>
      <c r="U201" s="76"/>
      <c r="X201" s="70" t="s">
        <v>85</v>
      </c>
      <c r="Y201" s="76"/>
      <c r="AB201" s="70" t="s">
        <v>85</v>
      </c>
      <c r="AC201" s="76"/>
      <c r="AF201" s="70" t="s">
        <v>85</v>
      </c>
      <c r="AG201" s="76"/>
      <c r="AJ201" s="70" t="s">
        <v>85</v>
      </c>
      <c r="AK201" s="76"/>
      <c r="AN201" s="70" t="s">
        <v>85</v>
      </c>
      <c r="AO201" s="76"/>
      <c r="AR201" s="70" t="s">
        <v>85</v>
      </c>
      <c r="AS201" s="76"/>
      <c r="AV201" s="70" t="s">
        <v>85</v>
      </c>
      <c r="AW201" s="76"/>
    </row>
    <row r="202" spans="4:49" ht="31.5" customHeight="1" x14ac:dyDescent="0.2">
      <c r="D202" s="70" t="s">
        <v>85</v>
      </c>
      <c r="H202" s="70" t="s">
        <v>85</v>
      </c>
      <c r="I202" s="76"/>
      <c r="L202" s="70" t="s">
        <v>85</v>
      </c>
      <c r="M202" s="76"/>
      <c r="P202" s="70" t="s">
        <v>85</v>
      </c>
      <c r="Q202" s="76"/>
      <c r="T202" s="70" t="s">
        <v>85</v>
      </c>
      <c r="U202" s="76"/>
      <c r="X202" s="70" t="s">
        <v>85</v>
      </c>
      <c r="Y202" s="76"/>
      <c r="AB202" s="70" t="s">
        <v>85</v>
      </c>
      <c r="AC202" s="76"/>
      <c r="AF202" s="70" t="s">
        <v>85</v>
      </c>
      <c r="AG202" s="76"/>
      <c r="AJ202" s="70" t="s">
        <v>85</v>
      </c>
      <c r="AK202" s="76"/>
      <c r="AN202" s="70" t="s">
        <v>85</v>
      </c>
      <c r="AO202" s="76"/>
      <c r="AR202" s="70" t="s">
        <v>85</v>
      </c>
      <c r="AS202" s="76"/>
      <c r="AV202" s="70" t="s">
        <v>85</v>
      </c>
      <c r="AW202" s="76"/>
    </row>
    <row r="203" spans="4:49" ht="31.5" customHeight="1" x14ac:dyDescent="0.2">
      <c r="D203" s="70" t="s">
        <v>85</v>
      </c>
      <c r="H203" s="70" t="s">
        <v>85</v>
      </c>
      <c r="I203" s="76"/>
      <c r="L203" s="70" t="s">
        <v>85</v>
      </c>
      <c r="M203" s="76"/>
      <c r="P203" s="70" t="s">
        <v>85</v>
      </c>
      <c r="Q203" s="76"/>
      <c r="T203" s="70" t="s">
        <v>85</v>
      </c>
      <c r="U203" s="76"/>
      <c r="X203" s="70" t="s">
        <v>85</v>
      </c>
      <c r="Y203" s="76"/>
      <c r="AB203" s="70" t="s">
        <v>85</v>
      </c>
      <c r="AC203" s="76"/>
      <c r="AF203" s="70" t="s">
        <v>85</v>
      </c>
      <c r="AG203" s="76"/>
      <c r="AJ203" s="70" t="s">
        <v>85</v>
      </c>
      <c r="AK203" s="76"/>
      <c r="AN203" s="70" t="s">
        <v>85</v>
      </c>
      <c r="AO203" s="76"/>
      <c r="AR203" s="70" t="s">
        <v>85</v>
      </c>
      <c r="AS203" s="76"/>
      <c r="AV203" s="70" t="s">
        <v>85</v>
      </c>
      <c r="AW203" s="76"/>
    </row>
    <row r="204" spans="4:49" ht="31.5" customHeight="1" x14ac:dyDescent="0.2">
      <c r="D204" s="70" t="s">
        <v>85</v>
      </c>
      <c r="H204" s="70" t="s">
        <v>85</v>
      </c>
      <c r="I204" s="76"/>
      <c r="L204" s="70" t="s">
        <v>85</v>
      </c>
      <c r="M204" s="76"/>
      <c r="P204" s="70" t="s">
        <v>85</v>
      </c>
      <c r="Q204" s="76"/>
      <c r="T204" s="70" t="s">
        <v>85</v>
      </c>
      <c r="U204" s="76"/>
      <c r="X204" s="70" t="s">
        <v>85</v>
      </c>
      <c r="Y204" s="76"/>
      <c r="AB204" s="70" t="s">
        <v>85</v>
      </c>
      <c r="AC204" s="76"/>
      <c r="AF204" s="70" t="s">
        <v>85</v>
      </c>
      <c r="AG204" s="76"/>
      <c r="AJ204" s="70" t="s">
        <v>85</v>
      </c>
      <c r="AK204" s="76"/>
      <c r="AN204" s="70" t="s">
        <v>85</v>
      </c>
      <c r="AO204" s="76"/>
      <c r="AR204" s="70" t="s">
        <v>85</v>
      </c>
      <c r="AS204" s="76"/>
      <c r="AV204" s="70" t="s">
        <v>85</v>
      </c>
      <c r="AW204" s="76"/>
    </row>
    <row r="205" spans="4:49" ht="31.5" customHeight="1" x14ac:dyDescent="0.2">
      <c r="D205" s="70" t="s">
        <v>85</v>
      </c>
      <c r="H205" s="70" t="s">
        <v>85</v>
      </c>
      <c r="I205" s="76"/>
      <c r="L205" s="70" t="s">
        <v>85</v>
      </c>
      <c r="M205" s="76"/>
      <c r="P205" s="70" t="s">
        <v>85</v>
      </c>
      <c r="Q205" s="76"/>
      <c r="T205" s="70" t="s">
        <v>85</v>
      </c>
      <c r="U205" s="76"/>
      <c r="X205" s="70" t="s">
        <v>85</v>
      </c>
      <c r="Y205" s="76"/>
      <c r="AB205" s="70" t="s">
        <v>85</v>
      </c>
      <c r="AC205" s="76"/>
      <c r="AF205" s="70" t="s">
        <v>85</v>
      </c>
      <c r="AG205" s="76"/>
      <c r="AJ205" s="70" t="s">
        <v>85</v>
      </c>
      <c r="AK205" s="76"/>
      <c r="AN205" s="70" t="s">
        <v>85</v>
      </c>
      <c r="AO205" s="76"/>
      <c r="AR205" s="70" t="s">
        <v>85</v>
      </c>
      <c r="AS205" s="76"/>
      <c r="AV205" s="70" t="s">
        <v>85</v>
      </c>
      <c r="AW205" s="76"/>
    </row>
    <row r="206" spans="4:49" ht="31.5" customHeight="1" x14ac:dyDescent="0.2">
      <c r="D206" s="70" t="s">
        <v>85</v>
      </c>
      <c r="H206" s="70" t="s">
        <v>85</v>
      </c>
      <c r="I206" s="76"/>
      <c r="L206" s="70" t="s">
        <v>85</v>
      </c>
      <c r="M206" s="76"/>
      <c r="P206" s="70" t="s">
        <v>85</v>
      </c>
      <c r="Q206" s="76"/>
      <c r="T206" s="70" t="s">
        <v>85</v>
      </c>
      <c r="U206" s="76"/>
      <c r="X206" s="70" t="s">
        <v>85</v>
      </c>
      <c r="Y206" s="76"/>
      <c r="AB206" s="70" t="s">
        <v>85</v>
      </c>
      <c r="AC206" s="76"/>
      <c r="AF206" s="70" t="s">
        <v>85</v>
      </c>
      <c r="AG206" s="76"/>
      <c r="AJ206" s="70" t="s">
        <v>85</v>
      </c>
      <c r="AK206" s="76"/>
      <c r="AN206" s="70" t="s">
        <v>85</v>
      </c>
      <c r="AO206" s="76"/>
      <c r="AR206" s="70" t="s">
        <v>85</v>
      </c>
      <c r="AS206" s="76"/>
      <c r="AV206" s="70" t="s">
        <v>85</v>
      </c>
      <c r="AW206" s="76"/>
    </row>
    <row r="207" spans="4:49" ht="31.5" customHeight="1" x14ac:dyDescent="0.2">
      <c r="D207" s="70" t="s">
        <v>85</v>
      </c>
      <c r="H207" s="70" t="s">
        <v>85</v>
      </c>
      <c r="I207" s="76"/>
      <c r="L207" s="70" t="s">
        <v>85</v>
      </c>
      <c r="M207" s="76"/>
      <c r="P207" s="70" t="s">
        <v>85</v>
      </c>
      <c r="Q207" s="76"/>
      <c r="T207" s="70" t="s">
        <v>85</v>
      </c>
      <c r="U207" s="76"/>
      <c r="X207" s="70" t="s">
        <v>85</v>
      </c>
      <c r="Y207" s="76"/>
      <c r="AB207" s="70" t="s">
        <v>85</v>
      </c>
      <c r="AC207" s="76"/>
      <c r="AF207" s="70" t="s">
        <v>85</v>
      </c>
      <c r="AG207" s="76"/>
      <c r="AJ207" s="70" t="s">
        <v>85</v>
      </c>
      <c r="AK207" s="76"/>
      <c r="AN207" s="70" t="s">
        <v>85</v>
      </c>
      <c r="AO207" s="76"/>
      <c r="AR207" s="70" t="s">
        <v>85</v>
      </c>
      <c r="AS207" s="76"/>
      <c r="AV207" s="70" t="s">
        <v>85</v>
      </c>
      <c r="AW207" s="76"/>
    </row>
    <row r="208" spans="4:49" ht="31.5" customHeight="1" x14ac:dyDescent="0.2">
      <c r="D208" s="70" t="s">
        <v>85</v>
      </c>
      <c r="H208" s="70" t="s">
        <v>85</v>
      </c>
      <c r="I208" s="76"/>
      <c r="L208" s="70" t="s">
        <v>85</v>
      </c>
      <c r="M208" s="76"/>
      <c r="P208" s="70" t="s">
        <v>85</v>
      </c>
      <c r="Q208" s="76"/>
      <c r="T208" s="70" t="s">
        <v>85</v>
      </c>
      <c r="U208" s="76"/>
      <c r="X208" s="70" t="s">
        <v>85</v>
      </c>
      <c r="Y208" s="76"/>
      <c r="AB208" s="70" t="s">
        <v>85</v>
      </c>
      <c r="AC208" s="76"/>
      <c r="AF208" s="70" t="s">
        <v>85</v>
      </c>
      <c r="AG208" s="76"/>
      <c r="AJ208" s="70" t="s">
        <v>85</v>
      </c>
      <c r="AK208" s="76"/>
      <c r="AN208" s="70" t="s">
        <v>85</v>
      </c>
      <c r="AO208" s="76"/>
      <c r="AR208" s="70" t="s">
        <v>85</v>
      </c>
      <c r="AS208" s="76"/>
      <c r="AV208" s="70" t="s">
        <v>85</v>
      </c>
      <c r="AW208" s="76"/>
    </row>
    <row r="209" spans="4:49" ht="31.5" customHeight="1" x14ac:dyDescent="0.2">
      <c r="D209" s="70" t="s">
        <v>85</v>
      </c>
      <c r="H209" s="70" t="s">
        <v>85</v>
      </c>
      <c r="I209" s="76"/>
      <c r="L209" s="70" t="s">
        <v>85</v>
      </c>
      <c r="M209" s="76"/>
      <c r="P209" s="70" t="s">
        <v>85</v>
      </c>
      <c r="Q209" s="76"/>
      <c r="T209" s="70" t="s">
        <v>85</v>
      </c>
      <c r="U209" s="76"/>
      <c r="X209" s="70" t="s">
        <v>85</v>
      </c>
      <c r="Y209" s="76"/>
      <c r="AB209" s="70" t="s">
        <v>85</v>
      </c>
      <c r="AC209" s="76"/>
      <c r="AF209" s="70" t="s">
        <v>85</v>
      </c>
      <c r="AG209" s="76"/>
      <c r="AJ209" s="70" t="s">
        <v>85</v>
      </c>
      <c r="AK209" s="76"/>
      <c r="AN209" s="70" t="s">
        <v>85</v>
      </c>
      <c r="AO209" s="76"/>
      <c r="AR209" s="70" t="s">
        <v>85</v>
      </c>
      <c r="AS209" s="76"/>
      <c r="AV209" s="70" t="s">
        <v>85</v>
      </c>
      <c r="AW209" s="76"/>
    </row>
    <row r="210" spans="4:49" ht="31.5" customHeight="1" x14ac:dyDescent="0.2">
      <c r="D210" s="70" t="s">
        <v>85</v>
      </c>
      <c r="H210" s="70" t="s">
        <v>85</v>
      </c>
      <c r="I210" s="76"/>
      <c r="L210" s="70" t="s">
        <v>85</v>
      </c>
      <c r="M210" s="76"/>
      <c r="P210" s="70" t="s">
        <v>85</v>
      </c>
      <c r="Q210" s="76"/>
      <c r="T210" s="70" t="s">
        <v>85</v>
      </c>
      <c r="U210" s="76"/>
      <c r="X210" s="70" t="s">
        <v>85</v>
      </c>
      <c r="Y210" s="76"/>
      <c r="AB210" s="70" t="s">
        <v>85</v>
      </c>
      <c r="AC210" s="76"/>
      <c r="AF210" s="70" t="s">
        <v>85</v>
      </c>
      <c r="AG210" s="76"/>
      <c r="AJ210" s="70" t="s">
        <v>85</v>
      </c>
      <c r="AK210" s="76"/>
      <c r="AN210" s="70" t="s">
        <v>85</v>
      </c>
      <c r="AO210" s="76"/>
      <c r="AR210" s="70" t="s">
        <v>85</v>
      </c>
      <c r="AS210" s="76"/>
      <c r="AV210" s="70" t="s">
        <v>85</v>
      </c>
      <c r="AW210" s="76"/>
    </row>
    <row r="211" spans="4:49" ht="31.5" customHeight="1" x14ac:dyDescent="0.2">
      <c r="D211" s="70" t="s">
        <v>85</v>
      </c>
      <c r="H211" s="70" t="s">
        <v>85</v>
      </c>
      <c r="I211" s="76"/>
      <c r="L211" s="70" t="s">
        <v>85</v>
      </c>
      <c r="M211" s="76"/>
      <c r="P211" s="70" t="s">
        <v>85</v>
      </c>
      <c r="Q211" s="76"/>
      <c r="T211" s="70" t="s">
        <v>85</v>
      </c>
      <c r="U211" s="76"/>
      <c r="X211" s="70" t="s">
        <v>85</v>
      </c>
      <c r="Y211" s="76"/>
      <c r="AB211" s="70" t="s">
        <v>85</v>
      </c>
      <c r="AC211" s="76"/>
      <c r="AF211" s="70" t="s">
        <v>85</v>
      </c>
      <c r="AG211" s="76"/>
      <c r="AJ211" s="70" t="s">
        <v>85</v>
      </c>
      <c r="AK211" s="76"/>
      <c r="AN211" s="70" t="s">
        <v>85</v>
      </c>
      <c r="AO211" s="76"/>
      <c r="AR211" s="70" t="s">
        <v>85</v>
      </c>
      <c r="AS211" s="76"/>
      <c r="AV211" s="70" t="s">
        <v>85</v>
      </c>
      <c r="AW211" s="76"/>
    </row>
    <row r="212" spans="4:49" ht="31.5" customHeight="1" x14ac:dyDescent="0.2">
      <c r="D212" s="70" t="s">
        <v>85</v>
      </c>
      <c r="H212" s="70" t="s">
        <v>85</v>
      </c>
      <c r="I212" s="76"/>
      <c r="L212" s="70" t="s">
        <v>85</v>
      </c>
      <c r="M212" s="76"/>
      <c r="P212" s="70" t="s">
        <v>85</v>
      </c>
      <c r="Q212" s="76"/>
      <c r="T212" s="70" t="s">
        <v>85</v>
      </c>
      <c r="U212" s="76"/>
      <c r="X212" s="70" t="s">
        <v>85</v>
      </c>
      <c r="Y212" s="76"/>
      <c r="AB212" s="70" t="s">
        <v>85</v>
      </c>
      <c r="AC212" s="76"/>
      <c r="AF212" s="70" t="s">
        <v>85</v>
      </c>
      <c r="AG212" s="76"/>
      <c r="AJ212" s="70" t="s">
        <v>85</v>
      </c>
      <c r="AK212" s="76"/>
      <c r="AN212" s="70" t="s">
        <v>85</v>
      </c>
      <c r="AO212" s="76"/>
      <c r="AR212" s="70" t="s">
        <v>85</v>
      </c>
      <c r="AS212" s="76"/>
      <c r="AV212" s="70" t="s">
        <v>85</v>
      </c>
      <c r="AW212" s="76"/>
    </row>
    <row r="213" spans="4:49" ht="31.5" customHeight="1" x14ac:dyDescent="0.2">
      <c r="D213" s="70" t="s">
        <v>85</v>
      </c>
      <c r="H213" s="70" t="s">
        <v>85</v>
      </c>
      <c r="I213" s="76"/>
      <c r="L213" s="70" t="s">
        <v>85</v>
      </c>
      <c r="M213" s="76"/>
      <c r="P213" s="70" t="s">
        <v>85</v>
      </c>
      <c r="Q213" s="76"/>
      <c r="T213" s="70" t="s">
        <v>85</v>
      </c>
      <c r="U213" s="76"/>
      <c r="X213" s="70" t="s">
        <v>85</v>
      </c>
      <c r="Y213" s="76"/>
      <c r="AB213" s="70" t="s">
        <v>85</v>
      </c>
      <c r="AC213" s="76"/>
      <c r="AF213" s="70" t="s">
        <v>85</v>
      </c>
      <c r="AG213" s="76"/>
      <c r="AJ213" s="70" t="s">
        <v>85</v>
      </c>
      <c r="AK213" s="76"/>
      <c r="AN213" s="70" t="s">
        <v>85</v>
      </c>
      <c r="AO213" s="76"/>
      <c r="AR213" s="70" t="s">
        <v>85</v>
      </c>
      <c r="AS213" s="76"/>
      <c r="AV213" s="70" t="s">
        <v>85</v>
      </c>
      <c r="AW213" s="76"/>
    </row>
    <row r="214" spans="4:49" ht="31.5" customHeight="1" x14ac:dyDescent="0.2">
      <c r="D214" s="70" t="s">
        <v>85</v>
      </c>
      <c r="H214" s="70" t="s">
        <v>85</v>
      </c>
      <c r="I214" s="76"/>
      <c r="L214" s="70" t="s">
        <v>85</v>
      </c>
      <c r="M214" s="76"/>
      <c r="P214" s="70" t="s">
        <v>85</v>
      </c>
      <c r="Q214" s="76"/>
      <c r="T214" s="70" t="s">
        <v>85</v>
      </c>
      <c r="U214" s="76"/>
      <c r="X214" s="70" t="s">
        <v>85</v>
      </c>
      <c r="Y214" s="76"/>
      <c r="AB214" s="70" t="s">
        <v>85</v>
      </c>
      <c r="AC214" s="76"/>
      <c r="AF214" s="70" t="s">
        <v>85</v>
      </c>
      <c r="AG214" s="76"/>
      <c r="AJ214" s="70" t="s">
        <v>85</v>
      </c>
      <c r="AK214" s="76"/>
      <c r="AN214" s="70" t="s">
        <v>85</v>
      </c>
      <c r="AO214" s="76"/>
      <c r="AR214" s="70" t="s">
        <v>85</v>
      </c>
      <c r="AS214" s="76"/>
      <c r="AV214" s="70" t="s">
        <v>85</v>
      </c>
      <c r="AW214" s="76"/>
    </row>
    <row r="215" spans="4:49" ht="31.5" customHeight="1" x14ac:dyDescent="0.2">
      <c r="D215" s="70" t="s">
        <v>85</v>
      </c>
      <c r="H215" s="70" t="s">
        <v>85</v>
      </c>
      <c r="I215" s="76"/>
      <c r="L215" s="70" t="s">
        <v>85</v>
      </c>
      <c r="M215" s="76"/>
      <c r="P215" s="70" t="s">
        <v>85</v>
      </c>
      <c r="Q215" s="76"/>
      <c r="T215" s="70" t="s">
        <v>85</v>
      </c>
      <c r="U215" s="76"/>
      <c r="X215" s="70" t="s">
        <v>85</v>
      </c>
      <c r="Y215" s="76"/>
      <c r="AB215" s="70" t="s">
        <v>85</v>
      </c>
      <c r="AC215" s="76"/>
      <c r="AF215" s="70" t="s">
        <v>85</v>
      </c>
      <c r="AG215" s="76"/>
      <c r="AJ215" s="70" t="s">
        <v>85</v>
      </c>
      <c r="AK215" s="76"/>
      <c r="AN215" s="70" t="s">
        <v>85</v>
      </c>
      <c r="AO215" s="76"/>
      <c r="AR215" s="70" t="s">
        <v>85</v>
      </c>
      <c r="AS215" s="76"/>
      <c r="AV215" s="70" t="s">
        <v>85</v>
      </c>
      <c r="AW215" s="76"/>
    </row>
    <row r="216" spans="4:49" ht="31.5" customHeight="1" x14ac:dyDescent="0.2">
      <c r="D216" s="70" t="s">
        <v>85</v>
      </c>
      <c r="H216" s="70" t="s">
        <v>85</v>
      </c>
      <c r="I216" s="76"/>
      <c r="L216" s="70" t="s">
        <v>85</v>
      </c>
      <c r="M216" s="76"/>
      <c r="P216" s="70" t="s">
        <v>85</v>
      </c>
      <c r="Q216" s="76"/>
      <c r="T216" s="70" t="s">
        <v>85</v>
      </c>
      <c r="U216" s="76"/>
      <c r="X216" s="70" t="s">
        <v>85</v>
      </c>
      <c r="Y216" s="76"/>
      <c r="AB216" s="70" t="s">
        <v>85</v>
      </c>
      <c r="AC216" s="76"/>
      <c r="AF216" s="70" t="s">
        <v>85</v>
      </c>
      <c r="AG216" s="76"/>
      <c r="AJ216" s="70" t="s">
        <v>85</v>
      </c>
      <c r="AK216" s="76"/>
      <c r="AN216" s="70" t="s">
        <v>85</v>
      </c>
      <c r="AO216" s="76"/>
      <c r="AR216" s="70" t="s">
        <v>85</v>
      </c>
      <c r="AS216" s="76"/>
      <c r="AV216" s="70" t="s">
        <v>85</v>
      </c>
      <c r="AW216" s="76"/>
    </row>
    <row r="217" spans="4:49" ht="31.5" customHeight="1" x14ac:dyDescent="0.2">
      <c r="D217" s="70" t="s">
        <v>85</v>
      </c>
      <c r="H217" s="70" t="s">
        <v>85</v>
      </c>
      <c r="I217" s="76"/>
      <c r="L217" s="70" t="s">
        <v>85</v>
      </c>
      <c r="M217" s="76"/>
      <c r="P217" s="70" t="s">
        <v>85</v>
      </c>
      <c r="Q217" s="76"/>
      <c r="T217" s="70" t="s">
        <v>85</v>
      </c>
      <c r="U217" s="76"/>
      <c r="X217" s="70" t="s">
        <v>85</v>
      </c>
      <c r="Y217" s="76"/>
      <c r="AB217" s="70" t="s">
        <v>85</v>
      </c>
      <c r="AC217" s="76"/>
      <c r="AF217" s="70" t="s">
        <v>85</v>
      </c>
      <c r="AG217" s="76"/>
      <c r="AJ217" s="70" t="s">
        <v>85</v>
      </c>
      <c r="AK217" s="76"/>
      <c r="AN217" s="70" t="s">
        <v>85</v>
      </c>
      <c r="AO217" s="76"/>
      <c r="AR217" s="70" t="s">
        <v>85</v>
      </c>
      <c r="AS217" s="76"/>
      <c r="AV217" s="70" t="s">
        <v>85</v>
      </c>
      <c r="AW217" s="76"/>
    </row>
    <row r="218" spans="4:49" ht="31.5" customHeight="1" x14ac:dyDescent="0.2">
      <c r="D218" s="70" t="s">
        <v>85</v>
      </c>
      <c r="H218" s="70" t="s">
        <v>85</v>
      </c>
      <c r="I218" s="76"/>
      <c r="L218" s="70" t="s">
        <v>85</v>
      </c>
      <c r="M218" s="76"/>
      <c r="P218" s="70" t="s">
        <v>85</v>
      </c>
      <c r="Q218" s="76"/>
      <c r="T218" s="70" t="s">
        <v>85</v>
      </c>
      <c r="U218" s="76"/>
      <c r="X218" s="70" t="s">
        <v>85</v>
      </c>
      <c r="Y218" s="76"/>
      <c r="AB218" s="70" t="s">
        <v>85</v>
      </c>
      <c r="AC218" s="76"/>
      <c r="AF218" s="70" t="s">
        <v>85</v>
      </c>
      <c r="AG218" s="76"/>
      <c r="AJ218" s="70" t="s">
        <v>85</v>
      </c>
      <c r="AK218" s="76"/>
      <c r="AN218" s="70" t="s">
        <v>85</v>
      </c>
      <c r="AO218" s="76"/>
      <c r="AR218" s="70" t="s">
        <v>85</v>
      </c>
      <c r="AS218" s="76"/>
      <c r="AV218" s="70" t="s">
        <v>85</v>
      </c>
      <c r="AW218" s="76"/>
    </row>
    <row r="219" spans="4:49" ht="31.5" customHeight="1" x14ac:dyDescent="0.2">
      <c r="D219" s="70" t="s">
        <v>85</v>
      </c>
      <c r="H219" s="70" t="s">
        <v>85</v>
      </c>
      <c r="I219" s="76"/>
      <c r="L219" s="70" t="s">
        <v>85</v>
      </c>
      <c r="M219" s="76"/>
      <c r="P219" s="70" t="s">
        <v>85</v>
      </c>
      <c r="Q219" s="76"/>
      <c r="T219" s="70" t="s">
        <v>85</v>
      </c>
      <c r="U219" s="76"/>
      <c r="X219" s="70" t="s">
        <v>85</v>
      </c>
      <c r="Y219" s="76"/>
      <c r="AB219" s="70" t="s">
        <v>85</v>
      </c>
      <c r="AC219" s="76"/>
      <c r="AF219" s="70" t="s">
        <v>85</v>
      </c>
      <c r="AG219" s="76"/>
      <c r="AJ219" s="70" t="s">
        <v>85</v>
      </c>
      <c r="AK219" s="76"/>
      <c r="AN219" s="70" t="s">
        <v>85</v>
      </c>
      <c r="AO219" s="76"/>
      <c r="AR219" s="70" t="s">
        <v>85</v>
      </c>
      <c r="AS219" s="76"/>
      <c r="AV219" s="70" t="s">
        <v>85</v>
      </c>
      <c r="AW219" s="76"/>
    </row>
    <row r="220" spans="4:49" ht="31.5" customHeight="1" x14ac:dyDescent="0.2">
      <c r="D220" s="70" t="s">
        <v>85</v>
      </c>
      <c r="H220" s="70" t="s">
        <v>85</v>
      </c>
      <c r="I220" s="76"/>
      <c r="L220" s="70" t="s">
        <v>85</v>
      </c>
      <c r="M220" s="76"/>
      <c r="P220" s="70" t="s">
        <v>85</v>
      </c>
      <c r="Q220" s="76"/>
      <c r="T220" s="70" t="s">
        <v>85</v>
      </c>
      <c r="U220" s="76"/>
      <c r="X220" s="70" t="s">
        <v>85</v>
      </c>
      <c r="Y220" s="76"/>
      <c r="AB220" s="70" t="s">
        <v>85</v>
      </c>
      <c r="AC220" s="76"/>
      <c r="AF220" s="70" t="s">
        <v>85</v>
      </c>
      <c r="AG220" s="76"/>
      <c r="AJ220" s="70" t="s">
        <v>85</v>
      </c>
      <c r="AK220" s="76"/>
      <c r="AN220" s="70" t="s">
        <v>85</v>
      </c>
      <c r="AO220" s="76"/>
      <c r="AR220" s="70" t="s">
        <v>85</v>
      </c>
      <c r="AS220" s="76"/>
      <c r="AV220" s="70" t="s">
        <v>85</v>
      </c>
      <c r="AW220" s="76"/>
    </row>
    <row r="221" spans="4:49" ht="31.5" customHeight="1" x14ac:dyDescent="0.2">
      <c r="D221" s="70" t="s">
        <v>85</v>
      </c>
      <c r="H221" s="70" t="s">
        <v>85</v>
      </c>
      <c r="I221" s="76"/>
      <c r="L221" s="70" t="s">
        <v>85</v>
      </c>
      <c r="M221" s="76"/>
      <c r="P221" s="70" t="s">
        <v>85</v>
      </c>
      <c r="Q221" s="76"/>
      <c r="T221" s="70" t="s">
        <v>85</v>
      </c>
      <c r="U221" s="76"/>
      <c r="X221" s="70" t="s">
        <v>85</v>
      </c>
      <c r="Y221" s="76"/>
      <c r="AB221" s="70" t="s">
        <v>85</v>
      </c>
      <c r="AC221" s="76"/>
      <c r="AF221" s="70" t="s">
        <v>85</v>
      </c>
      <c r="AG221" s="76"/>
      <c r="AJ221" s="70" t="s">
        <v>85</v>
      </c>
      <c r="AK221" s="76"/>
      <c r="AN221" s="70" t="s">
        <v>85</v>
      </c>
      <c r="AO221" s="76"/>
      <c r="AR221" s="70" t="s">
        <v>85</v>
      </c>
      <c r="AS221" s="76"/>
      <c r="AV221" s="70" t="s">
        <v>85</v>
      </c>
      <c r="AW221" s="76"/>
    </row>
    <row r="222" spans="4:49" ht="31.5" customHeight="1" x14ac:dyDescent="0.2">
      <c r="D222" s="70" t="s">
        <v>85</v>
      </c>
      <c r="H222" s="70" t="s">
        <v>85</v>
      </c>
      <c r="I222" s="76"/>
      <c r="L222" s="70" t="s">
        <v>85</v>
      </c>
      <c r="M222" s="76"/>
      <c r="P222" s="70" t="s">
        <v>85</v>
      </c>
      <c r="Q222" s="76"/>
      <c r="T222" s="70" t="s">
        <v>85</v>
      </c>
      <c r="U222" s="76"/>
      <c r="X222" s="70" t="s">
        <v>85</v>
      </c>
      <c r="Y222" s="76"/>
      <c r="AB222" s="70" t="s">
        <v>85</v>
      </c>
      <c r="AC222" s="76"/>
      <c r="AF222" s="70" t="s">
        <v>85</v>
      </c>
      <c r="AG222" s="76"/>
      <c r="AJ222" s="70" t="s">
        <v>85</v>
      </c>
      <c r="AK222" s="76"/>
      <c r="AN222" s="70" t="s">
        <v>85</v>
      </c>
      <c r="AO222" s="76"/>
      <c r="AR222" s="70" t="s">
        <v>85</v>
      </c>
      <c r="AS222" s="76"/>
      <c r="AV222" s="70" t="s">
        <v>85</v>
      </c>
      <c r="AW222" s="76"/>
    </row>
    <row r="223" spans="4:49" ht="31.5" customHeight="1" x14ac:dyDescent="0.2">
      <c r="D223" s="70" t="s">
        <v>85</v>
      </c>
      <c r="H223" s="70" t="s">
        <v>85</v>
      </c>
      <c r="I223" s="76"/>
      <c r="L223" s="70" t="s">
        <v>85</v>
      </c>
      <c r="M223" s="76"/>
      <c r="P223" s="70" t="s">
        <v>85</v>
      </c>
      <c r="Q223" s="76"/>
      <c r="T223" s="70" t="s">
        <v>85</v>
      </c>
      <c r="U223" s="76"/>
      <c r="X223" s="70" t="s">
        <v>85</v>
      </c>
      <c r="Y223" s="76"/>
      <c r="AB223" s="70" t="s">
        <v>85</v>
      </c>
      <c r="AC223" s="76"/>
      <c r="AF223" s="70" t="s">
        <v>85</v>
      </c>
      <c r="AG223" s="76"/>
      <c r="AJ223" s="70" t="s">
        <v>85</v>
      </c>
      <c r="AK223" s="76"/>
      <c r="AN223" s="70" t="s">
        <v>85</v>
      </c>
      <c r="AO223" s="76"/>
      <c r="AR223" s="70" t="s">
        <v>85</v>
      </c>
      <c r="AS223" s="76"/>
      <c r="AV223" s="70" t="s">
        <v>85</v>
      </c>
      <c r="AW223" s="76"/>
    </row>
    <row r="224" spans="4:49" ht="31.5" customHeight="1" x14ac:dyDescent="0.2">
      <c r="D224" s="70" t="s">
        <v>85</v>
      </c>
      <c r="H224" s="70" t="s">
        <v>85</v>
      </c>
      <c r="I224" s="76"/>
      <c r="L224" s="70" t="s">
        <v>85</v>
      </c>
      <c r="M224" s="76"/>
      <c r="P224" s="70" t="s">
        <v>85</v>
      </c>
      <c r="Q224" s="76"/>
      <c r="T224" s="70" t="s">
        <v>85</v>
      </c>
      <c r="U224" s="76"/>
      <c r="X224" s="70" t="s">
        <v>85</v>
      </c>
      <c r="Y224" s="76"/>
      <c r="AB224" s="70" t="s">
        <v>85</v>
      </c>
      <c r="AC224" s="76"/>
      <c r="AF224" s="70" t="s">
        <v>85</v>
      </c>
      <c r="AG224" s="76"/>
      <c r="AJ224" s="70" t="s">
        <v>85</v>
      </c>
      <c r="AK224" s="76"/>
      <c r="AN224" s="70" t="s">
        <v>85</v>
      </c>
      <c r="AO224" s="76"/>
      <c r="AR224" s="70" t="s">
        <v>85</v>
      </c>
      <c r="AS224" s="76"/>
      <c r="AV224" s="70" t="s">
        <v>85</v>
      </c>
      <c r="AW224" s="76"/>
    </row>
    <row r="225" spans="4:49" ht="31.5" customHeight="1" x14ac:dyDescent="0.2">
      <c r="D225" s="70" t="s">
        <v>85</v>
      </c>
      <c r="H225" s="70" t="s">
        <v>85</v>
      </c>
      <c r="I225" s="76"/>
      <c r="L225" s="70" t="s">
        <v>85</v>
      </c>
      <c r="M225" s="76"/>
      <c r="P225" s="70" t="s">
        <v>85</v>
      </c>
      <c r="Q225" s="76"/>
      <c r="T225" s="70" t="s">
        <v>85</v>
      </c>
      <c r="U225" s="76"/>
      <c r="X225" s="70" t="s">
        <v>85</v>
      </c>
      <c r="Y225" s="76"/>
      <c r="AB225" s="70" t="s">
        <v>85</v>
      </c>
      <c r="AC225" s="76"/>
      <c r="AF225" s="70" t="s">
        <v>85</v>
      </c>
      <c r="AG225" s="76"/>
      <c r="AJ225" s="70" t="s">
        <v>85</v>
      </c>
      <c r="AK225" s="76"/>
      <c r="AN225" s="70" t="s">
        <v>85</v>
      </c>
      <c r="AO225" s="76"/>
      <c r="AR225" s="70" t="s">
        <v>85</v>
      </c>
      <c r="AS225" s="76"/>
      <c r="AV225" s="70" t="s">
        <v>85</v>
      </c>
      <c r="AW225" s="76"/>
    </row>
    <row r="226" spans="4:49" ht="31.5" customHeight="1" x14ac:dyDescent="0.2">
      <c r="D226" s="70" t="s">
        <v>85</v>
      </c>
      <c r="H226" s="70" t="s">
        <v>85</v>
      </c>
      <c r="I226" s="76"/>
      <c r="L226" s="70" t="s">
        <v>85</v>
      </c>
      <c r="M226" s="76"/>
      <c r="P226" s="70" t="s">
        <v>85</v>
      </c>
      <c r="Q226" s="76"/>
      <c r="T226" s="70" t="s">
        <v>85</v>
      </c>
      <c r="U226" s="76"/>
      <c r="X226" s="70" t="s">
        <v>85</v>
      </c>
      <c r="Y226" s="76"/>
      <c r="AB226" s="70" t="s">
        <v>85</v>
      </c>
      <c r="AC226" s="76"/>
      <c r="AF226" s="70" t="s">
        <v>85</v>
      </c>
      <c r="AG226" s="76"/>
      <c r="AJ226" s="70" t="s">
        <v>85</v>
      </c>
      <c r="AK226" s="76"/>
      <c r="AN226" s="70" t="s">
        <v>85</v>
      </c>
      <c r="AO226" s="76"/>
      <c r="AR226" s="70" t="s">
        <v>85</v>
      </c>
      <c r="AS226" s="76"/>
      <c r="AV226" s="70" t="s">
        <v>85</v>
      </c>
      <c r="AW226" s="76"/>
    </row>
    <row r="227" spans="4:49" ht="31.5" customHeight="1" x14ac:dyDescent="0.2">
      <c r="D227" s="70" t="s">
        <v>85</v>
      </c>
      <c r="H227" s="70" t="s">
        <v>85</v>
      </c>
      <c r="I227" s="76"/>
      <c r="L227" s="70" t="s">
        <v>85</v>
      </c>
      <c r="M227" s="76"/>
      <c r="P227" s="70" t="s">
        <v>85</v>
      </c>
      <c r="Q227" s="76"/>
      <c r="T227" s="70" t="s">
        <v>85</v>
      </c>
      <c r="U227" s="76"/>
      <c r="X227" s="70" t="s">
        <v>85</v>
      </c>
      <c r="Y227" s="76"/>
      <c r="AB227" s="70" t="s">
        <v>85</v>
      </c>
      <c r="AC227" s="76"/>
      <c r="AF227" s="70" t="s">
        <v>85</v>
      </c>
      <c r="AG227" s="76"/>
      <c r="AJ227" s="70" t="s">
        <v>85</v>
      </c>
      <c r="AK227" s="76"/>
      <c r="AN227" s="70" t="s">
        <v>85</v>
      </c>
      <c r="AO227" s="76"/>
      <c r="AR227" s="70" t="s">
        <v>85</v>
      </c>
      <c r="AS227" s="76"/>
      <c r="AV227" s="70" t="s">
        <v>85</v>
      </c>
      <c r="AW227" s="76"/>
    </row>
    <row r="228" spans="4:49" ht="31.5" customHeight="1" x14ac:dyDescent="0.2">
      <c r="D228" s="70" t="s">
        <v>85</v>
      </c>
      <c r="H228" s="70" t="s">
        <v>85</v>
      </c>
      <c r="I228" s="76"/>
      <c r="L228" s="70" t="s">
        <v>85</v>
      </c>
      <c r="M228" s="76"/>
      <c r="P228" s="70" t="s">
        <v>85</v>
      </c>
      <c r="Q228" s="76"/>
      <c r="T228" s="70" t="s">
        <v>85</v>
      </c>
      <c r="U228" s="76"/>
      <c r="X228" s="70" t="s">
        <v>85</v>
      </c>
      <c r="Y228" s="76"/>
      <c r="AB228" s="70" t="s">
        <v>85</v>
      </c>
      <c r="AC228" s="76"/>
      <c r="AF228" s="70" t="s">
        <v>85</v>
      </c>
      <c r="AG228" s="76"/>
      <c r="AJ228" s="70" t="s">
        <v>85</v>
      </c>
      <c r="AK228" s="76"/>
      <c r="AN228" s="70" t="s">
        <v>85</v>
      </c>
      <c r="AO228" s="76"/>
      <c r="AR228" s="70" t="s">
        <v>85</v>
      </c>
      <c r="AS228" s="76"/>
      <c r="AV228" s="70" t="s">
        <v>85</v>
      </c>
      <c r="AW228" s="76"/>
    </row>
    <row r="229" spans="4:49" ht="31.5" customHeight="1" x14ac:dyDescent="0.2">
      <c r="D229" s="70" t="s">
        <v>85</v>
      </c>
      <c r="H229" s="70" t="s">
        <v>85</v>
      </c>
      <c r="I229" s="76"/>
      <c r="L229" s="70" t="s">
        <v>85</v>
      </c>
      <c r="M229" s="76"/>
      <c r="P229" s="70" t="s">
        <v>85</v>
      </c>
      <c r="Q229" s="76"/>
      <c r="T229" s="70" t="s">
        <v>85</v>
      </c>
      <c r="U229" s="76"/>
      <c r="X229" s="70" t="s">
        <v>85</v>
      </c>
      <c r="Y229" s="76"/>
      <c r="AB229" s="70" t="s">
        <v>85</v>
      </c>
      <c r="AC229" s="76"/>
      <c r="AF229" s="70" t="s">
        <v>85</v>
      </c>
      <c r="AG229" s="76"/>
      <c r="AJ229" s="70" t="s">
        <v>85</v>
      </c>
      <c r="AK229" s="76"/>
      <c r="AN229" s="70" t="s">
        <v>85</v>
      </c>
      <c r="AO229" s="76"/>
      <c r="AR229" s="70" t="s">
        <v>85</v>
      </c>
      <c r="AS229" s="76"/>
      <c r="AV229" s="70" t="s">
        <v>85</v>
      </c>
      <c r="AW229" s="76"/>
    </row>
    <row r="230" spans="4:49" ht="31.5" customHeight="1" x14ac:dyDescent="0.2">
      <c r="D230" s="70" t="s">
        <v>85</v>
      </c>
      <c r="H230" s="70" t="s">
        <v>85</v>
      </c>
      <c r="I230" s="76"/>
      <c r="L230" s="70" t="s">
        <v>85</v>
      </c>
      <c r="M230" s="76"/>
      <c r="P230" s="70" t="s">
        <v>85</v>
      </c>
      <c r="Q230" s="76"/>
      <c r="T230" s="70" t="s">
        <v>85</v>
      </c>
      <c r="U230" s="76"/>
      <c r="X230" s="70" t="s">
        <v>85</v>
      </c>
      <c r="Y230" s="76"/>
      <c r="AB230" s="70" t="s">
        <v>85</v>
      </c>
      <c r="AC230" s="76"/>
      <c r="AF230" s="70" t="s">
        <v>85</v>
      </c>
      <c r="AG230" s="76"/>
      <c r="AJ230" s="70" t="s">
        <v>85</v>
      </c>
      <c r="AK230" s="76"/>
      <c r="AN230" s="70" t="s">
        <v>85</v>
      </c>
      <c r="AO230" s="76"/>
      <c r="AR230" s="70" t="s">
        <v>85</v>
      </c>
      <c r="AS230" s="76"/>
      <c r="AV230" s="70" t="s">
        <v>85</v>
      </c>
      <c r="AW230" s="76"/>
    </row>
    <row r="231" spans="4:49" ht="31.5" customHeight="1" x14ac:dyDescent="0.2">
      <c r="D231" s="70" t="s">
        <v>85</v>
      </c>
      <c r="H231" s="70" t="s">
        <v>85</v>
      </c>
      <c r="I231" s="76"/>
      <c r="L231" s="70" t="s">
        <v>85</v>
      </c>
      <c r="M231" s="76"/>
      <c r="P231" s="70" t="s">
        <v>85</v>
      </c>
      <c r="Q231" s="76"/>
      <c r="T231" s="70" t="s">
        <v>85</v>
      </c>
      <c r="U231" s="76"/>
      <c r="X231" s="70" t="s">
        <v>85</v>
      </c>
      <c r="Y231" s="76"/>
      <c r="AB231" s="70" t="s">
        <v>85</v>
      </c>
      <c r="AC231" s="76"/>
      <c r="AF231" s="70" t="s">
        <v>85</v>
      </c>
      <c r="AG231" s="76"/>
      <c r="AJ231" s="70" t="s">
        <v>85</v>
      </c>
      <c r="AK231" s="76"/>
      <c r="AN231" s="70" t="s">
        <v>85</v>
      </c>
      <c r="AO231" s="76"/>
      <c r="AR231" s="70" t="s">
        <v>85</v>
      </c>
      <c r="AS231" s="76"/>
      <c r="AV231" s="70" t="s">
        <v>85</v>
      </c>
      <c r="AW231" s="76"/>
    </row>
    <row r="232" spans="4:49" ht="31.5" customHeight="1" x14ac:dyDescent="0.2">
      <c r="D232" s="70" t="s">
        <v>85</v>
      </c>
      <c r="H232" s="70" t="s">
        <v>85</v>
      </c>
      <c r="I232" s="76"/>
      <c r="L232" s="70" t="s">
        <v>85</v>
      </c>
      <c r="M232" s="76"/>
      <c r="P232" s="70" t="s">
        <v>85</v>
      </c>
      <c r="Q232" s="76"/>
      <c r="T232" s="70" t="s">
        <v>85</v>
      </c>
      <c r="U232" s="76"/>
      <c r="X232" s="70" t="s">
        <v>85</v>
      </c>
      <c r="Y232" s="76"/>
      <c r="AB232" s="70" t="s">
        <v>85</v>
      </c>
      <c r="AC232" s="76"/>
      <c r="AF232" s="70" t="s">
        <v>85</v>
      </c>
      <c r="AG232" s="76"/>
      <c r="AJ232" s="70" t="s">
        <v>85</v>
      </c>
      <c r="AK232" s="76"/>
      <c r="AN232" s="70" t="s">
        <v>85</v>
      </c>
      <c r="AO232" s="76"/>
      <c r="AR232" s="70" t="s">
        <v>85</v>
      </c>
      <c r="AS232" s="76"/>
      <c r="AV232" s="70" t="s">
        <v>85</v>
      </c>
      <c r="AW232" s="76"/>
    </row>
    <row r="233" spans="4:49" ht="31.5" customHeight="1" x14ac:dyDescent="0.2">
      <c r="D233" s="70" t="s">
        <v>85</v>
      </c>
      <c r="H233" s="70" t="s">
        <v>85</v>
      </c>
      <c r="I233" s="76"/>
      <c r="L233" s="70" t="s">
        <v>85</v>
      </c>
      <c r="M233" s="76"/>
      <c r="P233" s="70" t="s">
        <v>85</v>
      </c>
      <c r="Q233" s="76"/>
      <c r="T233" s="70" t="s">
        <v>85</v>
      </c>
      <c r="U233" s="76"/>
      <c r="X233" s="70" t="s">
        <v>85</v>
      </c>
      <c r="Y233" s="76"/>
      <c r="AB233" s="70" t="s">
        <v>85</v>
      </c>
      <c r="AC233" s="76"/>
      <c r="AF233" s="70" t="s">
        <v>85</v>
      </c>
      <c r="AG233" s="76"/>
      <c r="AJ233" s="70" t="s">
        <v>85</v>
      </c>
      <c r="AK233" s="76"/>
      <c r="AN233" s="70" t="s">
        <v>85</v>
      </c>
      <c r="AO233" s="76"/>
      <c r="AR233" s="70" t="s">
        <v>85</v>
      </c>
      <c r="AS233" s="76"/>
      <c r="AV233" s="70" t="s">
        <v>85</v>
      </c>
      <c r="AW233" s="76"/>
    </row>
    <row r="234" spans="4:49" ht="31.5" customHeight="1" x14ac:dyDescent="0.2">
      <c r="D234" s="70" t="s">
        <v>85</v>
      </c>
      <c r="H234" s="70" t="s">
        <v>85</v>
      </c>
      <c r="I234" s="76"/>
      <c r="L234" s="70" t="s">
        <v>85</v>
      </c>
      <c r="M234" s="76"/>
      <c r="P234" s="70" t="s">
        <v>85</v>
      </c>
      <c r="Q234" s="76"/>
      <c r="T234" s="70" t="s">
        <v>85</v>
      </c>
      <c r="U234" s="76"/>
      <c r="X234" s="70" t="s">
        <v>85</v>
      </c>
      <c r="Y234" s="76"/>
      <c r="AB234" s="70" t="s">
        <v>85</v>
      </c>
      <c r="AC234" s="76"/>
      <c r="AF234" s="70" t="s">
        <v>85</v>
      </c>
      <c r="AG234" s="76"/>
      <c r="AJ234" s="70" t="s">
        <v>85</v>
      </c>
      <c r="AK234" s="76"/>
      <c r="AN234" s="70" t="s">
        <v>85</v>
      </c>
      <c r="AO234" s="76"/>
      <c r="AR234" s="70" t="s">
        <v>85</v>
      </c>
      <c r="AS234" s="76"/>
      <c r="AV234" s="70" t="s">
        <v>85</v>
      </c>
      <c r="AW234" s="76"/>
    </row>
    <row r="235" spans="4:49" ht="31.5" customHeight="1" x14ac:dyDescent="0.2">
      <c r="D235" s="70" t="s">
        <v>85</v>
      </c>
      <c r="H235" s="70" t="s">
        <v>85</v>
      </c>
      <c r="I235" s="76"/>
      <c r="L235" s="70" t="s">
        <v>85</v>
      </c>
      <c r="M235" s="76"/>
      <c r="P235" s="70" t="s">
        <v>85</v>
      </c>
      <c r="Q235" s="76"/>
      <c r="T235" s="70" t="s">
        <v>85</v>
      </c>
      <c r="U235" s="76"/>
      <c r="X235" s="70" t="s">
        <v>85</v>
      </c>
      <c r="Y235" s="76"/>
      <c r="AB235" s="70" t="s">
        <v>85</v>
      </c>
      <c r="AC235" s="76"/>
      <c r="AF235" s="70" t="s">
        <v>85</v>
      </c>
      <c r="AG235" s="76"/>
      <c r="AJ235" s="70" t="s">
        <v>85</v>
      </c>
      <c r="AK235" s="76"/>
      <c r="AN235" s="70" t="s">
        <v>85</v>
      </c>
      <c r="AO235" s="76"/>
      <c r="AR235" s="70" t="s">
        <v>85</v>
      </c>
      <c r="AS235" s="76"/>
      <c r="AV235" s="70" t="s">
        <v>85</v>
      </c>
      <c r="AW235" s="76"/>
    </row>
    <row r="236" spans="4:49" ht="31.5" customHeight="1" x14ac:dyDescent="0.2">
      <c r="D236" s="70" t="s">
        <v>85</v>
      </c>
      <c r="H236" s="70" t="s">
        <v>85</v>
      </c>
      <c r="I236" s="76"/>
      <c r="L236" s="70" t="s">
        <v>85</v>
      </c>
      <c r="M236" s="76"/>
      <c r="P236" s="70" t="s">
        <v>85</v>
      </c>
      <c r="Q236" s="76"/>
      <c r="T236" s="70" t="s">
        <v>85</v>
      </c>
      <c r="U236" s="76"/>
      <c r="X236" s="70" t="s">
        <v>85</v>
      </c>
      <c r="Y236" s="76"/>
      <c r="AB236" s="70" t="s">
        <v>85</v>
      </c>
      <c r="AC236" s="76"/>
      <c r="AF236" s="70" t="s">
        <v>85</v>
      </c>
      <c r="AG236" s="76"/>
      <c r="AJ236" s="70" t="s">
        <v>85</v>
      </c>
      <c r="AK236" s="76"/>
      <c r="AN236" s="70" t="s">
        <v>85</v>
      </c>
      <c r="AO236" s="76"/>
      <c r="AR236" s="70" t="s">
        <v>85</v>
      </c>
      <c r="AS236" s="76"/>
      <c r="AV236" s="70" t="s">
        <v>85</v>
      </c>
      <c r="AW236" s="76"/>
    </row>
    <row r="237" spans="4:49" ht="31.5" customHeight="1" x14ac:dyDescent="0.2">
      <c r="D237" s="70" t="s">
        <v>85</v>
      </c>
      <c r="H237" s="70" t="s">
        <v>85</v>
      </c>
      <c r="I237" s="76"/>
      <c r="L237" s="70" t="s">
        <v>85</v>
      </c>
      <c r="M237" s="76"/>
      <c r="P237" s="70" t="s">
        <v>85</v>
      </c>
      <c r="Q237" s="76"/>
      <c r="T237" s="70" t="s">
        <v>85</v>
      </c>
      <c r="U237" s="76"/>
      <c r="X237" s="70" t="s">
        <v>85</v>
      </c>
      <c r="Y237" s="76"/>
      <c r="AB237" s="70" t="s">
        <v>85</v>
      </c>
      <c r="AC237" s="76"/>
      <c r="AF237" s="70" t="s">
        <v>85</v>
      </c>
      <c r="AG237" s="76"/>
      <c r="AJ237" s="70" t="s">
        <v>85</v>
      </c>
      <c r="AK237" s="76"/>
      <c r="AN237" s="70" t="s">
        <v>85</v>
      </c>
      <c r="AO237" s="76"/>
      <c r="AR237" s="70" t="s">
        <v>85</v>
      </c>
      <c r="AS237" s="76"/>
      <c r="AV237" s="70" t="s">
        <v>85</v>
      </c>
      <c r="AW237" s="76"/>
    </row>
    <row r="238" spans="4:49" ht="31.5" customHeight="1" x14ac:dyDescent="0.2">
      <c r="D238" s="70" t="s">
        <v>85</v>
      </c>
      <c r="H238" s="70" t="s">
        <v>85</v>
      </c>
      <c r="I238" s="76"/>
      <c r="L238" s="70" t="s">
        <v>85</v>
      </c>
      <c r="M238" s="76"/>
      <c r="P238" s="70" t="s">
        <v>85</v>
      </c>
      <c r="Q238" s="76"/>
      <c r="T238" s="70" t="s">
        <v>85</v>
      </c>
      <c r="U238" s="76"/>
      <c r="X238" s="70" t="s">
        <v>85</v>
      </c>
      <c r="Y238" s="76"/>
      <c r="AB238" s="70" t="s">
        <v>85</v>
      </c>
      <c r="AC238" s="76"/>
      <c r="AF238" s="70" t="s">
        <v>85</v>
      </c>
      <c r="AG238" s="76"/>
      <c r="AJ238" s="70" t="s">
        <v>85</v>
      </c>
      <c r="AK238" s="76"/>
      <c r="AN238" s="70" t="s">
        <v>85</v>
      </c>
      <c r="AO238" s="76"/>
      <c r="AR238" s="70" t="s">
        <v>85</v>
      </c>
      <c r="AS238" s="76"/>
      <c r="AV238" s="70" t="s">
        <v>85</v>
      </c>
      <c r="AW238" s="76"/>
    </row>
    <row r="239" spans="4:49" ht="31.5" customHeight="1" x14ac:dyDescent="0.2">
      <c r="D239" s="70" t="s">
        <v>85</v>
      </c>
      <c r="H239" s="70" t="s">
        <v>85</v>
      </c>
      <c r="I239" s="76"/>
      <c r="L239" s="70" t="s">
        <v>85</v>
      </c>
      <c r="M239" s="76"/>
      <c r="P239" s="70" t="s">
        <v>85</v>
      </c>
      <c r="Q239" s="76"/>
      <c r="T239" s="70" t="s">
        <v>85</v>
      </c>
      <c r="U239" s="76"/>
      <c r="X239" s="70" t="s">
        <v>85</v>
      </c>
      <c r="Y239" s="76"/>
      <c r="AB239" s="70" t="s">
        <v>85</v>
      </c>
      <c r="AC239" s="76"/>
      <c r="AF239" s="70" t="s">
        <v>85</v>
      </c>
      <c r="AG239" s="76"/>
      <c r="AJ239" s="70" t="s">
        <v>85</v>
      </c>
      <c r="AK239" s="76"/>
      <c r="AN239" s="70" t="s">
        <v>85</v>
      </c>
      <c r="AO239" s="76"/>
      <c r="AR239" s="70" t="s">
        <v>85</v>
      </c>
      <c r="AS239" s="76"/>
      <c r="AV239" s="70" t="s">
        <v>85</v>
      </c>
      <c r="AW239" s="76"/>
    </row>
    <row r="240" spans="4:49" ht="31.5" customHeight="1" x14ac:dyDescent="0.2">
      <c r="D240" s="70" t="s">
        <v>85</v>
      </c>
      <c r="H240" s="70" t="s">
        <v>85</v>
      </c>
      <c r="I240" s="76"/>
      <c r="L240" s="70" t="s">
        <v>85</v>
      </c>
      <c r="M240" s="76"/>
      <c r="P240" s="70" t="s">
        <v>85</v>
      </c>
      <c r="Q240" s="76"/>
      <c r="T240" s="70" t="s">
        <v>85</v>
      </c>
      <c r="U240" s="76"/>
      <c r="X240" s="70" t="s">
        <v>85</v>
      </c>
      <c r="Y240" s="76"/>
      <c r="AB240" s="70" t="s">
        <v>85</v>
      </c>
      <c r="AC240" s="76"/>
      <c r="AF240" s="70" t="s">
        <v>85</v>
      </c>
      <c r="AG240" s="76"/>
      <c r="AJ240" s="70" t="s">
        <v>85</v>
      </c>
      <c r="AK240" s="76"/>
      <c r="AN240" s="70" t="s">
        <v>85</v>
      </c>
      <c r="AO240" s="76"/>
      <c r="AR240" s="70" t="s">
        <v>85</v>
      </c>
      <c r="AS240" s="76"/>
      <c r="AV240" s="70" t="s">
        <v>85</v>
      </c>
      <c r="AW240" s="76"/>
    </row>
    <row r="241" spans="4:49" ht="31.5" customHeight="1" x14ac:dyDescent="0.2">
      <c r="D241" s="70" t="s">
        <v>85</v>
      </c>
      <c r="H241" s="70" t="s">
        <v>85</v>
      </c>
      <c r="I241" s="76"/>
      <c r="L241" s="70" t="s">
        <v>85</v>
      </c>
      <c r="M241" s="76"/>
      <c r="P241" s="70" t="s">
        <v>85</v>
      </c>
      <c r="Q241" s="76"/>
      <c r="T241" s="70" t="s">
        <v>85</v>
      </c>
      <c r="U241" s="76"/>
      <c r="X241" s="70" t="s">
        <v>85</v>
      </c>
      <c r="Y241" s="76"/>
      <c r="AB241" s="70" t="s">
        <v>85</v>
      </c>
      <c r="AC241" s="76"/>
      <c r="AF241" s="70" t="s">
        <v>85</v>
      </c>
      <c r="AG241" s="76"/>
      <c r="AJ241" s="70" t="s">
        <v>85</v>
      </c>
      <c r="AK241" s="76"/>
      <c r="AN241" s="70" t="s">
        <v>85</v>
      </c>
      <c r="AO241" s="76"/>
      <c r="AR241" s="70" t="s">
        <v>85</v>
      </c>
      <c r="AS241" s="76"/>
      <c r="AV241" s="70" t="s">
        <v>85</v>
      </c>
      <c r="AW241" s="76"/>
    </row>
    <row r="242" spans="4:49" ht="31.5" customHeight="1" x14ac:dyDescent="0.2">
      <c r="D242" s="70" t="s">
        <v>85</v>
      </c>
      <c r="H242" s="70" t="s">
        <v>85</v>
      </c>
      <c r="I242" s="76"/>
      <c r="L242" s="70" t="s">
        <v>85</v>
      </c>
      <c r="M242" s="76"/>
      <c r="P242" s="70" t="s">
        <v>85</v>
      </c>
      <c r="Q242" s="76"/>
      <c r="T242" s="70" t="s">
        <v>85</v>
      </c>
      <c r="U242" s="76"/>
      <c r="X242" s="70" t="s">
        <v>85</v>
      </c>
      <c r="Y242" s="76"/>
      <c r="AB242" s="70" t="s">
        <v>85</v>
      </c>
      <c r="AC242" s="76"/>
      <c r="AF242" s="70" t="s">
        <v>85</v>
      </c>
      <c r="AG242" s="76"/>
      <c r="AJ242" s="70" t="s">
        <v>85</v>
      </c>
      <c r="AK242" s="76"/>
      <c r="AN242" s="70" t="s">
        <v>85</v>
      </c>
      <c r="AO242" s="76"/>
      <c r="AR242" s="70" t="s">
        <v>85</v>
      </c>
      <c r="AS242" s="76"/>
      <c r="AV242" s="70" t="s">
        <v>85</v>
      </c>
      <c r="AW242" s="76"/>
    </row>
    <row r="243" spans="4:49" ht="31.5" customHeight="1" x14ac:dyDescent="0.2">
      <c r="D243" s="70" t="s">
        <v>85</v>
      </c>
      <c r="H243" s="70" t="s">
        <v>85</v>
      </c>
      <c r="I243" s="76"/>
      <c r="L243" s="70" t="s">
        <v>85</v>
      </c>
      <c r="M243" s="76"/>
      <c r="P243" s="70" t="s">
        <v>85</v>
      </c>
      <c r="Q243" s="76"/>
      <c r="T243" s="70" t="s">
        <v>85</v>
      </c>
      <c r="U243" s="76"/>
      <c r="X243" s="70" t="s">
        <v>85</v>
      </c>
      <c r="Y243" s="76"/>
      <c r="AB243" s="70" t="s">
        <v>85</v>
      </c>
      <c r="AC243" s="76"/>
      <c r="AF243" s="70" t="s">
        <v>85</v>
      </c>
      <c r="AG243" s="76"/>
      <c r="AJ243" s="70" t="s">
        <v>85</v>
      </c>
      <c r="AK243" s="76"/>
      <c r="AN243" s="70" t="s">
        <v>85</v>
      </c>
      <c r="AO243" s="76"/>
      <c r="AR243" s="70" t="s">
        <v>85</v>
      </c>
      <c r="AS243" s="76"/>
      <c r="AV243" s="70" t="s">
        <v>85</v>
      </c>
      <c r="AW243" s="76"/>
    </row>
    <row r="244" spans="4:49" ht="31.5" customHeight="1" x14ac:dyDescent="0.2">
      <c r="D244" s="70" t="s">
        <v>85</v>
      </c>
      <c r="H244" s="70" t="s">
        <v>85</v>
      </c>
      <c r="I244" s="76"/>
      <c r="L244" s="70" t="s">
        <v>85</v>
      </c>
      <c r="M244" s="76"/>
      <c r="P244" s="70" t="s">
        <v>85</v>
      </c>
      <c r="Q244" s="76"/>
      <c r="T244" s="70" t="s">
        <v>85</v>
      </c>
      <c r="U244" s="76"/>
      <c r="X244" s="70" t="s">
        <v>85</v>
      </c>
      <c r="Y244" s="76"/>
      <c r="AB244" s="70" t="s">
        <v>85</v>
      </c>
      <c r="AC244" s="76"/>
      <c r="AF244" s="70" t="s">
        <v>85</v>
      </c>
      <c r="AG244" s="76"/>
      <c r="AJ244" s="70" t="s">
        <v>85</v>
      </c>
      <c r="AK244" s="76"/>
      <c r="AN244" s="70" t="s">
        <v>85</v>
      </c>
      <c r="AO244" s="76"/>
      <c r="AR244" s="70" t="s">
        <v>85</v>
      </c>
      <c r="AS244" s="76"/>
      <c r="AV244" s="70" t="s">
        <v>85</v>
      </c>
      <c r="AW244" s="76"/>
    </row>
    <row r="245" spans="4:49" ht="31.5" customHeight="1" x14ac:dyDescent="0.2">
      <c r="D245" s="70" t="s">
        <v>85</v>
      </c>
      <c r="H245" s="70" t="s">
        <v>85</v>
      </c>
      <c r="I245" s="76"/>
      <c r="L245" s="70" t="s">
        <v>85</v>
      </c>
      <c r="M245" s="76"/>
      <c r="P245" s="70" t="s">
        <v>85</v>
      </c>
      <c r="Q245" s="76"/>
      <c r="T245" s="70" t="s">
        <v>85</v>
      </c>
      <c r="U245" s="76"/>
      <c r="X245" s="70" t="s">
        <v>85</v>
      </c>
      <c r="Y245" s="76"/>
      <c r="AB245" s="70" t="s">
        <v>85</v>
      </c>
      <c r="AC245" s="76"/>
      <c r="AF245" s="70" t="s">
        <v>85</v>
      </c>
      <c r="AG245" s="76"/>
      <c r="AJ245" s="70" t="s">
        <v>85</v>
      </c>
      <c r="AK245" s="76"/>
      <c r="AN245" s="70" t="s">
        <v>85</v>
      </c>
      <c r="AO245" s="76"/>
      <c r="AR245" s="70" t="s">
        <v>85</v>
      </c>
      <c r="AS245" s="76"/>
      <c r="AV245" s="70" t="s">
        <v>85</v>
      </c>
      <c r="AW245" s="76"/>
    </row>
    <row r="246" spans="4:49" ht="31.5" customHeight="1" x14ac:dyDescent="0.2">
      <c r="D246" s="70" t="s">
        <v>85</v>
      </c>
      <c r="H246" s="70" t="s">
        <v>85</v>
      </c>
      <c r="I246" s="76"/>
      <c r="L246" s="70" t="s">
        <v>85</v>
      </c>
      <c r="M246" s="76"/>
      <c r="P246" s="70" t="s">
        <v>85</v>
      </c>
      <c r="Q246" s="76"/>
      <c r="T246" s="70" t="s">
        <v>85</v>
      </c>
      <c r="U246" s="76"/>
      <c r="X246" s="70" t="s">
        <v>85</v>
      </c>
      <c r="Y246" s="76"/>
      <c r="AB246" s="70" t="s">
        <v>85</v>
      </c>
      <c r="AC246" s="76"/>
      <c r="AF246" s="70" t="s">
        <v>85</v>
      </c>
      <c r="AG246" s="76"/>
      <c r="AJ246" s="70" t="s">
        <v>85</v>
      </c>
      <c r="AK246" s="76"/>
      <c r="AN246" s="70" t="s">
        <v>85</v>
      </c>
      <c r="AO246" s="76"/>
      <c r="AR246" s="70" t="s">
        <v>85</v>
      </c>
      <c r="AS246" s="76"/>
      <c r="AV246" s="70" t="s">
        <v>85</v>
      </c>
      <c r="AW246" s="76"/>
    </row>
    <row r="247" spans="4:49" ht="31.5" customHeight="1" x14ac:dyDescent="0.2">
      <c r="D247" s="70" t="s">
        <v>85</v>
      </c>
      <c r="H247" s="70" t="s">
        <v>85</v>
      </c>
      <c r="I247" s="76"/>
      <c r="L247" s="70" t="s">
        <v>85</v>
      </c>
      <c r="M247" s="76"/>
      <c r="P247" s="70" t="s">
        <v>85</v>
      </c>
      <c r="Q247" s="76"/>
      <c r="T247" s="70" t="s">
        <v>85</v>
      </c>
      <c r="U247" s="76"/>
      <c r="X247" s="70" t="s">
        <v>85</v>
      </c>
      <c r="Y247" s="76"/>
      <c r="AB247" s="70" t="s">
        <v>85</v>
      </c>
      <c r="AC247" s="76"/>
      <c r="AF247" s="70" t="s">
        <v>85</v>
      </c>
      <c r="AG247" s="76"/>
      <c r="AJ247" s="70" t="s">
        <v>85</v>
      </c>
      <c r="AK247" s="76"/>
      <c r="AN247" s="70" t="s">
        <v>85</v>
      </c>
      <c r="AO247" s="76"/>
      <c r="AR247" s="70" t="s">
        <v>85</v>
      </c>
      <c r="AS247" s="76"/>
      <c r="AV247" s="70" t="s">
        <v>85</v>
      </c>
      <c r="AW247" s="76"/>
    </row>
    <row r="248" spans="4:49" ht="31.5" customHeight="1" x14ac:dyDescent="0.2">
      <c r="D248" s="70" t="s">
        <v>85</v>
      </c>
      <c r="H248" s="70" t="s">
        <v>85</v>
      </c>
      <c r="I248" s="76"/>
      <c r="L248" s="70" t="s">
        <v>85</v>
      </c>
      <c r="M248" s="76"/>
      <c r="P248" s="70" t="s">
        <v>85</v>
      </c>
      <c r="Q248" s="76"/>
      <c r="T248" s="70" t="s">
        <v>85</v>
      </c>
      <c r="U248" s="76"/>
      <c r="X248" s="70" t="s">
        <v>85</v>
      </c>
      <c r="Y248" s="76"/>
      <c r="AB248" s="70" t="s">
        <v>85</v>
      </c>
      <c r="AC248" s="76"/>
      <c r="AF248" s="70" t="s">
        <v>85</v>
      </c>
      <c r="AG248" s="76"/>
      <c r="AJ248" s="70" t="s">
        <v>85</v>
      </c>
      <c r="AK248" s="76"/>
      <c r="AN248" s="70" t="s">
        <v>85</v>
      </c>
      <c r="AO248" s="76"/>
      <c r="AR248" s="70" t="s">
        <v>85</v>
      </c>
      <c r="AS248" s="76"/>
      <c r="AV248" s="70" t="s">
        <v>85</v>
      </c>
      <c r="AW248" s="76"/>
    </row>
    <row r="249" spans="4:49" ht="31.5" customHeight="1" x14ac:dyDescent="0.2">
      <c r="D249" s="70" t="s">
        <v>85</v>
      </c>
      <c r="H249" s="70" t="s">
        <v>85</v>
      </c>
      <c r="I249" s="76"/>
      <c r="L249" s="70" t="s">
        <v>85</v>
      </c>
      <c r="M249" s="76"/>
      <c r="P249" s="70" t="s">
        <v>85</v>
      </c>
      <c r="Q249" s="76"/>
      <c r="T249" s="70" t="s">
        <v>85</v>
      </c>
      <c r="U249" s="76"/>
      <c r="X249" s="70" t="s">
        <v>85</v>
      </c>
      <c r="Y249" s="76"/>
      <c r="AB249" s="70" t="s">
        <v>85</v>
      </c>
      <c r="AC249" s="76"/>
      <c r="AF249" s="70" t="s">
        <v>85</v>
      </c>
      <c r="AG249" s="76"/>
      <c r="AJ249" s="70" t="s">
        <v>85</v>
      </c>
      <c r="AK249" s="76"/>
      <c r="AN249" s="70" t="s">
        <v>85</v>
      </c>
      <c r="AO249" s="76"/>
      <c r="AR249" s="70" t="s">
        <v>85</v>
      </c>
      <c r="AS249" s="76"/>
      <c r="AV249" s="70" t="s">
        <v>85</v>
      </c>
      <c r="AW249" s="76"/>
    </row>
    <row r="250" spans="4:49" ht="31.5" customHeight="1" x14ac:dyDescent="0.2">
      <c r="D250" s="70" t="s">
        <v>85</v>
      </c>
      <c r="H250" s="70" t="s">
        <v>85</v>
      </c>
      <c r="I250" s="76"/>
      <c r="L250" s="70" t="s">
        <v>85</v>
      </c>
      <c r="M250" s="76"/>
      <c r="P250" s="70" t="s">
        <v>85</v>
      </c>
      <c r="Q250" s="76"/>
      <c r="T250" s="70" t="s">
        <v>85</v>
      </c>
      <c r="U250" s="76"/>
      <c r="X250" s="70" t="s">
        <v>85</v>
      </c>
      <c r="Y250" s="76"/>
      <c r="AB250" s="70" t="s">
        <v>85</v>
      </c>
      <c r="AC250" s="76"/>
      <c r="AF250" s="70" t="s">
        <v>85</v>
      </c>
      <c r="AG250" s="76"/>
      <c r="AJ250" s="70" t="s">
        <v>85</v>
      </c>
      <c r="AK250" s="76"/>
      <c r="AN250" s="70" t="s">
        <v>85</v>
      </c>
      <c r="AO250" s="76"/>
      <c r="AR250" s="70" t="s">
        <v>85</v>
      </c>
      <c r="AS250" s="76"/>
      <c r="AV250" s="70" t="s">
        <v>85</v>
      </c>
      <c r="AW250" s="76"/>
    </row>
    <row r="251" spans="4:49" ht="31.5" customHeight="1" x14ac:dyDescent="0.2">
      <c r="D251" s="70" t="s">
        <v>85</v>
      </c>
      <c r="H251" s="70" t="s">
        <v>85</v>
      </c>
      <c r="I251" s="76"/>
      <c r="L251" s="70" t="s">
        <v>85</v>
      </c>
      <c r="M251" s="76"/>
      <c r="P251" s="70" t="s">
        <v>85</v>
      </c>
      <c r="Q251" s="76"/>
      <c r="T251" s="70" t="s">
        <v>85</v>
      </c>
      <c r="U251" s="76"/>
      <c r="X251" s="70" t="s">
        <v>85</v>
      </c>
      <c r="Y251" s="76"/>
      <c r="AB251" s="70" t="s">
        <v>85</v>
      </c>
      <c r="AC251" s="76"/>
      <c r="AF251" s="70" t="s">
        <v>85</v>
      </c>
      <c r="AG251" s="76"/>
      <c r="AJ251" s="70" t="s">
        <v>85</v>
      </c>
      <c r="AK251" s="76"/>
      <c r="AN251" s="70" t="s">
        <v>85</v>
      </c>
      <c r="AO251" s="76"/>
      <c r="AR251" s="70" t="s">
        <v>85</v>
      </c>
      <c r="AS251" s="76"/>
      <c r="AV251" s="70" t="s">
        <v>85</v>
      </c>
      <c r="AW251" s="76"/>
    </row>
    <row r="252" spans="4:49" ht="31.5" customHeight="1" x14ac:dyDescent="0.2">
      <c r="D252" s="70" t="s">
        <v>85</v>
      </c>
      <c r="H252" s="70" t="s">
        <v>85</v>
      </c>
      <c r="I252" s="76"/>
      <c r="L252" s="70" t="s">
        <v>85</v>
      </c>
      <c r="M252" s="76"/>
      <c r="P252" s="70" t="s">
        <v>85</v>
      </c>
      <c r="Q252" s="76"/>
      <c r="T252" s="70" t="s">
        <v>85</v>
      </c>
      <c r="U252" s="76"/>
      <c r="X252" s="70" t="s">
        <v>85</v>
      </c>
      <c r="Y252" s="76"/>
      <c r="AB252" s="70" t="s">
        <v>85</v>
      </c>
      <c r="AC252" s="76"/>
      <c r="AF252" s="70" t="s">
        <v>85</v>
      </c>
      <c r="AG252" s="76"/>
      <c r="AJ252" s="70" t="s">
        <v>85</v>
      </c>
      <c r="AK252" s="76"/>
      <c r="AN252" s="70" t="s">
        <v>85</v>
      </c>
      <c r="AO252" s="76"/>
      <c r="AR252" s="70" t="s">
        <v>85</v>
      </c>
      <c r="AS252" s="76"/>
      <c r="AV252" s="70" t="s">
        <v>85</v>
      </c>
      <c r="AW252" s="76"/>
    </row>
    <row r="253" spans="4:49" ht="31.5" customHeight="1" x14ac:dyDescent="0.2">
      <c r="D253" s="70" t="s">
        <v>85</v>
      </c>
      <c r="H253" s="70" t="s">
        <v>85</v>
      </c>
      <c r="I253" s="76"/>
      <c r="L253" s="70" t="s">
        <v>85</v>
      </c>
      <c r="M253" s="76"/>
      <c r="P253" s="70" t="s">
        <v>85</v>
      </c>
      <c r="Q253" s="76"/>
      <c r="T253" s="70" t="s">
        <v>85</v>
      </c>
      <c r="U253" s="76"/>
      <c r="X253" s="70" t="s">
        <v>85</v>
      </c>
      <c r="Y253" s="76"/>
      <c r="AB253" s="70" t="s">
        <v>85</v>
      </c>
      <c r="AC253" s="76"/>
      <c r="AF253" s="70" t="s">
        <v>85</v>
      </c>
      <c r="AG253" s="76"/>
      <c r="AJ253" s="70" t="s">
        <v>85</v>
      </c>
      <c r="AK253" s="76"/>
      <c r="AN253" s="70" t="s">
        <v>85</v>
      </c>
      <c r="AO253" s="76"/>
      <c r="AR253" s="70" t="s">
        <v>85</v>
      </c>
      <c r="AS253" s="76"/>
      <c r="AV253" s="70" t="s">
        <v>85</v>
      </c>
      <c r="AW253" s="76"/>
    </row>
    <row r="254" spans="4:49" ht="31.5" customHeight="1" x14ac:dyDescent="0.2">
      <c r="D254" s="70" t="s">
        <v>85</v>
      </c>
      <c r="H254" s="70" t="s">
        <v>85</v>
      </c>
      <c r="I254" s="76"/>
      <c r="L254" s="70" t="s">
        <v>85</v>
      </c>
      <c r="M254" s="76"/>
      <c r="P254" s="70" t="s">
        <v>85</v>
      </c>
      <c r="Q254" s="76"/>
      <c r="T254" s="70" t="s">
        <v>85</v>
      </c>
      <c r="U254" s="76"/>
      <c r="X254" s="70" t="s">
        <v>85</v>
      </c>
      <c r="Y254" s="76"/>
      <c r="AB254" s="70" t="s">
        <v>85</v>
      </c>
      <c r="AC254" s="76"/>
      <c r="AF254" s="70" t="s">
        <v>85</v>
      </c>
      <c r="AG254" s="76"/>
      <c r="AJ254" s="70" t="s">
        <v>85</v>
      </c>
      <c r="AK254" s="76"/>
      <c r="AN254" s="70" t="s">
        <v>85</v>
      </c>
      <c r="AO254" s="76"/>
      <c r="AR254" s="70" t="s">
        <v>85</v>
      </c>
      <c r="AS254" s="76"/>
      <c r="AV254" s="70" t="s">
        <v>85</v>
      </c>
      <c r="AW254" s="76"/>
    </row>
    <row r="255" spans="4:49" ht="31.5" customHeight="1" x14ac:dyDescent="0.2">
      <c r="D255" s="70" t="s">
        <v>85</v>
      </c>
      <c r="H255" s="70" t="s">
        <v>85</v>
      </c>
      <c r="I255" s="76"/>
      <c r="L255" s="70" t="s">
        <v>85</v>
      </c>
      <c r="M255" s="76"/>
      <c r="P255" s="70" t="s">
        <v>85</v>
      </c>
      <c r="Q255" s="76"/>
      <c r="T255" s="70" t="s">
        <v>85</v>
      </c>
      <c r="U255" s="76"/>
      <c r="X255" s="70" t="s">
        <v>85</v>
      </c>
      <c r="Y255" s="76"/>
      <c r="AB255" s="70" t="s">
        <v>85</v>
      </c>
      <c r="AC255" s="76"/>
      <c r="AF255" s="70" t="s">
        <v>85</v>
      </c>
      <c r="AG255" s="76"/>
      <c r="AJ255" s="70" t="s">
        <v>85</v>
      </c>
      <c r="AK255" s="76"/>
      <c r="AN255" s="70" t="s">
        <v>85</v>
      </c>
      <c r="AO255" s="76"/>
      <c r="AR255" s="70" t="s">
        <v>85</v>
      </c>
      <c r="AS255" s="76"/>
      <c r="AV255" s="70" t="s">
        <v>85</v>
      </c>
      <c r="AW255" s="76"/>
    </row>
    <row r="256" spans="4:49" ht="31.5" customHeight="1" x14ac:dyDescent="0.2">
      <c r="D256" s="70" t="s">
        <v>85</v>
      </c>
      <c r="H256" s="70" t="s">
        <v>85</v>
      </c>
      <c r="I256" s="76"/>
      <c r="L256" s="70" t="s">
        <v>85</v>
      </c>
      <c r="M256" s="76"/>
      <c r="P256" s="70" t="s">
        <v>85</v>
      </c>
      <c r="Q256" s="76"/>
      <c r="T256" s="70" t="s">
        <v>85</v>
      </c>
      <c r="U256" s="76"/>
      <c r="X256" s="70" t="s">
        <v>85</v>
      </c>
      <c r="Y256" s="76"/>
      <c r="AB256" s="70" t="s">
        <v>85</v>
      </c>
      <c r="AC256" s="76"/>
      <c r="AF256" s="70" t="s">
        <v>85</v>
      </c>
      <c r="AG256" s="76"/>
      <c r="AJ256" s="70" t="s">
        <v>85</v>
      </c>
      <c r="AK256" s="76"/>
      <c r="AN256" s="70" t="s">
        <v>85</v>
      </c>
      <c r="AO256" s="76"/>
      <c r="AR256" s="70" t="s">
        <v>85</v>
      </c>
      <c r="AS256" s="76"/>
      <c r="AV256" s="70" t="s">
        <v>85</v>
      </c>
      <c r="AW256" s="76"/>
    </row>
    <row r="257" spans="4:49" ht="31.5" customHeight="1" x14ac:dyDescent="0.2">
      <c r="D257" s="70" t="s">
        <v>85</v>
      </c>
      <c r="H257" s="70" t="s">
        <v>85</v>
      </c>
      <c r="I257" s="76"/>
      <c r="L257" s="70" t="s">
        <v>85</v>
      </c>
      <c r="M257" s="76"/>
      <c r="P257" s="70" t="s">
        <v>85</v>
      </c>
      <c r="Q257" s="76"/>
      <c r="T257" s="70" t="s">
        <v>85</v>
      </c>
      <c r="U257" s="76"/>
      <c r="X257" s="70" t="s">
        <v>85</v>
      </c>
      <c r="Y257" s="76"/>
      <c r="AB257" s="70" t="s">
        <v>85</v>
      </c>
      <c r="AC257" s="76"/>
      <c r="AF257" s="70" t="s">
        <v>85</v>
      </c>
      <c r="AG257" s="76"/>
      <c r="AJ257" s="70" t="s">
        <v>85</v>
      </c>
      <c r="AK257" s="76"/>
      <c r="AN257" s="70" t="s">
        <v>85</v>
      </c>
      <c r="AO257" s="76"/>
      <c r="AR257" s="70" t="s">
        <v>85</v>
      </c>
      <c r="AS257" s="76"/>
      <c r="AV257" s="70" t="s">
        <v>85</v>
      </c>
      <c r="AW257" s="76"/>
    </row>
    <row r="258" spans="4:49" ht="31.5" customHeight="1" x14ac:dyDescent="0.2">
      <c r="D258" s="70" t="s">
        <v>85</v>
      </c>
      <c r="H258" s="70" t="s">
        <v>85</v>
      </c>
      <c r="I258" s="76"/>
      <c r="L258" s="70" t="s">
        <v>85</v>
      </c>
      <c r="M258" s="76"/>
      <c r="P258" s="70" t="s">
        <v>85</v>
      </c>
      <c r="Q258" s="76"/>
      <c r="T258" s="70" t="s">
        <v>85</v>
      </c>
      <c r="U258" s="76"/>
      <c r="X258" s="70" t="s">
        <v>85</v>
      </c>
      <c r="Y258" s="76"/>
      <c r="AB258" s="70" t="s">
        <v>85</v>
      </c>
      <c r="AC258" s="76"/>
      <c r="AF258" s="70" t="s">
        <v>85</v>
      </c>
      <c r="AG258" s="76"/>
      <c r="AJ258" s="70" t="s">
        <v>85</v>
      </c>
      <c r="AK258" s="76"/>
      <c r="AN258" s="70" t="s">
        <v>85</v>
      </c>
      <c r="AO258" s="76"/>
      <c r="AR258" s="70" t="s">
        <v>85</v>
      </c>
      <c r="AS258" s="76"/>
      <c r="AV258" s="70" t="s">
        <v>85</v>
      </c>
      <c r="AW258" s="76"/>
    </row>
    <row r="259" spans="4:49" ht="31.5" customHeight="1" x14ac:dyDescent="0.2">
      <c r="D259" s="70" t="s">
        <v>85</v>
      </c>
      <c r="H259" s="70" t="s">
        <v>85</v>
      </c>
      <c r="I259" s="76"/>
      <c r="L259" s="70" t="s">
        <v>85</v>
      </c>
      <c r="M259" s="76"/>
      <c r="P259" s="70" t="s">
        <v>85</v>
      </c>
      <c r="Q259" s="76"/>
      <c r="T259" s="70" t="s">
        <v>85</v>
      </c>
      <c r="U259" s="76"/>
      <c r="X259" s="70" t="s">
        <v>85</v>
      </c>
      <c r="Y259" s="76"/>
      <c r="AB259" s="70" t="s">
        <v>85</v>
      </c>
      <c r="AC259" s="76"/>
      <c r="AF259" s="70" t="s">
        <v>85</v>
      </c>
      <c r="AG259" s="76"/>
      <c r="AJ259" s="70" t="s">
        <v>85</v>
      </c>
      <c r="AK259" s="76"/>
      <c r="AN259" s="70" t="s">
        <v>85</v>
      </c>
      <c r="AO259" s="76"/>
      <c r="AR259" s="70" t="s">
        <v>85</v>
      </c>
      <c r="AS259" s="76"/>
      <c r="AV259" s="70" t="s">
        <v>85</v>
      </c>
      <c r="AW259" s="76"/>
    </row>
    <row r="260" spans="4:49" ht="31.5" customHeight="1" x14ac:dyDescent="0.2">
      <c r="D260" s="70" t="s">
        <v>85</v>
      </c>
      <c r="H260" s="70" t="s">
        <v>85</v>
      </c>
      <c r="I260" s="76"/>
      <c r="L260" s="70" t="s">
        <v>85</v>
      </c>
      <c r="M260" s="76"/>
      <c r="P260" s="70" t="s">
        <v>85</v>
      </c>
      <c r="Q260" s="76"/>
      <c r="T260" s="70" t="s">
        <v>85</v>
      </c>
      <c r="U260" s="76"/>
      <c r="X260" s="70" t="s">
        <v>85</v>
      </c>
      <c r="Y260" s="76"/>
      <c r="AB260" s="70" t="s">
        <v>85</v>
      </c>
      <c r="AC260" s="76"/>
      <c r="AF260" s="70" t="s">
        <v>85</v>
      </c>
      <c r="AG260" s="76"/>
      <c r="AJ260" s="70" t="s">
        <v>85</v>
      </c>
      <c r="AK260" s="76"/>
      <c r="AN260" s="70" t="s">
        <v>85</v>
      </c>
      <c r="AO260" s="76"/>
      <c r="AR260" s="70" t="s">
        <v>85</v>
      </c>
      <c r="AS260" s="76"/>
      <c r="AV260" s="70" t="s">
        <v>85</v>
      </c>
      <c r="AW260" s="76"/>
    </row>
    <row r="261" spans="4:49" ht="31.5" customHeight="1" x14ac:dyDescent="0.2">
      <c r="D261" s="70" t="s">
        <v>85</v>
      </c>
      <c r="H261" s="70" t="s">
        <v>85</v>
      </c>
      <c r="I261" s="76"/>
      <c r="L261" s="70" t="s">
        <v>85</v>
      </c>
      <c r="M261" s="76"/>
      <c r="P261" s="70" t="s">
        <v>85</v>
      </c>
      <c r="Q261" s="76"/>
      <c r="T261" s="70" t="s">
        <v>85</v>
      </c>
      <c r="U261" s="76"/>
      <c r="X261" s="70" t="s">
        <v>85</v>
      </c>
      <c r="Y261" s="76"/>
      <c r="AB261" s="70" t="s">
        <v>85</v>
      </c>
      <c r="AC261" s="76"/>
      <c r="AF261" s="70" t="s">
        <v>85</v>
      </c>
      <c r="AG261" s="76"/>
      <c r="AJ261" s="70" t="s">
        <v>85</v>
      </c>
      <c r="AK261" s="76"/>
      <c r="AN261" s="70" t="s">
        <v>85</v>
      </c>
      <c r="AO261" s="76"/>
      <c r="AR261" s="70" t="s">
        <v>85</v>
      </c>
      <c r="AS261" s="76"/>
      <c r="AV261" s="70" t="s">
        <v>85</v>
      </c>
      <c r="AW261" s="76"/>
    </row>
    <row r="262" spans="4:49" ht="31.5" customHeight="1" x14ac:dyDescent="0.2">
      <c r="D262" s="70" t="s">
        <v>85</v>
      </c>
      <c r="H262" s="70" t="s">
        <v>85</v>
      </c>
      <c r="I262" s="76"/>
      <c r="L262" s="70" t="s">
        <v>85</v>
      </c>
      <c r="M262" s="76"/>
      <c r="P262" s="70" t="s">
        <v>85</v>
      </c>
      <c r="Q262" s="76"/>
      <c r="T262" s="70" t="s">
        <v>85</v>
      </c>
      <c r="U262" s="76"/>
      <c r="X262" s="70" t="s">
        <v>85</v>
      </c>
      <c r="Y262" s="76"/>
      <c r="AB262" s="70" t="s">
        <v>85</v>
      </c>
      <c r="AC262" s="76"/>
      <c r="AF262" s="70" t="s">
        <v>85</v>
      </c>
      <c r="AG262" s="76"/>
      <c r="AJ262" s="70" t="s">
        <v>85</v>
      </c>
      <c r="AK262" s="76"/>
      <c r="AN262" s="70" t="s">
        <v>85</v>
      </c>
      <c r="AO262" s="76"/>
      <c r="AR262" s="70" t="s">
        <v>85</v>
      </c>
      <c r="AS262" s="76"/>
      <c r="AV262" s="70" t="s">
        <v>85</v>
      </c>
      <c r="AW262" s="76"/>
    </row>
    <row r="263" spans="4:49" ht="31.5" customHeight="1" x14ac:dyDescent="0.2">
      <c r="D263" s="70" t="s">
        <v>85</v>
      </c>
      <c r="H263" s="70" t="s">
        <v>85</v>
      </c>
      <c r="I263" s="76"/>
      <c r="L263" s="70" t="s">
        <v>85</v>
      </c>
      <c r="M263" s="76"/>
      <c r="P263" s="70" t="s">
        <v>85</v>
      </c>
      <c r="Q263" s="76"/>
      <c r="T263" s="70" t="s">
        <v>85</v>
      </c>
      <c r="U263" s="76"/>
      <c r="X263" s="70" t="s">
        <v>85</v>
      </c>
      <c r="Y263" s="76"/>
      <c r="AB263" s="70" t="s">
        <v>85</v>
      </c>
      <c r="AC263" s="76"/>
      <c r="AF263" s="70" t="s">
        <v>85</v>
      </c>
      <c r="AG263" s="76"/>
      <c r="AJ263" s="70" t="s">
        <v>85</v>
      </c>
      <c r="AK263" s="76"/>
      <c r="AN263" s="70" t="s">
        <v>85</v>
      </c>
      <c r="AO263" s="76"/>
      <c r="AR263" s="70" t="s">
        <v>85</v>
      </c>
      <c r="AS263" s="76"/>
      <c r="AV263" s="70" t="s">
        <v>85</v>
      </c>
      <c r="AW263" s="76"/>
    </row>
    <row r="264" spans="4:49" ht="31.5" customHeight="1" x14ac:dyDescent="0.2">
      <c r="D264" s="70" t="s">
        <v>85</v>
      </c>
      <c r="H264" s="70" t="s">
        <v>85</v>
      </c>
      <c r="I264" s="76"/>
      <c r="L264" s="70" t="s">
        <v>85</v>
      </c>
      <c r="M264" s="76"/>
      <c r="P264" s="70" t="s">
        <v>85</v>
      </c>
      <c r="Q264" s="76"/>
      <c r="T264" s="70" t="s">
        <v>85</v>
      </c>
      <c r="U264" s="76"/>
      <c r="X264" s="70" t="s">
        <v>85</v>
      </c>
      <c r="Y264" s="76"/>
      <c r="AB264" s="70" t="s">
        <v>85</v>
      </c>
      <c r="AC264" s="76"/>
      <c r="AF264" s="70" t="s">
        <v>85</v>
      </c>
      <c r="AG264" s="76"/>
      <c r="AJ264" s="70" t="s">
        <v>85</v>
      </c>
      <c r="AK264" s="76"/>
      <c r="AN264" s="70" t="s">
        <v>85</v>
      </c>
      <c r="AO264" s="76"/>
      <c r="AR264" s="70" t="s">
        <v>85</v>
      </c>
      <c r="AS264" s="76"/>
      <c r="AV264" s="70" t="s">
        <v>85</v>
      </c>
      <c r="AW264" s="76"/>
    </row>
    <row r="265" spans="4:49" ht="31.5" customHeight="1" x14ac:dyDescent="0.2">
      <c r="D265" s="70" t="s">
        <v>85</v>
      </c>
      <c r="H265" s="70" t="s">
        <v>85</v>
      </c>
      <c r="I265" s="76"/>
      <c r="L265" s="70" t="s">
        <v>85</v>
      </c>
      <c r="M265" s="76"/>
      <c r="P265" s="70" t="s">
        <v>85</v>
      </c>
      <c r="Q265" s="76"/>
      <c r="T265" s="70" t="s">
        <v>85</v>
      </c>
      <c r="U265" s="76"/>
      <c r="X265" s="70" t="s">
        <v>85</v>
      </c>
      <c r="Y265" s="76"/>
      <c r="AB265" s="70" t="s">
        <v>85</v>
      </c>
      <c r="AC265" s="76"/>
      <c r="AF265" s="70" t="s">
        <v>85</v>
      </c>
      <c r="AG265" s="76"/>
      <c r="AJ265" s="70" t="s">
        <v>85</v>
      </c>
      <c r="AK265" s="76"/>
      <c r="AN265" s="70" t="s">
        <v>85</v>
      </c>
      <c r="AO265" s="76"/>
      <c r="AR265" s="70" t="s">
        <v>85</v>
      </c>
      <c r="AS265" s="76"/>
      <c r="AV265" s="70" t="s">
        <v>85</v>
      </c>
      <c r="AW265" s="76"/>
    </row>
    <row r="266" spans="4:49" ht="31.5" customHeight="1" x14ac:dyDescent="0.2">
      <c r="D266" s="70" t="s">
        <v>85</v>
      </c>
      <c r="H266" s="70" t="s">
        <v>85</v>
      </c>
      <c r="I266" s="76"/>
      <c r="L266" s="70" t="s">
        <v>85</v>
      </c>
      <c r="M266" s="76"/>
      <c r="P266" s="70" t="s">
        <v>85</v>
      </c>
      <c r="Q266" s="76"/>
      <c r="T266" s="70" t="s">
        <v>85</v>
      </c>
      <c r="U266" s="76"/>
      <c r="X266" s="70" t="s">
        <v>85</v>
      </c>
      <c r="Y266" s="76"/>
      <c r="AB266" s="70" t="s">
        <v>85</v>
      </c>
      <c r="AC266" s="76"/>
      <c r="AF266" s="70" t="s">
        <v>85</v>
      </c>
      <c r="AG266" s="76"/>
      <c r="AJ266" s="70" t="s">
        <v>85</v>
      </c>
      <c r="AK266" s="76"/>
      <c r="AN266" s="70" t="s">
        <v>85</v>
      </c>
      <c r="AO266" s="76"/>
      <c r="AR266" s="70" t="s">
        <v>85</v>
      </c>
      <c r="AS266" s="76"/>
      <c r="AV266" s="70" t="s">
        <v>85</v>
      </c>
      <c r="AW266" s="76"/>
    </row>
    <row r="267" spans="4:49" ht="31.5" customHeight="1" x14ac:dyDescent="0.2">
      <c r="D267" s="70" t="s">
        <v>85</v>
      </c>
      <c r="H267" s="70" t="s">
        <v>85</v>
      </c>
      <c r="I267" s="76"/>
      <c r="L267" s="70" t="s">
        <v>85</v>
      </c>
      <c r="M267" s="76"/>
      <c r="P267" s="70" t="s">
        <v>85</v>
      </c>
      <c r="Q267" s="76"/>
      <c r="T267" s="70" t="s">
        <v>85</v>
      </c>
      <c r="U267" s="76"/>
      <c r="X267" s="70" t="s">
        <v>85</v>
      </c>
      <c r="Y267" s="76"/>
      <c r="AB267" s="70" t="s">
        <v>85</v>
      </c>
      <c r="AC267" s="76"/>
      <c r="AF267" s="70" t="s">
        <v>85</v>
      </c>
      <c r="AG267" s="76"/>
      <c r="AJ267" s="70" t="s">
        <v>85</v>
      </c>
      <c r="AK267" s="76"/>
      <c r="AN267" s="70" t="s">
        <v>85</v>
      </c>
      <c r="AO267" s="76"/>
      <c r="AR267" s="70" t="s">
        <v>85</v>
      </c>
      <c r="AS267" s="76"/>
      <c r="AV267" s="70" t="s">
        <v>85</v>
      </c>
      <c r="AW267" s="76"/>
    </row>
    <row r="268" spans="4:49" ht="31.5" customHeight="1" x14ac:dyDescent="0.2">
      <c r="D268" s="70" t="s">
        <v>85</v>
      </c>
      <c r="H268" s="70" t="s">
        <v>85</v>
      </c>
      <c r="I268" s="76"/>
      <c r="L268" s="70" t="s">
        <v>85</v>
      </c>
      <c r="M268" s="76"/>
      <c r="P268" s="70" t="s">
        <v>85</v>
      </c>
      <c r="Q268" s="76"/>
      <c r="T268" s="70" t="s">
        <v>85</v>
      </c>
      <c r="U268" s="76"/>
      <c r="X268" s="70" t="s">
        <v>85</v>
      </c>
      <c r="Y268" s="76"/>
      <c r="AB268" s="70" t="s">
        <v>85</v>
      </c>
      <c r="AC268" s="76"/>
      <c r="AF268" s="70" t="s">
        <v>85</v>
      </c>
      <c r="AG268" s="76"/>
      <c r="AJ268" s="70" t="s">
        <v>85</v>
      </c>
      <c r="AK268" s="76"/>
      <c r="AN268" s="70" t="s">
        <v>85</v>
      </c>
      <c r="AO268" s="76"/>
      <c r="AR268" s="70" t="s">
        <v>85</v>
      </c>
      <c r="AS268" s="76"/>
      <c r="AV268" s="70" t="s">
        <v>85</v>
      </c>
      <c r="AW268" s="76"/>
    </row>
    <row r="269" spans="4:49" ht="31.5" customHeight="1" x14ac:dyDescent="0.2">
      <c r="D269" s="70" t="s">
        <v>85</v>
      </c>
      <c r="H269" s="70" t="s">
        <v>85</v>
      </c>
      <c r="I269" s="76"/>
      <c r="L269" s="70" t="s">
        <v>85</v>
      </c>
      <c r="M269" s="76"/>
      <c r="P269" s="70" t="s">
        <v>85</v>
      </c>
      <c r="Q269" s="76"/>
      <c r="T269" s="70" t="s">
        <v>85</v>
      </c>
      <c r="U269" s="76"/>
      <c r="X269" s="70" t="s">
        <v>85</v>
      </c>
      <c r="Y269" s="76"/>
      <c r="AB269" s="70" t="s">
        <v>85</v>
      </c>
      <c r="AC269" s="76"/>
      <c r="AF269" s="70" t="s">
        <v>85</v>
      </c>
      <c r="AG269" s="76"/>
      <c r="AJ269" s="70" t="s">
        <v>85</v>
      </c>
      <c r="AK269" s="76"/>
      <c r="AN269" s="70" t="s">
        <v>85</v>
      </c>
      <c r="AO269" s="76"/>
      <c r="AR269" s="70" t="s">
        <v>85</v>
      </c>
      <c r="AS269" s="76"/>
      <c r="AV269" s="70" t="s">
        <v>85</v>
      </c>
      <c r="AW269" s="76"/>
    </row>
    <row r="270" spans="4:49" ht="31.5" customHeight="1" x14ac:dyDescent="0.2">
      <c r="D270" s="70" t="s">
        <v>85</v>
      </c>
      <c r="H270" s="70" t="s">
        <v>85</v>
      </c>
      <c r="I270" s="76"/>
      <c r="L270" s="70" t="s">
        <v>85</v>
      </c>
      <c r="M270" s="76"/>
      <c r="P270" s="70" t="s">
        <v>85</v>
      </c>
      <c r="Q270" s="76"/>
      <c r="T270" s="70" t="s">
        <v>85</v>
      </c>
      <c r="U270" s="76"/>
      <c r="X270" s="70" t="s">
        <v>85</v>
      </c>
      <c r="Y270" s="76"/>
      <c r="AB270" s="70" t="s">
        <v>85</v>
      </c>
      <c r="AC270" s="76"/>
      <c r="AF270" s="70" t="s">
        <v>85</v>
      </c>
      <c r="AG270" s="76"/>
      <c r="AJ270" s="70" t="s">
        <v>85</v>
      </c>
      <c r="AK270" s="76"/>
      <c r="AN270" s="70" t="s">
        <v>85</v>
      </c>
      <c r="AO270" s="76"/>
      <c r="AR270" s="70" t="s">
        <v>85</v>
      </c>
      <c r="AS270" s="76"/>
      <c r="AV270" s="70" t="s">
        <v>85</v>
      </c>
      <c r="AW270" s="76"/>
    </row>
    <row r="271" spans="4:49" ht="31.5" customHeight="1" x14ac:dyDescent="0.2">
      <c r="D271" s="70" t="s">
        <v>85</v>
      </c>
      <c r="H271" s="70" t="s">
        <v>85</v>
      </c>
      <c r="I271" s="76"/>
      <c r="L271" s="70" t="s">
        <v>85</v>
      </c>
      <c r="M271" s="76"/>
      <c r="P271" s="70" t="s">
        <v>85</v>
      </c>
      <c r="Q271" s="76"/>
      <c r="T271" s="70" t="s">
        <v>85</v>
      </c>
      <c r="U271" s="76"/>
      <c r="X271" s="70" t="s">
        <v>85</v>
      </c>
      <c r="Y271" s="76"/>
      <c r="AB271" s="70" t="s">
        <v>85</v>
      </c>
      <c r="AC271" s="76"/>
      <c r="AF271" s="70" t="s">
        <v>85</v>
      </c>
      <c r="AG271" s="76"/>
      <c r="AJ271" s="70" t="s">
        <v>85</v>
      </c>
      <c r="AK271" s="76"/>
      <c r="AN271" s="70" t="s">
        <v>85</v>
      </c>
      <c r="AO271" s="76"/>
      <c r="AR271" s="70" t="s">
        <v>85</v>
      </c>
      <c r="AS271" s="76"/>
      <c r="AV271" s="70" t="s">
        <v>85</v>
      </c>
      <c r="AW271" s="76"/>
    </row>
    <row r="272" spans="4:49" ht="31.5" customHeight="1" x14ac:dyDescent="0.2">
      <c r="D272" s="70" t="s">
        <v>85</v>
      </c>
      <c r="H272" s="70" t="s">
        <v>85</v>
      </c>
      <c r="I272" s="76"/>
      <c r="L272" s="70" t="s">
        <v>85</v>
      </c>
      <c r="M272" s="76"/>
      <c r="P272" s="70" t="s">
        <v>85</v>
      </c>
      <c r="Q272" s="76"/>
      <c r="T272" s="70" t="s">
        <v>85</v>
      </c>
      <c r="U272" s="76"/>
      <c r="X272" s="70" t="s">
        <v>85</v>
      </c>
      <c r="Y272" s="76"/>
      <c r="AB272" s="70" t="s">
        <v>85</v>
      </c>
      <c r="AC272" s="76"/>
      <c r="AF272" s="70" t="s">
        <v>85</v>
      </c>
      <c r="AG272" s="76"/>
      <c r="AJ272" s="70" t="s">
        <v>85</v>
      </c>
      <c r="AK272" s="76"/>
      <c r="AN272" s="70" t="s">
        <v>85</v>
      </c>
      <c r="AO272" s="76"/>
      <c r="AR272" s="70" t="s">
        <v>85</v>
      </c>
      <c r="AS272" s="76"/>
      <c r="AV272" s="70" t="s">
        <v>85</v>
      </c>
      <c r="AW272" s="76"/>
    </row>
    <row r="273" spans="4:49" ht="31.5" customHeight="1" x14ac:dyDescent="0.2">
      <c r="D273" s="70" t="s">
        <v>85</v>
      </c>
      <c r="H273" s="70" t="s">
        <v>85</v>
      </c>
      <c r="I273" s="76"/>
      <c r="L273" s="70" t="s">
        <v>85</v>
      </c>
      <c r="M273" s="76"/>
      <c r="P273" s="70" t="s">
        <v>85</v>
      </c>
      <c r="Q273" s="76"/>
      <c r="T273" s="70" t="s">
        <v>85</v>
      </c>
      <c r="U273" s="76"/>
      <c r="X273" s="70" t="s">
        <v>85</v>
      </c>
      <c r="Y273" s="76"/>
      <c r="AB273" s="70" t="s">
        <v>85</v>
      </c>
      <c r="AC273" s="76"/>
      <c r="AF273" s="70" t="s">
        <v>85</v>
      </c>
      <c r="AG273" s="76"/>
      <c r="AJ273" s="70" t="s">
        <v>85</v>
      </c>
      <c r="AK273" s="76"/>
      <c r="AN273" s="70" t="s">
        <v>85</v>
      </c>
      <c r="AO273" s="76"/>
      <c r="AR273" s="70" t="s">
        <v>85</v>
      </c>
      <c r="AS273" s="76"/>
      <c r="AV273" s="70" t="s">
        <v>85</v>
      </c>
      <c r="AW273" s="76"/>
    </row>
    <row r="274" spans="4:49" ht="31.5" customHeight="1" x14ac:dyDescent="0.2">
      <c r="D274" s="70" t="s">
        <v>85</v>
      </c>
      <c r="H274" s="70" t="s">
        <v>85</v>
      </c>
      <c r="I274" s="76"/>
      <c r="L274" s="70" t="s">
        <v>85</v>
      </c>
      <c r="M274" s="76"/>
      <c r="P274" s="70" t="s">
        <v>85</v>
      </c>
      <c r="Q274" s="76"/>
      <c r="T274" s="70" t="s">
        <v>85</v>
      </c>
      <c r="U274" s="76"/>
      <c r="X274" s="70" t="s">
        <v>85</v>
      </c>
      <c r="Y274" s="76"/>
      <c r="AB274" s="70" t="s">
        <v>85</v>
      </c>
      <c r="AC274" s="76"/>
      <c r="AF274" s="70" t="s">
        <v>85</v>
      </c>
      <c r="AG274" s="76"/>
      <c r="AJ274" s="70" t="s">
        <v>85</v>
      </c>
      <c r="AK274" s="76"/>
      <c r="AN274" s="70" t="s">
        <v>85</v>
      </c>
      <c r="AO274" s="76"/>
      <c r="AR274" s="70" t="s">
        <v>85</v>
      </c>
      <c r="AS274" s="76"/>
      <c r="AV274" s="70" t="s">
        <v>85</v>
      </c>
      <c r="AW274" s="76"/>
    </row>
    <row r="275" spans="4:49" ht="31.5" customHeight="1" x14ac:dyDescent="0.2">
      <c r="D275" s="70" t="s">
        <v>85</v>
      </c>
      <c r="H275" s="70" t="s">
        <v>85</v>
      </c>
      <c r="I275" s="76"/>
      <c r="L275" s="70" t="s">
        <v>85</v>
      </c>
      <c r="M275" s="76"/>
      <c r="P275" s="70" t="s">
        <v>85</v>
      </c>
      <c r="Q275" s="76"/>
      <c r="T275" s="70" t="s">
        <v>85</v>
      </c>
      <c r="U275" s="76"/>
      <c r="X275" s="70" t="s">
        <v>85</v>
      </c>
      <c r="Y275" s="76"/>
      <c r="AB275" s="70" t="s">
        <v>85</v>
      </c>
      <c r="AC275" s="76"/>
      <c r="AF275" s="70" t="s">
        <v>85</v>
      </c>
      <c r="AG275" s="76"/>
      <c r="AJ275" s="70" t="s">
        <v>85</v>
      </c>
      <c r="AK275" s="76"/>
      <c r="AN275" s="70" t="s">
        <v>85</v>
      </c>
      <c r="AO275" s="76"/>
      <c r="AR275" s="70" t="s">
        <v>85</v>
      </c>
      <c r="AS275" s="76"/>
      <c r="AV275" s="70" t="s">
        <v>85</v>
      </c>
      <c r="AW275" s="76"/>
    </row>
    <row r="276" spans="4:49" ht="31.5" customHeight="1" x14ac:dyDescent="0.2">
      <c r="D276" s="70" t="s">
        <v>85</v>
      </c>
      <c r="H276" s="70" t="s">
        <v>85</v>
      </c>
      <c r="I276" s="76"/>
      <c r="L276" s="70" t="s">
        <v>85</v>
      </c>
      <c r="M276" s="76"/>
      <c r="P276" s="70" t="s">
        <v>85</v>
      </c>
      <c r="Q276" s="76"/>
      <c r="T276" s="70" t="s">
        <v>85</v>
      </c>
      <c r="U276" s="76"/>
      <c r="X276" s="70" t="s">
        <v>85</v>
      </c>
      <c r="Y276" s="76"/>
      <c r="AB276" s="70" t="s">
        <v>85</v>
      </c>
      <c r="AC276" s="76"/>
      <c r="AF276" s="70" t="s">
        <v>85</v>
      </c>
      <c r="AG276" s="76"/>
      <c r="AJ276" s="70" t="s">
        <v>85</v>
      </c>
      <c r="AK276" s="76"/>
      <c r="AN276" s="70" t="s">
        <v>85</v>
      </c>
      <c r="AO276" s="76"/>
      <c r="AR276" s="70" t="s">
        <v>85</v>
      </c>
      <c r="AS276" s="76"/>
      <c r="AV276" s="70" t="s">
        <v>85</v>
      </c>
      <c r="AW276" s="76"/>
    </row>
    <row r="277" spans="4:49" ht="31.5" customHeight="1" x14ac:dyDescent="0.2">
      <c r="D277" s="70" t="s">
        <v>85</v>
      </c>
      <c r="H277" s="70" t="s">
        <v>85</v>
      </c>
      <c r="I277" s="76"/>
      <c r="L277" s="70" t="s">
        <v>85</v>
      </c>
      <c r="M277" s="76"/>
      <c r="P277" s="70" t="s">
        <v>85</v>
      </c>
      <c r="Q277" s="76"/>
      <c r="T277" s="70" t="s">
        <v>85</v>
      </c>
      <c r="U277" s="76"/>
      <c r="X277" s="70" t="s">
        <v>85</v>
      </c>
      <c r="Y277" s="76"/>
      <c r="AB277" s="70" t="s">
        <v>85</v>
      </c>
      <c r="AC277" s="76"/>
      <c r="AF277" s="70" t="s">
        <v>85</v>
      </c>
      <c r="AG277" s="76"/>
      <c r="AJ277" s="70" t="s">
        <v>85</v>
      </c>
      <c r="AK277" s="76"/>
      <c r="AN277" s="70" t="s">
        <v>85</v>
      </c>
      <c r="AO277" s="76"/>
      <c r="AR277" s="70" t="s">
        <v>85</v>
      </c>
      <c r="AS277" s="76"/>
      <c r="AV277" s="70" t="s">
        <v>85</v>
      </c>
      <c r="AW277" s="76"/>
    </row>
    <row r="278" spans="4:49" ht="31.5" customHeight="1" x14ac:dyDescent="0.2">
      <c r="D278" s="70" t="s">
        <v>85</v>
      </c>
      <c r="H278" s="70" t="s">
        <v>85</v>
      </c>
      <c r="I278" s="76"/>
      <c r="L278" s="70" t="s">
        <v>85</v>
      </c>
      <c r="M278" s="76"/>
      <c r="P278" s="70" t="s">
        <v>85</v>
      </c>
      <c r="Q278" s="76"/>
      <c r="T278" s="70" t="s">
        <v>85</v>
      </c>
      <c r="U278" s="76"/>
      <c r="X278" s="70" t="s">
        <v>85</v>
      </c>
      <c r="Y278" s="76"/>
      <c r="AB278" s="70" t="s">
        <v>85</v>
      </c>
      <c r="AC278" s="76"/>
      <c r="AF278" s="70" t="s">
        <v>85</v>
      </c>
      <c r="AG278" s="76"/>
      <c r="AJ278" s="70" t="s">
        <v>85</v>
      </c>
      <c r="AK278" s="76"/>
      <c r="AN278" s="70" t="s">
        <v>85</v>
      </c>
      <c r="AO278" s="76"/>
      <c r="AR278" s="70" t="s">
        <v>85</v>
      </c>
      <c r="AS278" s="76"/>
      <c r="AV278" s="70" t="s">
        <v>85</v>
      </c>
      <c r="AW278" s="76"/>
    </row>
    <row r="279" spans="4:49" ht="31.5" customHeight="1" x14ac:dyDescent="0.2">
      <c r="D279" s="70" t="s">
        <v>85</v>
      </c>
      <c r="H279" s="70" t="s">
        <v>85</v>
      </c>
      <c r="I279" s="76"/>
      <c r="L279" s="70" t="s">
        <v>85</v>
      </c>
      <c r="M279" s="76"/>
      <c r="P279" s="70" t="s">
        <v>85</v>
      </c>
      <c r="Q279" s="76"/>
      <c r="T279" s="70" t="s">
        <v>85</v>
      </c>
      <c r="U279" s="76"/>
      <c r="X279" s="70" t="s">
        <v>85</v>
      </c>
      <c r="Y279" s="76"/>
      <c r="AB279" s="70" t="s">
        <v>85</v>
      </c>
      <c r="AC279" s="76"/>
      <c r="AF279" s="70" t="s">
        <v>85</v>
      </c>
      <c r="AG279" s="76"/>
      <c r="AJ279" s="70" t="s">
        <v>85</v>
      </c>
      <c r="AK279" s="76"/>
      <c r="AN279" s="70" t="s">
        <v>85</v>
      </c>
      <c r="AO279" s="76"/>
      <c r="AR279" s="70" t="s">
        <v>85</v>
      </c>
      <c r="AS279" s="76"/>
      <c r="AV279" s="70" t="s">
        <v>85</v>
      </c>
      <c r="AW279" s="76"/>
    </row>
    <row r="280" spans="4:49" ht="31.5" customHeight="1" x14ac:dyDescent="0.2">
      <c r="D280" s="70" t="s">
        <v>85</v>
      </c>
      <c r="H280" s="70" t="s">
        <v>85</v>
      </c>
      <c r="I280" s="76"/>
      <c r="L280" s="70" t="s">
        <v>85</v>
      </c>
      <c r="M280" s="76"/>
      <c r="P280" s="70" t="s">
        <v>85</v>
      </c>
      <c r="Q280" s="76"/>
      <c r="T280" s="70" t="s">
        <v>85</v>
      </c>
      <c r="U280" s="76"/>
      <c r="X280" s="70" t="s">
        <v>85</v>
      </c>
      <c r="Y280" s="76"/>
      <c r="AB280" s="70" t="s">
        <v>85</v>
      </c>
      <c r="AC280" s="76"/>
      <c r="AF280" s="70" t="s">
        <v>85</v>
      </c>
      <c r="AG280" s="76"/>
      <c r="AJ280" s="70" t="s">
        <v>85</v>
      </c>
      <c r="AK280" s="76"/>
      <c r="AN280" s="70" t="s">
        <v>85</v>
      </c>
      <c r="AO280" s="76"/>
      <c r="AR280" s="70" t="s">
        <v>85</v>
      </c>
      <c r="AS280" s="76"/>
      <c r="AV280" s="70" t="s">
        <v>85</v>
      </c>
      <c r="AW280" s="76"/>
    </row>
    <row r="281" spans="4:49" ht="31.5" customHeight="1" x14ac:dyDescent="0.2">
      <c r="D281" s="70" t="s">
        <v>85</v>
      </c>
      <c r="H281" s="70" t="s">
        <v>85</v>
      </c>
      <c r="I281" s="76"/>
      <c r="L281" s="70" t="s">
        <v>85</v>
      </c>
      <c r="M281" s="76"/>
      <c r="P281" s="70" t="s">
        <v>85</v>
      </c>
      <c r="Q281" s="76"/>
      <c r="T281" s="70" t="s">
        <v>85</v>
      </c>
      <c r="U281" s="76"/>
      <c r="X281" s="70" t="s">
        <v>85</v>
      </c>
      <c r="Y281" s="76"/>
      <c r="AB281" s="70" t="s">
        <v>85</v>
      </c>
      <c r="AC281" s="76"/>
      <c r="AF281" s="70" t="s">
        <v>85</v>
      </c>
      <c r="AG281" s="76"/>
      <c r="AJ281" s="70" t="s">
        <v>85</v>
      </c>
      <c r="AK281" s="76"/>
      <c r="AN281" s="70" t="s">
        <v>85</v>
      </c>
      <c r="AO281" s="76"/>
      <c r="AR281" s="70" t="s">
        <v>85</v>
      </c>
      <c r="AS281" s="76"/>
      <c r="AV281" s="70" t="s">
        <v>85</v>
      </c>
      <c r="AW281" s="76"/>
    </row>
    <row r="282" spans="4:49" ht="31.5" customHeight="1" x14ac:dyDescent="0.2">
      <c r="D282" s="70" t="s">
        <v>85</v>
      </c>
      <c r="H282" s="70" t="s">
        <v>85</v>
      </c>
      <c r="I282" s="76"/>
      <c r="L282" s="70" t="s">
        <v>85</v>
      </c>
      <c r="M282" s="76"/>
      <c r="P282" s="70" t="s">
        <v>85</v>
      </c>
      <c r="Q282" s="76"/>
      <c r="T282" s="70" t="s">
        <v>85</v>
      </c>
      <c r="U282" s="76"/>
      <c r="X282" s="70" t="s">
        <v>85</v>
      </c>
      <c r="Y282" s="76"/>
      <c r="AB282" s="70" t="s">
        <v>85</v>
      </c>
      <c r="AC282" s="76"/>
      <c r="AF282" s="70" t="s">
        <v>85</v>
      </c>
      <c r="AG282" s="76"/>
      <c r="AJ282" s="70" t="s">
        <v>85</v>
      </c>
      <c r="AK282" s="76"/>
      <c r="AN282" s="70" t="s">
        <v>85</v>
      </c>
      <c r="AO282" s="76"/>
      <c r="AR282" s="70" t="s">
        <v>85</v>
      </c>
      <c r="AS282" s="76"/>
      <c r="AV282" s="70" t="s">
        <v>85</v>
      </c>
      <c r="AW282" s="76"/>
    </row>
    <row r="283" spans="4:49" ht="31.5" customHeight="1" x14ac:dyDescent="0.2">
      <c r="D283" s="70" t="s">
        <v>85</v>
      </c>
      <c r="H283" s="70" t="s">
        <v>85</v>
      </c>
      <c r="I283" s="76"/>
      <c r="L283" s="70" t="s">
        <v>85</v>
      </c>
      <c r="M283" s="76"/>
      <c r="P283" s="70" t="s">
        <v>85</v>
      </c>
      <c r="Q283" s="76"/>
      <c r="T283" s="70" t="s">
        <v>85</v>
      </c>
      <c r="U283" s="76"/>
      <c r="X283" s="70" t="s">
        <v>85</v>
      </c>
      <c r="Y283" s="76"/>
      <c r="AB283" s="70" t="s">
        <v>85</v>
      </c>
      <c r="AC283" s="76"/>
      <c r="AF283" s="70" t="s">
        <v>85</v>
      </c>
      <c r="AG283" s="76"/>
      <c r="AJ283" s="70" t="s">
        <v>85</v>
      </c>
      <c r="AK283" s="76"/>
      <c r="AN283" s="70" t="s">
        <v>85</v>
      </c>
      <c r="AO283" s="76"/>
      <c r="AR283" s="70" t="s">
        <v>85</v>
      </c>
      <c r="AS283" s="76"/>
      <c r="AV283" s="70" t="s">
        <v>85</v>
      </c>
      <c r="AW283" s="76"/>
    </row>
    <row r="284" spans="4:49" ht="31.5" customHeight="1" x14ac:dyDescent="0.2">
      <c r="D284" s="70" t="s">
        <v>85</v>
      </c>
      <c r="H284" s="70" t="s">
        <v>85</v>
      </c>
      <c r="I284" s="76"/>
      <c r="L284" s="70" t="s">
        <v>85</v>
      </c>
      <c r="M284" s="76"/>
      <c r="P284" s="70" t="s">
        <v>85</v>
      </c>
      <c r="Q284" s="76"/>
      <c r="T284" s="70" t="s">
        <v>85</v>
      </c>
      <c r="U284" s="76"/>
      <c r="X284" s="70" t="s">
        <v>85</v>
      </c>
      <c r="Y284" s="76"/>
      <c r="AB284" s="70" t="s">
        <v>85</v>
      </c>
      <c r="AC284" s="76"/>
      <c r="AF284" s="70" t="s">
        <v>85</v>
      </c>
      <c r="AG284" s="76"/>
      <c r="AJ284" s="70" t="s">
        <v>85</v>
      </c>
      <c r="AK284" s="76"/>
      <c r="AN284" s="70" t="s">
        <v>85</v>
      </c>
      <c r="AO284" s="76"/>
      <c r="AR284" s="70" t="s">
        <v>85</v>
      </c>
      <c r="AS284" s="76"/>
      <c r="AV284" s="70" t="s">
        <v>85</v>
      </c>
      <c r="AW284" s="76"/>
    </row>
    <row r="285" spans="4:49" ht="31.5" customHeight="1" x14ac:dyDescent="0.2">
      <c r="D285" s="70" t="s">
        <v>85</v>
      </c>
      <c r="H285" s="70" t="s">
        <v>85</v>
      </c>
      <c r="I285" s="76"/>
      <c r="L285" s="70" t="s">
        <v>85</v>
      </c>
      <c r="M285" s="76"/>
      <c r="P285" s="70" t="s">
        <v>85</v>
      </c>
      <c r="Q285" s="76"/>
      <c r="T285" s="70" t="s">
        <v>85</v>
      </c>
      <c r="U285" s="76"/>
      <c r="X285" s="70" t="s">
        <v>85</v>
      </c>
      <c r="Y285" s="76"/>
      <c r="AB285" s="70" t="s">
        <v>85</v>
      </c>
      <c r="AC285" s="76"/>
      <c r="AF285" s="70" t="s">
        <v>85</v>
      </c>
      <c r="AG285" s="76"/>
      <c r="AJ285" s="70" t="s">
        <v>85</v>
      </c>
      <c r="AK285" s="76"/>
      <c r="AN285" s="70" t="s">
        <v>85</v>
      </c>
      <c r="AO285" s="76"/>
      <c r="AR285" s="70" t="s">
        <v>85</v>
      </c>
      <c r="AS285" s="76"/>
      <c r="AV285" s="70" t="s">
        <v>85</v>
      </c>
      <c r="AW285" s="76"/>
    </row>
    <row r="286" spans="4:49" ht="31.5" customHeight="1" x14ac:dyDescent="0.2">
      <c r="D286" s="70" t="s">
        <v>85</v>
      </c>
      <c r="H286" s="70" t="s">
        <v>85</v>
      </c>
      <c r="I286" s="76"/>
      <c r="L286" s="70" t="s">
        <v>85</v>
      </c>
      <c r="M286" s="76"/>
      <c r="P286" s="70" t="s">
        <v>85</v>
      </c>
      <c r="Q286" s="76"/>
      <c r="T286" s="70" t="s">
        <v>85</v>
      </c>
      <c r="U286" s="76"/>
      <c r="X286" s="70" t="s">
        <v>85</v>
      </c>
      <c r="Y286" s="76"/>
      <c r="AB286" s="70" t="s">
        <v>85</v>
      </c>
      <c r="AC286" s="76"/>
      <c r="AF286" s="70" t="s">
        <v>85</v>
      </c>
      <c r="AG286" s="76"/>
      <c r="AJ286" s="70" t="s">
        <v>85</v>
      </c>
      <c r="AK286" s="76"/>
      <c r="AN286" s="70" t="s">
        <v>85</v>
      </c>
      <c r="AO286" s="76"/>
      <c r="AR286" s="70" t="s">
        <v>85</v>
      </c>
      <c r="AS286" s="76"/>
      <c r="AV286" s="70" t="s">
        <v>85</v>
      </c>
      <c r="AW286" s="76"/>
    </row>
    <row r="287" spans="4:49" ht="31.5" customHeight="1" x14ac:dyDescent="0.2">
      <c r="D287" s="70" t="s">
        <v>85</v>
      </c>
      <c r="H287" s="70" t="s">
        <v>85</v>
      </c>
      <c r="I287" s="76"/>
      <c r="L287" s="70" t="s">
        <v>85</v>
      </c>
      <c r="M287" s="76"/>
      <c r="P287" s="70" t="s">
        <v>85</v>
      </c>
      <c r="Q287" s="76"/>
      <c r="T287" s="70" t="s">
        <v>85</v>
      </c>
      <c r="U287" s="76"/>
      <c r="X287" s="70" t="s">
        <v>85</v>
      </c>
      <c r="Y287" s="76"/>
      <c r="AB287" s="70" t="s">
        <v>85</v>
      </c>
      <c r="AC287" s="76"/>
      <c r="AF287" s="70" t="s">
        <v>85</v>
      </c>
      <c r="AG287" s="76"/>
      <c r="AJ287" s="70" t="s">
        <v>85</v>
      </c>
      <c r="AK287" s="76"/>
      <c r="AN287" s="70" t="s">
        <v>85</v>
      </c>
      <c r="AO287" s="76"/>
      <c r="AR287" s="70" t="s">
        <v>85</v>
      </c>
      <c r="AS287" s="76"/>
      <c r="AV287" s="70" t="s">
        <v>85</v>
      </c>
      <c r="AW287" s="76"/>
    </row>
    <row r="288" spans="4:49" ht="31.5" customHeight="1" x14ac:dyDescent="0.2">
      <c r="D288" s="70" t="s">
        <v>85</v>
      </c>
      <c r="H288" s="70" t="s">
        <v>85</v>
      </c>
      <c r="I288" s="76"/>
      <c r="L288" s="70" t="s">
        <v>85</v>
      </c>
      <c r="M288" s="76"/>
      <c r="P288" s="70" t="s">
        <v>85</v>
      </c>
      <c r="Q288" s="76"/>
      <c r="T288" s="70" t="s">
        <v>85</v>
      </c>
      <c r="U288" s="76"/>
      <c r="X288" s="70" t="s">
        <v>85</v>
      </c>
      <c r="Y288" s="76"/>
      <c r="AB288" s="70" t="s">
        <v>85</v>
      </c>
      <c r="AC288" s="76"/>
      <c r="AF288" s="70" t="s">
        <v>85</v>
      </c>
      <c r="AG288" s="76"/>
      <c r="AJ288" s="70" t="s">
        <v>85</v>
      </c>
      <c r="AK288" s="76"/>
      <c r="AN288" s="70" t="s">
        <v>85</v>
      </c>
      <c r="AO288" s="76"/>
      <c r="AR288" s="70" t="s">
        <v>85</v>
      </c>
      <c r="AS288" s="76"/>
      <c r="AV288" s="70" t="s">
        <v>85</v>
      </c>
      <c r="AW288" s="76"/>
    </row>
    <row r="289" spans="4:49" ht="31.5" customHeight="1" x14ac:dyDescent="0.2">
      <c r="D289" s="70" t="s">
        <v>85</v>
      </c>
      <c r="H289" s="70" t="s">
        <v>85</v>
      </c>
      <c r="I289" s="76"/>
      <c r="L289" s="70" t="s">
        <v>85</v>
      </c>
      <c r="M289" s="76"/>
      <c r="P289" s="70" t="s">
        <v>85</v>
      </c>
      <c r="Q289" s="76"/>
      <c r="T289" s="70" t="s">
        <v>85</v>
      </c>
      <c r="U289" s="76"/>
      <c r="X289" s="70" t="s">
        <v>85</v>
      </c>
      <c r="Y289" s="76"/>
      <c r="AB289" s="70" t="s">
        <v>85</v>
      </c>
      <c r="AC289" s="76"/>
      <c r="AF289" s="70" t="s">
        <v>85</v>
      </c>
      <c r="AG289" s="76"/>
      <c r="AJ289" s="70" t="s">
        <v>85</v>
      </c>
      <c r="AK289" s="76"/>
      <c r="AN289" s="70" t="s">
        <v>85</v>
      </c>
      <c r="AO289" s="76"/>
      <c r="AR289" s="70" t="s">
        <v>85</v>
      </c>
      <c r="AS289" s="76"/>
      <c r="AV289" s="70" t="s">
        <v>85</v>
      </c>
      <c r="AW289" s="76"/>
    </row>
    <row r="290" spans="4:49" ht="31.5" customHeight="1" x14ac:dyDescent="0.2">
      <c r="D290" s="70" t="s">
        <v>85</v>
      </c>
      <c r="H290" s="70" t="s">
        <v>85</v>
      </c>
      <c r="I290" s="76"/>
      <c r="L290" s="70" t="s">
        <v>85</v>
      </c>
      <c r="M290" s="76"/>
      <c r="P290" s="70" t="s">
        <v>85</v>
      </c>
      <c r="Q290" s="76"/>
      <c r="T290" s="70" t="s">
        <v>85</v>
      </c>
      <c r="U290" s="76"/>
      <c r="X290" s="70" t="s">
        <v>85</v>
      </c>
      <c r="Y290" s="76"/>
      <c r="AB290" s="70" t="s">
        <v>85</v>
      </c>
      <c r="AC290" s="76"/>
      <c r="AF290" s="70" t="s">
        <v>85</v>
      </c>
      <c r="AG290" s="76"/>
      <c r="AJ290" s="70" t="s">
        <v>85</v>
      </c>
      <c r="AK290" s="76"/>
      <c r="AN290" s="70" t="s">
        <v>85</v>
      </c>
      <c r="AO290" s="76"/>
      <c r="AR290" s="70" t="s">
        <v>85</v>
      </c>
      <c r="AS290" s="76"/>
      <c r="AV290" s="70" t="s">
        <v>85</v>
      </c>
      <c r="AW290" s="76"/>
    </row>
    <row r="291" spans="4:49" ht="31.5" customHeight="1" x14ac:dyDescent="0.2">
      <c r="D291" s="70" t="s">
        <v>85</v>
      </c>
      <c r="H291" s="70" t="s">
        <v>85</v>
      </c>
      <c r="I291" s="76"/>
      <c r="L291" s="70" t="s">
        <v>85</v>
      </c>
      <c r="M291" s="76"/>
      <c r="P291" s="70" t="s">
        <v>85</v>
      </c>
      <c r="Q291" s="76"/>
      <c r="T291" s="70" t="s">
        <v>85</v>
      </c>
      <c r="U291" s="76"/>
      <c r="X291" s="70" t="s">
        <v>85</v>
      </c>
      <c r="Y291" s="76"/>
      <c r="AB291" s="70" t="s">
        <v>85</v>
      </c>
      <c r="AC291" s="76"/>
      <c r="AF291" s="70" t="s">
        <v>85</v>
      </c>
      <c r="AG291" s="76"/>
      <c r="AJ291" s="70" t="s">
        <v>85</v>
      </c>
      <c r="AK291" s="76"/>
      <c r="AN291" s="70" t="s">
        <v>85</v>
      </c>
      <c r="AO291" s="76"/>
      <c r="AR291" s="70" t="s">
        <v>85</v>
      </c>
      <c r="AS291" s="76"/>
      <c r="AV291" s="70" t="s">
        <v>85</v>
      </c>
      <c r="AW291" s="76"/>
    </row>
    <row r="292" spans="4:49" ht="31.5" customHeight="1" x14ac:dyDescent="0.2">
      <c r="D292" s="70" t="s">
        <v>85</v>
      </c>
      <c r="H292" s="70" t="s">
        <v>85</v>
      </c>
      <c r="I292" s="76"/>
      <c r="L292" s="70" t="s">
        <v>85</v>
      </c>
      <c r="M292" s="76"/>
      <c r="P292" s="70" t="s">
        <v>85</v>
      </c>
      <c r="Q292" s="76"/>
      <c r="T292" s="70" t="s">
        <v>85</v>
      </c>
      <c r="U292" s="76"/>
      <c r="X292" s="70" t="s">
        <v>85</v>
      </c>
      <c r="Y292" s="76"/>
      <c r="AB292" s="70" t="s">
        <v>85</v>
      </c>
      <c r="AC292" s="76"/>
      <c r="AF292" s="70" t="s">
        <v>85</v>
      </c>
      <c r="AG292" s="76"/>
      <c r="AJ292" s="70" t="s">
        <v>85</v>
      </c>
      <c r="AK292" s="76"/>
      <c r="AN292" s="70" t="s">
        <v>85</v>
      </c>
      <c r="AO292" s="76"/>
      <c r="AR292" s="70" t="s">
        <v>85</v>
      </c>
      <c r="AS292" s="76"/>
      <c r="AV292" s="70" t="s">
        <v>85</v>
      </c>
      <c r="AW292" s="76"/>
    </row>
    <row r="293" spans="4:49" ht="31.5" customHeight="1" x14ac:dyDescent="0.2">
      <c r="D293" s="70" t="s">
        <v>85</v>
      </c>
      <c r="H293" s="70" t="s">
        <v>85</v>
      </c>
      <c r="I293" s="76"/>
      <c r="L293" s="70" t="s">
        <v>85</v>
      </c>
      <c r="M293" s="76"/>
      <c r="P293" s="70" t="s">
        <v>85</v>
      </c>
      <c r="Q293" s="76"/>
      <c r="T293" s="70" t="s">
        <v>85</v>
      </c>
      <c r="U293" s="76"/>
      <c r="X293" s="70" t="s">
        <v>85</v>
      </c>
      <c r="Y293" s="76"/>
      <c r="AB293" s="70" t="s">
        <v>85</v>
      </c>
      <c r="AC293" s="76"/>
      <c r="AF293" s="70" t="s">
        <v>85</v>
      </c>
      <c r="AG293" s="76"/>
      <c r="AJ293" s="70" t="s">
        <v>85</v>
      </c>
      <c r="AK293" s="76"/>
      <c r="AN293" s="70" t="s">
        <v>85</v>
      </c>
      <c r="AO293" s="76"/>
      <c r="AR293" s="70" t="s">
        <v>85</v>
      </c>
      <c r="AS293" s="76"/>
      <c r="AV293" s="70" t="s">
        <v>85</v>
      </c>
      <c r="AW293" s="76"/>
    </row>
    <row r="294" spans="4:49" ht="31.5" customHeight="1" x14ac:dyDescent="0.2">
      <c r="D294" s="70" t="s">
        <v>85</v>
      </c>
      <c r="H294" s="70" t="s">
        <v>85</v>
      </c>
      <c r="I294" s="76"/>
      <c r="L294" s="70" t="s">
        <v>85</v>
      </c>
      <c r="M294" s="76"/>
      <c r="P294" s="70" t="s">
        <v>85</v>
      </c>
      <c r="Q294" s="76"/>
      <c r="T294" s="70" t="s">
        <v>85</v>
      </c>
      <c r="U294" s="76"/>
      <c r="X294" s="70" t="s">
        <v>85</v>
      </c>
      <c r="Y294" s="76"/>
      <c r="AB294" s="70" t="s">
        <v>85</v>
      </c>
      <c r="AC294" s="76"/>
      <c r="AF294" s="70" t="s">
        <v>85</v>
      </c>
      <c r="AG294" s="76"/>
      <c r="AJ294" s="70" t="s">
        <v>85</v>
      </c>
      <c r="AK294" s="76"/>
      <c r="AN294" s="70" t="s">
        <v>85</v>
      </c>
      <c r="AO294" s="76"/>
      <c r="AR294" s="70" t="s">
        <v>85</v>
      </c>
      <c r="AS294" s="76"/>
      <c r="AV294" s="70" t="s">
        <v>85</v>
      </c>
      <c r="AW294" s="76"/>
    </row>
    <row r="295" spans="4:49" ht="31.5" customHeight="1" x14ac:dyDescent="0.2">
      <c r="D295" s="70" t="s">
        <v>85</v>
      </c>
      <c r="H295" s="70" t="s">
        <v>85</v>
      </c>
      <c r="I295" s="76"/>
      <c r="L295" s="70" t="s">
        <v>85</v>
      </c>
      <c r="M295" s="76"/>
      <c r="P295" s="70" t="s">
        <v>85</v>
      </c>
      <c r="Q295" s="76"/>
      <c r="T295" s="70" t="s">
        <v>85</v>
      </c>
      <c r="U295" s="76"/>
      <c r="X295" s="70" t="s">
        <v>85</v>
      </c>
      <c r="Y295" s="76"/>
      <c r="AB295" s="70" t="s">
        <v>85</v>
      </c>
      <c r="AC295" s="76"/>
      <c r="AF295" s="70" t="s">
        <v>85</v>
      </c>
      <c r="AG295" s="76"/>
      <c r="AJ295" s="70" t="s">
        <v>85</v>
      </c>
      <c r="AK295" s="76"/>
      <c r="AN295" s="70" t="s">
        <v>85</v>
      </c>
      <c r="AO295" s="76"/>
      <c r="AR295" s="70" t="s">
        <v>85</v>
      </c>
      <c r="AS295" s="76"/>
      <c r="AV295" s="70" t="s">
        <v>85</v>
      </c>
      <c r="AW295" s="76"/>
    </row>
    <row r="296" spans="4:49" ht="31.5" customHeight="1" x14ac:dyDescent="0.2">
      <c r="D296" s="70" t="s">
        <v>85</v>
      </c>
      <c r="H296" s="70" t="s">
        <v>85</v>
      </c>
      <c r="I296" s="76"/>
      <c r="L296" s="70" t="s">
        <v>85</v>
      </c>
      <c r="M296" s="76"/>
      <c r="P296" s="70" t="s">
        <v>85</v>
      </c>
      <c r="Q296" s="76"/>
      <c r="T296" s="70" t="s">
        <v>85</v>
      </c>
      <c r="U296" s="76"/>
      <c r="X296" s="70" t="s">
        <v>85</v>
      </c>
      <c r="Y296" s="76"/>
      <c r="AB296" s="70" t="s">
        <v>85</v>
      </c>
      <c r="AC296" s="76"/>
      <c r="AF296" s="70" t="s">
        <v>85</v>
      </c>
      <c r="AG296" s="76"/>
      <c r="AJ296" s="70" t="s">
        <v>85</v>
      </c>
      <c r="AK296" s="76"/>
      <c r="AN296" s="70" t="s">
        <v>85</v>
      </c>
      <c r="AO296" s="76"/>
      <c r="AR296" s="70" t="s">
        <v>85</v>
      </c>
      <c r="AS296" s="76"/>
      <c r="AV296" s="70" t="s">
        <v>85</v>
      </c>
      <c r="AW296" s="76"/>
    </row>
    <row r="297" spans="4:49" ht="31.5" customHeight="1" x14ac:dyDescent="0.2">
      <c r="D297" s="70" t="s">
        <v>85</v>
      </c>
      <c r="H297" s="70" t="s">
        <v>85</v>
      </c>
      <c r="I297" s="76"/>
      <c r="L297" s="70" t="s">
        <v>85</v>
      </c>
      <c r="M297" s="76"/>
      <c r="P297" s="70" t="s">
        <v>85</v>
      </c>
      <c r="Q297" s="76"/>
      <c r="T297" s="70" t="s">
        <v>85</v>
      </c>
      <c r="U297" s="76"/>
      <c r="X297" s="70" t="s">
        <v>85</v>
      </c>
      <c r="Y297" s="76"/>
      <c r="AB297" s="70" t="s">
        <v>85</v>
      </c>
      <c r="AC297" s="76"/>
      <c r="AF297" s="70" t="s">
        <v>85</v>
      </c>
      <c r="AG297" s="76"/>
      <c r="AJ297" s="70" t="s">
        <v>85</v>
      </c>
      <c r="AK297" s="76"/>
      <c r="AN297" s="70" t="s">
        <v>85</v>
      </c>
      <c r="AO297" s="76"/>
      <c r="AR297" s="70" t="s">
        <v>85</v>
      </c>
      <c r="AS297" s="76"/>
      <c r="AV297" s="70" t="s">
        <v>85</v>
      </c>
      <c r="AW297" s="76"/>
    </row>
    <row r="298" spans="4:49" ht="31.5" customHeight="1" x14ac:dyDescent="0.2">
      <c r="D298" s="70" t="s">
        <v>85</v>
      </c>
      <c r="H298" s="70" t="s">
        <v>85</v>
      </c>
      <c r="I298" s="76"/>
      <c r="L298" s="70" t="s">
        <v>85</v>
      </c>
      <c r="M298" s="76"/>
      <c r="P298" s="70" t="s">
        <v>85</v>
      </c>
      <c r="Q298" s="76"/>
      <c r="T298" s="70" t="s">
        <v>85</v>
      </c>
      <c r="U298" s="76"/>
      <c r="X298" s="70" t="s">
        <v>85</v>
      </c>
      <c r="Y298" s="76"/>
      <c r="AB298" s="70" t="s">
        <v>85</v>
      </c>
      <c r="AC298" s="76"/>
      <c r="AF298" s="70" t="s">
        <v>85</v>
      </c>
      <c r="AG298" s="76"/>
      <c r="AJ298" s="70" t="s">
        <v>85</v>
      </c>
      <c r="AK298" s="76"/>
      <c r="AN298" s="70" t="s">
        <v>85</v>
      </c>
      <c r="AO298" s="76"/>
      <c r="AR298" s="70" t="s">
        <v>85</v>
      </c>
      <c r="AS298" s="76"/>
      <c r="AV298" s="70" t="s">
        <v>85</v>
      </c>
      <c r="AW298" s="76"/>
    </row>
    <row r="299" spans="4:49" ht="31.5" customHeight="1" x14ac:dyDescent="0.2">
      <c r="D299" s="70" t="s">
        <v>85</v>
      </c>
      <c r="H299" s="70" t="s">
        <v>85</v>
      </c>
      <c r="I299" s="76"/>
      <c r="L299" s="70" t="s">
        <v>85</v>
      </c>
      <c r="M299" s="76"/>
      <c r="P299" s="70" t="s">
        <v>85</v>
      </c>
      <c r="Q299" s="76"/>
      <c r="T299" s="70" t="s">
        <v>85</v>
      </c>
      <c r="U299" s="76"/>
      <c r="X299" s="70" t="s">
        <v>85</v>
      </c>
      <c r="Y299" s="76"/>
      <c r="AB299" s="70" t="s">
        <v>85</v>
      </c>
      <c r="AC299" s="76"/>
      <c r="AF299" s="70" t="s">
        <v>85</v>
      </c>
      <c r="AG299" s="76"/>
      <c r="AJ299" s="70" t="s">
        <v>85</v>
      </c>
      <c r="AK299" s="76"/>
      <c r="AN299" s="70" t="s">
        <v>85</v>
      </c>
      <c r="AO299" s="76"/>
      <c r="AR299" s="70" t="s">
        <v>85</v>
      </c>
      <c r="AS299" s="76"/>
      <c r="AV299" s="70" t="s">
        <v>85</v>
      </c>
      <c r="AW299" s="76"/>
    </row>
    <row r="300" spans="4:49" ht="31.5" customHeight="1" x14ac:dyDescent="0.2">
      <c r="D300" s="70" t="s">
        <v>85</v>
      </c>
      <c r="H300" s="70" t="s">
        <v>85</v>
      </c>
      <c r="I300" s="76"/>
      <c r="L300" s="70" t="s">
        <v>85</v>
      </c>
      <c r="M300" s="76"/>
      <c r="P300" s="70" t="s">
        <v>85</v>
      </c>
      <c r="Q300" s="76"/>
      <c r="T300" s="70" t="s">
        <v>85</v>
      </c>
      <c r="U300" s="76"/>
      <c r="X300" s="70" t="s">
        <v>85</v>
      </c>
      <c r="Y300" s="76"/>
      <c r="AB300" s="70" t="s">
        <v>85</v>
      </c>
      <c r="AC300" s="76"/>
      <c r="AF300" s="70" t="s">
        <v>85</v>
      </c>
      <c r="AG300" s="76"/>
      <c r="AJ300" s="70" t="s">
        <v>85</v>
      </c>
      <c r="AK300" s="76"/>
      <c r="AN300" s="70" t="s">
        <v>85</v>
      </c>
      <c r="AO300" s="76"/>
      <c r="AR300" s="70" t="s">
        <v>85</v>
      </c>
      <c r="AS300" s="76"/>
      <c r="AV300" s="70" t="s">
        <v>85</v>
      </c>
      <c r="AW300" s="76"/>
    </row>
    <row r="301" spans="4:49" ht="31.5" customHeight="1" x14ac:dyDescent="0.2">
      <c r="D301" s="70" t="s">
        <v>85</v>
      </c>
      <c r="H301" s="70" t="s">
        <v>85</v>
      </c>
      <c r="I301" s="76"/>
      <c r="L301" s="70" t="s">
        <v>85</v>
      </c>
      <c r="M301" s="76"/>
      <c r="P301" s="70" t="s">
        <v>85</v>
      </c>
      <c r="Q301" s="76"/>
      <c r="T301" s="70" t="s">
        <v>85</v>
      </c>
      <c r="U301" s="76"/>
      <c r="X301" s="70" t="s">
        <v>85</v>
      </c>
      <c r="Y301" s="76"/>
      <c r="AB301" s="70" t="s">
        <v>85</v>
      </c>
      <c r="AC301" s="76"/>
      <c r="AF301" s="70" t="s">
        <v>85</v>
      </c>
      <c r="AG301" s="76"/>
      <c r="AJ301" s="70" t="s">
        <v>85</v>
      </c>
      <c r="AK301" s="76"/>
      <c r="AN301" s="70" t="s">
        <v>85</v>
      </c>
      <c r="AO301" s="76"/>
      <c r="AR301" s="70" t="s">
        <v>85</v>
      </c>
      <c r="AS301" s="76"/>
      <c r="AV301" s="70" t="s">
        <v>85</v>
      </c>
      <c r="AW301" s="76"/>
    </row>
    <row r="302" spans="4:49" ht="31.5" customHeight="1" x14ac:dyDescent="0.2">
      <c r="D302" s="70" t="s">
        <v>85</v>
      </c>
      <c r="H302" s="70" t="s">
        <v>85</v>
      </c>
      <c r="I302" s="76"/>
      <c r="L302" s="70" t="s">
        <v>85</v>
      </c>
      <c r="M302" s="76"/>
      <c r="P302" s="70" t="s">
        <v>85</v>
      </c>
      <c r="Q302" s="76"/>
      <c r="T302" s="70" t="s">
        <v>85</v>
      </c>
      <c r="U302" s="76"/>
      <c r="X302" s="70" t="s">
        <v>85</v>
      </c>
      <c r="Y302" s="76"/>
      <c r="AB302" s="70" t="s">
        <v>85</v>
      </c>
      <c r="AC302" s="76"/>
      <c r="AF302" s="70" t="s">
        <v>85</v>
      </c>
      <c r="AG302" s="76"/>
      <c r="AJ302" s="70" t="s">
        <v>85</v>
      </c>
      <c r="AK302" s="76"/>
      <c r="AN302" s="70" t="s">
        <v>85</v>
      </c>
      <c r="AO302" s="76"/>
      <c r="AR302" s="70" t="s">
        <v>85</v>
      </c>
      <c r="AS302" s="76"/>
      <c r="AV302" s="70" t="s">
        <v>85</v>
      </c>
      <c r="AW302" s="76"/>
    </row>
    <row r="303" spans="4:49" ht="31.5" customHeight="1" x14ac:dyDescent="0.2">
      <c r="D303" s="70" t="s">
        <v>85</v>
      </c>
      <c r="H303" s="70" t="s">
        <v>85</v>
      </c>
      <c r="I303" s="76"/>
      <c r="L303" s="70" t="s">
        <v>85</v>
      </c>
      <c r="M303" s="76"/>
      <c r="P303" s="70" t="s">
        <v>85</v>
      </c>
      <c r="Q303" s="76"/>
      <c r="T303" s="70" t="s">
        <v>85</v>
      </c>
      <c r="U303" s="76"/>
      <c r="X303" s="70" t="s">
        <v>85</v>
      </c>
      <c r="Y303" s="76"/>
      <c r="AB303" s="70" t="s">
        <v>85</v>
      </c>
      <c r="AC303" s="76"/>
      <c r="AF303" s="70" t="s">
        <v>85</v>
      </c>
      <c r="AG303" s="76"/>
      <c r="AJ303" s="70" t="s">
        <v>85</v>
      </c>
      <c r="AK303" s="76"/>
      <c r="AN303" s="70" t="s">
        <v>85</v>
      </c>
      <c r="AO303" s="76"/>
      <c r="AR303" s="70" t="s">
        <v>85</v>
      </c>
      <c r="AS303" s="76"/>
      <c r="AV303" s="70" t="s">
        <v>85</v>
      </c>
      <c r="AW303" s="76"/>
    </row>
    <row r="304" spans="4:49" ht="31.5" customHeight="1" x14ac:dyDescent="0.2">
      <c r="D304" s="70" t="s">
        <v>85</v>
      </c>
      <c r="H304" s="70" t="s">
        <v>85</v>
      </c>
      <c r="I304" s="76"/>
      <c r="L304" s="70" t="s">
        <v>85</v>
      </c>
      <c r="M304" s="76"/>
      <c r="P304" s="70" t="s">
        <v>85</v>
      </c>
      <c r="Q304" s="76"/>
      <c r="T304" s="70" t="s">
        <v>85</v>
      </c>
      <c r="U304" s="76"/>
      <c r="X304" s="70" t="s">
        <v>85</v>
      </c>
      <c r="Y304" s="76"/>
      <c r="AB304" s="70" t="s">
        <v>85</v>
      </c>
      <c r="AC304" s="76"/>
      <c r="AF304" s="70" t="s">
        <v>85</v>
      </c>
      <c r="AG304" s="76"/>
      <c r="AJ304" s="70" t="s">
        <v>85</v>
      </c>
      <c r="AK304" s="76"/>
      <c r="AN304" s="70" t="s">
        <v>85</v>
      </c>
      <c r="AO304" s="76"/>
      <c r="AR304" s="70" t="s">
        <v>85</v>
      </c>
      <c r="AS304" s="76"/>
      <c r="AV304" s="70" t="s">
        <v>85</v>
      </c>
      <c r="AW304" s="76"/>
    </row>
    <row r="305" spans="1:83" ht="31.5" customHeight="1" x14ac:dyDescent="0.2">
      <c r="D305" s="70" t="s">
        <v>85</v>
      </c>
      <c r="H305" s="70" t="s">
        <v>85</v>
      </c>
      <c r="I305" s="76"/>
      <c r="L305" s="70" t="s">
        <v>85</v>
      </c>
      <c r="M305" s="76"/>
      <c r="P305" s="70" t="s">
        <v>85</v>
      </c>
      <c r="Q305" s="76"/>
      <c r="T305" s="70" t="s">
        <v>85</v>
      </c>
      <c r="U305" s="76"/>
      <c r="X305" s="70" t="s">
        <v>85</v>
      </c>
      <c r="Y305" s="76"/>
      <c r="AB305" s="70" t="s">
        <v>85</v>
      </c>
      <c r="AC305" s="76"/>
      <c r="AF305" s="70" t="s">
        <v>85</v>
      </c>
      <c r="AG305" s="76"/>
      <c r="AJ305" s="70" t="s">
        <v>85</v>
      </c>
      <c r="AK305" s="76"/>
      <c r="AN305" s="70" t="s">
        <v>85</v>
      </c>
      <c r="AO305" s="76"/>
      <c r="AR305" s="70" t="s">
        <v>85</v>
      </c>
      <c r="AS305" s="76"/>
      <c r="AV305" s="70" t="s">
        <v>85</v>
      </c>
      <c r="AW305" s="76"/>
    </row>
    <row r="306" spans="1:83" ht="31.5" customHeight="1" x14ac:dyDescent="0.2">
      <c r="D306" s="70" t="s">
        <v>85</v>
      </c>
      <c r="H306" s="70" t="s">
        <v>85</v>
      </c>
      <c r="I306" s="76"/>
      <c r="L306" s="70" t="s">
        <v>85</v>
      </c>
      <c r="M306" s="76"/>
      <c r="P306" s="70" t="s">
        <v>85</v>
      </c>
      <c r="Q306" s="76"/>
      <c r="T306" s="70" t="s">
        <v>85</v>
      </c>
      <c r="U306" s="76"/>
      <c r="X306" s="70" t="s">
        <v>85</v>
      </c>
      <c r="Y306" s="76"/>
      <c r="AB306" s="70" t="s">
        <v>85</v>
      </c>
      <c r="AC306" s="76"/>
      <c r="AF306" s="70" t="s">
        <v>85</v>
      </c>
      <c r="AG306" s="76"/>
      <c r="AJ306" s="70" t="s">
        <v>85</v>
      </c>
      <c r="AK306" s="76"/>
      <c r="AN306" s="70" t="s">
        <v>85</v>
      </c>
      <c r="AO306" s="76"/>
      <c r="AR306" s="70" t="s">
        <v>85</v>
      </c>
      <c r="AS306" s="76"/>
      <c r="AV306" s="70" t="s">
        <v>85</v>
      </c>
      <c r="AW306" s="76"/>
    </row>
    <row r="307" spans="1:83" ht="31.5" customHeight="1" x14ac:dyDescent="0.2">
      <c r="D307" s="70" t="s">
        <v>85</v>
      </c>
      <c r="H307" s="70" t="s">
        <v>85</v>
      </c>
      <c r="I307" s="76"/>
      <c r="L307" s="70" t="s">
        <v>85</v>
      </c>
      <c r="M307" s="76"/>
      <c r="P307" s="70" t="s">
        <v>85</v>
      </c>
      <c r="Q307" s="76"/>
      <c r="T307" s="70" t="s">
        <v>85</v>
      </c>
      <c r="U307" s="76"/>
      <c r="X307" s="70" t="s">
        <v>85</v>
      </c>
      <c r="Y307" s="76"/>
      <c r="AB307" s="70" t="s">
        <v>85</v>
      </c>
      <c r="AC307" s="76"/>
      <c r="AF307" s="70" t="s">
        <v>85</v>
      </c>
      <c r="AG307" s="76"/>
      <c r="AJ307" s="70" t="s">
        <v>85</v>
      </c>
      <c r="AK307" s="76"/>
      <c r="AN307" s="70" t="s">
        <v>85</v>
      </c>
      <c r="AO307" s="76"/>
      <c r="AR307" s="70" t="s">
        <v>85</v>
      </c>
      <c r="AS307" s="76"/>
      <c r="AV307" s="70" t="s">
        <v>85</v>
      </c>
      <c r="AW307" s="76"/>
    </row>
    <row r="308" spans="1:83" ht="31.5" customHeight="1" x14ac:dyDescent="0.2">
      <c r="D308" s="70" t="s">
        <v>85</v>
      </c>
      <c r="H308" s="70" t="s">
        <v>85</v>
      </c>
      <c r="I308" s="76"/>
      <c r="L308" s="70" t="s">
        <v>85</v>
      </c>
      <c r="M308" s="76"/>
      <c r="P308" s="70" t="s">
        <v>85</v>
      </c>
      <c r="Q308" s="76"/>
      <c r="T308" s="70" t="s">
        <v>85</v>
      </c>
      <c r="U308" s="76"/>
      <c r="X308" s="70" t="s">
        <v>85</v>
      </c>
      <c r="Y308" s="76"/>
      <c r="AB308" s="70" t="s">
        <v>85</v>
      </c>
      <c r="AC308" s="76"/>
      <c r="AF308" s="70" t="s">
        <v>85</v>
      </c>
      <c r="AG308" s="76"/>
      <c r="AJ308" s="70" t="s">
        <v>85</v>
      </c>
      <c r="AK308" s="76"/>
      <c r="AN308" s="70" t="s">
        <v>85</v>
      </c>
      <c r="AO308" s="76"/>
      <c r="AR308" s="70" t="s">
        <v>85</v>
      </c>
      <c r="AS308" s="76"/>
      <c r="AV308" s="70" t="s">
        <v>85</v>
      </c>
      <c r="AW308" s="76"/>
    </row>
    <row r="309" spans="1:83" ht="31.5" customHeight="1" x14ac:dyDescent="0.2">
      <c r="D309" s="70" t="s">
        <v>85</v>
      </c>
      <c r="H309" s="70" t="s">
        <v>85</v>
      </c>
      <c r="I309" s="76"/>
      <c r="L309" s="70" t="s">
        <v>85</v>
      </c>
      <c r="M309" s="76"/>
      <c r="P309" s="70" t="s">
        <v>85</v>
      </c>
      <c r="Q309" s="76"/>
      <c r="T309" s="70" t="s">
        <v>85</v>
      </c>
      <c r="U309" s="76"/>
      <c r="X309" s="70" t="s">
        <v>85</v>
      </c>
      <c r="Y309" s="76"/>
      <c r="AB309" s="70" t="s">
        <v>85</v>
      </c>
      <c r="AC309" s="76"/>
      <c r="AF309" s="70" t="s">
        <v>85</v>
      </c>
      <c r="AG309" s="76"/>
      <c r="AJ309" s="70" t="s">
        <v>85</v>
      </c>
      <c r="AK309" s="76"/>
      <c r="AN309" s="70" t="s">
        <v>85</v>
      </c>
      <c r="AO309" s="76"/>
      <c r="AR309" s="70" t="s">
        <v>85</v>
      </c>
      <c r="AS309" s="76"/>
      <c r="AV309" s="70" t="s">
        <v>85</v>
      </c>
      <c r="AW309" s="76"/>
    </row>
    <row r="310" spans="1:83" ht="31.5" customHeight="1" x14ac:dyDescent="0.2">
      <c r="D310" s="70" t="s">
        <v>85</v>
      </c>
      <c r="H310" s="70" t="s">
        <v>85</v>
      </c>
      <c r="I310" s="76"/>
      <c r="L310" s="70" t="s">
        <v>85</v>
      </c>
      <c r="M310" s="76"/>
      <c r="P310" s="70" t="s">
        <v>85</v>
      </c>
      <c r="Q310" s="76"/>
      <c r="T310" s="70" t="s">
        <v>85</v>
      </c>
      <c r="U310" s="76"/>
      <c r="X310" s="70" t="s">
        <v>85</v>
      </c>
      <c r="Y310" s="76"/>
      <c r="AB310" s="70" t="s">
        <v>85</v>
      </c>
      <c r="AC310" s="76"/>
      <c r="AF310" s="70" t="s">
        <v>85</v>
      </c>
      <c r="AG310" s="76"/>
      <c r="AJ310" s="70" t="s">
        <v>85</v>
      </c>
      <c r="AK310" s="76"/>
      <c r="AN310" s="70" t="s">
        <v>85</v>
      </c>
      <c r="AO310" s="76"/>
      <c r="AR310" s="70" t="s">
        <v>85</v>
      </c>
      <c r="AS310" s="76"/>
      <c r="AV310" s="70" t="s">
        <v>85</v>
      </c>
      <c r="AW310" s="76"/>
    </row>
    <row r="311" spans="1:83" ht="31.5" customHeight="1" x14ac:dyDescent="0.2">
      <c r="D311" s="70" t="s">
        <v>85</v>
      </c>
      <c r="H311" s="70" t="s">
        <v>85</v>
      </c>
      <c r="I311" s="76"/>
      <c r="L311" s="70" t="s">
        <v>85</v>
      </c>
      <c r="M311" s="76"/>
      <c r="P311" s="70" t="s">
        <v>85</v>
      </c>
      <c r="Q311" s="76"/>
      <c r="T311" s="70" t="s">
        <v>85</v>
      </c>
      <c r="U311" s="76"/>
      <c r="X311" s="70" t="s">
        <v>85</v>
      </c>
      <c r="Y311" s="76"/>
      <c r="AB311" s="70" t="s">
        <v>85</v>
      </c>
      <c r="AC311" s="76"/>
      <c r="AF311" s="70" t="s">
        <v>85</v>
      </c>
      <c r="AG311" s="76"/>
      <c r="AJ311" s="70" t="s">
        <v>85</v>
      </c>
      <c r="AK311" s="76"/>
      <c r="AN311" s="70" t="s">
        <v>85</v>
      </c>
      <c r="AO311" s="76"/>
      <c r="AR311" s="70" t="s">
        <v>85</v>
      </c>
      <c r="AS311" s="76"/>
      <c r="AV311" s="70" t="s">
        <v>85</v>
      </c>
      <c r="AW311" s="76"/>
    </row>
    <row r="312" spans="1:83" ht="31.5" customHeight="1" x14ac:dyDescent="0.2">
      <c r="D312" s="70" t="s">
        <v>85</v>
      </c>
      <c r="H312" s="70" t="s">
        <v>85</v>
      </c>
      <c r="I312" s="76"/>
      <c r="L312" s="70" t="s">
        <v>85</v>
      </c>
      <c r="M312" s="76"/>
      <c r="P312" s="70" t="s">
        <v>85</v>
      </c>
      <c r="Q312" s="76"/>
      <c r="T312" s="70" t="s">
        <v>85</v>
      </c>
      <c r="U312" s="76"/>
      <c r="X312" s="70" t="s">
        <v>85</v>
      </c>
      <c r="Y312" s="76"/>
      <c r="AB312" s="70" t="s">
        <v>85</v>
      </c>
      <c r="AC312" s="76"/>
      <c r="AF312" s="70" t="s">
        <v>85</v>
      </c>
      <c r="AG312" s="76"/>
      <c r="AJ312" s="70" t="s">
        <v>85</v>
      </c>
      <c r="AK312" s="76"/>
      <c r="AN312" s="70" t="s">
        <v>85</v>
      </c>
      <c r="AO312" s="76"/>
      <c r="AR312" s="70" t="s">
        <v>85</v>
      </c>
      <c r="AS312" s="76"/>
      <c r="AV312" s="70" t="s">
        <v>85</v>
      </c>
      <c r="AW312" s="76"/>
    </row>
    <row r="313" spans="1:83" ht="31.5" customHeight="1" x14ac:dyDescent="0.2">
      <c r="D313" s="70" t="s">
        <v>85</v>
      </c>
      <c r="H313" s="70" t="s">
        <v>85</v>
      </c>
      <c r="I313" s="76"/>
      <c r="L313" s="70" t="s">
        <v>85</v>
      </c>
      <c r="M313" s="76"/>
      <c r="P313" s="70" t="s">
        <v>85</v>
      </c>
      <c r="Q313" s="76"/>
      <c r="T313" s="70" t="s">
        <v>85</v>
      </c>
      <c r="U313" s="76"/>
      <c r="X313" s="70" t="s">
        <v>85</v>
      </c>
      <c r="Y313" s="76"/>
      <c r="AB313" s="70" t="s">
        <v>85</v>
      </c>
      <c r="AC313" s="76"/>
      <c r="AF313" s="70" t="s">
        <v>85</v>
      </c>
      <c r="AG313" s="76"/>
      <c r="AJ313" s="70" t="s">
        <v>85</v>
      </c>
      <c r="AK313" s="76"/>
      <c r="AN313" s="70" t="s">
        <v>85</v>
      </c>
      <c r="AO313" s="76"/>
      <c r="AR313" s="70" t="s">
        <v>85</v>
      </c>
      <c r="AS313" s="76"/>
      <c r="AV313" s="70" t="s">
        <v>85</v>
      </c>
      <c r="AW313" s="76"/>
    </row>
    <row r="314" spans="1:83" s="21" customFormat="1" ht="31.5" customHeight="1" x14ac:dyDescent="0.2">
      <c r="A314" s="104"/>
      <c r="B314" s="71"/>
      <c r="C314" s="251"/>
      <c r="D314" s="71" t="s">
        <v>85</v>
      </c>
      <c r="E314" s="328"/>
      <c r="F314" s="78"/>
      <c r="G314" s="252"/>
      <c r="H314" s="71" t="s">
        <v>85</v>
      </c>
      <c r="I314" s="328"/>
      <c r="J314" s="78"/>
      <c r="K314" s="252"/>
      <c r="L314" s="71" t="s">
        <v>85</v>
      </c>
      <c r="M314" s="328"/>
      <c r="N314" s="78"/>
      <c r="O314" s="252"/>
      <c r="P314" s="71" t="s">
        <v>85</v>
      </c>
      <c r="Q314" s="328"/>
      <c r="R314" s="78"/>
      <c r="S314" s="252"/>
      <c r="T314" s="71" t="s">
        <v>85</v>
      </c>
      <c r="U314" s="328"/>
      <c r="V314" s="78"/>
      <c r="W314" s="252"/>
      <c r="X314" s="71" t="s">
        <v>85</v>
      </c>
      <c r="Y314" s="328"/>
      <c r="Z314" s="78"/>
      <c r="AA314" s="252"/>
      <c r="AB314" s="71" t="s">
        <v>85</v>
      </c>
      <c r="AC314" s="328"/>
      <c r="AD314" s="78"/>
      <c r="AE314" s="252"/>
      <c r="AF314" s="71" t="s">
        <v>85</v>
      </c>
      <c r="AG314" s="328"/>
      <c r="AH314" s="78"/>
      <c r="AI314" s="252"/>
      <c r="AJ314" s="71" t="s">
        <v>85</v>
      </c>
      <c r="AK314" s="328"/>
      <c r="AL314" s="78"/>
      <c r="AM314" s="252"/>
      <c r="AN314" s="71" t="s">
        <v>85</v>
      </c>
      <c r="AO314" s="328"/>
      <c r="AP314" s="78"/>
      <c r="AQ314" s="252"/>
      <c r="AR314" s="71" t="s">
        <v>85</v>
      </c>
      <c r="AS314" s="328"/>
      <c r="AT314" s="78"/>
      <c r="AU314" s="252"/>
      <c r="AV314" s="71" t="s">
        <v>85</v>
      </c>
      <c r="AW314" s="328"/>
      <c r="BF314" s="329"/>
      <c r="BG314" s="329"/>
      <c r="BH314" s="329"/>
      <c r="BI314" s="329"/>
      <c r="BJ314" s="329"/>
      <c r="BK314" s="329"/>
      <c r="BL314" s="329"/>
      <c r="BM314" s="329"/>
      <c r="BN314" s="329"/>
      <c r="BO314" s="329"/>
      <c r="BP314" s="329"/>
      <c r="BQ314" s="329"/>
      <c r="BR314" s="329"/>
      <c r="BS314" s="329"/>
      <c r="BT314" s="329"/>
      <c r="BU314" s="329"/>
      <c r="BV314" s="329"/>
      <c r="BW314" s="329"/>
      <c r="BX314" s="329"/>
      <c r="BY314" s="329"/>
      <c r="BZ314" s="329"/>
      <c r="CA314" s="329"/>
      <c r="CB314" s="329"/>
      <c r="CC314" s="329"/>
      <c r="CD314" s="329"/>
      <c r="CE314" s="329"/>
    </row>
    <row r="315" spans="1:83" s="60" customFormat="1" x14ac:dyDescent="0.2">
      <c r="A315" s="450" t="s">
        <v>73</v>
      </c>
      <c r="B315" s="450"/>
      <c r="C315" s="450"/>
      <c r="D315" s="450"/>
      <c r="E315" s="450"/>
      <c r="F315" s="450"/>
      <c r="G315" s="450"/>
      <c r="H315" s="450"/>
      <c r="I315" s="450"/>
      <c r="J315" s="450"/>
      <c r="K315" s="450"/>
      <c r="L315" s="450"/>
      <c r="M315" s="450"/>
      <c r="N315" s="450"/>
      <c r="O315" s="59"/>
      <c r="P315" s="73"/>
      <c r="Q315" s="79"/>
      <c r="R315" s="73"/>
      <c r="S315" s="59"/>
      <c r="T315" s="73"/>
      <c r="U315" s="79"/>
      <c r="V315" s="73"/>
      <c r="W315" s="59"/>
      <c r="X315" s="73"/>
      <c r="Y315" s="79"/>
      <c r="Z315" s="73"/>
      <c r="AA315" s="59"/>
      <c r="AB315" s="73"/>
      <c r="AC315" s="79"/>
      <c r="AD315" s="73"/>
      <c r="AE315" s="59"/>
      <c r="AF315" s="73"/>
      <c r="AG315" s="79"/>
      <c r="AH315" s="73"/>
      <c r="AI315" s="59"/>
      <c r="AJ315" s="73"/>
      <c r="AK315" s="79"/>
      <c r="AL315" s="73"/>
      <c r="AM315" s="59"/>
      <c r="AN315" s="73"/>
      <c r="AO315" s="79"/>
      <c r="AP315" s="73"/>
      <c r="AQ315" s="59"/>
      <c r="AR315" s="73"/>
      <c r="AS315" s="79"/>
      <c r="AT315" s="73"/>
      <c r="AU315" s="59"/>
      <c r="AV315" s="73"/>
      <c r="AW315" s="79"/>
      <c r="BF315" s="330"/>
      <c r="BG315" s="330"/>
      <c r="BH315" s="330"/>
      <c r="BI315" s="330"/>
      <c r="BJ315" s="330"/>
      <c r="BK315" s="330"/>
      <c r="BL315" s="330"/>
      <c r="BM315" s="330"/>
      <c r="BN315" s="330"/>
      <c r="BO315" s="330"/>
      <c r="BP315" s="330"/>
      <c r="BQ315" s="330"/>
      <c r="BR315" s="330"/>
      <c r="BS315" s="330"/>
      <c r="BT315" s="330"/>
      <c r="BU315" s="330"/>
      <c r="BV315" s="330"/>
      <c r="BW315" s="330"/>
      <c r="BX315" s="330"/>
      <c r="BY315" s="330"/>
      <c r="BZ315" s="330"/>
      <c r="CA315" s="330"/>
      <c r="CB315" s="330"/>
      <c r="CC315" s="330"/>
      <c r="CD315" s="330"/>
      <c r="CE315" s="330"/>
    </row>
    <row r="316" spans="1:83" s="60" customFormat="1" x14ac:dyDescent="0.2">
      <c r="A316" s="331"/>
      <c r="B316" s="68"/>
      <c r="C316" s="63"/>
      <c r="D316" s="68"/>
      <c r="E316" s="72"/>
      <c r="F316" s="73"/>
      <c r="G316" s="59"/>
      <c r="H316" s="73"/>
      <c r="I316" s="79"/>
      <c r="J316" s="73"/>
      <c r="K316" s="59"/>
      <c r="L316" s="73"/>
      <c r="M316" s="79"/>
      <c r="N316" s="73"/>
      <c r="O316" s="59"/>
      <c r="P316" s="73"/>
      <c r="Q316" s="79"/>
      <c r="R316" s="73"/>
      <c r="S316" s="59"/>
      <c r="T316" s="73"/>
      <c r="U316" s="79"/>
      <c r="V316" s="73"/>
      <c r="W316" s="59"/>
      <c r="X316" s="73"/>
      <c r="Y316" s="79"/>
      <c r="Z316" s="73"/>
      <c r="AA316" s="59"/>
      <c r="AB316" s="73"/>
      <c r="AC316" s="79"/>
      <c r="AD316" s="73"/>
      <c r="AE316" s="59"/>
      <c r="AF316" s="73"/>
      <c r="AG316" s="79"/>
      <c r="AH316" s="73"/>
      <c r="AI316" s="59"/>
      <c r="AJ316" s="73"/>
      <c r="AK316" s="79"/>
      <c r="AL316" s="73"/>
      <c r="AM316" s="59"/>
      <c r="AN316" s="73"/>
      <c r="AO316" s="79"/>
      <c r="AP316" s="73"/>
      <c r="AQ316" s="59"/>
      <c r="AR316" s="73"/>
      <c r="AS316" s="79"/>
      <c r="AT316" s="73"/>
      <c r="AU316" s="59"/>
      <c r="AV316" s="73"/>
      <c r="AW316" s="79"/>
      <c r="BF316" s="330"/>
      <c r="BG316" s="330"/>
      <c r="BH316" s="330"/>
      <c r="BI316" s="330"/>
      <c r="BJ316" s="330"/>
      <c r="BK316" s="330"/>
      <c r="BL316" s="330"/>
      <c r="BM316" s="330"/>
      <c r="BN316" s="330"/>
      <c r="BO316" s="330"/>
      <c r="BP316" s="330"/>
      <c r="BQ316" s="330"/>
      <c r="BR316" s="330"/>
      <c r="BS316" s="330"/>
      <c r="BT316" s="330"/>
      <c r="BU316" s="330"/>
      <c r="BV316" s="330"/>
      <c r="BW316" s="330"/>
      <c r="BX316" s="330"/>
      <c r="BY316" s="330"/>
      <c r="BZ316" s="330"/>
      <c r="CA316" s="330"/>
      <c r="CB316" s="330"/>
      <c r="CC316" s="330"/>
      <c r="CD316" s="330"/>
      <c r="CE316" s="330"/>
    </row>
    <row r="317" spans="1:83" s="21" customFormat="1" x14ac:dyDescent="0.2">
      <c r="A317" s="104" t="s">
        <v>469</v>
      </c>
      <c r="B317" s="71" t="s">
        <v>474</v>
      </c>
      <c r="C317" s="251" t="s">
        <v>74</v>
      </c>
      <c r="D317" s="71" t="s">
        <v>475</v>
      </c>
      <c r="E317" s="328"/>
      <c r="F317" s="71" t="s">
        <v>474</v>
      </c>
      <c r="G317" s="251" t="s">
        <v>74</v>
      </c>
      <c r="H317" s="71" t="s">
        <v>475</v>
      </c>
      <c r="I317" s="332"/>
      <c r="J317" s="71" t="s">
        <v>474</v>
      </c>
      <c r="K317" s="251" t="s">
        <v>74</v>
      </c>
      <c r="L317" s="71" t="s">
        <v>475</v>
      </c>
      <c r="M317" s="332"/>
      <c r="N317" s="71" t="s">
        <v>474</v>
      </c>
      <c r="O317" s="251" t="s">
        <v>74</v>
      </c>
      <c r="P317" s="71" t="s">
        <v>475</v>
      </c>
      <c r="Q317" s="332"/>
      <c r="R317" s="71" t="s">
        <v>474</v>
      </c>
      <c r="S317" s="251" t="s">
        <v>74</v>
      </c>
      <c r="T317" s="71" t="s">
        <v>475</v>
      </c>
      <c r="U317" s="332"/>
      <c r="V317" s="71" t="s">
        <v>474</v>
      </c>
      <c r="W317" s="251" t="s">
        <v>74</v>
      </c>
      <c r="X317" s="71" t="s">
        <v>475</v>
      </c>
      <c r="Y317" s="332"/>
      <c r="Z317" s="71" t="s">
        <v>474</v>
      </c>
      <c r="AA317" s="251" t="s">
        <v>74</v>
      </c>
      <c r="AB317" s="71" t="s">
        <v>475</v>
      </c>
      <c r="AC317" s="332"/>
      <c r="AD317" s="71" t="s">
        <v>474</v>
      </c>
      <c r="AE317" s="251" t="s">
        <v>74</v>
      </c>
      <c r="AF317" s="71" t="s">
        <v>475</v>
      </c>
      <c r="AG317" s="332"/>
      <c r="AH317" s="71" t="s">
        <v>474</v>
      </c>
      <c r="AI317" s="251" t="s">
        <v>74</v>
      </c>
      <c r="AJ317" s="71" t="s">
        <v>475</v>
      </c>
      <c r="AK317" s="332"/>
      <c r="AL317" s="71" t="s">
        <v>474</v>
      </c>
      <c r="AM317" s="251" t="s">
        <v>74</v>
      </c>
      <c r="AN317" s="71" t="s">
        <v>475</v>
      </c>
      <c r="AO317" s="332"/>
      <c r="AP317" s="71" t="s">
        <v>474</v>
      </c>
      <c r="AQ317" s="251" t="s">
        <v>74</v>
      </c>
      <c r="AR317" s="71" t="s">
        <v>475</v>
      </c>
      <c r="AS317" s="332"/>
      <c r="AT317" s="71" t="s">
        <v>474</v>
      </c>
      <c r="AU317" s="251" t="s">
        <v>74</v>
      </c>
      <c r="AV317" s="71" t="s">
        <v>475</v>
      </c>
      <c r="AW317" s="332"/>
      <c r="BF317" s="329"/>
      <c r="BG317" s="329"/>
      <c r="BH317" s="329"/>
      <c r="BI317" s="329"/>
      <c r="BJ317" s="329"/>
      <c r="BK317" s="329"/>
      <c r="BL317" s="329"/>
      <c r="BM317" s="329"/>
      <c r="BN317" s="329"/>
      <c r="BO317" s="329"/>
      <c r="BP317" s="329"/>
      <c r="BQ317" s="329"/>
      <c r="BR317" s="329"/>
      <c r="BS317" s="329"/>
      <c r="BT317" s="329"/>
      <c r="BU317" s="329"/>
      <c r="BV317" s="329"/>
      <c r="BW317" s="329"/>
      <c r="BX317" s="329"/>
      <c r="BY317" s="329"/>
      <c r="BZ317" s="329"/>
      <c r="CA317" s="329"/>
      <c r="CB317" s="329"/>
      <c r="CC317" s="329"/>
      <c r="CD317" s="329"/>
      <c r="CE317" s="329"/>
    </row>
    <row r="318" spans="1:83" x14ac:dyDescent="0.2">
      <c r="A318" s="409" t="s">
        <v>473</v>
      </c>
      <c r="B318" s="334"/>
      <c r="C318" s="335"/>
      <c r="D318" s="334"/>
      <c r="E318" s="336"/>
      <c r="F318" s="334"/>
      <c r="G318" s="335"/>
      <c r="H318" s="334"/>
      <c r="I318" s="337"/>
      <c r="J318" s="334"/>
      <c r="K318" s="335"/>
      <c r="L318" s="334"/>
      <c r="M318" s="337"/>
      <c r="N318" s="334"/>
      <c r="O318" s="335"/>
      <c r="P318" s="334"/>
      <c r="Q318" s="337"/>
      <c r="R318" s="334"/>
      <c r="S318" s="335"/>
      <c r="T318" s="334"/>
      <c r="U318" s="337"/>
      <c r="V318" s="250" t="s">
        <v>26</v>
      </c>
      <c r="W318" s="65">
        <f>W27</f>
        <v>1171.54</v>
      </c>
      <c r="X318" s="250"/>
      <c r="Z318" s="250" t="s">
        <v>26</v>
      </c>
      <c r="AA318" s="65">
        <f>AA22</f>
        <v>1850</v>
      </c>
      <c r="AB318" s="250"/>
      <c r="AD318" s="250" t="s">
        <v>26</v>
      </c>
      <c r="AE318" s="65">
        <f>AE64</f>
        <v>1850</v>
      </c>
      <c r="AF318" s="250"/>
      <c r="AH318" s="250" t="s">
        <v>26</v>
      </c>
      <c r="AI318" s="65"/>
      <c r="AJ318" s="250"/>
      <c r="AL318" s="250"/>
      <c r="AM318" s="65"/>
      <c r="AN318" s="250"/>
      <c r="AP318" s="250"/>
      <c r="AQ318" s="65"/>
      <c r="AR318" s="250"/>
      <c r="AT318" s="250"/>
      <c r="AU318" s="65"/>
      <c r="AV318" s="250"/>
    </row>
    <row r="319" spans="1:83" x14ac:dyDescent="0.2">
      <c r="A319" s="409"/>
      <c r="B319" s="334"/>
      <c r="C319" s="335"/>
      <c r="D319" s="334"/>
      <c r="E319" s="336"/>
      <c r="F319" s="334"/>
      <c r="G319" s="335"/>
      <c r="H319" s="334"/>
      <c r="I319" s="337"/>
      <c r="J319" s="334"/>
      <c r="K319" s="335"/>
      <c r="L319" s="334"/>
      <c r="M319" s="337"/>
      <c r="N319" s="334"/>
      <c r="O319" s="335"/>
      <c r="P319" s="334"/>
      <c r="Q319" s="337"/>
      <c r="R319" s="334"/>
      <c r="S319" s="335"/>
      <c r="T319" s="334"/>
      <c r="U319" s="337"/>
      <c r="V319" s="250" t="s">
        <v>476</v>
      </c>
      <c r="W319" s="65">
        <v>115.36</v>
      </c>
      <c r="X319" s="250"/>
      <c r="Z319" s="250" t="s">
        <v>476</v>
      </c>
      <c r="AA319" s="65">
        <v>115.36</v>
      </c>
      <c r="AB319" s="250"/>
      <c r="AD319" s="250" t="s">
        <v>476</v>
      </c>
      <c r="AE319" s="65">
        <f>AE70</f>
        <v>115.36</v>
      </c>
      <c r="AF319" s="250"/>
      <c r="AH319" s="250" t="s">
        <v>476</v>
      </c>
      <c r="AI319" s="65"/>
      <c r="AJ319" s="250"/>
      <c r="AL319" s="250"/>
      <c r="AM319" s="65"/>
      <c r="AN319" s="250"/>
      <c r="AP319" s="250"/>
      <c r="AQ319" s="65"/>
      <c r="AR319" s="250"/>
      <c r="AT319" s="250"/>
      <c r="AU319" s="65"/>
      <c r="AV319" s="250"/>
    </row>
    <row r="320" spans="1:83" x14ac:dyDescent="0.2">
      <c r="A320" s="409"/>
      <c r="B320" s="334"/>
      <c r="C320" s="335"/>
      <c r="D320" s="334"/>
      <c r="E320" s="336"/>
      <c r="F320" s="334"/>
      <c r="G320" s="335"/>
      <c r="H320" s="334"/>
      <c r="I320" s="337"/>
      <c r="J320" s="334"/>
      <c r="K320" s="335"/>
      <c r="L320" s="334"/>
      <c r="M320" s="337"/>
      <c r="N320" s="334"/>
      <c r="O320" s="335"/>
      <c r="P320" s="334"/>
      <c r="Q320" s="337"/>
      <c r="R320" s="334"/>
      <c r="S320" s="335"/>
      <c r="T320" s="334"/>
      <c r="U320" s="337"/>
      <c r="V320" s="250" t="s">
        <v>477</v>
      </c>
      <c r="W320" s="65">
        <f>AA320</f>
        <v>57.594999999999999</v>
      </c>
      <c r="X320" s="250"/>
      <c r="Z320" s="250" t="s">
        <v>477</v>
      </c>
      <c r="AA320" s="65">
        <f>AA83/2</f>
        <v>57.594999999999999</v>
      </c>
      <c r="AB320" s="250"/>
      <c r="AD320" s="250" t="s">
        <v>477</v>
      </c>
      <c r="AE320" s="65"/>
      <c r="AF320" s="250"/>
      <c r="AH320" s="250" t="s">
        <v>477</v>
      </c>
      <c r="AI320" s="65"/>
      <c r="AJ320" s="250"/>
      <c r="AL320" s="250"/>
      <c r="AM320" s="65"/>
      <c r="AN320" s="250"/>
      <c r="AP320" s="250"/>
      <c r="AQ320" s="65"/>
      <c r="AR320" s="250"/>
      <c r="AT320" s="250"/>
      <c r="AU320" s="65"/>
      <c r="AV320" s="250"/>
    </row>
    <row r="321" spans="1:83" x14ac:dyDescent="0.2">
      <c r="A321" s="409"/>
      <c r="B321" s="334"/>
      <c r="C321" s="335"/>
      <c r="D321" s="334"/>
      <c r="E321" s="336"/>
      <c r="F321" s="334"/>
      <c r="G321" s="335"/>
      <c r="H321" s="334"/>
      <c r="I321" s="337"/>
      <c r="J321" s="334"/>
      <c r="K321" s="335"/>
      <c r="L321" s="334"/>
      <c r="M321" s="337"/>
      <c r="N321" s="334"/>
      <c r="O321" s="335"/>
      <c r="P321" s="334"/>
      <c r="Q321" s="337"/>
      <c r="R321" s="334"/>
      <c r="S321" s="335"/>
      <c r="T321" s="334"/>
      <c r="U321" s="337"/>
      <c r="V321" s="250" t="s">
        <v>37</v>
      </c>
      <c r="W321" s="65">
        <f>W55</f>
        <v>10.82</v>
      </c>
      <c r="X321" s="250"/>
      <c r="Z321" s="250" t="s">
        <v>37</v>
      </c>
      <c r="AA321" s="65">
        <f>AA72</f>
        <v>10.82</v>
      </c>
      <c r="AB321" s="250"/>
      <c r="AD321" s="250" t="s">
        <v>37</v>
      </c>
      <c r="AE321" s="65">
        <f>AE72</f>
        <v>10.82</v>
      </c>
      <c r="AF321" s="250"/>
      <c r="AH321" s="250" t="s">
        <v>37</v>
      </c>
      <c r="AI321" s="65"/>
      <c r="AJ321" s="250"/>
      <c r="AL321" s="250"/>
      <c r="AM321" s="65"/>
      <c r="AN321" s="250"/>
      <c r="AP321" s="250"/>
      <c r="AQ321" s="65"/>
      <c r="AR321" s="250"/>
      <c r="AT321" s="250"/>
      <c r="AU321" s="65"/>
      <c r="AV321" s="250"/>
    </row>
    <row r="322" spans="1:83" x14ac:dyDescent="0.2">
      <c r="A322" s="409"/>
      <c r="B322" s="334"/>
      <c r="C322" s="335"/>
      <c r="D322" s="334"/>
      <c r="E322" s="336"/>
      <c r="F322" s="334"/>
      <c r="G322" s="335"/>
      <c r="H322" s="334"/>
      <c r="I322" s="337"/>
      <c r="J322" s="334"/>
      <c r="K322" s="335"/>
      <c r="L322" s="334"/>
      <c r="M322" s="337"/>
      <c r="N322" s="334"/>
      <c r="O322" s="335"/>
      <c r="P322" s="334"/>
      <c r="Q322" s="337"/>
      <c r="R322" s="334"/>
      <c r="S322" s="335"/>
      <c r="T322" s="334"/>
      <c r="U322" s="337"/>
      <c r="V322" s="250" t="s">
        <v>3</v>
      </c>
      <c r="W322" s="65">
        <f>W19+W23+W28+W43+W58+W37</f>
        <v>204.56</v>
      </c>
      <c r="X322" s="250"/>
      <c r="Z322" s="250" t="s">
        <v>3</v>
      </c>
      <c r="AA322" s="65">
        <f>SUM(AA28,AA30,AA31,AA49,AA52)</f>
        <v>184.20999999999998</v>
      </c>
      <c r="AB322" s="250"/>
      <c r="AD322" s="250" t="s">
        <v>3</v>
      </c>
      <c r="AE322" s="65">
        <f>SUM(AE22,AE26,AE29,AE33,AE34,AE36:AE37,AE38,AE40,AE44,AE47,AE69,AE71,AE73,AE79)</f>
        <v>366.92</v>
      </c>
      <c r="AF322" s="250"/>
      <c r="AH322" s="250" t="s">
        <v>3</v>
      </c>
      <c r="AI322" s="65"/>
      <c r="AJ322" s="250"/>
      <c r="AL322" s="250"/>
      <c r="AM322" s="65"/>
      <c r="AN322" s="250"/>
      <c r="AP322" s="250"/>
      <c r="AQ322" s="65"/>
      <c r="AR322" s="250"/>
      <c r="AT322" s="250"/>
      <c r="AU322" s="65"/>
      <c r="AV322" s="250"/>
    </row>
    <row r="323" spans="1:83" x14ac:dyDescent="0.2">
      <c r="A323" s="409"/>
      <c r="B323" s="334"/>
      <c r="C323" s="335"/>
      <c r="D323" s="334"/>
      <c r="E323" s="336"/>
      <c r="F323" s="334"/>
      <c r="G323" s="335"/>
      <c r="H323" s="334"/>
      <c r="I323" s="337"/>
      <c r="J323" s="334"/>
      <c r="K323" s="335"/>
      <c r="L323" s="334"/>
      <c r="M323" s="337"/>
      <c r="N323" s="334"/>
      <c r="O323" s="335"/>
      <c r="P323" s="334"/>
      <c r="Q323" s="337"/>
      <c r="R323" s="334"/>
      <c r="S323" s="335"/>
      <c r="T323" s="334"/>
      <c r="U323" s="337"/>
      <c r="V323" s="250" t="s">
        <v>293</v>
      </c>
      <c r="W323" s="65">
        <f>W26</f>
        <v>34.479999999999997</v>
      </c>
      <c r="X323" s="250"/>
      <c r="Z323" s="250" t="s">
        <v>293</v>
      </c>
      <c r="AA323" s="65">
        <f>AA23</f>
        <v>15.94</v>
      </c>
      <c r="AB323" s="250"/>
      <c r="AD323" s="250" t="s">
        <v>293</v>
      </c>
      <c r="AE323" s="65">
        <f>AE18</f>
        <v>9.7799999999999994</v>
      </c>
      <c r="AF323" s="250"/>
      <c r="AH323" s="250" t="s">
        <v>293</v>
      </c>
      <c r="AI323" s="65"/>
      <c r="AJ323" s="250"/>
      <c r="AL323" s="250"/>
      <c r="AM323" s="65"/>
      <c r="AN323" s="250"/>
      <c r="AP323" s="250"/>
      <c r="AQ323" s="65"/>
      <c r="AR323" s="250"/>
      <c r="AT323" s="250"/>
      <c r="AU323" s="65"/>
      <c r="AV323" s="250"/>
    </row>
    <row r="324" spans="1:83" x14ac:dyDescent="0.2">
      <c r="A324" s="409"/>
      <c r="B324" s="334"/>
      <c r="C324" s="335"/>
      <c r="D324" s="334"/>
      <c r="E324" s="336"/>
      <c r="F324" s="334"/>
      <c r="G324" s="335"/>
      <c r="H324" s="334"/>
      <c r="I324" s="337"/>
      <c r="J324" s="334"/>
      <c r="K324" s="335"/>
      <c r="L324" s="334"/>
      <c r="M324" s="337"/>
      <c r="N324" s="334"/>
      <c r="O324" s="335"/>
      <c r="P324" s="334"/>
      <c r="Q324" s="337"/>
      <c r="R324" s="334"/>
      <c r="S324" s="335"/>
      <c r="T324" s="334"/>
      <c r="U324" s="337"/>
      <c r="V324" s="250" t="s">
        <v>478</v>
      </c>
      <c r="W324" s="65">
        <f>W30+W39+W52+W56</f>
        <v>135.13999999999999</v>
      </c>
      <c r="X324" s="250"/>
      <c r="Z324" s="250" t="s">
        <v>478</v>
      </c>
      <c r="AA324" s="65">
        <f>SUM(AA24,AA32,AA44,AA55)</f>
        <v>134.07</v>
      </c>
      <c r="AB324" s="250"/>
      <c r="AD324" s="250" t="s">
        <v>478</v>
      </c>
      <c r="AE324" s="65">
        <f>SUM(AE21,AE25,AE30,AE45,AE82)</f>
        <v>156.91000000000003</v>
      </c>
      <c r="AF324" s="250"/>
      <c r="AH324" s="250" t="s">
        <v>478</v>
      </c>
      <c r="AI324" s="65"/>
      <c r="AJ324" s="250"/>
      <c r="AL324" s="250"/>
      <c r="AM324" s="65"/>
      <c r="AN324" s="250"/>
      <c r="AP324" s="250"/>
      <c r="AQ324" s="65"/>
      <c r="AR324" s="250"/>
      <c r="AT324" s="250"/>
      <c r="AU324" s="65"/>
      <c r="AV324" s="250"/>
    </row>
    <row r="325" spans="1:83" x14ac:dyDescent="0.2">
      <c r="A325" s="409"/>
      <c r="B325" s="334"/>
      <c r="C325" s="335"/>
      <c r="D325" s="334"/>
      <c r="E325" s="336"/>
      <c r="F325" s="334"/>
      <c r="G325" s="335"/>
      <c r="H325" s="334"/>
      <c r="I325" s="337"/>
      <c r="J325" s="334"/>
      <c r="K325" s="335"/>
      <c r="L325" s="334"/>
      <c r="M325" s="337"/>
      <c r="N325" s="334"/>
      <c r="O325" s="335"/>
      <c r="P325" s="334"/>
      <c r="Q325" s="337"/>
      <c r="R325" s="334"/>
      <c r="S325" s="335"/>
      <c r="T325" s="334"/>
      <c r="U325" s="337"/>
      <c r="V325" s="250" t="s">
        <v>479</v>
      </c>
      <c r="W325" s="65">
        <f>W32+W41+W44</f>
        <v>45.67</v>
      </c>
      <c r="X325" s="250"/>
      <c r="Z325" s="250" t="s">
        <v>479</v>
      </c>
      <c r="AA325" s="65">
        <f>SUM(AA18,AA29,AA33,AA66,AA79)</f>
        <v>117.29</v>
      </c>
      <c r="AB325" s="250"/>
      <c r="AD325" s="250" t="s">
        <v>479</v>
      </c>
      <c r="AE325" s="65">
        <f>AE23+AE28</f>
        <v>75</v>
      </c>
      <c r="AF325" s="250"/>
      <c r="AH325" s="250" t="s">
        <v>479</v>
      </c>
      <c r="AI325" s="65"/>
      <c r="AJ325" s="250"/>
      <c r="AL325" s="250"/>
      <c r="AM325" s="65"/>
      <c r="AN325" s="250"/>
      <c r="AP325" s="250"/>
      <c r="AQ325" s="65"/>
      <c r="AR325" s="250"/>
      <c r="AT325" s="250"/>
      <c r="AU325" s="65"/>
      <c r="AV325" s="250"/>
    </row>
    <row r="326" spans="1:83" x14ac:dyDescent="0.2">
      <c r="A326" s="409"/>
      <c r="B326" s="334"/>
      <c r="C326" s="335"/>
      <c r="D326" s="334"/>
      <c r="E326" s="336"/>
      <c r="F326" s="334"/>
      <c r="G326" s="335"/>
      <c r="H326" s="334"/>
      <c r="I326" s="337"/>
      <c r="J326" s="334"/>
      <c r="K326" s="335"/>
      <c r="L326" s="334"/>
      <c r="M326" s="337"/>
      <c r="N326" s="334"/>
      <c r="O326" s="335"/>
      <c r="P326" s="334"/>
      <c r="Q326" s="337"/>
      <c r="R326" s="334"/>
      <c r="S326" s="335"/>
      <c r="T326" s="334"/>
      <c r="U326" s="337"/>
      <c r="V326" s="250" t="s">
        <v>489</v>
      </c>
      <c r="W326" s="65">
        <f>W71</f>
        <v>54.3</v>
      </c>
      <c r="X326" s="250"/>
      <c r="Z326" s="250" t="s">
        <v>489</v>
      </c>
      <c r="AA326" s="65">
        <v>45</v>
      </c>
      <c r="AB326" s="250"/>
      <c r="AD326" s="250"/>
      <c r="AE326" s="65"/>
      <c r="AF326" s="250"/>
      <c r="AH326" s="250"/>
      <c r="AI326" s="65"/>
      <c r="AJ326" s="250"/>
      <c r="AL326" s="250"/>
      <c r="AM326" s="65"/>
      <c r="AN326" s="250"/>
      <c r="AP326" s="250"/>
      <c r="AQ326" s="65"/>
      <c r="AR326" s="250"/>
      <c r="AT326" s="250"/>
      <c r="AU326" s="65"/>
      <c r="AV326" s="250"/>
    </row>
    <row r="327" spans="1:83" x14ac:dyDescent="0.2">
      <c r="A327" s="409"/>
      <c r="B327" s="334"/>
      <c r="C327" s="335"/>
      <c r="D327" s="334"/>
      <c r="E327" s="336"/>
      <c r="F327" s="334"/>
      <c r="G327" s="335"/>
      <c r="H327" s="334"/>
      <c r="I327" s="337"/>
      <c r="J327" s="334"/>
      <c r="K327" s="335"/>
      <c r="L327" s="334"/>
      <c r="M327" s="337"/>
      <c r="N327" s="334"/>
      <c r="O327" s="335"/>
      <c r="P327" s="334"/>
      <c r="Q327" s="337"/>
      <c r="R327" s="334"/>
      <c r="S327" s="335"/>
      <c r="T327" s="334"/>
      <c r="U327" s="337"/>
      <c r="V327" s="250"/>
      <c r="W327" s="65"/>
      <c r="X327" s="250"/>
      <c r="Z327" s="250" t="s">
        <v>5</v>
      </c>
      <c r="AA327" s="65">
        <f>AA19</f>
        <v>23.95</v>
      </c>
      <c r="AB327" s="250"/>
      <c r="AD327" s="250"/>
      <c r="AE327" s="65"/>
      <c r="AF327" s="250"/>
      <c r="AH327" s="250"/>
      <c r="AI327" s="65"/>
      <c r="AJ327" s="250"/>
      <c r="AL327" s="250"/>
      <c r="AM327" s="65"/>
      <c r="AN327" s="250"/>
      <c r="AP327" s="250"/>
      <c r="AQ327" s="65"/>
      <c r="AR327" s="250"/>
      <c r="AT327" s="250"/>
      <c r="AU327" s="65"/>
      <c r="AV327" s="250"/>
    </row>
    <row r="328" spans="1:83" x14ac:dyDescent="0.2">
      <c r="A328" s="409"/>
      <c r="B328" s="334"/>
      <c r="C328" s="335"/>
      <c r="D328" s="334"/>
      <c r="E328" s="336"/>
      <c r="F328" s="334"/>
      <c r="G328" s="335"/>
      <c r="H328" s="334"/>
      <c r="I328" s="337"/>
      <c r="J328" s="334"/>
      <c r="K328" s="335"/>
      <c r="L328" s="334"/>
      <c r="M328" s="337"/>
      <c r="N328" s="334"/>
      <c r="O328" s="335"/>
      <c r="P328" s="334"/>
      <c r="Q328" s="337"/>
      <c r="R328" s="334"/>
      <c r="S328" s="335"/>
      <c r="T328" s="334"/>
      <c r="U328" s="337"/>
      <c r="V328" s="250"/>
      <c r="W328" s="65"/>
      <c r="X328" s="250"/>
      <c r="Z328" s="250" t="s">
        <v>44</v>
      </c>
      <c r="AA328" s="65">
        <f>AA51</f>
        <v>16.37</v>
      </c>
      <c r="AB328" s="250"/>
      <c r="AD328" s="250" t="s">
        <v>44</v>
      </c>
      <c r="AE328" s="65">
        <f>AE24+AE42</f>
        <v>232</v>
      </c>
      <c r="AF328" s="250"/>
      <c r="AH328" s="250"/>
      <c r="AI328" s="65"/>
      <c r="AJ328" s="250"/>
      <c r="AL328" s="250"/>
      <c r="AM328" s="65"/>
      <c r="AN328" s="250"/>
      <c r="AP328" s="250"/>
      <c r="AQ328" s="65"/>
      <c r="AR328" s="250"/>
      <c r="AT328" s="250"/>
      <c r="AU328" s="65"/>
      <c r="AV328" s="250"/>
    </row>
    <row r="329" spans="1:83" x14ac:dyDescent="0.2">
      <c r="A329" s="409"/>
      <c r="B329" s="334"/>
      <c r="C329" s="335"/>
      <c r="D329" s="334"/>
      <c r="E329" s="336"/>
      <c r="F329" s="334"/>
      <c r="G329" s="335"/>
      <c r="H329" s="334"/>
      <c r="I329" s="337"/>
      <c r="J329" s="334"/>
      <c r="K329" s="335"/>
      <c r="L329" s="334"/>
      <c r="M329" s="337"/>
      <c r="N329" s="334"/>
      <c r="O329" s="335"/>
      <c r="P329" s="334"/>
      <c r="Q329" s="337"/>
      <c r="R329" s="334"/>
      <c r="S329" s="335"/>
      <c r="T329" s="334"/>
      <c r="U329" s="337"/>
      <c r="V329" s="250"/>
      <c r="W329" s="65"/>
      <c r="X329" s="250"/>
      <c r="Z329" s="250"/>
      <c r="AA329" s="65"/>
      <c r="AB329" s="250"/>
      <c r="AD329" s="250" t="s">
        <v>506</v>
      </c>
      <c r="AE329" s="65">
        <f>AE48+AE50</f>
        <v>37.74</v>
      </c>
      <c r="AF329" s="250"/>
      <c r="AH329" s="250"/>
      <c r="AI329" s="65"/>
      <c r="AJ329" s="250"/>
      <c r="AL329" s="250"/>
      <c r="AM329" s="65"/>
      <c r="AN329" s="250"/>
      <c r="AP329" s="250"/>
      <c r="AQ329" s="65"/>
      <c r="AR329" s="250"/>
      <c r="AT329" s="250"/>
      <c r="AU329" s="65"/>
      <c r="AV329" s="250"/>
      <c r="AY329" s="7" t="s">
        <v>512</v>
      </c>
      <c r="BA329" s="7" t="s">
        <v>86</v>
      </c>
    </row>
    <row r="330" spans="1:83" x14ac:dyDescent="0.2">
      <c r="A330" s="409"/>
      <c r="B330" s="334"/>
      <c r="C330" s="335"/>
      <c r="D330" s="334"/>
      <c r="E330" s="336"/>
      <c r="F330" s="334"/>
      <c r="G330" s="335"/>
      <c r="H330" s="334"/>
      <c r="I330" s="337"/>
      <c r="J330" s="334"/>
      <c r="K330" s="335"/>
      <c r="L330" s="334"/>
      <c r="M330" s="337"/>
      <c r="N330" s="334"/>
      <c r="O330" s="335"/>
      <c r="P330" s="334"/>
      <c r="Q330" s="337"/>
      <c r="R330" s="334"/>
      <c r="S330" s="335"/>
      <c r="T330" s="334"/>
      <c r="U330" s="337"/>
      <c r="V330" s="250"/>
      <c r="W330" s="65"/>
      <c r="X330" s="250"/>
      <c r="Z330" s="250"/>
      <c r="AA330" s="65"/>
      <c r="AB330" s="250"/>
      <c r="AD330" s="250"/>
      <c r="AE330" s="65"/>
      <c r="AF330" s="250"/>
      <c r="AH330" s="250"/>
      <c r="AI330" s="65"/>
      <c r="AJ330" s="250"/>
      <c r="AL330" s="250"/>
      <c r="AM330" s="65"/>
      <c r="AN330" s="250"/>
      <c r="AP330" s="250"/>
      <c r="AQ330" s="65"/>
      <c r="AR330" s="250"/>
      <c r="AT330" s="250"/>
      <c r="AU330" s="65"/>
      <c r="AV330" s="250"/>
      <c r="AY330" s="18">
        <f>AVERAGE(AE332,AA332,W332)</f>
        <v>2418.1999999999998</v>
      </c>
    </row>
    <row r="331" spans="1:83" x14ac:dyDescent="0.2">
      <c r="A331" s="409"/>
      <c r="B331" s="334"/>
      <c r="C331" s="335"/>
      <c r="D331" s="334"/>
      <c r="E331" s="336"/>
      <c r="F331" s="334"/>
      <c r="G331" s="335"/>
      <c r="H331" s="334"/>
      <c r="I331" s="337"/>
      <c r="J331" s="334"/>
      <c r="K331" s="335"/>
      <c r="L331" s="334"/>
      <c r="M331" s="337"/>
      <c r="N331" s="334"/>
      <c r="O331" s="335"/>
      <c r="P331" s="334"/>
      <c r="Q331" s="337"/>
      <c r="R331" s="334"/>
      <c r="S331" s="335"/>
      <c r="T331" s="334"/>
      <c r="U331" s="337"/>
      <c r="V331" s="250"/>
      <c r="W331" s="65"/>
      <c r="X331" s="250"/>
      <c r="Z331" s="250"/>
      <c r="AA331" s="65"/>
      <c r="AB331" s="250"/>
      <c r="AD331" s="250"/>
      <c r="AE331" s="65"/>
      <c r="AF331" s="250"/>
      <c r="AH331" s="250"/>
      <c r="AI331" s="65"/>
      <c r="AJ331" s="250"/>
      <c r="AL331" s="250"/>
      <c r="AM331" s="65"/>
      <c r="AN331" s="250"/>
      <c r="AP331" s="250"/>
      <c r="AQ331" s="65"/>
      <c r="AR331" s="250"/>
      <c r="AT331" s="250"/>
      <c r="AU331" s="65"/>
      <c r="AV331" s="250"/>
    </row>
    <row r="332" spans="1:83" s="21" customFormat="1" ht="30" x14ac:dyDescent="0.2">
      <c r="A332" s="410"/>
      <c r="B332" s="338" t="s">
        <v>65</v>
      </c>
      <c r="C332" s="339">
        <f>SUM(C318:C331)</f>
        <v>0</v>
      </c>
      <c r="D332" s="340" t="str">
        <f>CONCATENATE(TEXT(C332/B$14, "0.0%"), " of month total")</f>
        <v>0.0% of month total</v>
      </c>
      <c r="E332" s="341"/>
      <c r="F332" s="338" t="s">
        <v>65</v>
      </c>
      <c r="G332" s="339">
        <f>SUM(G318:G331)</f>
        <v>0</v>
      </c>
      <c r="H332" s="340" t="str">
        <f>CONCATENATE(TEXT(G332/F$14, "0.0%"), " of month total")</f>
        <v>0.0% of month total</v>
      </c>
      <c r="I332" s="342"/>
      <c r="J332" s="338" t="s">
        <v>65</v>
      </c>
      <c r="K332" s="339">
        <f>SUM(K318:K331)</f>
        <v>0</v>
      </c>
      <c r="L332" s="340" t="str">
        <f>CONCATENATE(TEXT(K332/J$14, "0.0%"), " of month total")</f>
        <v>0.0% of month total</v>
      </c>
      <c r="M332" s="342"/>
      <c r="N332" s="338" t="s">
        <v>65</v>
      </c>
      <c r="O332" s="339">
        <f>SUM(O318:O331)</f>
        <v>0</v>
      </c>
      <c r="P332" s="340" t="str">
        <f>CONCATENATE(TEXT(O332/N$14, "0.0%"), " of month total")</f>
        <v>0.0% of month total</v>
      </c>
      <c r="Q332" s="342"/>
      <c r="R332" s="338" t="s">
        <v>65</v>
      </c>
      <c r="S332" s="339">
        <f>SUM(S318:S331)</f>
        <v>0</v>
      </c>
      <c r="T332" s="340" t="str">
        <f>CONCATENATE(TEXT(S332/R$14, "0.0%"), " of month total")</f>
        <v>0.0% of month total</v>
      </c>
      <c r="U332" s="342"/>
      <c r="V332" s="71" t="s">
        <v>65</v>
      </c>
      <c r="W332" s="251">
        <f>SUM(W318:W331)</f>
        <v>1829.4649999999999</v>
      </c>
      <c r="X332" s="333" t="str">
        <f>CONCATENATE(TEXT(W332/V$14, "0.0%"), " of month total")</f>
        <v>60.4% of month total</v>
      </c>
      <c r="Y332" s="332"/>
      <c r="Z332" s="71" t="s">
        <v>65</v>
      </c>
      <c r="AA332" s="251">
        <f>SUM(AA318:AA331)</f>
        <v>2570.6049999999996</v>
      </c>
      <c r="AB332" s="333" t="str">
        <f>CONCATENATE(TEXT(AA332/Z$14, "0.0%"), " of month total")</f>
        <v>72.2% of month total</v>
      </c>
      <c r="AC332" s="332"/>
      <c r="AD332" s="71" t="s">
        <v>65</v>
      </c>
      <c r="AE332" s="251">
        <f>SUM(AE318:AE331)</f>
        <v>2854.5299999999997</v>
      </c>
      <c r="AF332" s="333" t="str">
        <f>CONCATENATE(TEXT(AE332/AD$14, "0.0%"), " of month total")</f>
        <v>65.9% of month total</v>
      </c>
      <c r="AG332" s="332"/>
      <c r="AH332" s="71" t="s">
        <v>65</v>
      </c>
      <c r="AI332" s="251">
        <f>SUM(AI318:AI331)</f>
        <v>0</v>
      </c>
      <c r="AJ332" s="333" t="str">
        <f>CONCATENATE(TEXT(AI332/AH$14, "0.0%"), " of month total")</f>
        <v>0.0% of month total</v>
      </c>
      <c r="AK332" s="332"/>
      <c r="AL332" s="71" t="s">
        <v>65</v>
      </c>
      <c r="AM332" s="251">
        <f>SUM(AM318:AM331)</f>
        <v>0</v>
      </c>
      <c r="AN332" s="333" t="str">
        <f>CONCATENATE(TEXT(AM332/AL$14, "0.0%"), " of month total")</f>
        <v>0.0% of month total</v>
      </c>
      <c r="AO332" s="332"/>
      <c r="AP332" s="71" t="s">
        <v>65</v>
      </c>
      <c r="AQ332" s="251">
        <f>SUM(AQ318:AQ331)</f>
        <v>0</v>
      </c>
      <c r="AR332" s="333" t="e">
        <f>CONCATENATE(TEXT(AQ332/AP$14, "0.0%"), " of month total")</f>
        <v>#DIV/0!</v>
      </c>
      <c r="AS332" s="332"/>
      <c r="AT332" s="71" t="s">
        <v>65</v>
      </c>
      <c r="AU332" s="251">
        <f>SUM(AU318:AU331)</f>
        <v>0</v>
      </c>
      <c r="AV332" s="333" t="e">
        <f>CONCATENATE(TEXT(AU332/AT$14, "0.0%"), " of month total")</f>
        <v>#DIV/0!</v>
      </c>
      <c r="AW332" s="332"/>
      <c r="BF332" s="329"/>
      <c r="BG332" s="329"/>
      <c r="BH332" s="329"/>
      <c r="BI332" s="329"/>
      <c r="BJ332" s="329"/>
      <c r="BK332" s="329"/>
      <c r="BL332" s="329"/>
      <c r="BM332" s="329"/>
      <c r="BN332" s="329"/>
      <c r="BO332" s="329"/>
      <c r="BP332" s="329"/>
      <c r="BQ332" s="329"/>
      <c r="BR332" s="329"/>
      <c r="BS332" s="329"/>
      <c r="BT332" s="329"/>
      <c r="BU332" s="329"/>
      <c r="BV332" s="329"/>
      <c r="BW332" s="329"/>
      <c r="BX332" s="329"/>
      <c r="BY332" s="329"/>
      <c r="BZ332" s="329"/>
      <c r="CA332" s="329"/>
      <c r="CB332" s="329"/>
      <c r="CC332" s="329"/>
      <c r="CD332" s="329"/>
      <c r="CE332" s="329"/>
    </row>
    <row r="333" spans="1:83" x14ac:dyDescent="0.2">
      <c r="A333" s="409" t="s">
        <v>472</v>
      </c>
      <c r="B333" s="334"/>
      <c r="C333" s="335"/>
      <c r="D333" s="334"/>
      <c r="E333" s="336"/>
      <c r="F333" s="343"/>
      <c r="G333" s="344"/>
      <c r="H333" s="343"/>
      <c r="I333" s="337"/>
      <c r="J333" s="343"/>
      <c r="K333" s="344"/>
      <c r="L333" s="343"/>
      <c r="M333" s="337"/>
      <c r="N333" s="343"/>
      <c r="O333" s="344"/>
      <c r="P333" s="343"/>
      <c r="Q333" s="337"/>
      <c r="R333" s="343"/>
      <c r="S333" s="344"/>
      <c r="T333" s="343"/>
      <c r="U333" s="337"/>
      <c r="V333" s="77" t="s">
        <v>38</v>
      </c>
      <c r="W333" s="18">
        <f>W59</f>
        <v>16.239999999999998</v>
      </c>
      <c r="Z333" s="77" t="s">
        <v>38</v>
      </c>
      <c r="AA333" s="18">
        <f>AA70</f>
        <v>16.239999999999998</v>
      </c>
      <c r="AH333" s="77" t="s">
        <v>38</v>
      </c>
    </row>
    <row r="334" spans="1:83" x14ac:dyDescent="0.2">
      <c r="A334" s="409"/>
      <c r="B334" s="334"/>
      <c r="C334" s="335"/>
      <c r="D334" s="334"/>
      <c r="E334" s="336"/>
      <c r="F334" s="343"/>
      <c r="G334" s="344"/>
      <c r="H334" s="343"/>
      <c r="I334" s="337"/>
      <c r="J334" s="343"/>
      <c r="K334" s="344"/>
      <c r="L334" s="343"/>
      <c r="M334" s="337"/>
      <c r="N334" s="343"/>
      <c r="O334" s="344"/>
      <c r="P334" s="343"/>
      <c r="Q334" s="337"/>
      <c r="R334" s="343"/>
      <c r="S334" s="344"/>
      <c r="T334" s="343"/>
      <c r="U334" s="337"/>
      <c r="Z334" s="77" t="s">
        <v>480</v>
      </c>
      <c r="AA334" s="18">
        <f>AA61</f>
        <v>41.45</v>
      </c>
      <c r="AD334" s="77" t="s">
        <v>480</v>
      </c>
      <c r="AE334" s="18">
        <f>AE27</f>
        <v>25.75</v>
      </c>
      <c r="AH334" s="77" t="s">
        <v>480</v>
      </c>
    </row>
    <row r="335" spans="1:83" x14ac:dyDescent="0.2">
      <c r="A335" s="409"/>
      <c r="B335" s="334"/>
      <c r="C335" s="335"/>
      <c r="D335" s="334"/>
      <c r="E335" s="336"/>
      <c r="F335" s="343"/>
      <c r="G335" s="344"/>
      <c r="H335" s="343"/>
      <c r="I335" s="337"/>
      <c r="J335" s="343"/>
      <c r="K335" s="344"/>
      <c r="L335" s="343"/>
      <c r="M335" s="337"/>
      <c r="N335" s="343"/>
      <c r="O335" s="344"/>
      <c r="P335" s="343"/>
      <c r="Q335" s="337"/>
      <c r="R335" s="343"/>
      <c r="S335" s="344"/>
      <c r="T335" s="343"/>
      <c r="U335" s="337"/>
      <c r="V335" s="77" t="s">
        <v>481</v>
      </c>
      <c r="W335" s="18">
        <f>W22+W24+W33+W35+W38+W40+W42+W45+W47+W49+W51+W57+W60+W61+W62+W63</f>
        <v>226.02999999999997</v>
      </c>
      <c r="Z335" s="77" t="s">
        <v>481</v>
      </c>
      <c r="AA335" s="18">
        <f>SUM(AA20,AA25,AA26,AA35,AA36,AA37,AA38,AA43,AA45,AA46,AA47,AA48,AA62,AA63,AA67,AA71,AA73,AA53,AA75,AA76,AA77,AA80,AA81,AA8)</f>
        <v>330.46000000000004</v>
      </c>
      <c r="AD335" s="77" t="s">
        <v>481</v>
      </c>
      <c r="AE335" s="18">
        <f>SUM(AE31,AE35,AE51,AE52:AE56,AE58:AE61,AE65,AE66,AE77,AE80)</f>
        <v>414.34000000000003</v>
      </c>
      <c r="AH335" s="77" t="s">
        <v>481</v>
      </c>
    </row>
    <row r="336" spans="1:83" x14ac:dyDescent="0.2">
      <c r="A336" s="409"/>
      <c r="B336" s="334"/>
      <c r="C336" s="335"/>
      <c r="D336" s="334"/>
      <c r="E336" s="336"/>
      <c r="F336" s="343"/>
      <c r="G336" s="344"/>
      <c r="H336" s="343"/>
      <c r="I336" s="337"/>
      <c r="J336" s="343"/>
      <c r="K336" s="344"/>
      <c r="L336" s="343"/>
      <c r="M336" s="337"/>
      <c r="N336" s="343"/>
      <c r="O336" s="344"/>
      <c r="P336" s="343"/>
      <c r="Q336" s="337"/>
      <c r="R336" s="343"/>
      <c r="S336" s="344"/>
      <c r="T336" s="343"/>
      <c r="U336" s="337"/>
      <c r="Z336" s="77" t="s">
        <v>482</v>
      </c>
      <c r="AA336" s="18">
        <f>AA50+AA64+AA68+AA69</f>
        <v>18</v>
      </c>
      <c r="AD336" s="77" t="s">
        <v>482</v>
      </c>
      <c r="AE336" s="18">
        <f>AE32</f>
        <v>10</v>
      </c>
      <c r="AH336" s="77" t="s">
        <v>482</v>
      </c>
    </row>
    <row r="337" spans="1:83" x14ac:dyDescent="0.2">
      <c r="A337" s="409"/>
      <c r="B337" s="334"/>
      <c r="C337" s="335"/>
      <c r="D337" s="334"/>
      <c r="E337" s="336"/>
      <c r="F337" s="343"/>
      <c r="G337" s="344"/>
      <c r="H337" s="343"/>
      <c r="I337" s="337"/>
      <c r="J337" s="343"/>
      <c r="K337" s="344"/>
      <c r="L337" s="343"/>
      <c r="M337" s="337"/>
      <c r="N337" s="343"/>
      <c r="O337" s="344"/>
      <c r="P337" s="343"/>
      <c r="Q337" s="337"/>
      <c r="R337" s="343"/>
      <c r="S337" s="344"/>
      <c r="T337" s="343"/>
      <c r="U337" s="337"/>
      <c r="V337" s="77" t="s">
        <v>483</v>
      </c>
      <c r="W337" s="18">
        <f>W66+W68</f>
        <v>106.92</v>
      </c>
      <c r="Z337" s="77" t="s">
        <v>483</v>
      </c>
      <c r="AA337" s="18">
        <f>AA54+AA57-AA326</f>
        <v>163.10999999999999</v>
      </c>
      <c r="AD337" s="77" t="s">
        <v>483</v>
      </c>
      <c r="AE337" s="18">
        <f>AE39</f>
        <v>208.95</v>
      </c>
      <c r="AH337" s="77" t="s">
        <v>483</v>
      </c>
    </row>
    <row r="338" spans="1:83" x14ac:dyDescent="0.2">
      <c r="A338" s="409"/>
      <c r="B338" s="334"/>
      <c r="C338" s="335"/>
      <c r="D338" s="334"/>
      <c r="E338" s="336"/>
      <c r="F338" s="343"/>
      <c r="G338" s="344"/>
      <c r="H338" s="343"/>
      <c r="I338" s="337"/>
      <c r="J338" s="343"/>
      <c r="K338" s="344"/>
      <c r="L338" s="343"/>
      <c r="M338" s="337"/>
      <c r="N338" s="343"/>
      <c r="O338" s="344"/>
      <c r="P338" s="343"/>
      <c r="Q338" s="337"/>
      <c r="R338" s="343"/>
      <c r="S338" s="344"/>
      <c r="T338" s="343"/>
      <c r="U338" s="337"/>
      <c r="V338" s="77" t="s">
        <v>492</v>
      </c>
      <c r="W338" s="18">
        <f>W48+W70</f>
        <v>13.84</v>
      </c>
      <c r="Z338" s="77" t="s">
        <v>67</v>
      </c>
      <c r="AA338" s="18">
        <f>AA27</f>
        <v>86.95</v>
      </c>
      <c r="AD338" s="77" t="s">
        <v>503</v>
      </c>
      <c r="AE338" s="18">
        <f>AE76+AE49</f>
        <v>126.61</v>
      </c>
    </row>
    <row r="339" spans="1:83" x14ac:dyDescent="0.2">
      <c r="A339" s="409"/>
      <c r="B339" s="334"/>
      <c r="C339" s="335"/>
      <c r="D339" s="334"/>
      <c r="E339" s="336"/>
      <c r="F339" s="343"/>
      <c r="G339" s="344"/>
      <c r="H339" s="343"/>
      <c r="I339" s="337"/>
      <c r="J339" s="343"/>
      <c r="K339" s="344"/>
      <c r="L339" s="343"/>
      <c r="M339" s="337"/>
      <c r="N339" s="343"/>
      <c r="O339" s="344"/>
      <c r="P339" s="343"/>
      <c r="Q339" s="337"/>
      <c r="R339" s="343"/>
      <c r="S339" s="344"/>
      <c r="T339" s="343"/>
      <c r="U339" s="337"/>
      <c r="AD339" s="77" t="s">
        <v>510</v>
      </c>
      <c r="AE339" s="18">
        <f>AE62+AE63+AE67</f>
        <v>129.88</v>
      </c>
    </row>
    <row r="340" spans="1:83" x14ac:dyDescent="0.2">
      <c r="A340" s="409"/>
      <c r="B340" s="334"/>
      <c r="C340" s="335"/>
      <c r="D340" s="334"/>
      <c r="E340" s="336"/>
      <c r="F340" s="343"/>
      <c r="G340" s="344"/>
      <c r="H340" s="343"/>
      <c r="I340" s="337"/>
      <c r="J340" s="343"/>
      <c r="K340" s="344"/>
      <c r="L340" s="343"/>
      <c r="M340" s="337"/>
      <c r="N340" s="343"/>
      <c r="O340" s="344"/>
      <c r="P340" s="343"/>
      <c r="Q340" s="337"/>
      <c r="R340" s="343"/>
      <c r="S340" s="344"/>
      <c r="T340" s="343"/>
      <c r="U340" s="337"/>
    </row>
    <row r="341" spans="1:83" x14ac:dyDescent="0.2">
      <c r="A341" s="409"/>
      <c r="B341" s="334"/>
      <c r="C341" s="335"/>
      <c r="D341" s="334"/>
      <c r="E341" s="336"/>
      <c r="F341" s="343"/>
      <c r="G341" s="344"/>
      <c r="H341" s="343"/>
      <c r="I341" s="337"/>
      <c r="J341" s="343"/>
      <c r="K341" s="344"/>
      <c r="L341" s="343"/>
      <c r="M341" s="337"/>
      <c r="N341" s="343"/>
      <c r="O341" s="344"/>
      <c r="P341" s="343"/>
      <c r="Q341" s="337"/>
      <c r="R341" s="343"/>
      <c r="S341" s="344"/>
      <c r="T341" s="343"/>
      <c r="U341" s="337"/>
    </row>
    <row r="342" spans="1:83" x14ac:dyDescent="0.2">
      <c r="A342" s="409"/>
      <c r="B342" s="334"/>
      <c r="C342" s="335"/>
      <c r="D342" s="334"/>
      <c r="E342" s="336"/>
      <c r="F342" s="343"/>
      <c r="G342" s="344"/>
      <c r="H342" s="343"/>
      <c r="I342" s="337"/>
      <c r="J342" s="343"/>
      <c r="K342" s="344"/>
      <c r="L342" s="343"/>
      <c r="M342" s="337"/>
      <c r="N342" s="343"/>
      <c r="O342" s="344"/>
      <c r="P342" s="343"/>
      <c r="Q342" s="337"/>
      <c r="R342" s="343"/>
      <c r="S342" s="344"/>
      <c r="T342" s="343"/>
      <c r="U342" s="337"/>
    </row>
    <row r="343" spans="1:83" x14ac:dyDescent="0.2">
      <c r="A343" s="409"/>
      <c r="B343" s="334"/>
      <c r="C343" s="335"/>
      <c r="D343" s="334"/>
      <c r="E343" s="336"/>
      <c r="F343" s="343"/>
      <c r="G343" s="344"/>
      <c r="H343" s="343"/>
      <c r="I343" s="337"/>
      <c r="J343" s="343"/>
      <c r="K343" s="344"/>
      <c r="L343" s="343"/>
      <c r="M343" s="337"/>
      <c r="N343" s="343"/>
      <c r="O343" s="344"/>
      <c r="P343" s="343"/>
      <c r="Q343" s="337"/>
      <c r="R343" s="343"/>
      <c r="S343" s="344"/>
      <c r="T343" s="343"/>
      <c r="U343" s="337"/>
    </row>
    <row r="344" spans="1:83" x14ac:dyDescent="0.2">
      <c r="A344" s="409"/>
      <c r="B344" s="334"/>
      <c r="C344" s="335"/>
      <c r="D344" s="334"/>
      <c r="E344" s="336"/>
      <c r="F344" s="343"/>
      <c r="G344" s="344"/>
      <c r="H344" s="343"/>
      <c r="I344" s="337"/>
      <c r="J344" s="343"/>
      <c r="K344" s="344"/>
      <c r="L344" s="343"/>
      <c r="M344" s="337"/>
      <c r="N344" s="343"/>
      <c r="O344" s="344"/>
      <c r="P344" s="343"/>
      <c r="Q344" s="337"/>
      <c r="R344" s="343"/>
      <c r="S344" s="344"/>
      <c r="T344" s="343"/>
      <c r="U344" s="337"/>
      <c r="AY344" s="7" t="s">
        <v>512</v>
      </c>
    </row>
    <row r="345" spans="1:83" x14ac:dyDescent="0.2">
      <c r="A345" s="409"/>
      <c r="B345" s="334"/>
      <c r="C345" s="335"/>
      <c r="D345" s="334"/>
      <c r="E345" s="336"/>
      <c r="F345" s="343"/>
      <c r="G345" s="344"/>
      <c r="H345" s="343"/>
      <c r="I345" s="337"/>
      <c r="J345" s="343"/>
      <c r="K345" s="344"/>
      <c r="L345" s="343"/>
      <c r="M345" s="337"/>
      <c r="N345" s="343"/>
      <c r="O345" s="344"/>
      <c r="P345" s="343"/>
      <c r="Q345" s="337"/>
      <c r="R345" s="343"/>
      <c r="S345" s="344"/>
      <c r="T345" s="343"/>
      <c r="U345" s="337"/>
      <c r="AY345" s="18">
        <f>AVERAGE(AE347,AA347,W347)</f>
        <v>644.92333333333329</v>
      </c>
    </row>
    <row r="346" spans="1:83" x14ac:dyDescent="0.2">
      <c r="A346" s="409"/>
      <c r="B346" s="334"/>
      <c r="C346" s="335"/>
      <c r="D346" s="334"/>
      <c r="E346" s="336"/>
      <c r="F346" s="343"/>
      <c r="G346" s="344"/>
      <c r="H346" s="343"/>
      <c r="I346" s="337"/>
      <c r="J346" s="343"/>
      <c r="K346" s="344"/>
      <c r="L346" s="343"/>
      <c r="M346" s="337"/>
      <c r="N346" s="343"/>
      <c r="O346" s="344"/>
      <c r="P346" s="343"/>
      <c r="Q346" s="337"/>
      <c r="R346" s="343"/>
      <c r="S346" s="344"/>
      <c r="T346" s="343"/>
      <c r="U346" s="337"/>
    </row>
    <row r="347" spans="1:83" s="21" customFormat="1" ht="30" x14ac:dyDescent="0.2">
      <c r="A347" s="410"/>
      <c r="B347" s="338" t="s">
        <v>65</v>
      </c>
      <c r="C347" s="339">
        <f>SUM(C333:C346)</f>
        <v>0</v>
      </c>
      <c r="D347" s="340" t="str">
        <f>CONCATENATE(TEXT(C347/B$14, "0.0%"), " of month total")</f>
        <v>0.0% of month total</v>
      </c>
      <c r="E347" s="341"/>
      <c r="F347" s="338" t="s">
        <v>65</v>
      </c>
      <c r="G347" s="339">
        <f>SUM(G333:G346)</f>
        <v>0</v>
      </c>
      <c r="H347" s="340" t="str">
        <f>CONCATENATE(TEXT(G347/F$14, "0.0%"), " of month total")</f>
        <v>0.0% of month total</v>
      </c>
      <c r="I347" s="342"/>
      <c r="J347" s="338" t="s">
        <v>65</v>
      </c>
      <c r="K347" s="339">
        <f>SUM(K333:K346)</f>
        <v>0</v>
      </c>
      <c r="L347" s="340" t="str">
        <f>CONCATENATE(TEXT(K347/J$14, "0.0%"), " of month total")</f>
        <v>0.0% of month total</v>
      </c>
      <c r="M347" s="342"/>
      <c r="N347" s="338" t="s">
        <v>65</v>
      </c>
      <c r="O347" s="339">
        <f>SUM(O333:O346)</f>
        <v>0</v>
      </c>
      <c r="P347" s="340" t="str">
        <f>CONCATENATE(TEXT(O347/N$14, "0.0%"), " of month total")</f>
        <v>0.0% of month total</v>
      </c>
      <c r="Q347" s="342"/>
      <c r="R347" s="338" t="s">
        <v>65</v>
      </c>
      <c r="S347" s="339">
        <f>SUM(S333:S346)</f>
        <v>0</v>
      </c>
      <c r="T347" s="340" t="str">
        <f>CONCATENATE(TEXT(S347/R$14, "0.0%"), " of month total")</f>
        <v>0.0% of month total</v>
      </c>
      <c r="U347" s="342"/>
      <c r="V347" s="71" t="s">
        <v>65</v>
      </c>
      <c r="W347" s="251">
        <f>SUM(W333:W346)</f>
        <v>363.03</v>
      </c>
      <c r="X347" s="333" t="str">
        <f>CONCATENATE(TEXT(W347/V$14, "0.0%"), " of month total")</f>
        <v>12.0% of month total</v>
      </c>
      <c r="Y347" s="332"/>
      <c r="Z347" s="71" t="s">
        <v>65</v>
      </c>
      <c r="AA347" s="251">
        <f>SUM(AA333:AA346)</f>
        <v>656.21</v>
      </c>
      <c r="AB347" s="333" t="str">
        <f>CONCATENATE(TEXT(AA347/Z$14, "0.0%"), " of month total")</f>
        <v>18.4% of month total</v>
      </c>
      <c r="AC347" s="332"/>
      <c r="AD347" s="71" t="s">
        <v>65</v>
      </c>
      <c r="AE347" s="251">
        <f>SUM(AE333:AE346)</f>
        <v>915.53</v>
      </c>
      <c r="AF347" s="333" t="str">
        <f>CONCATENATE(TEXT(AE347/AD$14, "0.0%"), " of month total")</f>
        <v>21.1% of month total</v>
      </c>
      <c r="AG347" s="332"/>
      <c r="AH347" s="71" t="s">
        <v>65</v>
      </c>
      <c r="AI347" s="251">
        <f>SUM(AI333:AI346)</f>
        <v>0</v>
      </c>
      <c r="AJ347" s="333" t="str">
        <f>CONCATENATE(TEXT(AI347/AH$14, "0.0%"), " of month total")</f>
        <v>0.0% of month total</v>
      </c>
      <c r="AK347" s="332"/>
      <c r="AL347" s="71" t="s">
        <v>65</v>
      </c>
      <c r="AM347" s="251">
        <f>SUM(AM333:AM346)</f>
        <v>0</v>
      </c>
      <c r="AN347" s="333" t="str">
        <f>CONCATENATE(TEXT(AM347/AL$14, "0.0%"), " of month total")</f>
        <v>0.0% of month total</v>
      </c>
      <c r="AO347" s="332"/>
      <c r="AP347" s="71" t="s">
        <v>65</v>
      </c>
      <c r="AQ347" s="251">
        <f>SUM(AQ333:AQ346)</f>
        <v>0</v>
      </c>
      <c r="AR347" s="333" t="e">
        <f>CONCATENATE(TEXT(AQ347/AP$14, "0.0%"), " of month total")</f>
        <v>#DIV/0!</v>
      </c>
      <c r="AS347" s="332"/>
      <c r="AT347" s="71" t="s">
        <v>65</v>
      </c>
      <c r="AU347" s="251">
        <f>SUM(AU333:AU346)</f>
        <v>0</v>
      </c>
      <c r="AV347" s="333" t="e">
        <f>CONCATENATE(TEXT(AU347/AT$14, "0.0%"), " of month total")</f>
        <v>#DIV/0!</v>
      </c>
      <c r="AW347" s="332"/>
      <c r="BF347" s="329"/>
      <c r="BG347" s="329"/>
      <c r="BH347" s="329"/>
      <c r="BI347" s="329"/>
      <c r="BJ347" s="329"/>
      <c r="BK347" s="329"/>
      <c r="BL347" s="329"/>
      <c r="BM347" s="329"/>
      <c r="BN347" s="329"/>
      <c r="BO347" s="329"/>
      <c r="BP347" s="329"/>
      <c r="BQ347" s="329"/>
      <c r="BR347" s="329"/>
      <c r="BS347" s="329"/>
      <c r="BT347" s="329"/>
      <c r="BU347" s="329"/>
      <c r="BV347" s="329"/>
      <c r="BW347" s="329"/>
      <c r="BX347" s="329"/>
      <c r="BY347" s="329"/>
      <c r="BZ347" s="329"/>
      <c r="CA347" s="329"/>
      <c r="CB347" s="329"/>
      <c r="CC347" s="329"/>
      <c r="CD347" s="329"/>
      <c r="CE347" s="329"/>
    </row>
    <row r="348" spans="1:83" x14ac:dyDescent="0.2">
      <c r="A348" s="409" t="s">
        <v>471</v>
      </c>
      <c r="B348" s="343"/>
      <c r="C348" s="344"/>
      <c r="D348" s="343"/>
      <c r="E348" s="336"/>
      <c r="F348" s="343"/>
      <c r="G348" s="344"/>
      <c r="H348" s="343"/>
      <c r="I348" s="337"/>
      <c r="J348" s="343"/>
      <c r="K348" s="344"/>
      <c r="L348" s="343"/>
      <c r="M348" s="337"/>
      <c r="N348" s="343"/>
      <c r="O348" s="344"/>
      <c r="P348" s="343"/>
      <c r="Q348" s="337"/>
      <c r="R348" s="343"/>
      <c r="S348" s="344"/>
      <c r="T348" s="343"/>
      <c r="U348" s="337"/>
      <c r="V348" s="77" t="s">
        <v>485</v>
      </c>
      <c r="W348" s="18">
        <f>W31+W53-W363-W319</f>
        <v>135.53999999999996</v>
      </c>
      <c r="Z348" s="77" t="s">
        <v>496</v>
      </c>
      <c r="AA348" s="18">
        <f>AA78</f>
        <v>149</v>
      </c>
    </row>
    <row r="349" spans="1:83" x14ac:dyDescent="0.2">
      <c r="A349" s="409"/>
      <c r="B349" s="343"/>
      <c r="C349" s="344"/>
      <c r="D349" s="343"/>
      <c r="E349" s="336"/>
      <c r="F349" s="343"/>
      <c r="G349" s="344"/>
      <c r="H349" s="343"/>
      <c r="I349" s="337"/>
      <c r="J349" s="343"/>
      <c r="K349" s="344"/>
      <c r="L349" s="343"/>
      <c r="M349" s="337"/>
      <c r="N349" s="343"/>
      <c r="O349" s="344"/>
      <c r="P349" s="343"/>
      <c r="Q349" s="337"/>
      <c r="R349" s="343"/>
      <c r="S349" s="344"/>
      <c r="T349" s="343"/>
      <c r="U349" s="337"/>
      <c r="V349" s="77" t="s">
        <v>486</v>
      </c>
      <c r="W349" s="18">
        <f>W25</f>
        <v>58.95</v>
      </c>
    </row>
    <row r="350" spans="1:83" x14ac:dyDescent="0.2">
      <c r="A350" s="409"/>
      <c r="B350" s="343"/>
      <c r="C350" s="344"/>
      <c r="D350" s="343"/>
      <c r="E350" s="336"/>
      <c r="F350" s="343"/>
      <c r="G350" s="344"/>
      <c r="H350" s="343"/>
      <c r="I350" s="337"/>
      <c r="J350" s="343"/>
      <c r="K350" s="344"/>
      <c r="L350" s="343"/>
      <c r="M350" s="337"/>
      <c r="N350" s="343"/>
      <c r="O350" s="344"/>
      <c r="P350" s="343"/>
      <c r="Q350" s="337"/>
      <c r="R350" s="343"/>
      <c r="S350" s="344"/>
      <c r="T350" s="343"/>
      <c r="U350" s="337"/>
      <c r="V350" s="77" t="s">
        <v>488</v>
      </c>
      <c r="W350" s="18">
        <f>W67</f>
        <v>219.65</v>
      </c>
    </row>
    <row r="351" spans="1:83" x14ac:dyDescent="0.2">
      <c r="A351" s="409"/>
      <c r="B351" s="343"/>
      <c r="C351" s="344"/>
      <c r="D351" s="343"/>
      <c r="E351" s="336"/>
      <c r="F351" s="343"/>
      <c r="G351" s="344"/>
      <c r="H351" s="343"/>
      <c r="I351" s="337"/>
      <c r="J351" s="343"/>
      <c r="K351" s="344"/>
      <c r="L351" s="343"/>
      <c r="M351" s="337"/>
      <c r="N351" s="343"/>
      <c r="O351" s="344"/>
      <c r="P351" s="343"/>
      <c r="Q351" s="337"/>
      <c r="R351" s="343"/>
      <c r="S351" s="344"/>
      <c r="T351" s="343"/>
      <c r="U351" s="337"/>
      <c r="V351" s="77" t="s">
        <v>493</v>
      </c>
      <c r="W351" s="18">
        <f>W50</f>
        <v>19.989999999999998</v>
      </c>
      <c r="Z351" s="77" t="s">
        <v>493</v>
      </c>
      <c r="AA351" s="18">
        <f>AA56+AA74</f>
        <v>65.959999999999994</v>
      </c>
      <c r="AD351" s="77" t="s">
        <v>504</v>
      </c>
      <c r="AE351" s="18">
        <f>AE74</f>
        <v>10.42</v>
      </c>
    </row>
    <row r="352" spans="1:83" x14ac:dyDescent="0.2">
      <c r="A352" s="409"/>
      <c r="B352" s="343"/>
      <c r="C352" s="344"/>
      <c r="D352" s="343"/>
      <c r="E352" s="336"/>
      <c r="F352" s="343"/>
      <c r="G352" s="344"/>
      <c r="H352" s="343"/>
      <c r="I352" s="337"/>
      <c r="J352" s="343"/>
      <c r="K352" s="344"/>
      <c r="L352" s="343"/>
      <c r="M352" s="337"/>
      <c r="N352" s="343"/>
      <c r="O352" s="344"/>
      <c r="P352" s="343"/>
      <c r="Q352" s="337"/>
      <c r="R352" s="343"/>
      <c r="S352" s="344"/>
      <c r="T352" s="343"/>
      <c r="U352" s="337"/>
      <c r="Z352" s="77" t="s">
        <v>497</v>
      </c>
      <c r="AA352" s="18">
        <f>AA65</f>
        <v>11.8</v>
      </c>
    </row>
    <row r="353" spans="1:83" x14ac:dyDescent="0.2">
      <c r="A353" s="409"/>
      <c r="B353" s="343"/>
      <c r="C353" s="344"/>
      <c r="D353" s="343"/>
      <c r="E353" s="336"/>
      <c r="F353" s="343"/>
      <c r="G353" s="344"/>
      <c r="H353" s="343"/>
      <c r="I353" s="337"/>
      <c r="J353" s="343"/>
      <c r="K353" s="344"/>
      <c r="L353" s="343"/>
      <c r="M353" s="337"/>
      <c r="N353" s="343"/>
      <c r="O353" s="344"/>
      <c r="P353" s="343"/>
      <c r="Q353" s="337"/>
      <c r="R353" s="343"/>
      <c r="S353" s="344"/>
      <c r="T353" s="343"/>
      <c r="U353" s="337"/>
      <c r="AD353" s="77" t="s">
        <v>502</v>
      </c>
      <c r="AE353" s="18">
        <f>AE20</f>
        <v>12.5</v>
      </c>
    </row>
    <row r="354" spans="1:83" x14ac:dyDescent="0.2">
      <c r="A354" s="409"/>
      <c r="B354" s="343"/>
      <c r="C354" s="344"/>
      <c r="D354" s="343"/>
      <c r="E354" s="336"/>
      <c r="F354" s="343"/>
      <c r="G354" s="344"/>
      <c r="H354" s="343"/>
      <c r="I354" s="337"/>
      <c r="J354" s="343"/>
      <c r="K354" s="344"/>
      <c r="L354" s="343"/>
      <c r="M354" s="337"/>
      <c r="N354" s="343"/>
      <c r="O354" s="344"/>
      <c r="P354" s="343"/>
      <c r="Q354" s="337"/>
      <c r="R354" s="343"/>
      <c r="S354" s="344"/>
      <c r="T354" s="343"/>
      <c r="U354" s="337"/>
      <c r="AD354" s="77" t="s">
        <v>505</v>
      </c>
      <c r="AE354" s="18">
        <f>AE75</f>
        <v>63.11</v>
      </c>
    </row>
    <row r="355" spans="1:83" x14ac:dyDescent="0.2">
      <c r="A355" s="409"/>
      <c r="B355" s="343"/>
      <c r="C355" s="344"/>
      <c r="D355" s="343"/>
      <c r="E355" s="336"/>
      <c r="F355" s="343"/>
      <c r="G355" s="344"/>
      <c r="H355" s="343"/>
      <c r="I355" s="337"/>
      <c r="J355" s="343"/>
      <c r="K355" s="344"/>
      <c r="L355" s="343"/>
      <c r="M355" s="337"/>
      <c r="N355" s="343"/>
      <c r="O355" s="344"/>
      <c r="P355" s="343"/>
      <c r="Q355" s="337"/>
      <c r="R355" s="343"/>
      <c r="S355" s="344"/>
      <c r="T355" s="343"/>
      <c r="U355" s="337"/>
    </row>
    <row r="356" spans="1:83" x14ac:dyDescent="0.2">
      <c r="A356" s="409"/>
      <c r="B356" s="343"/>
      <c r="C356" s="344"/>
      <c r="D356" s="343"/>
      <c r="E356" s="336"/>
      <c r="F356" s="343"/>
      <c r="G356" s="344"/>
      <c r="H356" s="343"/>
      <c r="I356" s="337"/>
      <c r="J356" s="343"/>
      <c r="K356" s="344"/>
      <c r="L356" s="343"/>
      <c r="M356" s="337"/>
      <c r="N356" s="343"/>
      <c r="O356" s="344"/>
      <c r="P356" s="343"/>
      <c r="Q356" s="337"/>
      <c r="R356" s="343"/>
      <c r="S356" s="344"/>
      <c r="T356" s="343"/>
      <c r="U356" s="337"/>
    </row>
    <row r="357" spans="1:83" x14ac:dyDescent="0.2">
      <c r="A357" s="409"/>
      <c r="B357" s="343"/>
      <c r="C357" s="344"/>
      <c r="D357" s="343"/>
      <c r="E357" s="336"/>
      <c r="F357" s="343"/>
      <c r="G357" s="344"/>
      <c r="H357" s="343"/>
      <c r="I357" s="337"/>
      <c r="J357" s="343"/>
      <c r="K357" s="344"/>
      <c r="L357" s="343"/>
      <c r="M357" s="337"/>
      <c r="N357" s="343"/>
      <c r="O357" s="344"/>
      <c r="P357" s="343"/>
      <c r="Q357" s="337"/>
      <c r="R357" s="343"/>
      <c r="S357" s="344"/>
      <c r="T357" s="343"/>
      <c r="U357" s="337"/>
    </row>
    <row r="358" spans="1:83" x14ac:dyDescent="0.2">
      <c r="A358" s="409"/>
      <c r="B358" s="343"/>
      <c r="C358" s="344"/>
      <c r="D358" s="343"/>
      <c r="E358" s="336"/>
      <c r="F358" s="343"/>
      <c r="G358" s="344"/>
      <c r="H358" s="343"/>
      <c r="I358" s="337"/>
      <c r="J358" s="343"/>
      <c r="K358" s="344"/>
      <c r="L358" s="343"/>
      <c r="M358" s="337"/>
      <c r="N358" s="343"/>
      <c r="O358" s="344"/>
      <c r="P358" s="343"/>
      <c r="Q358" s="337"/>
      <c r="R358" s="343"/>
      <c r="S358" s="344"/>
      <c r="T358" s="343"/>
      <c r="U358" s="337"/>
    </row>
    <row r="359" spans="1:83" x14ac:dyDescent="0.2">
      <c r="A359" s="409"/>
      <c r="B359" s="343"/>
      <c r="C359" s="344"/>
      <c r="D359" s="343"/>
      <c r="E359" s="336"/>
      <c r="F359" s="343"/>
      <c r="G359" s="344"/>
      <c r="H359" s="343"/>
      <c r="I359" s="337"/>
      <c r="J359" s="343"/>
      <c r="K359" s="344"/>
      <c r="L359" s="343"/>
      <c r="M359" s="337"/>
      <c r="N359" s="343"/>
      <c r="O359" s="344"/>
      <c r="P359" s="343"/>
      <c r="Q359" s="337"/>
      <c r="R359" s="343"/>
      <c r="S359" s="344"/>
      <c r="T359" s="343"/>
      <c r="U359" s="337"/>
      <c r="AY359" s="7" t="s">
        <v>512</v>
      </c>
    </row>
    <row r="360" spans="1:83" x14ac:dyDescent="0.2">
      <c r="A360" s="409"/>
      <c r="B360" s="343"/>
      <c r="C360" s="344"/>
      <c r="D360" s="343"/>
      <c r="E360" s="336"/>
      <c r="F360" s="343"/>
      <c r="G360" s="344"/>
      <c r="H360" s="343"/>
      <c r="I360" s="337"/>
      <c r="J360" s="343"/>
      <c r="K360" s="344"/>
      <c r="L360" s="343"/>
      <c r="M360" s="337"/>
      <c r="N360" s="343"/>
      <c r="O360" s="344"/>
      <c r="P360" s="343"/>
      <c r="Q360" s="337"/>
      <c r="R360" s="343"/>
      <c r="S360" s="344"/>
      <c r="T360" s="343"/>
      <c r="U360" s="337"/>
      <c r="AY360" s="18">
        <f>AVERAGE(AE362,AA362,W362)</f>
        <v>248.97333333333333</v>
      </c>
    </row>
    <row r="361" spans="1:83" x14ac:dyDescent="0.2">
      <c r="A361" s="409"/>
      <c r="B361" s="343"/>
      <c r="C361" s="344"/>
      <c r="D361" s="343"/>
      <c r="E361" s="336"/>
      <c r="F361" s="343"/>
      <c r="G361" s="344"/>
      <c r="H361" s="343"/>
      <c r="I361" s="337"/>
      <c r="J361" s="343"/>
      <c r="K361" s="344"/>
      <c r="L361" s="343"/>
      <c r="M361" s="337"/>
      <c r="N361" s="343"/>
      <c r="O361" s="344"/>
      <c r="P361" s="343"/>
      <c r="Q361" s="337"/>
      <c r="R361" s="343"/>
      <c r="S361" s="344"/>
      <c r="T361" s="343"/>
      <c r="U361" s="337"/>
    </row>
    <row r="362" spans="1:83" s="21" customFormat="1" ht="30" x14ac:dyDescent="0.2">
      <c r="A362" s="410"/>
      <c r="B362" s="338" t="s">
        <v>65</v>
      </c>
      <c r="C362" s="339">
        <f t="shared" ref="C362" si="25">SUM(C348:C361)</f>
        <v>0</v>
      </c>
      <c r="D362" s="340" t="str">
        <f t="shared" ref="D362" si="26">CONCATENATE(TEXT(C362/B$14, "0.0%"), " of month total")</f>
        <v>0.0% of month total</v>
      </c>
      <c r="E362" s="341"/>
      <c r="F362" s="338" t="s">
        <v>65</v>
      </c>
      <c r="G362" s="339">
        <f t="shared" ref="G362" si="27">SUM(G348:G361)</f>
        <v>0</v>
      </c>
      <c r="H362" s="340" t="str">
        <f t="shared" ref="H362" si="28">CONCATENATE(TEXT(G362/F$14, "0.0%"), " of month total")</f>
        <v>0.0% of month total</v>
      </c>
      <c r="I362" s="342"/>
      <c r="J362" s="338" t="s">
        <v>65</v>
      </c>
      <c r="K362" s="339">
        <f t="shared" ref="K362" si="29">SUM(K348:K361)</f>
        <v>0</v>
      </c>
      <c r="L362" s="340" t="str">
        <f t="shared" ref="L362" si="30">CONCATENATE(TEXT(K362/J$14, "0.0%"), " of month total")</f>
        <v>0.0% of month total</v>
      </c>
      <c r="M362" s="342"/>
      <c r="N362" s="338" t="s">
        <v>65</v>
      </c>
      <c r="O362" s="339">
        <f t="shared" ref="O362" si="31">SUM(O348:O361)</f>
        <v>0</v>
      </c>
      <c r="P362" s="340" t="str">
        <f t="shared" ref="P362" si="32">CONCATENATE(TEXT(O362/N$14, "0.0%"), " of month total")</f>
        <v>0.0% of month total</v>
      </c>
      <c r="Q362" s="342"/>
      <c r="R362" s="338" t="s">
        <v>65</v>
      </c>
      <c r="S362" s="339">
        <f t="shared" ref="S362" si="33">SUM(S348:S361)</f>
        <v>0</v>
      </c>
      <c r="T362" s="340" t="str">
        <f t="shared" ref="T362" si="34">CONCATENATE(TEXT(S362/R$14, "0.0%"), " of month total")</f>
        <v>0.0% of month total</v>
      </c>
      <c r="U362" s="342"/>
      <c r="V362" s="71" t="s">
        <v>65</v>
      </c>
      <c r="W362" s="251">
        <f t="shared" ref="W362" si="35">SUM(W348:W361)</f>
        <v>434.13</v>
      </c>
      <c r="X362" s="333" t="str">
        <f t="shared" ref="X362" si="36">CONCATENATE(TEXT(W362/V$14, "0.0%"), " of month total")</f>
        <v>14.3% of month total</v>
      </c>
      <c r="Y362" s="332"/>
      <c r="Z362" s="71" t="s">
        <v>65</v>
      </c>
      <c r="AA362" s="251">
        <f t="shared" ref="AA362" si="37">SUM(AA348:AA361)</f>
        <v>226.76</v>
      </c>
      <c r="AB362" s="333" t="str">
        <f t="shared" ref="AB362" si="38">CONCATENATE(TEXT(AA362/Z$14, "0.0%"), " of month total")</f>
        <v>6.4% of month total</v>
      </c>
      <c r="AC362" s="332"/>
      <c r="AD362" s="71" t="s">
        <v>65</v>
      </c>
      <c r="AE362" s="251">
        <f t="shared" ref="AE362" si="39">SUM(AE348:AE361)</f>
        <v>86.03</v>
      </c>
      <c r="AF362" s="333" t="str">
        <f t="shared" ref="AF362" si="40">CONCATENATE(TEXT(AE362/AD$14, "0.0%"), " of month total")</f>
        <v>2.0% of month total</v>
      </c>
      <c r="AG362" s="332"/>
      <c r="AH362" s="71" t="s">
        <v>65</v>
      </c>
      <c r="AI362" s="251">
        <f t="shared" ref="AI362" si="41">SUM(AI348:AI361)</f>
        <v>0</v>
      </c>
      <c r="AJ362" s="333" t="str">
        <f t="shared" ref="AJ362" si="42">CONCATENATE(TEXT(AI362/AH$14, "0.0%"), " of month total")</f>
        <v>0.0% of month total</v>
      </c>
      <c r="AK362" s="332"/>
      <c r="AL362" s="71" t="s">
        <v>65</v>
      </c>
      <c r="AM362" s="251">
        <f t="shared" ref="AM362" si="43">SUM(AM348:AM361)</f>
        <v>0</v>
      </c>
      <c r="AN362" s="333" t="str">
        <f t="shared" ref="AN362" si="44">CONCATENATE(TEXT(AM362/AL$14, "0.0%"), " of month total")</f>
        <v>0.0% of month total</v>
      </c>
      <c r="AO362" s="332"/>
      <c r="AP362" s="71" t="s">
        <v>65</v>
      </c>
      <c r="AQ362" s="251">
        <f t="shared" ref="AQ362" si="45">SUM(AQ348:AQ361)</f>
        <v>0</v>
      </c>
      <c r="AR362" s="333" t="e">
        <f t="shared" ref="AR362" si="46">CONCATENATE(TEXT(AQ362/AP$14, "0.0%"), " of month total")</f>
        <v>#DIV/0!</v>
      </c>
      <c r="AS362" s="332"/>
      <c r="AT362" s="71" t="s">
        <v>65</v>
      </c>
      <c r="AU362" s="251">
        <f t="shared" ref="AU362" si="47">SUM(AU348:AU361)</f>
        <v>0</v>
      </c>
      <c r="AV362" s="333" t="e">
        <f t="shared" ref="AV362" si="48">CONCATENATE(TEXT(AU362/AT$14, "0.0%"), " of month total")</f>
        <v>#DIV/0!</v>
      </c>
      <c r="AW362" s="332"/>
      <c r="BF362" s="329"/>
      <c r="BG362" s="329"/>
      <c r="BH362" s="329"/>
      <c r="BI362" s="329"/>
      <c r="BJ362" s="329"/>
      <c r="BK362" s="329"/>
      <c r="BL362" s="329"/>
      <c r="BM362" s="329"/>
      <c r="BN362" s="329"/>
      <c r="BO362" s="329"/>
      <c r="BP362" s="329"/>
      <c r="BQ362" s="329"/>
      <c r="BR362" s="329"/>
      <c r="BS362" s="329"/>
      <c r="BT362" s="329"/>
      <c r="BU362" s="329"/>
      <c r="BV362" s="329"/>
      <c r="BW362" s="329"/>
      <c r="BX362" s="329"/>
      <c r="BY362" s="329"/>
      <c r="BZ362" s="329"/>
      <c r="CA362" s="329"/>
      <c r="CB362" s="329"/>
      <c r="CC362" s="329"/>
      <c r="CD362" s="329"/>
      <c r="CE362" s="329"/>
    </row>
    <row r="363" spans="1:83" x14ac:dyDescent="0.2">
      <c r="A363" s="409" t="s">
        <v>470</v>
      </c>
      <c r="B363" s="343"/>
      <c r="C363" s="344"/>
      <c r="D363" s="343"/>
      <c r="E363" s="336"/>
      <c r="F363" s="343"/>
      <c r="G363" s="344"/>
      <c r="H363" s="343"/>
      <c r="I363" s="337"/>
      <c r="J363" s="343"/>
      <c r="K363" s="344"/>
      <c r="L363" s="343"/>
      <c r="M363" s="337"/>
      <c r="N363" s="343"/>
      <c r="O363" s="344"/>
      <c r="P363" s="343"/>
      <c r="Q363" s="337"/>
      <c r="R363" s="343"/>
      <c r="S363" s="344"/>
      <c r="T363" s="343"/>
      <c r="U363" s="337"/>
      <c r="V363" s="77" t="s">
        <v>484</v>
      </c>
      <c r="W363" s="18">
        <v>47</v>
      </c>
      <c r="Z363" s="77" t="s">
        <v>495</v>
      </c>
      <c r="AA363" s="18">
        <f>AA58+AA59+AA60-AA319</f>
        <v>224.33999999999997</v>
      </c>
    </row>
    <row r="364" spans="1:83" x14ac:dyDescent="0.2">
      <c r="A364" s="411"/>
      <c r="B364" s="343"/>
      <c r="C364" s="344"/>
      <c r="D364" s="343"/>
      <c r="E364" s="336"/>
      <c r="F364" s="343"/>
      <c r="G364" s="344"/>
      <c r="H364" s="343"/>
      <c r="I364" s="337"/>
      <c r="J364" s="343"/>
      <c r="K364" s="344"/>
      <c r="L364" s="343"/>
      <c r="M364" s="337"/>
      <c r="N364" s="343"/>
      <c r="O364" s="344"/>
      <c r="P364" s="343"/>
      <c r="Q364" s="337"/>
      <c r="R364" s="343"/>
      <c r="S364" s="344"/>
      <c r="T364" s="343"/>
      <c r="U364" s="337"/>
      <c r="V364" s="77" t="s">
        <v>487</v>
      </c>
      <c r="W364" s="18">
        <f>W20</f>
        <v>33</v>
      </c>
      <c r="Z364" s="77" t="s">
        <v>494</v>
      </c>
      <c r="AA364" s="18">
        <f>AA40</f>
        <v>19</v>
      </c>
    </row>
    <row r="365" spans="1:83" x14ac:dyDescent="0.2">
      <c r="A365" s="411"/>
      <c r="B365" s="343"/>
      <c r="C365" s="344"/>
      <c r="D365" s="343"/>
      <c r="E365" s="336"/>
      <c r="F365" s="343"/>
      <c r="G365" s="344"/>
      <c r="H365" s="343"/>
      <c r="I365" s="337"/>
      <c r="J365" s="343"/>
      <c r="K365" s="344"/>
      <c r="L365" s="343"/>
      <c r="M365" s="337"/>
      <c r="N365" s="343"/>
      <c r="O365" s="344"/>
      <c r="P365" s="343"/>
      <c r="Q365" s="337"/>
      <c r="R365" s="343"/>
      <c r="S365" s="344"/>
      <c r="T365" s="343"/>
      <c r="U365" s="337"/>
      <c r="V365" s="77" t="s">
        <v>491</v>
      </c>
      <c r="W365" s="18">
        <f>W29+W54+W64+W69+W36+W65</f>
        <v>289.64</v>
      </c>
      <c r="Z365" s="77" t="s">
        <v>509</v>
      </c>
      <c r="AA365" s="18">
        <f>AA34</f>
        <v>16.22</v>
      </c>
      <c r="AD365" s="77" t="s">
        <v>508</v>
      </c>
      <c r="AE365" s="18">
        <f>SUM(AE41,AE43,AE57,AE68,AE78)</f>
        <v>195.78000000000003</v>
      </c>
    </row>
    <row r="366" spans="1:83" x14ac:dyDescent="0.2">
      <c r="A366" s="411"/>
      <c r="B366" s="343"/>
      <c r="C366" s="344"/>
      <c r="D366" s="343"/>
      <c r="E366" s="336"/>
      <c r="F366" s="343"/>
      <c r="G366" s="344"/>
      <c r="H366" s="343"/>
      <c r="I366" s="337"/>
      <c r="J366" s="343"/>
      <c r="K366" s="344"/>
      <c r="L366" s="343"/>
      <c r="M366" s="337"/>
      <c r="N366" s="343"/>
      <c r="O366" s="344"/>
      <c r="P366" s="343"/>
      <c r="Q366" s="337"/>
      <c r="R366" s="343"/>
      <c r="S366" s="344"/>
      <c r="T366" s="343"/>
      <c r="U366" s="337"/>
      <c r="V366" s="77" t="s">
        <v>490</v>
      </c>
      <c r="W366" s="18">
        <f>W18+W34</f>
        <v>10.32</v>
      </c>
      <c r="AD366" s="77" t="s">
        <v>511</v>
      </c>
      <c r="AE366" s="18">
        <f>AE46</f>
        <v>70.17</v>
      </c>
    </row>
    <row r="367" spans="1:83" x14ac:dyDescent="0.2">
      <c r="A367" s="411"/>
      <c r="B367" s="343"/>
      <c r="C367" s="344"/>
      <c r="D367" s="343"/>
      <c r="E367" s="336"/>
      <c r="F367" s="343"/>
      <c r="G367" s="344"/>
      <c r="H367" s="343"/>
      <c r="I367" s="337"/>
      <c r="J367" s="343"/>
      <c r="K367" s="344"/>
      <c r="L367" s="343"/>
      <c r="M367" s="337"/>
      <c r="N367" s="343"/>
      <c r="O367" s="344"/>
      <c r="P367" s="343"/>
      <c r="Q367" s="337"/>
      <c r="R367" s="343"/>
      <c r="S367" s="344"/>
      <c r="T367" s="343"/>
      <c r="U367" s="337"/>
    </row>
    <row r="368" spans="1:83" x14ac:dyDescent="0.2">
      <c r="A368" s="411"/>
      <c r="B368" s="343"/>
      <c r="C368" s="344"/>
      <c r="D368" s="343"/>
      <c r="E368" s="336"/>
      <c r="F368" s="343"/>
      <c r="G368" s="344"/>
      <c r="H368" s="343"/>
      <c r="I368" s="337"/>
      <c r="J368" s="343"/>
      <c r="K368" s="344"/>
      <c r="L368" s="343"/>
      <c r="M368" s="337"/>
      <c r="N368" s="343"/>
      <c r="O368" s="344"/>
      <c r="P368" s="343"/>
      <c r="Q368" s="337"/>
      <c r="R368" s="343"/>
      <c r="S368" s="344"/>
      <c r="T368" s="343"/>
      <c r="U368" s="337"/>
    </row>
    <row r="369" spans="1:83" x14ac:dyDescent="0.2">
      <c r="A369" s="411"/>
      <c r="B369" s="343"/>
      <c r="C369" s="344"/>
      <c r="D369" s="343"/>
      <c r="E369" s="336"/>
      <c r="F369" s="343"/>
      <c r="G369" s="344"/>
      <c r="H369" s="343"/>
      <c r="I369" s="337"/>
      <c r="J369" s="343"/>
      <c r="K369" s="344"/>
      <c r="L369" s="343"/>
      <c r="M369" s="337"/>
      <c r="N369" s="343"/>
      <c r="O369" s="344"/>
      <c r="P369" s="343"/>
      <c r="Q369" s="337"/>
      <c r="R369" s="343"/>
      <c r="S369" s="344"/>
      <c r="T369" s="343"/>
      <c r="U369" s="337"/>
    </row>
    <row r="370" spans="1:83" x14ac:dyDescent="0.2">
      <c r="A370" s="411"/>
      <c r="B370" s="343"/>
      <c r="C370" s="344"/>
      <c r="D370" s="343"/>
      <c r="E370" s="336"/>
      <c r="F370" s="343"/>
      <c r="G370" s="344"/>
      <c r="H370" s="343"/>
      <c r="I370" s="337"/>
      <c r="J370" s="343"/>
      <c r="K370" s="344"/>
      <c r="L370" s="343"/>
      <c r="M370" s="337"/>
      <c r="N370" s="343"/>
      <c r="O370" s="344"/>
      <c r="P370" s="343"/>
      <c r="Q370" s="337"/>
      <c r="R370" s="343"/>
      <c r="S370" s="344"/>
      <c r="T370" s="343"/>
      <c r="U370" s="337"/>
    </row>
    <row r="371" spans="1:83" x14ac:dyDescent="0.2">
      <c r="A371" s="411"/>
      <c r="B371" s="343"/>
      <c r="C371" s="344"/>
      <c r="D371" s="343"/>
      <c r="E371" s="336"/>
      <c r="F371" s="343"/>
      <c r="G371" s="344"/>
      <c r="H371" s="343"/>
      <c r="I371" s="337"/>
      <c r="J371" s="343"/>
      <c r="K371" s="344"/>
      <c r="L371" s="343"/>
      <c r="M371" s="337"/>
      <c r="N371" s="343"/>
      <c r="O371" s="344"/>
      <c r="P371" s="343"/>
      <c r="Q371" s="337"/>
      <c r="R371" s="343"/>
      <c r="S371" s="344"/>
      <c r="T371" s="343"/>
      <c r="U371" s="337"/>
    </row>
    <row r="372" spans="1:83" x14ac:dyDescent="0.2">
      <c r="A372" s="411"/>
      <c r="B372" s="343"/>
      <c r="C372" s="344"/>
      <c r="D372" s="343"/>
      <c r="E372" s="336"/>
      <c r="F372" s="343"/>
      <c r="G372" s="344"/>
      <c r="H372" s="343"/>
      <c r="I372" s="337"/>
      <c r="J372" s="343"/>
      <c r="K372" s="344"/>
      <c r="L372" s="343"/>
      <c r="M372" s="337"/>
      <c r="N372" s="343"/>
      <c r="O372" s="344"/>
      <c r="P372" s="343"/>
      <c r="Q372" s="337"/>
      <c r="R372" s="343"/>
      <c r="S372" s="344"/>
      <c r="T372" s="343"/>
      <c r="U372" s="337"/>
    </row>
    <row r="373" spans="1:83" x14ac:dyDescent="0.2">
      <c r="A373" s="411"/>
      <c r="B373" s="343"/>
      <c r="C373" s="344"/>
      <c r="D373" s="343"/>
      <c r="E373" s="336"/>
      <c r="F373" s="343"/>
      <c r="G373" s="344"/>
      <c r="H373" s="343"/>
      <c r="I373" s="337"/>
      <c r="J373" s="343"/>
      <c r="K373" s="344"/>
      <c r="L373" s="343"/>
      <c r="M373" s="337"/>
      <c r="N373" s="343"/>
      <c r="O373" s="344"/>
      <c r="P373" s="343"/>
      <c r="Q373" s="337"/>
      <c r="R373" s="343"/>
      <c r="S373" s="344"/>
      <c r="T373" s="343"/>
      <c r="U373" s="337"/>
    </row>
    <row r="374" spans="1:83" x14ac:dyDescent="0.2">
      <c r="A374" s="411"/>
      <c r="B374" s="343"/>
      <c r="C374" s="344"/>
      <c r="D374" s="343"/>
      <c r="E374" s="336"/>
      <c r="F374" s="343"/>
      <c r="G374" s="344"/>
      <c r="H374" s="343"/>
      <c r="I374" s="337"/>
      <c r="J374" s="343"/>
      <c r="K374" s="344"/>
      <c r="L374" s="343"/>
      <c r="M374" s="337"/>
      <c r="N374" s="343"/>
      <c r="O374" s="344"/>
      <c r="P374" s="343"/>
      <c r="Q374" s="337"/>
      <c r="R374" s="343"/>
      <c r="S374" s="344"/>
      <c r="T374" s="343"/>
      <c r="U374" s="337"/>
      <c r="AY374" s="7" t="s">
        <v>512</v>
      </c>
    </row>
    <row r="375" spans="1:83" x14ac:dyDescent="0.2">
      <c r="A375" s="411"/>
      <c r="B375" s="343"/>
      <c r="C375" s="344"/>
      <c r="D375" s="343"/>
      <c r="E375" s="336"/>
      <c r="F375" s="343"/>
      <c r="G375" s="344"/>
      <c r="H375" s="343"/>
      <c r="I375" s="337"/>
      <c r="J375" s="343"/>
      <c r="K375" s="344"/>
      <c r="L375" s="343"/>
      <c r="M375" s="337"/>
      <c r="N375" s="343"/>
      <c r="O375" s="344"/>
      <c r="P375" s="343"/>
      <c r="Q375" s="337"/>
      <c r="R375" s="343"/>
      <c r="S375" s="344"/>
      <c r="T375" s="343"/>
      <c r="U375" s="337"/>
      <c r="AY375" s="18">
        <f>AVERAGE(AE377,AA377,W377)</f>
        <v>301.82333333333332</v>
      </c>
    </row>
    <row r="376" spans="1:83" x14ac:dyDescent="0.2">
      <c r="A376" s="411"/>
      <c r="B376" s="343"/>
      <c r="C376" s="344"/>
      <c r="D376" s="343"/>
      <c r="E376" s="336"/>
      <c r="F376" s="343"/>
      <c r="G376" s="344"/>
      <c r="H376" s="343"/>
      <c r="I376" s="337"/>
      <c r="J376" s="343"/>
      <c r="K376" s="344"/>
      <c r="L376" s="343"/>
      <c r="M376" s="337"/>
      <c r="N376" s="343"/>
      <c r="O376" s="344"/>
      <c r="P376" s="343"/>
      <c r="Q376" s="337"/>
      <c r="R376" s="343"/>
      <c r="S376" s="344"/>
      <c r="T376" s="343"/>
      <c r="U376" s="337"/>
    </row>
    <row r="377" spans="1:83" s="21" customFormat="1" ht="30" x14ac:dyDescent="0.2">
      <c r="A377" s="412"/>
      <c r="B377" s="338" t="s">
        <v>65</v>
      </c>
      <c r="C377" s="339">
        <f t="shared" ref="C377" si="49">SUM(C363:C376)</f>
        <v>0</v>
      </c>
      <c r="D377" s="340" t="str">
        <f t="shared" ref="D377" si="50">CONCATENATE(TEXT(C377/B$14, "0.0%"), " of month total")</f>
        <v>0.0% of month total</v>
      </c>
      <c r="E377" s="341"/>
      <c r="F377" s="338" t="s">
        <v>65</v>
      </c>
      <c r="G377" s="339">
        <f t="shared" ref="G377" si="51">SUM(G363:G376)</f>
        <v>0</v>
      </c>
      <c r="H377" s="340" t="str">
        <f t="shared" ref="H377" si="52">CONCATENATE(TEXT(G377/F$14, "0.0%"), " of month total")</f>
        <v>0.0% of month total</v>
      </c>
      <c r="I377" s="342"/>
      <c r="J377" s="338" t="s">
        <v>65</v>
      </c>
      <c r="K377" s="339">
        <f t="shared" ref="K377" si="53">SUM(K363:K376)</f>
        <v>0</v>
      </c>
      <c r="L377" s="340" t="str">
        <f t="shared" ref="L377" si="54">CONCATENATE(TEXT(K377/J$14, "0.0%"), " of month total")</f>
        <v>0.0% of month total</v>
      </c>
      <c r="M377" s="342"/>
      <c r="N377" s="338" t="s">
        <v>65</v>
      </c>
      <c r="O377" s="339">
        <f t="shared" ref="O377" si="55">SUM(O363:O376)</f>
        <v>0</v>
      </c>
      <c r="P377" s="340" t="str">
        <f t="shared" ref="P377" si="56">CONCATENATE(TEXT(O377/N$14, "0.0%"), " of month total")</f>
        <v>0.0% of month total</v>
      </c>
      <c r="Q377" s="342"/>
      <c r="R377" s="338" t="s">
        <v>65</v>
      </c>
      <c r="S377" s="339">
        <f t="shared" ref="S377" si="57">SUM(S363:S376)</f>
        <v>0</v>
      </c>
      <c r="T377" s="340" t="str">
        <f t="shared" ref="T377" si="58">CONCATENATE(TEXT(S377/R$14, "0.0%"), " of month total")</f>
        <v>0.0% of month total</v>
      </c>
      <c r="U377" s="342"/>
      <c r="V377" s="71" t="s">
        <v>65</v>
      </c>
      <c r="W377" s="251">
        <f t="shared" ref="W377" si="59">SUM(W363:W376)</f>
        <v>379.96</v>
      </c>
      <c r="X377" s="333" t="str">
        <f t="shared" ref="X377" si="60">CONCATENATE(TEXT(W377/V$14, "0.0%"), " of month total")</f>
        <v>12.6% of month total</v>
      </c>
      <c r="Y377" s="332"/>
      <c r="Z377" s="71" t="s">
        <v>65</v>
      </c>
      <c r="AA377" s="251">
        <f t="shared" ref="AA377" si="61">SUM(AA363:AA376)</f>
        <v>259.55999999999995</v>
      </c>
      <c r="AB377" s="333" t="str">
        <f t="shared" ref="AB377" si="62">CONCATENATE(TEXT(AA377/Z$14, "0.0%"), " of month total")</f>
        <v>7.3% of month total</v>
      </c>
      <c r="AC377" s="332"/>
      <c r="AD377" s="71" t="s">
        <v>65</v>
      </c>
      <c r="AE377" s="251">
        <f t="shared" ref="AE377" si="63">SUM(AE363:AE376)</f>
        <v>265.95000000000005</v>
      </c>
      <c r="AF377" s="333" t="str">
        <f t="shared" ref="AF377" si="64">CONCATENATE(TEXT(AE377/AD$14, "0.0%"), " of month total")</f>
        <v>6.1% of month total</v>
      </c>
      <c r="AG377" s="332"/>
      <c r="AH377" s="71" t="s">
        <v>65</v>
      </c>
      <c r="AI377" s="251">
        <f t="shared" ref="AI377" si="65">SUM(AI363:AI376)</f>
        <v>0</v>
      </c>
      <c r="AJ377" s="333" t="str">
        <f t="shared" ref="AJ377" si="66">CONCATENATE(TEXT(AI377/AH$14, "0.0%"), " of month total")</f>
        <v>0.0% of month total</v>
      </c>
      <c r="AK377" s="332"/>
      <c r="AL377" s="71" t="s">
        <v>65</v>
      </c>
      <c r="AM377" s="251">
        <f t="shared" ref="AM377" si="67">SUM(AM363:AM376)</f>
        <v>0</v>
      </c>
      <c r="AN377" s="333" t="str">
        <f t="shared" ref="AN377" si="68">CONCATENATE(TEXT(AM377/AL$14, "0.0%"), " of month total")</f>
        <v>0.0% of month total</v>
      </c>
      <c r="AO377" s="332"/>
      <c r="AP377" s="71" t="s">
        <v>65</v>
      </c>
      <c r="AQ377" s="251">
        <f t="shared" ref="AQ377" si="69">SUM(AQ363:AQ376)</f>
        <v>0</v>
      </c>
      <c r="AR377" s="333" t="e">
        <f t="shared" ref="AR377" si="70">CONCATENATE(TEXT(AQ377/AP$14, "0.0%"), " of month total")</f>
        <v>#DIV/0!</v>
      </c>
      <c r="AS377" s="332"/>
      <c r="AT377" s="71" t="s">
        <v>65</v>
      </c>
      <c r="AU377" s="251">
        <f t="shared" ref="AU377" si="71">SUM(AU363:AU376)</f>
        <v>0</v>
      </c>
      <c r="AV377" s="333" t="e">
        <f t="shared" ref="AV377" si="72">CONCATENATE(TEXT(AU377/AT$14, "0.0%"), " of month total")</f>
        <v>#DIV/0!</v>
      </c>
      <c r="AW377" s="332"/>
      <c r="BF377" s="329"/>
      <c r="BG377" s="329"/>
      <c r="BH377" s="329"/>
      <c r="BI377" s="329"/>
      <c r="BJ377" s="329"/>
      <c r="BK377" s="329"/>
      <c r="BL377" s="329"/>
      <c r="BM377" s="329"/>
      <c r="BN377" s="329"/>
      <c r="BO377" s="329"/>
      <c r="BP377" s="329"/>
      <c r="BQ377" s="329"/>
      <c r="BR377" s="329"/>
      <c r="BS377" s="329"/>
      <c r="BT377" s="329"/>
      <c r="BU377" s="329"/>
      <c r="BV377" s="329"/>
      <c r="BW377" s="329"/>
      <c r="BX377" s="329"/>
      <c r="BY377" s="329"/>
      <c r="BZ377" s="329"/>
      <c r="CA377" s="329"/>
      <c r="CB377" s="329"/>
      <c r="CC377" s="329"/>
      <c r="CD377" s="329"/>
      <c r="CE377" s="329"/>
    </row>
  </sheetData>
  <mergeCells count="351">
    <mergeCell ref="B1:E1"/>
    <mergeCell ref="F1:I1"/>
    <mergeCell ref="J1:M1"/>
    <mergeCell ref="N1:Q1"/>
    <mergeCell ref="R1:U1"/>
    <mergeCell ref="V1:Y1"/>
    <mergeCell ref="AX5:AY5"/>
    <mergeCell ref="AX4:AY4"/>
    <mergeCell ref="AX10:AY10"/>
    <mergeCell ref="AL9:AM9"/>
    <mergeCell ref="AN9:AO9"/>
    <mergeCell ref="AP4:AQ4"/>
    <mergeCell ref="AR4:AS4"/>
    <mergeCell ref="AP5:AQ5"/>
    <mergeCell ref="AR5:AS5"/>
    <mergeCell ref="AP6:AQ6"/>
    <mergeCell ref="AR6:AS6"/>
    <mergeCell ref="AP7:AQ7"/>
    <mergeCell ref="AR7:AS7"/>
    <mergeCell ref="AP8:AQ8"/>
    <mergeCell ref="AR8:AS8"/>
    <mergeCell ref="AP9:AQ9"/>
    <mergeCell ref="AR9:AS9"/>
    <mergeCell ref="AL4:AM4"/>
    <mergeCell ref="AZ14:BA14"/>
    <mergeCell ref="AV6:AW6"/>
    <mergeCell ref="AT7:AU7"/>
    <mergeCell ref="AV7:AW7"/>
    <mergeCell ref="AT8:AU8"/>
    <mergeCell ref="AV8:AW8"/>
    <mergeCell ref="AT9:AU9"/>
    <mergeCell ref="AV9:AW9"/>
    <mergeCell ref="AX14:AY14"/>
    <mergeCell ref="AX13:AY13"/>
    <mergeCell ref="AX12:AY12"/>
    <mergeCell ref="AX11:AY11"/>
    <mergeCell ref="AX9:AY9"/>
    <mergeCell ref="AX8:AY8"/>
    <mergeCell ref="AX7:AY7"/>
    <mergeCell ref="AX6:AY6"/>
    <mergeCell ref="AT14:AU14"/>
    <mergeCell ref="AV14:AW14"/>
    <mergeCell ref="AN4:AO4"/>
    <mergeCell ref="AL5:AM5"/>
    <mergeCell ref="AN5:AO5"/>
    <mergeCell ref="AL6:AM6"/>
    <mergeCell ref="AN6:AO6"/>
    <mergeCell ref="AL7:AM7"/>
    <mergeCell ref="AN7:AO7"/>
    <mergeCell ref="AL8:AM8"/>
    <mergeCell ref="AN8:AO8"/>
    <mergeCell ref="AD9:AE9"/>
    <mergeCell ref="AF9:AG9"/>
    <mergeCell ref="AH4:AI4"/>
    <mergeCell ref="AJ4:AK4"/>
    <mergeCell ref="AH5:AI5"/>
    <mergeCell ref="AJ5:AK5"/>
    <mergeCell ref="AH6:AI6"/>
    <mergeCell ref="AJ6:AK6"/>
    <mergeCell ref="AH7:AI7"/>
    <mergeCell ref="AJ7:AK7"/>
    <mergeCell ref="AH8:AI8"/>
    <mergeCell ref="AJ8:AK8"/>
    <mergeCell ref="AH9:AI9"/>
    <mergeCell ref="AJ9:AK9"/>
    <mergeCell ref="AD4:AE4"/>
    <mergeCell ref="AF4:AG4"/>
    <mergeCell ref="AD5:AE5"/>
    <mergeCell ref="AF5:AG5"/>
    <mergeCell ref="AD6:AE6"/>
    <mergeCell ref="AF6:AG6"/>
    <mergeCell ref="AD7:AE7"/>
    <mergeCell ref="AF7:AG7"/>
    <mergeCell ref="AD8:AE8"/>
    <mergeCell ref="AF8:AG8"/>
    <mergeCell ref="V9:W9"/>
    <mergeCell ref="X9:Y9"/>
    <mergeCell ref="Z4:AA4"/>
    <mergeCell ref="AB4:AC4"/>
    <mergeCell ref="Z5:AA5"/>
    <mergeCell ref="AB5:AC5"/>
    <mergeCell ref="Z6:AA6"/>
    <mergeCell ref="AB6:AC6"/>
    <mergeCell ref="Z7:AA7"/>
    <mergeCell ref="AB7:AC7"/>
    <mergeCell ref="Z8:AA8"/>
    <mergeCell ref="AB8:AC8"/>
    <mergeCell ref="Z9:AA9"/>
    <mergeCell ref="AB9:AC9"/>
    <mergeCell ref="V4:W4"/>
    <mergeCell ref="X4:Y4"/>
    <mergeCell ref="V5:W5"/>
    <mergeCell ref="X5:Y5"/>
    <mergeCell ref="V6:W6"/>
    <mergeCell ref="X6:Y6"/>
    <mergeCell ref="V7:W7"/>
    <mergeCell ref="X7:Y7"/>
    <mergeCell ref="V8:W8"/>
    <mergeCell ref="X8:Y8"/>
    <mergeCell ref="N9:O9"/>
    <mergeCell ref="P9:Q9"/>
    <mergeCell ref="R4:S4"/>
    <mergeCell ref="T4:U4"/>
    <mergeCell ref="R5:S5"/>
    <mergeCell ref="T5:U5"/>
    <mergeCell ref="R6:S6"/>
    <mergeCell ref="T6:U6"/>
    <mergeCell ref="R7:S7"/>
    <mergeCell ref="T7:U7"/>
    <mergeCell ref="R8:S8"/>
    <mergeCell ref="T8:U8"/>
    <mergeCell ref="R9:S9"/>
    <mergeCell ref="T9:U9"/>
    <mergeCell ref="N4:O4"/>
    <mergeCell ref="P4:Q4"/>
    <mergeCell ref="N5:O5"/>
    <mergeCell ref="P5:Q5"/>
    <mergeCell ref="N6:O6"/>
    <mergeCell ref="P6:Q6"/>
    <mergeCell ref="N7:O7"/>
    <mergeCell ref="P7:Q7"/>
    <mergeCell ref="N8:O8"/>
    <mergeCell ref="P8:Q8"/>
    <mergeCell ref="A315:N315"/>
    <mergeCell ref="B4:C4"/>
    <mergeCell ref="D14:E14"/>
    <mergeCell ref="B14:C14"/>
    <mergeCell ref="F4:G4"/>
    <mergeCell ref="H4:I4"/>
    <mergeCell ref="F5:G5"/>
    <mergeCell ref="H5:I5"/>
    <mergeCell ref="F6:G6"/>
    <mergeCell ref="H6:I6"/>
    <mergeCell ref="F7:G7"/>
    <mergeCell ref="H7:I7"/>
    <mergeCell ref="F8:G8"/>
    <mergeCell ref="H8:I8"/>
    <mergeCell ref="F9:G9"/>
    <mergeCell ref="H9:I9"/>
    <mergeCell ref="F10:G10"/>
    <mergeCell ref="H10:I10"/>
    <mergeCell ref="F11:G11"/>
    <mergeCell ref="H11:I11"/>
    <mergeCell ref="F12:G12"/>
    <mergeCell ref="H12:I12"/>
    <mergeCell ref="F13:G13"/>
    <mergeCell ref="H13:I13"/>
    <mergeCell ref="B2:E2"/>
    <mergeCell ref="F2:I2"/>
    <mergeCell ref="J2:M2"/>
    <mergeCell ref="N2:Q2"/>
    <mergeCell ref="R2:U2"/>
    <mergeCell ref="V2:Y2"/>
    <mergeCell ref="Z2:AC2"/>
    <mergeCell ref="AD2:AG2"/>
    <mergeCell ref="AH2:AK2"/>
    <mergeCell ref="AL2:AO2"/>
    <mergeCell ref="AP2:AS2"/>
    <mergeCell ref="AT2:AW2"/>
    <mergeCell ref="D3:E3"/>
    <mergeCell ref="B3:C3"/>
    <mergeCell ref="D13:E13"/>
    <mergeCell ref="D12:E12"/>
    <mergeCell ref="D11:E11"/>
    <mergeCell ref="D10:E10"/>
    <mergeCell ref="D9:E9"/>
    <mergeCell ref="D8:E8"/>
    <mergeCell ref="D7:E7"/>
    <mergeCell ref="D6:E6"/>
    <mergeCell ref="D5:E5"/>
    <mergeCell ref="D4:E4"/>
    <mergeCell ref="B13:C13"/>
    <mergeCell ref="B12:C12"/>
    <mergeCell ref="B11:C11"/>
    <mergeCell ref="B10:C10"/>
    <mergeCell ref="B9:C9"/>
    <mergeCell ref="B8:C8"/>
    <mergeCell ref="B7:C7"/>
    <mergeCell ref="B6:C6"/>
    <mergeCell ref="B5:C5"/>
    <mergeCell ref="F14:G14"/>
    <mergeCell ref="H14:I14"/>
    <mergeCell ref="J4:K4"/>
    <mergeCell ref="L4:M4"/>
    <mergeCell ref="J5:K5"/>
    <mergeCell ref="L5:M5"/>
    <mergeCell ref="J6:K6"/>
    <mergeCell ref="L6:M6"/>
    <mergeCell ref="J7:K7"/>
    <mergeCell ref="L7:M7"/>
    <mergeCell ref="J8:K8"/>
    <mergeCell ref="L8:M8"/>
    <mergeCell ref="J9:K9"/>
    <mergeCell ref="L9:M9"/>
    <mergeCell ref="J10:K10"/>
    <mergeCell ref="L10:M10"/>
    <mergeCell ref="J11:K11"/>
    <mergeCell ref="L11:M11"/>
    <mergeCell ref="J12:K12"/>
    <mergeCell ref="L12:M12"/>
    <mergeCell ref="J13:K13"/>
    <mergeCell ref="L13:M13"/>
    <mergeCell ref="J14:K14"/>
    <mergeCell ref="L14:M14"/>
    <mergeCell ref="N10:O10"/>
    <mergeCell ref="P10:Q10"/>
    <mergeCell ref="N11:O11"/>
    <mergeCell ref="P11:Q11"/>
    <mergeCell ref="N12:O12"/>
    <mergeCell ref="P12:Q12"/>
    <mergeCell ref="N13:O13"/>
    <mergeCell ref="P13:Q13"/>
    <mergeCell ref="N14:O14"/>
    <mergeCell ref="P14:Q14"/>
    <mergeCell ref="R10:S10"/>
    <mergeCell ref="T10:U10"/>
    <mergeCell ref="R11:S11"/>
    <mergeCell ref="T11:U11"/>
    <mergeCell ref="R12:S12"/>
    <mergeCell ref="T12:U12"/>
    <mergeCell ref="R13:S13"/>
    <mergeCell ref="T13:U13"/>
    <mergeCell ref="R14:S14"/>
    <mergeCell ref="T14:U14"/>
    <mergeCell ref="AB12:AC12"/>
    <mergeCell ref="Z13:AA13"/>
    <mergeCell ref="AB13:AC13"/>
    <mergeCell ref="Z14:AA14"/>
    <mergeCell ref="AB14:AC14"/>
    <mergeCell ref="V10:W10"/>
    <mergeCell ref="X10:Y10"/>
    <mergeCell ref="V11:W11"/>
    <mergeCell ref="X11:Y11"/>
    <mergeCell ref="V12:W12"/>
    <mergeCell ref="X12:Y12"/>
    <mergeCell ref="V13:W13"/>
    <mergeCell ref="X13:Y13"/>
    <mergeCell ref="V14:W14"/>
    <mergeCell ref="X14:Y14"/>
    <mergeCell ref="AH10:AI10"/>
    <mergeCell ref="AJ10:AK10"/>
    <mergeCell ref="AH11:AI11"/>
    <mergeCell ref="AJ11:AK11"/>
    <mergeCell ref="AH12:AI12"/>
    <mergeCell ref="AJ12:AK12"/>
    <mergeCell ref="AH13:AI13"/>
    <mergeCell ref="AJ13:AK13"/>
    <mergeCell ref="AH14:AI14"/>
    <mergeCell ref="AJ14:AK14"/>
    <mergeCell ref="AN10:AO10"/>
    <mergeCell ref="AL11:AM11"/>
    <mergeCell ref="AN11:AO11"/>
    <mergeCell ref="AL12:AM12"/>
    <mergeCell ref="AN12:AO12"/>
    <mergeCell ref="AL13:AM13"/>
    <mergeCell ref="AN13:AO13"/>
    <mergeCell ref="AL14:AM14"/>
    <mergeCell ref="AN14:AO14"/>
    <mergeCell ref="AV10:AW10"/>
    <mergeCell ref="AT11:AU11"/>
    <mergeCell ref="AV11:AW11"/>
    <mergeCell ref="AT12:AU12"/>
    <mergeCell ref="AV12:AW12"/>
    <mergeCell ref="AT13:AU13"/>
    <mergeCell ref="AV13:AW13"/>
    <mergeCell ref="AT4:AU4"/>
    <mergeCell ref="AV4:AW4"/>
    <mergeCell ref="AT5:AU5"/>
    <mergeCell ref="AV5:AW5"/>
    <mergeCell ref="AT6:AU6"/>
    <mergeCell ref="AZ13:BA13"/>
    <mergeCell ref="AZ12:BA12"/>
    <mergeCell ref="AZ11:BA11"/>
    <mergeCell ref="AZ10:BA10"/>
    <mergeCell ref="AZ9:BA9"/>
    <mergeCell ref="AZ8:BA8"/>
    <mergeCell ref="AZ7:BA7"/>
    <mergeCell ref="AZ6:BA6"/>
    <mergeCell ref="AZ5:BA5"/>
    <mergeCell ref="AZ4:BA4"/>
    <mergeCell ref="AX2:BA2"/>
    <mergeCell ref="AZ3:BA3"/>
    <mergeCell ref="AX3:AY3"/>
    <mergeCell ref="F3:G3"/>
    <mergeCell ref="H3:I3"/>
    <mergeCell ref="J3:K3"/>
    <mergeCell ref="L3:M3"/>
    <mergeCell ref="N3:O3"/>
    <mergeCell ref="P3:Q3"/>
    <mergeCell ref="R3:S3"/>
    <mergeCell ref="T3:U3"/>
    <mergeCell ref="V3:W3"/>
    <mergeCell ref="X3:Y3"/>
    <mergeCell ref="Z3:AA3"/>
    <mergeCell ref="AB3:AC3"/>
    <mergeCell ref="AD3:AE3"/>
    <mergeCell ref="AF3:AG3"/>
    <mergeCell ref="AH3:AI3"/>
    <mergeCell ref="AJ3:AK3"/>
    <mergeCell ref="AL3:AM3"/>
    <mergeCell ref="AN3:AO3"/>
    <mergeCell ref="AP3:AQ3"/>
    <mergeCell ref="AR3:AS3"/>
    <mergeCell ref="AH1:AK1"/>
    <mergeCell ref="AL1:AO1"/>
    <mergeCell ref="AP1:AS1"/>
    <mergeCell ref="AT1:AW1"/>
    <mergeCell ref="A22:A24"/>
    <mergeCell ref="A43:A45"/>
    <mergeCell ref="A64:A66"/>
    <mergeCell ref="B18:E18"/>
    <mergeCell ref="F18:I18"/>
    <mergeCell ref="J18:M18"/>
    <mergeCell ref="AP10:AQ10"/>
    <mergeCell ref="AR10:AS10"/>
    <mergeCell ref="AP11:AQ11"/>
    <mergeCell ref="AR11:AS11"/>
    <mergeCell ref="AP12:AQ12"/>
    <mergeCell ref="AR12:AS12"/>
    <mergeCell ref="AP13:AQ13"/>
    <mergeCell ref="AR13:AS13"/>
    <mergeCell ref="AP14:AQ14"/>
    <mergeCell ref="AR14:AS14"/>
    <mergeCell ref="AL10:AM10"/>
    <mergeCell ref="AT3:AU3"/>
    <mergeCell ref="AV3:AW3"/>
    <mergeCell ref="AT10:AU10"/>
    <mergeCell ref="A318:A332"/>
    <mergeCell ref="A333:A347"/>
    <mergeCell ref="A348:A362"/>
    <mergeCell ref="A363:A377"/>
    <mergeCell ref="A85:A87"/>
    <mergeCell ref="A106:A108"/>
    <mergeCell ref="Z92:AA92"/>
    <mergeCell ref="Z1:AC1"/>
    <mergeCell ref="AD1:AG1"/>
    <mergeCell ref="AD10:AE10"/>
    <mergeCell ref="AF10:AG10"/>
    <mergeCell ref="AD11:AE11"/>
    <mergeCell ref="AF11:AG11"/>
    <mergeCell ref="AD12:AE12"/>
    <mergeCell ref="AF12:AG12"/>
    <mergeCell ref="AD13:AE13"/>
    <mergeCell ref="AF13:AG13"/>
    <mergeCell ref="AD14:AE14"/>
    <mergeCell ref="AF14:AG14"/>
    <mergeCell ref="Z10:AA10"/>
    <mergeCell ref="AB10:AC10"/>
    <mergeCell ref="Z11:AA11"/>
    <mergeCell ref="AB11:AC11"/>
    <mergeCell ref="Z12:AA12"/>
  </mergeCells>
  <conditionalFormatting sqref="J28:K314 N18:O314 R20:S64 V18:W24 Z18:AA33 AL27:AM314 AT18:AU314 AP18:AQ314 F25:G25 B19:C24 C26 F32:G314 G26:G31 B28:C314 K25:K27 B18 V26:W54 R66:S71 Z35:AA83 V56:W72 V74:W314 R76:S314 Z85:AA86 Z88:AA91 Z93:AA314 Z92 AD19:AE82 AD84:AE84 AH34:AI77 AD86:AE314 AH80:AI314">
    <cfRule type="expression" dxfId="114" priority="115">
      <formula>AND(AND(C18="",A18&lt;&gt;""),B18&lt;&gt;"")</formula>
    </cfRule>
  </conditionalFormatting>
  <conditionalFormatting sqref="D4:E13">
    <cfRule type="cellIs" dxfId="113" priority="114" operator="lessThan">
      <formula>0</formula>
    </cfRule>
  </conditionalFormatting>
  <conditionalFormatting sqref="D14:E14">
    <cfRule type="cellIs" dxfId="112" priority="113" operator="lessThan">
      <formula>0</formula>
    </cfRule>
  </conditionalFormatting>
  <conditionalFormatting sqref="D4:E14">
    <cfRule type="cellIs" dxfId="111" priority="111" operator="equal">
      <formula>0</formula>
    </cfRule>
    <cfRule type="cellIs" dxfId="110" priority="112" operator="greaterThan">
      <formula>0</formula>
    </cfRule>
  </conditionalFormatting>
  <conditionalFormatting sqref="H4:I13">
    <cfRule type="cellIs" dxfId="109" priority="110" operator="lessThan">
      <formula>0</formula>
    </cfRule>
  </conditionalFormatting>
  <conditionalFormatting sqref="H4:I13">
    <cfRule type="cellIs" dxfId="108" priority="107" operator="equal">
      <formula>0</formula>
    </cfRule>
    <cfRule type="cellIs" dxfId="107" priority="108" operator="greaterThan">
      <formula>0</formula>
    </cfRule>
  </conditionalFormatting>
  <conditionalFormatting sqref="L4:M13">
    <cfRule type="cellIs" dxfId="106" priority="106" operator="lessThan">
      <formula>0</formula>
    </cfRule>
  </conditionalFormatting>
  <conditionalFormatting sqref="L4:M13">
    <cfRule type="cellIs" dxfId="105" priority="103" operator="equal">
      <formula>0</formula>
    </cfRule>
    <cfRule type="cellIs" dxfId="104" priority="104" operator="greaterThan">
      <formula>0</formula>
    </cfRule>
  </conditionalFormatting>
  <conditionalFormatting sqref="P4:Q13">
    <cfRule type="cellIs" dxfId="103" priority="102" operator="lessThan">
      <formula>0</formula>
    </cfRule>
  </conditionalFormatting>
  <conditionalFormatting sqref="P4:Q13">
    <cfRule type="cellIs" dxfId="102" priority="99" operator="equal">
      <formula>0</formula>
    </cfRule>
    <cfRule type="cellIs" dxfId="101" priority="100" operator="greaterThan">
      <formula>0</formula>
    </cfRule>
  </conditionalFormatting>
  <conditionalFormatting sqref="T4:U13">
    <cfRule type="cellIs" dxfId="100" priority="98" operator="lessThan">
      <formula>0</formula>
    </cfRule>
  </conditionalFormatting>
  <conditionalFormatting sqref="T4:U13">
    <cfRule type="cellIs" dxfId="99" priority="95" operator="equal">
      <formula>0</formula>
    </cfRule>
    <cfRule type="cellIs" dxfId="98" priority="96" operator="greaterThan">
      <formula>0</formula>
    </cfRule>
  </conditionalFormatting>
  <conditionalFormatting sqref="X4:Y13">
    <cfRule type="cellIs" dxfId="97" priority="94" operator="lessThan">
      <formula>0</formula>
    </cfRule>
  </conditionalFormatting>
  <conditionalFormatting sqref="X4:Y13">
    <cfRule type="cellIs" dxfId="96" priority="91" operator="equal">
      <formula>0</formula>
    </cfRule>
    <cfRule type="cellIs" dxfId="95" priority="92" operator="greaterThan">
      <formula>0</formula>
    </cfRule>
  </conditionalFormatting>
  <conditionalFormatting sqref="AB4:AC13">
    <cfRule type="cellIs" dxfId="94" priority="90" operator="lessThan">
      <formula>0</formula>
    </cfRule>
  </conditionalFormatting>
  <conditionalFormatting sqref="AB4:AC13">
    <cfRule type="cellIs" dxfId="93" priority="87" operator="equal">
      <formula>0</formula>
    </cfRule>
    <cfRule type="cellIs" dxfId="92" priority="88" operator="greaterThan">
      <formula>0</formula>
    </cfRule>
  </conditionalFormatting>
  <conditionalFormatting sqref="AF4:AG13">
    <cfRule type="cellIs" dxfId="91" priority="86" operator="lessThan">
      <formula>0</formula>
    </cfRule>
  </conditionalFormatting>
  <conditionalFormatting sqref="AF4:AG13">
    <cfRule type="cellIs" dxfId="90" priority="83" operator="equal">
      <formula>0</formula>
    </cfRule>
    <cfRule type="cellIs" dxfId="89" priority="84" operator="greaterThan">
      <formula>0</formula>
    </cfRule>
  </conditionalFormatting>
  <conditionalFormatting sqref="AJ4:AK13">
    <cfRule type="cellIs" dxfId="88" priority="82" operator="lessThan">
      <formula>0</formula>
    </cfRule>
  </conditionalFormatting>
  <conditionalFormatting sqref="AJ4:AK13">
    <cfRule type="cellIs" dxfId="87" priority="79" operator="equal">
      <formula>0</formula>
    </cfRule>
    <cfRule type="cellIs" dxfId="86" priority="80" operator="greaterThan">
      <formula>0</formula>
    </cfRule>
  </conditionalFormatting>
  <conditionalFormatting sqref="AN4:AO13">
    <cfRule type="cellIs" dxfId="85" priority="78" operator="lessThan">
      <formula>0</formula>
    </cfRule>
  </conditionalFormatting>
  <conditionalFormatting sqref="AN4:AO13">
    <cfRule type="cellIs" dxfId="84" priority="75" operator="equal">
      <formula>0</formula>
    </cfRule>
    <cfRule type="cellIs" dxfId="83" priority="76" operator="greaterThan">
      <formula>0</formula>
    </cfRule>
  </conditionalFormatting>
  <conditionalFormatting sqref="AR4:AS13">
    <cfRule type="cellIs" dxfId="82" priority="74" operator="lessThan">
      <formula>0</formula>
    </cfRule>
  </conditionalFormatting>
  <conditionalFormatting sqref="AR4:AS13">
    <cfRule type="cellIs" dxfId="81" priority="71" operator="equal">
      <formula>0</formula>
    </cfRule>
    <cfRule type="cellIs" dxfId="80" priority="72" operator="greaterThan">
      <formula>0</formula>
    </cfRule>
  </conditionalFormatting>
  <conditionalFormatting sqref="AV4:AW13">
    <cfRule type="cellIs" dxfId="79" priority="70" operator="lessThan">
      <formula>0</formula>
    </cfRule>
  </conditionalFormatting>
  <conditionalFormatting sqref="AV4:AW13">
    <cfRule type="cellIs" dxfId="78" priority="67" operator="equal">
      <formula>0</formula>
    </cfRule>
    <cfRule type="cellIs" dxfId="77" priority="68" operator="greaterThan">
      <formula>0</formula>
    </cfRule>
  </conditionalFormatting>
  <conditionalFormatting sqref="AZ4:BA14">
    <cfRule type="cellIs" dxfId="76" priority="66" operator="equal">
      <formula>"ERROR"</formula>
    </cfRule>
  </conditionalFormatting>
  <conditionalFormatting sqref="H14:I14">
    <cfRule type="cellIs" dxfId="75" priority="65" operator="lessThan">
      <formula>0</formula>
    </cfRule>
  </conditionalFormatting>
  <conditionalFormatting sqref="H14:I14">
    <cfRule type="cellIs" dxfId="74" priority="63" operator="equal">
      <formula>0</formula>
    </cfRule>
    <cfRule type="cellIs" dxfId="73" priority="64" operator="greaterThan">
      <formula>0</formula>
    </cfRule>
  </conditionalFormatting>
  <conditionalFormatting sqref="L14:M14">
    <cfRule type="cellIs" dxfId="72" priority="62" operator="lessThan">
      <formula>0</formula>
    </cfRule>
  </conditionalFormatting>
  <conditionalFormatting sqref="L14:M14">
    <cfRule type="cellIs" dxfId="71" priority="60" operator="equal">
      <formula>0</formula>
    </cfRule>
    <cfRule type="cellIs" dxfId="70" priority="61" operator="greaterThan">
      <formula>0</formula>
    </cfRule>
  </conditionalFormatting>
  <conditionalFormatting sqref="P14:Q14">
    <cfRule type="cellIs" dxfId="69" priority="59" operator="lessThan">
      <formula>0</formula>
    </cfRule>
  </conditionalFormatting>
  <conditionalFormatting sqref="P14:Q14">
    <cfRule type="cellIs" dxfId="68" priority="57" operator="equal">
      <formula>0</formula>
    </cfRule>
    <cfRule type="cellIs" dxfId="67" priority="58" operator="greaterThan">
      <formula>0</formula>
    </cfRule>
  </conditionalFormatting>
  <conditionalFormatting sqref="T14:U14">
    <cfRule type="cellIs" dxfId="66" priority="56" operator="lessThan">
      <formula>0</formula>
    </cfRule>
  </conditionalFormatting>
  <conditionalFormatting sqref="T14:U14">
    <cfRule type="cellIs" dxfId="65" priority="54" operator="equal">
      <formula>0</formula>
    </cfRule>
    <cfRule type="cellIs" dxfId="64" priority="55" operator="greaterThan">
      <formula>0</formula>
    </cfRule>
  </conditionalFormatting>
  <conditionalFormatting sqref="X14:Y14">
    <cfRule type="cellIs" dxfId="63" priority="53" operator="lessThan">
      <formula>0</formula>
    </cfRule>
  </conditionalFormatting>
  <conditionalFormatting sqref="X14:Y14">
    <cfRule type="cellIs" dxfId="62" priority="51" operator="equal">
      <formula>0</formula>
    </cfRule>
    <cfRule type="cellIs" dxfId="61" priority="52" operator="greaterThan">
      <formula>0</formula>
    </cfRule>
  </conditionalFormatting>
  <conditionalFormatting sqref="AB14:AC14">
    <cfRule type="cellIs" dxfId="60" priority="50" operator="lessThan">
      <formula>0</formula>
    </cfRule>
  </conditionalFormatting>
  <conditionalFormatting sqref="AB14:AC14">
    <cfRule type="cellIs" dxfId="59" priority="48" operator="equal">
      <formula>0</formula>
    </cfRule>
    <cfRule type="cellIs" dxfId="58" priority="49" operator="greaterThan">
      <formula>0</formula>
    </cfRule>
  </conditionalFormatting>
  <conditionalFormatting sqref="AF14:AG14">
    <cfRule type="cellIs" dxfId="57" priority="47" operator="lessThan">
      <formula>0</formula>
    </cfRule>
  </conditionalFormatting>
  <conditionalFormatting sqref="AF14:AG14">
    <cfRule type="cellIs" dxfId="56" priority="45" operator="equal">
      <formula>0</formula>
    </cfRule>
    <cfRule type="cellIs" dxfId="55" priority="46" operator="greaterThan">
      <formula>0</formula>
    </cfRule>
  </conditionalFormatting>
  <conditionalFormatting sqref="AJ14:AK14">
    <cfRule type="cellIs" dxfId="54" priority="44" operator="lessThan">
      <formula>0</formula>
    </cfRule>
  </conditionalFormatting>
  <conditionalFormatting sqref="AJ14:AK14">
    <cfRule type="cellIs" dxfId="53" priority="42" operator="equal">
      <formula>0</formula>
    </cfRule>
    <cfRule type="cellIs" dxfId="52" priority="43" operator="greaterThan">
      <formula>0</formula>
    </cfRule>
  </conditionalFormatting>
  <conditionalFormatting sqref="AN14:AO14">
    <cfRule type="cellIs" dxfId="51" priority="41" operator="lessThan">
      <formula>0</formula>
    </cfRule>
  </conditionalFormatting>
  <conditionalFormatting sqref="AN14:AO14">
    <cfRule type="cellIs" dxfId="50" priority="39" operator="equal">
      <formula>0</formula>
    </cfRule>
    <cfRule type="cellIs" dxfId="49" priority="40" operator="greaterThan">
      <formula>0</formula>
    </cfRule>
  </conditionalFormatting>
  <conditionalFormatting sqref="AR14:AS14">
    <cfRule type="cellIs" dxfId="48" priority="38" operator="lessThan">
      <formula>0</formula>
    </cfRule>
  </conditionalFormatting>
  <conditionalFormatting sqref="AR14:AS14">
    <cfRule type="cellIs" dxfId="47" priority="36" operator="equal">
      <formula>0</formula>
    </cfRule>
    <cfRule type="cellIs" dxfId="46" priority="37" operator="greaterThan">
      <formula>0</formula>
    </cfRule>
  </conditionalFormatting>
  <conditionalFormatting sqref="AV14:AW14">
    <cfRule type="cellIs" dxfId="45" priority="35" operator="lessThan">
      <formula>0</formula>
    </cfRule>
  </conditionalFormatting>
  <conditionalFormatting sqref="AV14:AW14">
    <cfRule type="cellIs" dxfId="44" priority="33" operator="equal">
      <formula>0</formula>
    </cfRule>
    <cfRule type="cellIs" dxfId="43" priority="34" operator="greaterThan">
      <formula>0</formula>
    </cfRule>
  </conditionalFormatting>
  <conditionalFormatting sqref="F19:G24">
    <cfRule type="expression" dxfId="42" priority="32">
      <formula>AND(AND(G19="",E19&lt;&gt;""),F19&lt;&gt;"")</formula>
    </cfRule>
  </conditionalFormatting>
  <conditionalFormatting sqref="J19:K24">
    <cfRule type="expression" dxfId="41" priority="30">
      <formula>AND(AND(K19="",I19&lt;&gt;""),J19&lt;&gt;"")</formula>
    </cfRule>
  </conditionalFormatting>
  <conditionalFormatting sqref="B25:C25">
    <cfRule type="expression" dxfId="40" priority="29">
      <formula>AND(AND(C25="",A25&lt;&gt;""),B25&lt;&gt;"")</formula>
    </cfRule>
  </conditionalFormatting>
  <conditionalFormatting sqref="F26">
    <cfRule type="expression" dxfId="39" priority="28">
      <formula>AND(AND(G26="",E26&lt;&gt;""),F26&lt;&gt;"")</formula>
    </cfRule>
  </conditionalFormatting>
  <conditionalFormatting sqref="F27">
    <cfRule type="expression" dxfId="38" priority="27">
      <formula>AND(AND(G27="",E27&lt;&gt;""),F27&lt;&gt;"")</formula>
    </cfRule>
  </conditionalFormatting>
  <conditionalFormatting sqref="F28">
    <cfRule type="expression" dxfId="37" priority="26">
      <formula>AND(AND(G28="",E28&lt;&gt;""),F28&lt;&gt;"")</formula>
    </cfRule>
  </conditionalFormatting>
  <conditionalFormatting sqref="F29">
    <cfRule type="expression" dxfId="36" priority="25">
      <formula>AND(AND(G29="",E29&lt;&gt;""),F29&lt;&gt;"")</formula>
    </cfRule>
  </conditionalFormatting>
  <conditionalFormatting sqref="F30">
    <cfRule type="expression" dxfId="35" priority="24">
      <formula>AND(AND(G30="",E30&lt;&gt;""),F30&lt;&gt;"")</formula>
    </cfRule>
  </conditionalFormatting>
  <conditionalFormatting sqref="F31">
    <cfRule type="expression" dxfId="34" priority="23">
      <formula>AND(AND(G31="",E31&lt;&gt;""),F31&lt;&gt;"")</formula>
    </cfRule>
  </conditionalFormatting>
  <conditionalFormatting sqref="B27:C27">
    <cfRule type="expression" dxfId="33" priority="22">
      <formula>AND(AND(C27="",A27&lt;&gt;""),B27&lt;&gt;"")</formula>
    </cfRule>
  </conditionalFormatting>
  <conditionalFormatting sqref="J25">
    <cfRule type="expression" dxfId="32" priority="21">
      <formula>AND(AND(K25="",I25&lt;&gt;""),J25&lt;&gt;"")</formula>
    </cfRule>
  </conditionalFormatting>
  <conditionalFormatting sqref="J26">
    <cfRule type="expression" dxfId="31" priority="20">
      <formula>AND(AND(K26="",I26&lt;&gt;""),J26&lt;&gt;"")</formula>
    </cfRule>
  </conditionalFormatting>
  <conditionalFormatting sqref="J27">
    <cfRule type="expression" dxfId="30" priority="19">
      <formula>AND(AND(K27="",I27&lt;&gt;""),J27&lt;&gt;"")</formula>
    </cfRule>
  </conditionalFormatting>
  <conditionalFormatting sqref="F18">
    <cfRule type="expression" dxfId="29" priority="18">
      <formula>AND(AND(G18="",E18&lt;&gt;""),F18&lt;&gt;"")</formula>
    </cfRule>
  </conditionalFormatting>
  <conditionalFormatting sqref="J18">
    <cfRule type="expression" dxfId="28" priority="17">
      <formula>AND(AND(K18="",I18&lt;&gt;""),J18&lt;&gt;"")</formula>
    </cfRule>
  </conditionalFormatting>
  <conditionalFormatting sqref="B26">
    <cfRule type="expression" dxfId="27" priority="16">
      <formula>AND(AND(C26="",A26&lt;&gt;""),B26&lt;&gt;"")</formula>
    </cfRule>
  </conditionalFormatting>
  <conditionalFormatting sqref="R18:S19">
    <cfRule type="expression" dxfId="26" priority="15">
      <formula>AND(AND(S18="",Q18&lt;&gt;""),R18&lt;&gt;"")</formula>
    </cfRule>
  </conditionalFormatting>
  <conditionalFormatting sqref="V25:W25">
    <cfRule type="expression" dxfId="25" priority="14">
      <formula>AND(AND(W25="",U25&lt;&gt;""),V25&lt;&gt;"")</formula>
    </cfRule>
  </conditionalFormatting>
  <conditionalFormatting sqref="R65:S65">
    <cfRule type="expression" dxfId="24" priority="13">
      <formula>AND(AND(S65="",Q65&lt;&gt;""),R65&lt;&gt;"")</formula>
    </cfRule>
  </conditionalFormatting>
  <conditionalFormatting sqref="V55:W55">
    <cfRule type="expression" dxfId="23" priority="12">
      <formula>AND(AND(W55="",U55&lt;&gt;""),V55&lt;&gt;"")</formula>
    </cfRule>
  </conditionalFormatting>
  <conditionalFormatting sqref="R72:S75">
    <cfRule type="expression" dxfId="22" priority="11">
      <formula>AND(AND(S72="",Q72&lt;&gt;""),R72&lt;&gt;"")</formula>
    </cfRule>
  </conditionalFormatting>
  <conditionalFormatting sqref="Z34:AA34">
    <cfRule type="expression" dxfId="21" priority="117">
      <formula>AND(AND(AA34="",U73&lt;&gt;""),Z34&lt;&gt;"")</formula>
    </cfRule>
  </conditionalFormatting>
  <conditionalFormatting sqref="V73">
    <cfRule type="expression" dxfId="20" priority="10">
      <formula>AND(AND(W73="",U73&lt;&gt;""),V73&lt;&gt;"")</formula>
    </cfRule>
  </conditionalFormatting>
  <conditionalFormatting sqref="AD18:AE18">
    <cfRule type="expression" dxfId="19" priority="9">
      <formula>AND(AND(AE18="",AC18&lt;&gt;""),AD18&lt;&gt;"")</formula>
    </cfRule>
  </conditionalFormatting>
  <conditionalFormatting sqref="Z84">
    <cfRule type="expression" dxfId="18" priority="8">
      <formula>AND(AND(AA84="",Y84&lt;&gt;""),Z84&lt;&gt;"")</formula>
    </cfRule>
  </conditionalFormatting>
  <conditionalFormatting sqref="Z87">
    <cfRule type="expression" dxfId="17" priority="7">
      <formula>AND(AND(AA87="",Y87&lt;&gt;""),Z87&lt;&gt;"")</formula>
    </cfRule>
  </conditionalFormatting>
  <conditionalFormatting sqref="AH18:AI33">
    <cfRule type="expression" dxfId="16" priority="6">
      <formula>AND(AND(AI18="",AG18&lt;&gt;""),AH18&lt;&gt;"")</formula>
    </cfRule>
  </conditionalFormatting>
  <conditionalFormatting sqref="AD83:AE83">
    <cfRule type="expression" dxfId="15" priority="5">
      <formula>AND(AND(AE83="",AC83&lt;&gt;""),AD83&lt;&gt;"")</formula>
    </cfRule>
  </conditionalFormatting>
  <conditionalFormatting sqref="AD85:AE85">
    <cfRule type="expression" dxfId="14" priority="4">
      <formula>AND(AND(AE85="",AC85&lt;&gt;""),AD85&lt;&gt;"")</formula>
    </cfRule>
  </conditionalFormatting>
  <conditionalFormatting sqref="AH78:AI78">
    <cfRule type="expression" dxfId="13" priority="3">
      <formula>AND(AND(AI78="",AG78&lt;&gt;""),AH78&lt;&gt;"")</formula>
    </cfRule>
  </conditionalFormatting>
  <conditionalFormatting sqref="AH79:AI79">
    <cfRule type="expression" dxfId="12" priority="2">
      <formula>AND(AND(AI79="",AG79&lt;&gt;""),AH79&lt;&gt;"")</formula>
    </cfRule>
  </conditionalFormatting>
  <conditionalFormatting sqref="AL18:AM26">
    <cfRule type="expression" dxfId="0" priority="1">
      <formula>AND(AND(AM18="",AK18&lt;&gt;""),AL18&lt;&gt;"")</formula>
    </cfRule>
  </conditionalFormatting>
  <dataValidations count="2">
    <dataValidation type="list" allowBlank="1" showInputMessage="1" showErrorMessage="1" sqref="H19:H314 AV17:AV314 D19:D314 AF17:AF314 P17:P314 L19:L314 T17:T314 AB88:AB314 AR17:AR314 AJ17:AJ314 D17 H17 L17 X74:X314 X17:X72 AB17:AB83 AB85:AB86 AN17:AN314">
      <formula1>$AY$18:$AY$28</formula1>
    </dataValidation>
    <dataValidation type="list" allowBlank="1" showInputMessage="1" showErrorMessage="1" sqref="AW17:AW314 E19:E314 I19:I314 M19:M314 Y17:Y314 Q17:Q314 U17:U314 AC17:AC314 AG17:AG314 AK17:AK314 AS17:AS314 E17 I17 M17 AO17:AO314">
      <formula1>$BA$18:$BA$28</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1"/>
  <sheetViews>
    <sheetView topLeftCell="D1" workbookViewId="0">
      <selection activeCell="T12" sqref="T12"/>
    </sheetView>
  </sheetViews>
  <sheetFormatPr baseColWidth="10" defaultRowHeight="15" x14ac:dyDescent="0.2"/>
  <cols>
    <col min="1" max="1" width="22.5" customWidth="1"/>
    <col min="2" max="2" width="12" style="18" bestFit="1" customWidth="1"/>
    <col min="3" max="3" width="16.6640625" style="40" customWidth="1"/>
    <col min="4" max="4" width="9.6640625" style="18" customWidth="1"/>
    <col min="5" max="5" width="16.6640625" style="40" customWidth="1"/>
    <col min="6" max="6" width="9.6640625" style="18" customWidth="1"/>
    <col min="7" max="7" width="16.6640625" style="40" customWidth="1"/>
    <col min="8" max="8" width="9.6640625" style="18" customWidth="1"/>
    <col min="9" max="9" width="16.6640625" style="40" customWidth="1"/>
    <col min="10" max="10" width="9.6640625" style="18" customWidth="1"/>
    <col min="11" max="11" width="16.6640625" style="40" customWidth="1"/>
    <col min="12" max="12" width="9.6640625" style="18" customWidth="1"/>
    <col min="13" max="13" width="16.6640625" style="40" customWidth="1"/>
    <col min="14" max="14" width="9.6640625" style="18" customWidth="1"/>
    <col min="15" max="15" width="16.6640625" style="40" customWidth="1"/>
    <col min="16" max="16" width="9.6640625" style="18" customWidth="1"/>
    <col min="17" max="17" width="16.6640625" style="40" customWidth="1"/>
    <col min="18" max="18" width="9.6640625" style="18" customWidth="1"/>
    <col min="19" max="19" width="16.6640625" style="40" customWidth="1"/>
    <col min="20" max="20" width="9.6640625" style="18" customWidth="1"/>
    <col min="21" max="21" width="16.6640625" style="40" customWidth="1"/>
    <col min="22" max="22" width="9.6640625" style="18" customWidth="1"/>
    <col min="23" max="23" width="16.6640625" style="40" customWidth="1"/>
    <col min="24" max="24" width="9.6640625" style="18" customWidth="1"/>
    <col min="25" max="25" width="16.6640625" style="40" customWidth="1"/>
    <col min="26" max="26" width="9.6640625" style="18" customWidth="1"/>
    <col min="27" max="27" width="16.6640625" style="65" customWidth="1"/>
    <col min="28" max="28" width="9.6640625" style="18" customWidth="1"/>
  </cols>
  <sheetData>
    <row r="1" spans="1:28" x14ac:dyDescent="0.2">
      <c r="B1" s="464" t="s">
        <v>465</v>
      </c>
      <c r="C1" s="465"/>
      <c r="D1" s="465"/>
      <c r="E1" s="465"/>
      <c r="F1" s="465"/>
      <c r="G1" s="465"/>
      <c r="H1" s="465"/>
      <c r="I1" s="465"/>
      <c r="J1" s="465"/>
      <c r="K1" s="465"/>
      <c r="L1" s="465"/>
      <c r="M1" s="465"/>
      <c r="N1" s="465"/>
      <c r="O1" s="465"/>
      <c r="P1" s="465"/>
      <c r="Q1" s="465"/>
      <c r="R1" s="465"/>
      <c r="S1" s="465"/>
      <c r="T1" s="465"/>
      <c r="U1" s="465"/>
      <c r="V1" s="465"/>
      <c r="W1" s="465"/>
      <c r="X1" s="465"/>
      <c r="Y1" s="465"/>
      <c r="Z1" s="465"/>
    </row>
    <row r="2" spans="1:28" ht="24" customHeight="1" x14ac:dyDescent="0.2">
      <c r="B2" s="465"/>
      <c r="C2" s="465"/>
      <c r="D2" s="465"/>
      <c r="E2" s="465"/>
      <c r="F2" s="465"/>
      <c r="G2" s="465"/>
      <c r="H2" s="465"/>
      <c r="I2" s="465"/>
      <c r="J2" s="465"/>
      <c r="K2" s="465"/>
      <c r="L2" s="465"/>
      <c r="M2" s="465"/>
      <c r="N2" s="465"/>
      <c r="O2" s="465"/>
      <c r="P2" s="465"/>
      <c r="Q2" s="465"/>
      <c r="R2" s="465"/>
      <c r="S2" s="465"/>
      <c r="T2" s="465"/>
      <c r="U2" s="465"/>
      <c r="V2" s="465"/>
      <c r="W2" s="465"/>
      <c r="X2" s="465"/>
      <c r="Y2" s="465"/>
      <c r="Z2" s="465"/>
    </row>
    <row r="3" spans="1:28" ht="12" customHeight="1" x14ac:dyDescent="0.2"/>
    <row r="4" spans="1:28" s="309" customFormat="1" ht="24" x14ac:dyDescent="0.2">
      <c r="A4" s="313" t="s">
        <v>71</v>
      </c>
      <c r="B4" s="316" t="s">
        <v>453</v>
      </c>
      <c r="C4" s="457" t="s">
        <v>76</v>
      </c>
      <c r="D4" s="458"/>
      <c r="E4" s="457" t="s">
        <v>54</v>
      </c>
      <c r="F4" s="458"/>
      <c r="G4" s="457" t="s">
        <v>55</v>
      </c>
      <c r="H4" s="458"/>
      <c r="I4" s="461" t="s">
        <v>56</v>
      </c>
      <c r="J4" s="461"/>
      <c r="K4" s="457" t="s">
        <v>57</v>
      </c>
      <c r="L4" s="458"/>
      <c r="M4" s="461" t="s">
        <v>58</v>
      </c>
      <c r="N4" s="461"/>
      <c r="O4" s="457" t="s">
        <v>59</v>
      </c>
      <c r="P4" s="458"/>
      <c r="Q4" s="461" t="s">
        <v>60</v>
      </c>
      <c r="R4" s="461"/>
      <c r="S4" s="457" t="s">
        <v>61</v>
      </c>
      <c r="T4" s="458"/>
      <c r="U4" s="461" t="s">
        <v>62</v>
      </c>
      <c r="V4" s="461"/>
      <c r="W4" s="457" t="s">
        <v>63</v>
      </c>
      <c r="X4" s="458"/>
      <c r="Y4" s="461" t="s">
        <v>64</v>
      </c>
      <c r="Z4" s="458"/>
      <c r="AA4" s="457" t="s">
        <v>454</v>
      </c>
      <c r="AB4" s="458"/>
    </row>
    <row r="5" spans="1:28" s="310" customFormat="1" ht="19" x14ac:dyDescent="0.2">
      <c r="A5" s="314" t="s">
        <v>451</v>
      </c>
      <c r="B5" s="317">
        <f>SUM(B9:B60)</f>
        <v>0</v>
      </c>
      <c r="C5" s="459">
        <f>SUM(D9:D60)</f>
        <v>0</v>
      </c>
      <c r="D5" s="460"/>
      <c r="E5" s="459">
        <f>SUM(F9:F60)</f>
        <v>0</v>
      </c>
      <c r="F5" s="460"/>
      <c r="G5" s="459">
        <f>SUM(H9:H60)</f>
        <v>0</v>
      </c>
      <c r="H5" s="460"/>
      <c r="I5" s="459">
        <f>SUM(J9:J60)</f>
        <v>0</v>
      </c>
      <c r="J5" s="460"/>
      <c r="K5" s="459">
        <f>SUM(L9:L60)</f>
        <v>0</v>
      </c>
      <c r="L5" s="460"/>
      <c r="M5" s="459">
        <f>SUM(N9:N60)</f>
        <v>20.010000000000002</v>
      </c>
      <c r="N5" s="460"/>
      <c r="O5" s="459">
        <f>SUM(P9:P60)</f>
        <v>210.07</v>
      </c>
      <c r="P5" s="460"/>
      <c r="Q5" s="459">
        <f>SUM(R9:R60)</f>
        <v>13.21</v>
      </c>
      <c r="R5" s="460"/>
      <c r="S5" s="459">
        <f>SUM(T9:T60)</f>
        <v>13.23</v>
      </c>
      <c r="T5" s="460"/>
      <c r="U5" s="459">
        <f>SUM(V9:V60)</f>
        <v>110</v>
      </c>
      <c r="V5" s="460"/>
      <c r="W5" s="459">
        <f>SUM(X9:X60)</f>
        <v>0</v>
      </c>
      <c r="X5" s="460"/>
      <c r="Y5" s="459">
        <f>SUM(Z9:Z60)</f>
        <v>0</v>
      </c>
      <c r="Z5" s="460"/>
      <c r="AA5" s="459">
        <f>SUM(C5:Z5)</f>
        <v>366.52</v>
      </c>
      <c r="AB5" s="460"/>
    </row>
    <row r="6" spans="1:28" s="310" customFormat="1" ht="19" x14ac:dyDescent="0.2">
      <c r="A6" s="314" t="s">
        <v>452</v>
      </c>
      <c r="B6" s="317">
        <f>B5</f>
        <v>0</v>
      </c>
      <c r="C6" s="459">
        <f>B6+C5</f>
        <v>0</v>
      </c>
      <c r="D6" s="460"/>
      <c r="E6" s="459">
        <f>C6+E5</f>
        <v>0</v>
      </c>
      <c r="F6" s="460"/>
      <c r="G6" s="459">
        <f>E6+G5</f>
        <v>0</v>
      </c>
      <c r="H6" s="460"/>
      <c r="I6" s="459">
        <f>G6+I5</f>
        <v>0</v>
      </c>
      <c r="J6" s="460"/>
      <c r="K6" s="459">
        <f>I6+K5</f>
        <v>0</v>
      </c>
      <c r="L6" s="460"/>
      <c r="M6" s="459">
        <f>K6+M5</f>
        <v>20.010000000000002</v>
      </c>
      <c r="N6" s="460"/>
      <c r="O6" s="459">
        <f>M6+O5</f>
        <v>230.07999999999998</v>
      </c>
      <c r="P6" s="460"/>
      <c r="Q6" s="459">
        <f>O6+Q5</f>
        <v>243.29</v>
      </c>
      <c r="R6" s="460"/>
      <c r="S6" s="459">
        <f>Q6+S5</f>
        <v>256.52</v>
      </c>
      <c r="T6" s="460"/>
      <c r="U6" s="459">
        <f>S6+U5</f>
        <v>366.52</v>
      </c>
      <c r="V6" s="460"/>
      <c r="W6" s="459">
        <f>U6+W5</f>
        <v>366.52</v>
      </c>
      <c r="X6" s="460"/>
      <c r="Y6" s="459">
        <f>W6+Y5</f>
        <v>366.52</v>
      </c>
      <c r="Z6" s="460"/>
      <c r="AA6" s="462">
        <f>Y6</f>
        <v>366.52</v>
      </c>
      <c r="AB6" s="463"/>
    </row>
    <row r="7" spans="1:28" ht="11" customHeight="1" x14ac:dyDescent="0.2">
      <c r="A7" s="319"/>
      <c r="B7" s="320"/>
      <c r="C7" s="321"/>
      <c r="D7" s="322"/>
      <c r="E7" s="321"/>
      <c r="F7" s="322"/>
      <c r="G7" s="321"/>
      <c r="H7" s="322"/>
      <c r="I7" s="323"/>
      <c r="J7" s="320"/>
      <c r="K7" s="321"/>
      <c r="L7" s="322"/>
      <c r="M7" s="323"/>
      <c r="N7" s="320"/>
      <c r="O7" s="321"/>
      <c r="P7" s="322"/>
      <c r="Q7" s="323"/>
      <c r="R7" s="320"/>
      <c r="S7" s="321"/>
      <c r="T7" s="322"/>
      <c r="U7" s="323"/>
      <c r="V7" s="320"/>
      <c r="W7" s="321"/>
      <c r="X7" s="322"/>
      <c r="Y7" s="323"/>
      <c r="Z7" s="322"/>
      <c r="AA7" s="63"/>
      <c r="AB7" s="59"/>
    </row>
    <row r="8" spans="1:28" ht="19" x14ac:dyDescent="0.25">
      <c r="A8" s="315" t="s">
        <v>450</v>
      </c>
      <c r="B8" s="152" t="s">
        <v>449</v>
      </c>
      <c r="C8" s="318" t="s">
        <v>448</v>
      </c>
      <c r="D8" s="312" t="s">
        <v>449</v>
      </c>
      <c r="E8" s="318" t="s">
        <v>448</v>
      </c>
      <c r="F8" s="312" t="s">
        <v>449</v>
      </c>
      <c r="G8" s="318" t="s">
        <v>448</v>
      </c>
      <c r="H8" s="312" t="s">
        <v>449</v>
      </c>
      <c r="I8" s="311" t="s">
        <v>448</v>
      </c>
      <c r="J8" s="152" t="s">
        <v>449</v>
      </c>
      <c r="K8" s="318" t="s">
        <v>448</v>
      </c>
      <c r="L8" s="312" t="s">
        <v>449</v>
      </c>
      <c r="M8" s="311" t="s">
        <v>448</v>
      </c>
      <c r="N8" s="152" t="s">
        <v>449</v>
      </c>
      <c r="O8" s="318" t="s">
        <v>448</v>
      </c>
      <c r="P8" s="312" t="s">
        <v>449</v>
      </c>
      <c r="Q8" s="311" t="s">
        <v>448</v>
      </c>
      <c r="R8" s="152" t="s">
        <v>449</v>
      </c>
      <c r="S8" s="318" t="s">
        <v>448</v>
      </c>
      <c r="T8" s="312" t="s">
        <v>449</v>
      </c>
      <c r="U8" s="311" t="s">
        <v>448</v>
      </c>
      <c r="V8" s="152" t="s">
        <v>449</v>
      </c>
      <c r="W8" s="318" t="s">
        <v>448</v>
      </c>
      <c r="X8" s="312" t="s">
        <v>449</v>
      </c>
      <c r="Y8" s="311" t="s">
        <v>448</v>
      </c>
      <c r="Z8" s="312" t="s">
        <v>449</v>
      </c>
      <c r="AA8" s="40"/>
    </row>
    <row r="9" spans="1:28" x14ac:dyDescent="0.2">
      <c r="A9" s="259"/>
      <c r="B9" s="237"/>
      <c r="C9" s="246"/>
      <c r="D9" s="240"/>
      <c r="E9" s="246"/>
      <c r="F9" s="240"/>
      <c r="G9" s="246"/>
      <c r="H9" s="240"/>
      <c r="I9" s="242"/>
      <c r="J9" s="237"/>
      <c r="K9" s="246"/>
      <c r="L9" s="240"/>
      <c r="M9" s="242" t="s">
        <v>455</v>
      </c>
      <c r="N9" s="237">
        <v>25</v>
      </c>
      <c r="O9" s="246" t="s">
        <v>457</v>
      </c>
      <c r="P9" s="240">
        <v>4500</v>
      </c>
      <c r="Q9" s="242" t="s">
        <v>461</v>
      </c>
      <c r="R9" s="237">
        <v>110</v>
      </c>
      <c r="S9" s="246" t="s">
        <v>463</v>
      </c>
      <c r="T9" s="240">
        <v>110</v>
      </c>
      <c r="U9" s="242" t="s">
        <v>546</v>
      </c>
      <c r="V9" s="237">
        <v>110</v>
      </c>
      <c r="W9" s="246"/>
      <c r="X9" s="240"/>
      <c r="Y9" s="242"/>
      <c r="Z9" s="240"/>
    </row>
    <row r="10" spans="1:28" x14ac:dyDescent="0.2">
      <c r="A10" s="259"/>
      <c r="B10" s="237"/>
      <c r="C10" s="246"/>
      <c r="D10" s="240"/>
      <c r="E10" s="246"/>
      <c r="F10" s="240"/>
      <c r="G10" s="246"/>
      <c r="H10" s="240"/>
      <c r="I10" s="242"/>
      <c r="J10" s="237"/>
      <c r="K10" s="246"/>
      <c r="L10" s="240"/>
      <c r="M10" s="242" t="s">
        <v>456</v>
      </c>
      <c r="N10" s="237">
        <v>-5</v>
      </c>
      <c r="O10" s="246" t="s">
        <v>458</v>
      </c>
      <c r="P10" s="240">
        <v>-4400</v>
      </c>
      <c r="Q10" s="242" t="s">
        <v>462</v>
      </c>
      <c r="R10" s="237">
        <v>110</v>
      </c>
      <c r="S10" s="246" t="s">
        <v>464</v>
      </c>
      <c r="T10" s="240">
        <v>110</v>
      </c>
      <c r="U10" s="242"/>
      <c r="V10" s="237"/>
      <c r="W10" s="246"/>
      <c r="X10" s="240"/>
      <c r="Y10" s="242"/>
      <c r="Z10" s="240"/>
    </row>
    <row r="11" spans="1:28" x14ac:dyDescent="0.2">
      <c r="A11" s="259"/>
      <c r="B11" s="237"/>
      <c r="C11" s="246"/>
      <c r="D11" s="240"/>
      <c r="E11" s="246"/>
      <c r="F11" s="240"/>
      <c r="G11" s="246"/>
      <c r="H11" s="240"/>
      <c r="I11" s="242"/>
      <c r="J11" s="237"/>
      <c r="K11" s="246"/>
      <c r="L11" s="240"/>
      <c r="M11" s="242"/>
      <c r="N11" s="237"/>
      <c r="O11" s="246" t="s">
        <v>459</v>
      </c>
      <c r="P11" s="240">
        <v>110</v>
      </c>
      <c r="Q11" s="242" t="s">
        <v>447</v>
      </c>
      <c r="R11" s="237">
        <v>-207</v>
      </c>
      <c r="S11" s="246" t="s">
        <v>447</v>
      </c>
      <c r="T11" s="240">
        <v>-207</v>
      </c>
      <c r="U11" s="242"/>
      <c r="V11" s="237"/>
      <c r="W11" s="246"/>
      <c r="X11" s="240"/>
      <c r="Y11" s="242"/>
      <c r="Z11" s="240"/>
    </row>
    <row r="12" spans="1:28" x14ac:dyDescent="0.2">
      <c r="A12" s="259"/>
      <c r="B12" s="237"/>
      <c r="C12" s="246"/>
      <c r="D12" s="240"/>
      <c r="E12" s="246"/>
      <c r="F12" s="240"/>
      <c r="G12" s="246"/>
      <c r="H12" s="240"/>
      <c r="I12" s="242"/>
      <c r="J12" s="237"/>
      <c r="K12" s="246"/>
      <c r="L12" s="240"/>
      <c r="M12" s="242"/>
      <c r="N12" s="237"/>
      <c r="O12" s="246"/>
      <c r="P12" s="240"/>
      <c r="Q12" s="242"/>
      <c r="R12" s="237"/>
      <c r="S12" s="246" t="s">
        <v>460</v>
      </c>
      <c r="T12" s="240">
        <v>0.23</v>
      </c>
      <c r="U12" s="242"/>
      <c r="V12" s="237"/>
      <c r="W12" s="246"/>
      <c r="X12" s="240"/>
      <c r="Y12" s="242"/>
      <c r="Z12" s="240"/>
    </row>
    <row r="13" spans="1:28" x14ac:dyDescent="0.2">
      <c r="A13" s="259"/>
      <c r="B13" s="237"/>
      <c r="C13" s="246"/>
      <c r="D13" s="240"/>
      <c r="E13" s="246"/>
      <c r="F13" s="240"/>
      <c r="G13" s="246"/>
      <c r="H13" s="240"/>
      <c r="I13" s="242"/>
      <c r="J13" s="237"/>
      <c r="K13" s="246"/>
      <c r="L13" s="240"/>
      <c r="M13" s="242"/>
      <c r="N13" s="237"/>
      <c r="O13" s="246"/>
      <c r="P13" s="240"/>
      <c r="Q13" s="242"/>
      <c r="R13" s="237"/>
      <c r="S13" s="246"/>
      <c r="T13" s="240"/>
      <c r="U13" s="242"/>
      <c r="V13" s="237"/>
      <c r="W13" s="246"/>
      <c r="X13" s="240"/>
      <c r="Y13" s="242"/>
      <c r="Z13" s="240"/>
    </row>
    <row r="14" spans="1:28" x14ac:dyDescent="0.2">
      <c r="A14" s="259"/>
      <c r="B14" s="237"/>
      <c r="C14" s="246"/>
      <c r="D14" s="240"/>
      <c r="E14" s="246"/>
      <c r="F14" s="240"/>
      <c r="G14" s="246"/>
      <c r="H14" s="240"/>
      <c r="I14" s="242"/>
      <c r="J14" s="237"/>
      <c r="K14" s="246"/>
      <c r="L14" s="240"/>
      <c r="M14" s="242"/>
      <c r="N14" s="237"/>
      <c r="O14" s="246"/>
      <c r="P14" s="240"/>
      <c r="Q14" s="242"/>
      <c r="R14" s="237"/>
      <c r="S14" s="246"/>
      <c r="T14" s="240"/>
      <c r="U14" s="242"/>
      <c r="V14" s="237"/>
      <c r="W14" s="246"/>
      <c r="X14" s="240"/>
      <c r="Y14" s="242"/>
      <c r="Z14" s="240"/>
    </row>
    <row r="15" spans="1:28" x14ac:dyDescent="0.2">
      <c r="A15" s="259"/>
      <c r="B15" s="237"/>
      <c r="C15" s="246"/>
      <c r="D15" s="240"/>
      <c r="E15" s="246"/>
      <c r="F15" s="240"/>
      <c r="G15" s="246"/>
      <c r="H15" s="240"/>
      <c r="I15" s="242"/>
      <c r="J15" s="237"/>
      <c r="K15" s="246"/>
      <c r="L15" s="240"/>
      <c r="M15" s="242"/>
      <c r="N15" s="237"/>
      <c r="O15" s="246"/>
      <c r="P15" s="240"/>
      <c r="Q15" s="242"/>
      <c r="R15" s="237"/>
      <c r="S15" s="246"/>
      <c r="T15" s="240"/>
      <c r="U15" s="242"/>
      <c r="V15" s="237"/>
      <c r="W15" s="246"/>
      <c r="X15" s="240"/>
      <c r="Y15" s="242"/>
      <c r="Z15" s="240"/>
    </row>
    <row r="16" spans="1:28" x14ac:dyDescent="0.2">
      <c r="A16" s="259"/>
      <c r="B16" s="237"/>
      <c r="C16" s="246"/>
      <c r="D16" s="240"/>
      <c r="E16" s="246"/>
      <c r="F16" s="240"/>
      <c r="G16" s="246"/>
      <c r="H16" s="240"/>
      <c r="I16" s="242"/>
      <c r="J16" s="237"/>
      <c r="K16" s="246"/>
      <c r="L16" s="240"/>
      <c r="M16" s="242"/>
      <c r="N16" s="237"/>
      <c r="O16" s="246"/>
      <c r="P16" s="240"/>
      <c r="Q16" s="242"/>
      <c r="R16" s="237"/>
      <c r="S16" s="246"/>
      <c r="T16" s="240"/>
      <c r="U16" s="242"/>
      <c r="V16" s="237"/>
      <c r="W16" s="246"/>
      <c r="X16" s="240"/>
      <c r="Y16" s="242"/>
      <c r="Z16" s="240"/>
    </row>
    <row r="17" spans="1:26" x14ac:dyDescent="0.2">
      <c r="A17" s="259"/>
      <c r="B17" s="237"/>
      <c r="C17" s="246"/>
      <c r="D17" s="240"/>
      <c r="E17" s="246"/>
      <c r="F17" s="240"/>
      <c r="G17" s="246"/>
      <c r="H17" s="240"/>
      <c r="I17" s="242"/>
      <c r="J17" s="237"/>
      <c r="K17" s="246"/>
      <c r="L17" s="240"/>
      <c r="M17" s="242"/>
      <c r="N17" s="237"/>
      <c r="O17" s="246"/>
      <c r="P17" s="240"/>
      <c r="Q17" s="242"/>
      <c r="R17" s="237"/>
      <c r="S17" s="246"/>
      <c r="T17" s="240"/>
      <c r="U17" s="242"/>
      <c r="V17" s="237"/>
      <c r="W17" s="246"/>
      <c r="X17" s="240"/>
      <c r="Y17" s="242"/>
      <c r="Z17" s="240"/>
    </row>
    <row r="18" spans="1:26" x14ac:dyDescent="0.2">
      <c r="A18" s="259"/>
      <c r="B18" s="237"/>
      <c r="C18" s="246"/>
      <c r="D18" s="240"/>
      <c r="E18" s="246"/>
      <c r="F18" s="240"/>
      <c r="G18" s="246"/>
      <c r="H18" s="240"/>
      <c r="I18" s="242"/>
      <c r="J18" s="237"/>
      <c r="K18" s="246"/>
      <c r="L18" s="240"/>
      <c r="M18" s="242"/>
      <c r="N18" s="237"/>
      <c r="O18" s="246"/>
      <c r="P18" s="240"/>
      <c r="Q18" s="242"/>
      <c r="R18" s="237"/>
      <c r="S18" s="246"/>
      <c r="T18" s="240"/>
      <c r="U18" s="242"/>
      <c r="V18" s="237"/>
      <c r="W18" s="246"/>
      <c r="X18" s="240"/>
      <c r="Y18" s="242"/>
      <c r="Z18" s="240"/>
    </row>
    <row r="19" spans="1:26" x14ac:dyDescent="0.2">
      <c r="A19" s="259"/>
      <c r="B19" s="237"/>
      <c r="C19" s="246"/>
      <c r="D19" s="240"/>
      <c r="E19" s="246"/>
      <c r="F19" s="240"/>
      <c r="G19" s="246"/>
      <c r="H19" s="240"/>
      <c r="I19" s="242"/>
      <c r="J19" s="237"/>
      <c r="K19" s="246"/>
      <c r="L19" s="240"/>
      <c r="M19" s="242"/>
      <c r="N19" s="237"/>
      <c r="O19" s="246"/>
      <c r="P19" s="240"/>
      <c r="Q19" s="242"/>
      <c r="R19" s="237"/>
      <c r="S19" s="246"/>
      <c r="T19" s="240"/>
      <c r="U19" s="242"/>
      <c r="V19" s="237"/>
      <c r="W19" s="246"/>
      <c r="X19" s="240"/>
      <c r="Y19" s="242"/>
      <c r="Z19" s="240"/>
    </row>
    <row r="20" spans="1:26" x14ac:dyDescent="0.2">
      <c r="A20" s="259"/>
      <c r="B20" s="237"/>
      <c r="C20" s="246"/>
      <c r="D20" s="240"/>
      <c r="E20" s="246"/>
      <c r="F20" s="240"/>
      <c r="G20" s="246"/>
      <c r="H20" s="240"/>
      <c r="I20" s="242"/>
      <c r="J20" s="237"/>
      <c r="K20" s="246"/>
      <c r="L20" s="240"/>
      <c r="M20" s="242"/>
      <c r="N20" s="237"/>
      <c r="O20" s="246"/>
      <c r="P20" s="240"/>
      <c r="Q20" s="242"/>
      <c r="R20" s="237"/>
      <c r="S20" s="246"/>
      <c r="T20" s="240"/>
      <c r="U20" s="242"/>
      <c r="V20" s="237"/>
      <c r="W20" s="246"/>
      <c r="X20" s="240"/>
      <c r="Y20" s="242"/>
      <c r="Z20" s="240"/>
    </row>
    <row r="21" spans="1:26" x14ac:dyDescent="0.2">
      <c r="A21" s="259"/>
      <c r="B21" s="237"/>
      <c r="C21" s="246"/>
      <c r="D21" s="240"/>
      <c r="E21" s="246"/>
      <c r="F21" s="240"/>
      <c r="G21" s="246"/>
      <c r="H21" s="240"/>
      <c r="I21" s="242"/>
      <c r="J21" s="237"/>
      <c r="K21" s="246"/>
      <c r="L21" s="240"/>
      <c r="M21" s="242"/>
      <c r="N21" s="237"/>
      <c r="O21" s="246"/>
      <c r="P21" s="240"/>
      <c r="Q21" s="242"/>
      <c r="R21" s="237"/>
      <c r="S21" s="246"/>
      <c r="T21" s="240"/>
      <c r="U21" s="242"/>
      <c r="V21" s="237"/>
      <c r="W21" s="246"/>
      <c r="X21" s="240"/>
      <c r="Y21" s="242"/>
      <c r="Z21" s="240"/>
    </row>
    <row r="22" spans="1:26" x14ac:dyDescent="0.2">
      <c r="A22" s="259"/>
      <c r="B22" s="237"/>
      <c r="C22" s="246"/>
      <c r="D22" s="240"/>
      <c r="E22" s="246"/>
      <c r="F22" s="240"/>
      <c r="G22" s="246"/>
      <c r="H22" s="240"/>
      <c r="I22" s="242"/>
      <c r="J22" s="237"/>
      <c r="K22" s="246"/>
      <c r="L22" s="240"/>
      <c r="M22" s="242"/>
      <c r="N22" s="237"/>
      <c r="O22" s="246"/>
      <c r="P22" s="240"/>
      <c r="Q22" s="242"/>
      <c r="R22" s="237"/>
      <c r="S22" s="246"/>
      <c r="T22" s="240"/>
      <c r="U22" s="242"/>
      <c r="V22" s="237"/>
      <c r="W22" s="246"/>
      <c r="X22" s="240"/>
      <c r="Y22" s="242"/>
      <c r="Z22" s="240"/>
    </row>
    <row r="23" spans="1:26" x14ac:dyDescent="0.2">
      <c r="A23" s="259"/>
      <c r="B23" s="237"/>
      <c r="C23" s="246"/>
      <c r="D23" s="240"/>
      <c r="E23" s="246"/>
      <c r="F23" s="240"/>
      <c r="G23" s="246"/>
      <c r="H23" s="240"/>
      <c r="I23" s="242"/>
      <c r="J23" s="237"/>
      <c r="K23" s="246"/>
      <c r="L23" s="240"/>
      <c r="M23" s="242"/>
      <c r="N23" s="237"/>
      <c r="O23" s="246"/>
      <c r="P23" s="240"/>
      <c r="Q23" s="242"/>
      <c r="R23" s="237"/>
      <c r="S23" s="246"/>
      <c r="T23" s="240"/>
      <c r="U23" s="242"/>
      <c r="V23" s="237"/>
      <c r="W23" s="246"/>
      <c r="X23" s="240"/>
      <c r="Y23" s="242"/>
      <c r="Z23" s="240"/>
    </row>
    <row r="24" spans="1:26" x14ac:dyDescent="0.2">
      <c r="A24" s="259"/>
      <c r="B24" s="237"/>
      <c r="C24" s="246"/>
      <c r="D24" s="240"/>
      <c r="E24" s="246"/>
      <c r="F24" s="240"/>
      <c r="G24" s="246"/>
      <c r="H24" s="240"/>
      <c r="I24" s="242"/>
      <c r="J24" s="237"/>
      <c r="K24" s="246"/>
      <c r="L24" s="240"/>
      <c r="M24" s="242"/>
      <c r="N24" s="237"/>
      <c r="O24" s="246"/>
      <c r="P24" s="240"/>
      <c r="Q24" s="242"/>
      <c r="R24" s="237"/>
      <c r="S24" s="246"/>
      <c r="T24" s="240"/>
      <c r="U24" s="242"/>
      <c r="V24" s="237"/>
      <c r="W24" s="246"/>
      <c r="X24" s="240"/>
      <c r="Y24" s="242"/>
      <c r="Z24" s="240"/>
    </row>
    <row r="25" spans="1:26" x14ac:dyDescent="0.2">
      <c r="A25" s="259"/>
      <c r="B25" s="237"/>
      <c r="C25" s="246"/>
      <c r="D25" s="240"/>
      <c r="E25" s="246"/>
      <c r="F25" s="240"/>
      <c r="G25" s="246"/>
      <c r="H25" s="240"/>
      <c r="I25" s="242"/>
      <c r="J25" s="237"/>
      <c r="K25" s="246"/>
      <c r="L25" s="240"/>
      <c r="M25" s="242"/>
      <c r="N25" s="237"/>
      <c r="O25" s="246"/>
      <c r="P25" s="240"/>
      <c r="Q25" s="242"/>
      <c r="R25" s="237"/>
      <c r="S25" s="246"/>
      <c r="T25" s="240"/>
      <c r="U25" s="242"/>
      <c r="V25" s="237"/>
      <c r="W25" s="246"/>
      <c r="X25" s="240"/>
      <c r="Y25" s="242"/>
      <c r="Z25" s="240"/>
    </row>
    <row r="26" spans="1:26" x14ac:dyDescent="0.2">
      <c r="A26" s="259"/>
      <c r="B26" s="237"/>
      <c r="C26" s="246"/>
      <c r="D26" s="240"/>
      <c r="E26" s="246"/>
      <c r="F26" s="240"/>
      <c r="G26" s="246"/>
      <c r="H26" s="240"/>
      <c r="I26" s="242"/>
      <c r="J26" s="237"/>
      <c r="K26" s="246"/>
      <c r="L26" s="240"/>
      <c r="M26" s="242"/>
      <c r="N26" s="237"/>
      <c r="O26" s="246"/>
      <c r="P26" s="240"/>
      <c r="Q26" s="242"/>
      <c r="R26" s="237"/>
      <c r="S26" s="246"/>
      <c r="T26" s="240"/>
      <c r="U26" s="242"/>
      <c r="V26" s="237"/>
      <c r="W26" s="246"/>
      <c r="X26" s="240"/>
      <c r="Y26" s="242"/>
      <c r="Z26" s="240"/>
    </row>
    <row r="27" spans="1:26" x14ac:dyDescent="0.2">
      <c r="A27" s="259"/>
      <c r="B27" s="237"/>
      <c r="C27" s="246"/>
      <c r="D27" s="240"/>
      <c r="E27" s="246"/>
      <c r="F27" s="240"/>
      <c r="G27" s="246"/>
      <c r="H27" s="240"/>
      <c r="I27" s="242"/>
      <c r="J27" s="237"/>
      <c r="K27" s="246"/>
      <c r="L27" s="240"/>
      <c r="M27" s="242"/>
      <c r="N27" s="237"/>
      <c r="O27" s="246"/>
      <c r="P27" s="240"/>
      <c r="Q27" s="242"/>
      <c r="R27" s="237"/>
      <c r="S27" s="246"/>
      <c r="T27" s="240"/>
      <c r="U27" s="242"/>
      <c r="V27" s="237"/>
      <c r="W27" s="246"/>
      <c r="X27" s="240"/>
      <c r="Y27" s="242"/>
      <c r="Z27" s="240"/>
    </row>
    <row r="28" spans="1:26" x14ac:dyDescent="0.2">
      <c r="A28" s="259"/>
      <c r="B28" s="237"/>
      <c r="C28" s="246"/>
      <c r="D28" s="240"/>
      <c r="E28" s="246"/>
      <c r="F28" s="240"/>
      <c r="G28" s="246"/>
      <c r="H28" s="240"/>
      <c r="I28" s="242"/>
      <c r="J28" s="237"/>
      <c r="K28" s="246"/>
      <c r="L28" s="240"/>
      <c r="M28" s="242"/>
      <c r="N28" s="237"/>
      <c r="O28" s="246"/>
      <c r="P28" s="240"/>
      <c r="Q28" s="242"/>
      <c r="R28" s="237"/>
      <c r="S28" s="246"/>
      <c r="T28" s="240"/>
      <c r="U28" s="242"/>
      <c r="V28" s="237"/>
      <c r="W28" s="246"/>
      <c r="X28" s="240"/>
      <c r="Y28" s="242"/>
      <c r="Z28" s="240"/>
    </row>
    <row r="29" spans="1:26" x14ac:dyDescent="0.2">
      <c r="A29" s="259"/>
      <c r="B29" s="237"/>
      <c r="C29" s="246"/>
      <c r="D29" s="240"/>
      <c r="E29" s="246"/>
      <c r="F29" s="240"/>
      <c r="G29" s="246"/>
      <c r="H29" s="240"/>
      <c r="I29" s="242"/>
      <c r="J29" s="237"/>
      <c r="K29" s="246"/>
      <c r="L29" s="240"/>
      <c r="M29" s="242"/>
      <c r="N29" s="237"/>
      <c r="O29" s="246"/>
      <c r="P29" s="240"/>
      <c r="Q29" s="242"/>
      <c r="R29" s="237"/>
      <c r="S29" s="246"/>
      <c r="T29" s="240"/>
      <c r="U29" s="242"/>
      <c r="V29" s="237"/>
      <c r="W29" s="246"/>
      <c r="X29" s="240"/>
      <c r="Y29" s="242"/>
      <c r="Z29" s="240"/>
    </row>
    <row r="30" spans="1:26" x14ac:dyDescent="0.2">
      <c r="A30" s="259"/>
      <c r="B30" s="237"/>
      <c r="C30" s="246"/>
      <c r="D30" s="240"/>
      <c r="E30" s="246"/>
      <c r="F30" s="240"/>
      <c r="G30" s="246"/>
      <c r="H30" s="240"/>
      <c r="I30" s="242"/>
      <c r="J30" s="237"/>
      <c r="K30" s="246"/>
      <c r="L30" s="240"/>
      <c r="M30" s="242"/>
      <c r="N30" s="237"/>
      <c r="O30" s="246"/>
      <c r="P30" s="240"/>
      <c r="Q30" s="242"/>
      <c r="R30" s="237"/>
      <c r="S30" s="246"/>
      <c r="T30" s="240"/>
      <c r="U30" s="242"/>
      <c r="V30" s="237"/>
      <c r="W30" s="246"/>
      <c r="X30" s="240"/>
      <c r="Y30" s="242"/>
      <c r="Z30" s="240"/>
    </row>
    <row r="31" spans="1:26" x14ac:dyDescent="0.2">
      <c r="A31" s="259"/>
      <c r="B31" s="237"/>
      <c r="C31" s="246"/>
      <c r="D31" s="240"/>
      <c r="E31" s="246"/>
      <c r="F31" s="240"/>
      <c r="G31" s="246"/>
      <c r="H31" s="240"/>
      <c r="I31" s="242"/>
      <c r="J31" s="237"/>
      <c r="K31" s="246"/>
      <c r="L31" s="240"/>
      <c r="M31" s="242"/>
      <c r="N31" s="237"/>
      <c r="O31" s="246"/>
      <c r="P31" s="240"/>
      <c r="Q31" s="242"/>
      <c r="R31" s="237"/>
      <c r="S31" s="246"/>
      <c r="T31" s="240"/>
      <c r="U31" s="242"/>
      <c r="V31" s="237"/>
      <c r="W31" s="246"/>
      <c r="X31" s="240"/>
      <c r="Y31" s="242"/>
      <c r="Z31" s="240"/>
    </row>
    <row r="32" spans="1:26" x14ac:dyDescent="0.2">
      <c r="A32" s="259"/>
      <c r="B32" s="237"/>
      <c r="C32" s="246"/>
      <c r="D32" s="240"/>
      <c r="E32" s="246"/>
      <c r="F32" s="240"/>
      <c r="G32" s="246"/>
      <c r="H32" s="240"/>
      <c r="I32" s="242"/>
      <c r="J32" s="237"/>
      <c r="K32" s="246"/>
      <c r="L32" s="240"/>
      <c r="M32" s="242"/>
      <c r="N32" s="237"/>
      <c r="O32" s="246"/>
      <c r="P32" s="240"/>
      <c r="Q32" s="242"/>
      <c r="R32" s="237"/>
      <c r="S32" s="246"/>
      <c r="T32" s="240"/>
      <c r="U32" s="242"/>
      <c r="V32" s="237"/>
      <c r="W32" s="246"/>
      <c r="X32" s="240"/>
      <c r="Y32" s="242"/>
      <c r="Z32" s="240"/>
    </row>
    <row r="33" spans="1:26" x14ac:dyDescent="0.2">
      <c r="A33" s="259"/>
      <c r="B33" s="237"/>
      <c r="C33" s="246"/>
      <c r="D33" s="240"/>
      <c r="E33" s="246"/>
      <c r="F33" s="240"/>
      <c r="G33" s="246"/>
      <c r="H33" s="240"/>
      <c r="I33" s="242"/>
      <c r="J33" s="237"/>
      <c r="K33" s="246"/>
      <c r="L33" s="240"/>
      <c r="M33" s="242"/>
      <c r="N33" s="237"/>
      <c r="O33" s="246"/>
      <c r="P33" s="240"/>
      <c r="Q33" s="242"/>
      <c r="R33" s="237"/>
      <c r="S33" s="246"/>
      <c r="T33" s="240"/>
      <c r="U33" s="242"/>
      <c r="V33" s="237"/>
      <c r="W33" s="246"/>
      <c r="X33" s="240"/>
      <c r="Y33" s="242"/>
      <c r="Z33" s="240"/>
    </row>
    <row r="34" spans="1:26" x14ac:dyDescent="0.2">
      <c r="A34" s="259"/>
      <c r="B34" s="237"/>
      <c r="C34" s="246"/>
      <c r="D34" s="240"/>
      <c r="E34" s="246"/>
      <c r="F34" s="240"/>
      <c r="G34" s="246"/>
      <c r="H34" s="240"/>
      <c r="I34" s="242"/>
      <c r="J34" s="237"/>
      <c r="K34" s="246"/>
      <c r="L34" s="240"/>
      <c r="M34" s="242"/>
      <c r="N34" s="237"/>
      <c r="O34" s="246"/>
      <c r="P34" s="240"/>
      <c r="Q34" s="242"/>
      <c r="R34" s="237"/>
      <c r="S34" s="246"/>
      <c r="T34" s="240"/>
      <c r="U34" s="242"/>
      <c r="V34" s="237"/>
      <c r="W34" s="246"/>
      <c r="X34" s="240"/>
      <c r="Y34" s="242"/>
      <c r="Z34" s="240"/>
    </row>
    <row r="35" spans="1:26" x14ac:dyDescent="0.2">
      <c r="A35" s="259"/>
      <c r="B35" s="237"/>
      <c r="C35" s="246"/>
      <c r="D35" s="240"/>
      <c r="E35" s="246"/>
      <c r="F35" s="240"/>
      <c r="G35" s="246"/>
      <c r="H35" s="240"/>
      <c r="I35" s="242"/>
      <c r="J35" s="237"/>
      <c r="K35" s="246"/>
      <c r="L35" s="240"/>
      <c r="M35" s="242"/>
      <c r="N35" s="237"/>
      <c r="O35" s="246"/>
      <c r="P35" s="240"/>
      <c r="Q35" s="242"/>
      <c r="R35" s="237"/>
      <c r="S35" s="246"/>
      <c r="T35" s="240"/>
      <c r="U35" s="242"/>
      <c r="V35" s="237"/>
      <c r="W35" s="246"/>
      <c r="X35" s="240"/>
      <c r="Y35" s="242"/>
      <c r="Z35" s="240"/>
    </row>
    <row r="36" spans="1:26" x14ac:dyDescent="0.2">
      <c r="A36" s="259"/>
      <c r="B36" s="237"/>
      <c r="C36" s="246"/>
      <c r="D36" s="240"/>
      <c r="E36" s="246"/>
      <c r="F36" s="240"/>
      <c r="G36" s="246"/>
      <c r="H36" s="240"/>
      <c r="I36" s="242"/>
      <c r="J36" s="237"/>
      <c r="K36" s="246"/>
      <c r="L36" s="240"/>
      <c r="M36" s="242"/>
      <c r="N36" s="237"/>
      <c r="O36" s="246"/>
      <c r="P36" s="240"/>
      <c r="Q36" s="242"/>
      <c r="R36" s="237"/>
      <c r="S36" s="246"/>
      <c r="T36" s="240"/>
      <c r="U36" s="242"/>
      <c r="V36" s="237"/>
      <c r="W36" s="246"/>
      <c r="X36" s="240"/>
      <c r="Y36" s="242"/>
      <c r="Z36" s="240"/>
    </row>
    <row r="37" spans="1:26" x14ac:dyDescent="0.2">
      <c r="A37" s="259"/>
      <c r="B37" s="237"/>
      <c r="C37" s="246"/>
      <c r="D37" s="240"/>
      <c r="E37" s="246"/>
      <c r="F37" s="240"/>
      <c r="G37" s="246"/>
      <c r="H37" s="240"/>
      <c r="I37" s="242"/>
      <c r="J37" s="237"/>
      <c r="K37" s="246"/>
      <c r="L37" s="240"/>
      <c r="M37" s="242"/>
      <c r="N37" s="237"/>
      <c r="O37" s="246"/>
      <c r="P37" s="240"/>
      <c r="Q37" s="242"/>
      <c r="R37" s="237"/>
      <c r="S37" s="246"/>
      <c r="T37" s="240"/>
      <c r="U37" s="242"/>
      <c r="V37" s="237"/>
      <c r="W37" s="246"/>
      <c r="X37" s="240"/>
      <c r="Y37" s="242"/>
      <c r="Z37" s="240"/>
    </row>
    <row r="38" spans="1:26" x14ac:dyDescent="0.2">
      <c r="A38" s="259"/>
      <c r="B38" s="237"/>
      <c r="C38" s="246"/>
      <c r="D38" s="240"/>
      <c r="E38" s="246"/>
      <c r="F38" s="240"/>
      <c r="G38" s="246"/>
      <c r="H38" s="240"/>
      <c r="I38" s="242"/>
      <c r="J38" s="237"/>
      <c r="K38" s="246"/>
      <c r="L38" s="240"/>
      <c r="M38" s="242"/>
      <c r="N38" s="237"/>
      <c r="O38" s="246"/>
      <c r="P38" s="240"/>
      <c r="Q38" s="242"/>
      <c r="R38" s="237"/>
      <c r="S38" s="246"/>
      <c r="T38" s="240"/>
      <c r="U38" s="242"/>
      <c r="V38" s="237"/>
      <c r="W38" s="246"/>
      <c r="X38" s="240"/>
      <c r="Y38" s="242"/>
      <c r="Z38" s="240"/>
    </row>
    <row r="39" spans="1:26" x14ac:dyDescent="0.2">
      <c r="A39" s="259"/>
      <c r="B39" s="237"/>
      <c r="C39" s="246"/>
      <c r="D39" s="240"/>
      <c r="E39" s="246"/>
      <c r="F39" s="240"/>
      <c r="G39" s="246"/>
      <c r="H39" s="240"/>
      <c r="I39" s="242"/>
      <c r="J39" s="237"/>
      <c r="K39" s="246"/>
      <c r="L39" s="240"/>
      <c r="M39" s="242"/>
      <c r="N39" s="237"/>
      <c r="O39" s="246"/>
      <c r="P39" s="240"/>
      <c r="Q39" s="242"/>
      <c r="R39" s="237"/>
      <c r="S39" s="246"/>
      <c r="T39" s="240"/>
      <c r="U39" s="242"/>
      <c r="V39" s="237"/>
      <c r="W39" s="246"/>
      <c r="X39" s="240"/>
      <c r="Y39" s="242"/>
      <c r="Z39" s="240"/>
    </row>
    <row r="40" spans="1:26" x14ac:dyDescent="0.2">
      <c r="A40" s="259"/>
      <c r="B40" s="237"/>
      <c r="C40" s="246"/>
      <c r="D40" s="240"/>
      <c r="E40" s="246"/>
      <c r="F40" s="240"/>
      <c r="G40" s="246"/>
      <c r="H40" s="240"/>
      <c r="I40" s="242"/>
      <c r="J40" s="237"/>
      <c r="K40" s="246"/>
      <c r="L40" s="240"/>
      <c r="M40" s="242"/>
      <c r="N40" s="237"/>
      <c r="O40" s="246"/>
      <c r="P40" s="240"/>
      <c r="Q40" s="242"/>
      <c r="R40" s="237"/>
      <c r="S40" s="246"/>
      <c r="T40" s="240"/>
      <c r="U40" s="242"/>
      <c r="V40" s="237"/>
      <c r="W40" s="246"/>
      <c r="X40" s="240"/>
      <c r="Y40" s="242"/>
      <c r="Z40" s="240"/>
    </row>
    <row r="41" spans="1:26" x14ac:dyDescent="0.2">
      <c r="A41" s="259"/>
      <c r="B41" s="237"/>
      <c r="C41" s="246"/>
      <c r="D41" s="240"/>
      <c r="E41" s="246"/>
      <c r="F41" s="240"/>
      <c r="G41" s="246"/>
      <c r="H41" s="240"/>
      <c r="I41" s="242"/>
      <c r="J41" s="237"/>
      <c r="K41" s="246"/>
      <c r="L41" s="240"/>
      <c r="M41" s="242"/>
      <c r="N41" s="237"/>
      <c r="O41" s="246"/>
      <c r="P41" s="240"/>
      <c r="Q41" s="242"/>
      <c r="R41" s="237"/>
      <c r="S41" s="246"/>
      <c r="T41" s="240"/>
      <c r="U41" s="242"/>
      <c r="V41" s="237"/>
      <c r="W41" s="246"/>
      <c r="X41" s="240"/>
      <c r="Y41" s="242"/>
      <c r="Z41" s="240"/>
    </row>
    <row r="42" spans="1:26" x14ac:dyDescent="0.2">
      <c r="A42" s="259"/>
      <c r="B42" s="237"/>
      <c r="C42" s="246"/>
      <c r="D42" s="240"/>
      <c r="E42" s="246"/>
      <c r="F42" s="240"/>
      <c r="G42" s="246"/>
      <c r="H42" s="240"/>
      <c r="I42" s="242"/>
      <c r="J42" s="237"/>
      <c r="K42" s="246"/>
      <c r="L42" s="240"/>
      <c r="M42" s="242"/>
      <c r="N42" s="237"/>
      <c r="O42" s="246"/>
      <c r="P42" s="240"/>
      <c r="Q42" s="242"/>
      <c r="R42" s="237"/>
      <c r="S42" s="246"/>
      <c r="T42" s="240"/>
      <c r="U42" s="242"/>
      <c r="V42" s="237"/>
      <c r="W42" s="246"/>
      <c r="X42" s="240"/>
      <c r="Y42" s="242"/>
      <c r="Z42" s="240"/>
    </row>
    <row r="43" spans="1:26" x14ac:dyDescent="0.2">
      <c r="A43" s="259"/>
      <c r="B43" s="237"/>
      <c r="C43" s="246"/>
      <c r="D43" s="240"/>
      <c r="E43" s="246"/>
      <c r="F43" s="240"/>
      <c r="G43" s="246"/>
      <c r="H43" s="240"/>
      <c r="I43" s="242"/>
      <c r="J43" s="237"/>
      <c r="K43" s="246"/>
      <c r="L43" s="240"/>
      <c r="M43" s="242"/>
      <c r="N43" s="237"/>
      <c r="O43" s="246"/>
      <c r="P43" s="240"/>
      <c r="Q43" s="242"/>
      <c r="R43" s="237"/>
      <c r="S43" s="246"/>
      <c r="T43" s="240"/>
      <c r="U43" s="242"/>
      <c r="V43" s="237"/>
      <c r="W43" s="246"/>
      <c r="X43" s="240"/>
      <c r="Y43" s="242"/>
      <c r="Z43" s="240"/>
    </row>
    <row r="44" spans="1:26" x14ac:dyDescent="0.2">
      <c r="A44" s="259"/>
      <c r="B44" s="237"/>
      <c r="C44" s="246"/>
      <c r="D44" s="240"/>
      <c r="E44" s="246"/>
      <c r="F44" s="240"/>
      <c r="G44" s="246"/>
      <c r="H44" s="240"/>
      <c r="I44" s="242"/>
      <c r="J44" s="237"/>
      <c r="K44" s="246"/>
      <c r="L44" s="240"/>
      <c r="M44" s="242"/>
      <c r="N44" s="237"/>
      <c r="O44" s="246"/>
      <c r="P44" s="240"/>
      <c r="Q44" s="242"/>
      <c r="R44" s="237"/>
      <c r="S44" s="246"/>
      <c r="T44" s="240"/>
      <c r="U44" s="242"/>
      <c r="V44" s="237"/>
      <c r="W44" s="246"/>
      <c r="X44" s="240"/>
      <c r="Y44" s="242"/>
      <c r="Z44" s="240"/>
    </row>
    <row r="45" spans="1:26" x14ac:dyDescent="0.2">
      <c r="A45" s="259"/>
      <c r="B45" s="237"/>
      <c r="C45" s="246"/>
      <c r="D45" s="240"/>
      <c r="E45" s="246"/>
      <c r="F45" s="240"/>
      <c r="G45" s="246"/>
      <c r="H45" s="240"/>
      <c r="I45" s="242"/>
      <c r="J45" s="237"/>
      <c r="K45" s="246"/>
      <c r="L45" s="240"/>
      <c r="M45" s="242"/>
      <c r="N45" s="237"/>
      <c r="O45" s="246"/>
      <c r="P45" s="240"/>
      <c r="Q45" s="242"/>
      <c r="R45" s="237"/>
      <c r="S45" s="246"/>
      <c r="T45" s="240"/>
      <c r="U45" s="242"/>
      <c r="V45" s="237"/>
      <c r="W45" s="246"/>
      <c r="X45" s="240"/>
      <c r="Y45" s="242"/>
      <c r="Z45" s="240"/>
    </row>
    <row r="46" spans="1:26" x14ac:dyDescent="0.2">
      <c r="A46" s="259"/>
      <c r="B46" s="237"/>
      <c r="C46" s="246"/>
      <c r="D46" s="240"/>
      <c r="E46" s="246"/>
      <c r="F46" s="240"/>
      <c r="G46" s="246"/>
      <c r="H46" s="240"/>
      <c r="I46" s="242"/>
      <c r="J46" s="237"/>
      <c r="K46" s="246"/>
      <c r="L46" s="240"/>
      <c r="M46" s="242"/>
      <c r="N46" s="237"/>
      <c r="O46" s="246"/>
      <c r="P46" s="240"/>
      <c r="Q46" s="242"/>
      <c r="R46" s="237"/>
      <c r="S46" s="246"/>
      <c r="T46" s="240"/>
      <c r="U46" s="242"/>
      <c r="V46" s="237"/>
      <c r="W46" s="246"/>
      <c r="X46" s="240"/>
      <c r="Y46" s="242"/>
      <c r="Z46" s="240"/>
    </row>
    <row r="47" spans="1:26" x14ac:dyDescent="0.2">
      <c r="A47" s="259"/>
      <c r="B47" s="237"/>
      <c r="C47" s="246"/>
      <c r="D47" s="240"/>
      <c r="E47" s="246"/>
      <c r="F47" s="240"/>
      <c r="G47" s="246"/>
      <c r="H47" s="240"/>
      <c r="I47" s="242"/>
      <c r="J47" s="237"/>
      <c r="K47" s="246"/>
      <c r="L47" s="240"/>
      <c r="M47" s="242"/>
      <c r="N47" s="237"/>
      <c r="O47" s="246"/>
      <c r="P47" s="240"/>
      <c r="Q47" s="242"/>
      <c r="R47" s="237"/>
      <c r="S47" s="246"/>
      <c r="T47" s="240"/>
      <c r="U47" s="242"/>
      <c r="V47" s="237"/>
      <c r="W47" s="246"/>
      <c r="X47" s="240"/>
      <c r="Y47" s="242"/>
      <c r="Z47" s="240"/>
    </row>
    <row r="48" spans="1:26" x14ac:dyDescent="0.2">
      <c r="A48" s="259"/>
      <c r="B48" s="237"/>
      <c r="C48" s="246"/>
      <c r="D48" s="240"/>
      <c r="E48" s="246"/>
      <c r="F48" s="240"/>
      <c r="G48" s="246"/>
      <c r="H48" s="240"/>
      <c r="I48" s="242"/>
      <c r="J48" s="237"/>
      <c r="K48" s="246"/>
      <c r="L48" s="240"/>
      <c r="M48" s="242"/>
      <c r="N48" s="237"/>
      <c r="O48" s="246"/>
      <c r="P48" s="240"/>
      <c r="Q48" s="242"/>
      <c r="R48" s="237"/>
      <c r="S48" s="246"/>
      <c r="T48" s="240"/>
      <c r="U48" s="242"/>
      <c r="V48" s="237"/>
      <c r="W48" s="246"/>
      <c r="X48" s="240"/>
      <c r="Y48" s="242"/>
      <c r="Z48" s="240"/>
    </row>
    <row r="49" spans="1:28" x14ac:dyDescent="0.2">
      <c r="A49" s="259"/>
      <c r="B49" s="237"/>
      <c r="C49" s="246"/>
      <c r="D49" s="240"/>
      <c r="E49" s="246"/>
      <c r="F49" s="240"/>
      <c r="G49" s="246"/>
      <c r="H49" s="240"/>
      <c r="I49" s="242"/>
      <c r="J49" s="237"/>
      <c r="K49" s="246"/>
      <c r="L49" s="240"/>
      <c r="M49" s="242"/>
      <c r="N49" s="237"/>
      <c r="O49" s="246"/>
      <c r="P49" s="240"/>
      <c r="Q49" s="242"/>
      <c r="R49" s="237"/>
      <c r="S49" s="246"/>
      <c r="T49" s="240"/>
      <c r="U49" s="242"/>
      <c r="V49" s="237"/>
      <c r="W49" s="246"/>
      <c r="X49" s="240"/>
      <c r="Y49" s="242"/>
      <c r="Z49" s="240"/>
    </row>
    <row r="50" spans="1:28" x14ac:dyDescent="0.2">
      <c r="A50" s="259"/>
      <c r="B50" s="237"/>
      <c r="C50" s="246"/>
      <c r="D50" s="240"/>
      <c r="E50" s="246"/>
      <c r="F50" s="240"/>
      <c r="G50" s="246"/>
      <c r="H50" s="240"/>
      <c r="I50" s="242"/>
      <c r="J50" s="237"/>
      <c r="K50" s="246"/>
      <c r="L50" s="240"/>
      <c r="M50" s="242"/>
      <c r="N50" s="237"/>
      <c r="O50" s="246"/>
      <c r="P50" s="240"/>
      <c r="Q50" s="242"/>
      <c r="R50" s="237"/>
      <c r="S50" s="246"/>
      <c r="T50" s="240"/>
      <c r="U50" s="242"/>
      <c r="V50" s="237"/>
      <c r="W50" s="246"/>
      <c r="X50" s="240"/>
      <c r="Y50" s="242"/>
      <c r="Z50" s="240"/>
    </row>
    <row r="51" spans="1:28" x14ac:dyDescent="0.2">
      <c r="A51" s="259"/>
      <c r="B51" s="237"/>
      <c r="C51" s="246"/>
      <c r="D51" s="240"/>
      <c r="E51" s="246"/>
      <c r="F51" s="240"/>
      <c r="G51" s="246"/>
      <c r="H51" s="240"/>
      <c r="I51" s="242"/>
      <c r="J51" s="237"/>
      <c r="K51" s="246"/>
      <c r="L51" s="240"/>
      <c r="M51" s="242"/>
      <c r="N51" s="237"/>
      <c r="O51" s="246"/>
      <c r="P51" s="240"/>
      <c r="Q51" s="242"/>
      <c r="R51" s="237"/>
      <c r="S51" s="246"/>
      <c r="T51" s="240"/>
      <c r="U51" s="242"/>
      <c r="V51" s="237"/>
      <c r="W51" s="246"/>
      <c r="X51" s="240"/>
      <c r="Y51" s="242"/>
      <c r="Z51" s="240"/>
    </row>
    <row r="52" spans="1:28" x14ac:dyDescent="0.2">
      <c r="A52" s="259"/>
      <c r="B52" s="237"/>
      <c r="C52" s="246"/>
      <c r="D52" s="240"/>
      <c r="E52" s="246"/>
      <c r="F52" s="240"/>
      <c r="G52" s="246"/>
      <c r="H52" s="240"/>
      <c r="I52" s="242"/>
      <c r="J52" s="237"/>
      <c r="K52" s="246"/>
      <c r="L52" s="240"/>
      <c r="M52" s="242"/>
      <c r="N52" s="237"/>
      <c r="O52" s="246"/>
      <c r="P52" s="240"/>
      <c r="Q52" s="242"/>
      <c r="R52" s="237"/>
      <c r="S52" s="246"/>
      <c r="T52" s="240"/>
      <c r="U52" s="242"/>
      <c r="V52" s="237"/>
      <c r="W52" s="246"/>
      <c r="X52" s="240"/>
      <c r="Y52" s="242"/>
      <c r="Z52" s="240"/>
    </row>
    <row r="53" spans="1:28" x14ac:dyDescent="0.2">
      <c r="A53" s="259"/>
      <c r="B53" s="237"/>
      <c r="C53" s="246"/>
      <c r="D53" s="240"/>
      <c r="E53" s="246"/>
      <c r="F53" s="240"/>
      <c r="G53" s="246"/>
      <c r="H53" s="240"/>
      <c r="I53" s="242"/>
      <c r="J53" s="237"/>
      <c r="K53" s="246"/>
      <c r="L53" s="240"/>
      <c r="M53" s="242"/>
      <c r="N53" s="237"/>
      <c r="O53" s="246"/>
      <c r="P53" s="240"/>
      <c r="Q53" s="242"/>
      <c r="R53" s="237"/>
      <c r="S53" s="246"/>
      <c r="T53" s="240"/>
      <c r="U53" s="242"/>
      <c r="V53" s="237"/>
      <c r="W53" s="246"/>
      <c r="X53" s="240"/>
      <c r="Y53" s="242"/>
      <c r="Z53" s="240"/>
    </row>
    <row r="54" spans="1:28" x14ac:dyDescent="0.2">
      <c r="A54" s="259"/>
      <c r="B54" s="237"/>
      <c r="C54" s="246"/>
      <c r="D54" s="240"/>
      <c r="E54" s="246"/>
      <c r="F54" s="240"/>
      <c r="G54" s="246"/>
      <c r="H54" s="240"/>
      <c r="I54" s="242"/>
      <c r="J54" s="237"/>
      <c r="K54" s="246"/>
      <c r="L54" s="240"/>
      <c r="M54" s="242"/>
      <c r="N54" s="237"/>
      <c r="O54" s="246"/>
      <c r="P54" s="240"/>
      <c r="Q54" s="242"/>
      <c r="R54" s="237"/>
      <c r="S54" s="246"/>
      <c r="T54" s="240"/>
      <c r="U54" s="242"/>
      <c r="V54" s="237"/>
      <c r="W54" s="246"/>
      <c r="X54" s="240"/>
      <c r="Y54" s="242"/>
      <c r="Z54" s="240"/>
    </row>
    <row r="55" spans="1:28" x14ac:dyDescent="0.2">
      <c r="A55" s="259"/>
      <c r="B55" s="237"/>
      <c r="C55" s="246"/>
      <c r="D55" s="240"/>
      <c r="E55" s="246"/>
      <c r="F55" s="240"/>
      <c r="G55" s="246"/>
      <c r="H55" s="240"/>
      <c r="I55" s="242"/>
      <c r="J55" s="237"/>
      <c r="K55" s="246"/>
      <c r="L55" s="240"/>
      <c r="M55" s="242"/>
      <c r="N55" s="237"/>
      <c r="O55" s="246"/>
      <c r="P55" s="240"/>
      <c r="Q55" s="242"/>
      <c r="R55" s="237"/>
      <c r="S55" s="246"/>
      <c r="T55" s="240"/>
      <c r="U55" s="242"/>
      <c r="V55" s="237"/>
      <c r="W55" s="246"/>
      <c r="X55" s="240"/>
      <c r="Y55" s="242"/>
      <c r="Z55" s="240"/>
    </row>
    <row r="56" spans="1:28" x14ac:dyDescent="0.2">
      <c r="A56" s="259"/>
      <c r="B56" s="237"/>
      <c r="C56" s="246"/>
      <c r="D56" s="240"/>
      <c r="E56" s="246"/>
      <c r="F56" s="240"/>
      <c r="G56" s="246"/>
      <c r="H56" s="240"/>
      <c r="I56" s="242"/>
      <c r="J56" s="237"/>
      <c r="K56" s="246"/>
      <c r="L56" s="240"/>
      <c r="M56" s="242"/>
      <c r="N56" s="237"/>
      <c r="O56" s="246"/>
      <c r="P56" s="240"/>
      <c r="Q56" s="242"/>
      <c r="R56" s="237"/>
      <c r="S56" s="246"/>
      <c r="T56" s="240"/>
      <c r="U56" s="242"/>
      <c r="V56" s="237"/>
      <c r="W56" s="246"/>
      <c r="X56" s="240"/>
      <c r="Y56" s="242"/>
      <c r="Z56" s="240"/>
      <c r="AA56" s="426" t="s">
        <v>466</v>
      </c>
      <c r="AB56" s="427"/>
    </row>
    <row r="57" spans="1:28" x14ac:dyDescent="0.2">
      <c r="A57" s="259"/>
      <c r="B57" s="237"/>
      <c r="C57" s="246"/>
      <c r="D57" s="240"/>
      <c r="E57" s="246"/>
      <c r="F57" s="240"/>
      <c r="G57" s="246"/>
      <c r="H57" s="240"/>
      <c r="I57" s="242"/>
      <c r="J57" s="237"/>
      <c r="K57" s="246"/>
      <c r="L57" s="240"/>
      <c r="M57" s="242"/>
      <c r="N57" s="237"/>
      <c r="O57" s="246"/>
      <c r="P57" s="240"/>
      <c r="Q57" s="242"/>
      <c r="R57" s="237"/>
      <c r="S57" s="246"/>
      <c r="T57" s="240"/>
      <c r="U57" s="242"/>
      <c r="V57" s="237"/>
      <c r="W57" s="246"/>
      <c r="X57" s="240"/>
      <c r="Y57" s="242"/>
      <c r="Z57" s="240"/>
      <c r="AA57" s="426"/>
      <c r="AB57" s="427"/>
    </row>
    <row r="58" spans="1:28" x14ac:dyDescent="0.2">
      <c r="A58" s="259"/>
      <c r="B58" s="237"/>
      <c r="C58" s="246"/>
      <c r="D58" s="240"/>
      <c r="E58" s="246"/>
      <c r="F58" s="240"/>
      <c r="G58" s="246"/>
      <c r="H58" s="240"/>
      <c r="I58" s="242"/>
      <c r="J58" s="237"/>
      <c r="K58" s="246"/>
      <c r="L58" s="240"/>
      <c r="M58" s="242"/>
      <c r="N58" s="237"/>
      <c r="O58" s="246"/>
      <c r="P58" s="240"/>
      <c r="Q58" s="242"/>
      <c r="R58" s="237"/>
      <c r="S58" s="246"/>
      <c r="T58" s="240"/>
      <c r="U58" s="242"/>
      <c r="V58" s="237"/>
      <c r="W58" s="246"/>
      <c r="X58" s="240"/>
      <c r="Y58" s="242"/>
      <c r="Z58" s="240"/>
      <c r="AA58" s="426"/>
      <c r="AB58" s="427"/>
    </row>
    <row r="59" spans="1:28" x14ac:dyDescent="0.2">
      <c r="A59" s="259"/>
      <c r="B59" s="240"/>
      <c r="C59" s="242" t="s">
        <v>460</v>
      </c>
      <c r="D59" s="240"/>
      <c r="E59" s="242" t="s">
        <v>460</v>
      </c>
      <c r="F59" s="240"/>
      <c r="G59" s="242" t="s">
        <v>460</v>
      </c>
      <c r="H59" s="240"/>
      <c r="I59" s="242" t="s">
        <v>460</v>
      </c>
      <c r="J59" s="240"/>
      <c r="K59" s="242" t="s">
        <v>460</v>
      </c>
      <c r="L59" s="240"/>
      <c r="M59" s="242" t="s">
        <v>460</v>
      </c>
      <c r="N59" s="237">
        <v>0.01</v>
      </c>
      <c r="O59" s="246" t="s">
        <v>460</v>
      </c>
      <c r="P59" s="240">
        <v>7.0000000000000007E-2</v>
      </c>
      <c r="Q59" s="242" t="s">
        <v>460</v>
      </c>
      <c r="R59" s="240">
        <v>0.21</v>
      </c>
      <c r="S59" s="242" t="s">
        <v>460</v>
      </c>
      <c r="T59" s="240"/>
      <c r="U59" s="242" t="s">
        <v>460</v>
      </c>
      <c r="V59" s="240"/>
      <c r="W59" s="242" t="s">
        <v>460</v>
      </c>
      <c r="X59" s="240"/>
      <c r="Y59" s="242" t="s">
        <v>460</v>
      </c>
      <c r="Z59" s="240"/>
      <c r="AA59" s="65" t="s">
        <v>460</v>
      </c>
      <c r="AB59" s="18">
        <f>SUM(D59:Z59)</f>
        <v>0.28999999999999998</v>
      </c>
    </row>
    <row r="60" spans="1:28" x14ac:dyDescent="0.2">
      <c r="A60" s="260"/>
      <c r="B60" s="238"/>
      <c r="C60" s="247"/>
      <c r="D60" s="239"/>
      <c r="E60" s="247"/>
      <c r="F60" s="239"/>
      <c r="G60" s="247"/>
      <c r="H60" s="239"/>
      <c r="I60" s="243"/>
      <c r="J60" s="238"/>
      <c r="K60" s="247"/>
      <c r="L60" s="239"/>
      <c r="M60" s="243"/>
      <c r="N60" s="238"/>
      <c r="O60" s="247"/>
      <c r="P60" s="239"/>
      <c r="Q60" s="243"/>
      <c r="R60" s="238"/>
      <c r="S60" s="247"/>
      <c r="T60" s="239"/>
      <c r="U60" s="243"/>
      <c r="V60" s="238"/>
      <c r="W60" s="247"/>
      <c r="X60" s="239"/>
      <c r="Y60" s="243"/>
      <c r="Z60" s="239"/>
      <c r="AA60" s="65" t="s">
        <v>467</v>
      </c>
      <c r="AB60" s="18">
        <v>-5</v>
      </c>
    </row>
    <row r="61" spans="1:28" x14ac:dyDescent="0.2">
      <c r="AA61" s="324" t="s">
        <v>468</v>
      </c>
      <c r="AB61" s="325">
        <f>AB59+AB60</f>
        <v>-4.71</v>
      </c>
    </row>
  </sheetData>
  <mergeCells count="41">
    <mergeCell ref="AA4:AB4"/>
    <mergeCell ref="AA5:AB5"/>
    <mergeCell ref="AA6:AB6"/>
    <mergeCell ref="B1:Z2"/>
    <mergeCell ref="AA56:AB58"/>
    <mergeCell ref="W4:X4"/>
    <mergeCell ref="W5:X5"/>
    <mergeCell ref="W6:X6"/>
    <mergeCell ref="Y4:Z4"/>
    <mergeCell ref="Y5:Z5"/>
    <mergeCell ref="Y6:Z6"/>
    <mergeCell ref="S4:T4"/>
    <mergeCell ref="S5:T5"/>
    <mergeCell ref="S6:T6"/>
    <mergeCell ref="U4:V4"/>
    <mergeCell ref="U5:V5"/>
    <mergeCell ref="U6:V6"/>
    <mergeCell ref="O4:P4"/>
    <mergeCell ref="O5:P5"/>
    <mergeCell ref="O6:P6"/>
    <mergeCell ref="Q4:R4"/>
    <mergeCell ref="Q5:R5"/>
    <mergeCell ref="Q6:R6"/>
    <mergeCell ref="K4:L4"/>
    <mergeCell ref="K5:L5"/>
    <mergeCell ref="K6:L6"/>
    <mergeCell ref="M4:N4"/>
    <mergeCell ref="M5:N5"/>
    <mergeCell ref="M6:N6"/>
    <mergeCell ref="G4:H4"/>
    <mergeCell ref="G5:H5"/>
    <mergeCell ref="G6:H6"/>
    <mergeCell ref="I4:J4"/>
    <mergeCell ref="I5:J5"/>
    <mergeCell ref="I6:J6"/>
    <mergeCell ref="C4:D4"/>
    <mergeCell ref="C5:D5"/>
    <mergeCell ref="C6:D6"/>
    <mergeCell ref="E4:F4"/>
    <mergeCell ref="E5:F5"/>
    <mergeCell ref="E6:F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5"/>
  <sheetViews>
    <sheetView zoomScaleNormal="70" zoomScalePageLayoutView="70" workbookViewId="0">
      <selection activeCell="S68" sqref="S68"/>
    </sheetView>
  </sheetViews>
  <sheetFormatPr baseColWidth="10" defaultColWidth="8.83203125" defaultRowHeight="15" x14ac:dyDescent="0.2"/>
  <cols>
    <col min="1" max="1" width="23.5" style="6" customWidth="1"/>
    <col min="2" max="2" width="14.33203125" style="10" customWidth="1"/>
    <col min="3" max="3" width="11.6640625" style="7" customWidth="1"/>
    <col min="4" max="6" width="12" style="18" customWidth="1"/>
    <col min="7" max="7" width="54.83203125" style="19" customWidth="1"/>
    <col min="8" max="8" width="14.1640625" style="37" customWidth="1"/>
    <col min="9" max="9" width="18.5" customWidth="1"/>
    <col min="10" max="10" width="20.33203125" customWidth="1"/>
    <col min="11" max="11" width="10" customWidth="1"/>
    <col min="12" max="12" width="14.1640625" customWidth="1"/>
    <col min="13" max="13" width="20.33203125" customWidth="1"/>
    <col min="14" max="14" width="10" customWidth="1"/>
    <col min="15" max="15" width="14.1640625" customWidth="1"/>
    <col min="16" max="16" width="20.33203125" customWidth="1"/>
    <col min="17" max="17" width="10" customWidth="1"/>
    <col min="18" max="18" width="14.1640625" customWidth="1"/>
    <col min="19" max="19" width="20.33203125" customWidth="1"/>
    <col min="20" max="20" width="10" customWidth="1"/>
    <col min="21" max="21" width="14.1640625" customWidth="1"/>
    <col min="22" max="22" width="20.33203125" customWidth="1"/>
    <col min="23" max="23" width="10" customWidth="1"/>
    <col min="24" max="24" width="14.1640625" customWidth="1"/>
    <col min="25" max="25" width="20.33203125" customWidth="1"/>
    <col min="26" max="26" width="10" customWidth="1"/>
    <col min="27" max="27" width="14.1640625" customWidth="1"/>
  </cols>
  <sheetData>
    <row r="1" spans="1:27" x14ac:dyDescent="0.2">
      <c r="D1" s="11" t="s">
        <v>14</v>
      </c>
      <c r="E1" s="11" t="s">
        <v>6</v>
      </c>
      <c r="F1" s="11" t="s">
        <v>9</v>
      </c>
      <c r="G1" s="12"/>
      <c r="M1" s="486" t="s">
        <v>251</v>
      </c>
      <c r="N1" s="486"/>
      <c r="P1" s="486" t="s">
        <v>250</v>
      </c>
      <c r="Q1" s="486"/>
      <c r="S1" s="486" t="s">
        <v>276</v>
      </c>
      <c r="T1" s="486"/>
      <c r="V1" s="488"/>
      <c r="W1" s="488"/>
    </row>
    <row r="2" spans="1:27" s="2" customFormat="1" ht="15" customHeight="1" x14ac:dyDescent="0.2">
      <c r="A2" s="13" t="s">
        <v>20</v>
      </c>
      <c r="B2" s="14" t="s">
        <v>21</v>
      </c>
      <c r="C2" s="15" t="s">
        <v>22</v>
      </c>
      <c r="D2" s="16" t="s">
        <v>21</v>
      </c>
      <c r="E2" s="16" t="s">
        <v>21</v>
      </c>
      <c r="F2" s="16" t="s">
        <v>21</v>
      </c>
      <c r="G2" s="17" t="s">
        <v>0</v>
      </c>
      <c r="H2" s="38"/>
      <c r="I2" s="2" t="s">
        <v>28</v>
      </c>
      <c r="M2" s="487"/>
      <c r="N2" s="487"/>
      <c r="P2" s="487"/>
      <c r="Q2" s="487"/>
      <c r="S2" s="487"/>
      <c r="T2" s="487"/>
      <c r="V2" s="488"/>
      <c r="W2" s="488"/>
    </row>
    <row r="3" spans="1:27" x14ac:dyDescent="0.2">
      <c r="A3" s="6" t="s">
        <v>12</v>
      </c>
      <c r="B3" s="109">
        <v>85072</v>
      </c>
      <c r="C3" s="7" t="s">
        <v>14</v>
      </c>
      <c r="D3" s="18">
        <f>IF(C3=$AA$7, B3*6,IF(C3=$AA$6, B3*12, IF(C3=$AA$5, B3*26, IF(C3=$AA$4,B3*52,B3))))</f>
        <v>85072</v>
      </c>
      <c r="E3" s="18">
        <f>D3/12</f>
        <v>7089.333333333333</v>
      </c>
      <c r="F3" s="18">
        <f>D3/$AA$11</f>
        <v>3272</v>
      </c>
      <c r="I3" s="5">
        <f>I7/52</f>
        <v>0.47795942307717409</v>
      </c>
      <c r="J3" t="s">
        <v>11</v>
      </c>
      <c r="M3" s="47" t="s">
        <v>44</v>
      </c>
      <c r="N3" s="5">
        <f t="shared" ref="N3:N12" si="0">SUMIF($H$18:$H$50,M3,$D$18:$D$50)</f>
        <v>2160</v>
      </c>
      <c r="P3" s="47" t="s">
        <v>44</v>
      </c>
      <c r="Q3" s="5">
        <f>N3/12</f>
        <v>180</v>
      </c>
      <c r="S3" s="47" t="s">
        <v>44</v>
      </c>
      <c r="T3" s="5">
        <f>SUM(K49,N49,Q49,T49,W49,Z49,K95,N95,Q95,T95,W95,Z95)</f>
        <v>2095.4499999999998</v>
      </c>
      <c r="V3" s="147"/>
      <c r="W3" s="148"/>
      <c r="X3" s="3"/>
      <c r="AA3" s="3" t="s">
        <v>45</v>
      </c>
    </row>
    <row r="4" spans="1:27" x14ac:dyDescent="0.2">
      <c r="A4" s="6" t="s">
        <v>2</v>
      </c>
      <c r="B4" s="109">
        <v>82.41</v>
      </c>
      <c r="C4" s="7" t="s">
        <v>9</v>
      </c>
      <c r="D4" s="18">
        <f t="shared" ref="D4:D50" si="1">IF(C4=$AA$7, B4*6,IF(C4=$AA$6, B4*12, IF(C4=$AA$5, B4*26, IF(C4=$AA$4,B4*52,B4))))</f>
        <v>2142.66</v>
      </c>
      <c r="E4" s="18">
        <f t="shared" ref="E4:E10" si="2">D4/12</f>
        <v>178.55499999999998</v>
      </c>
      <c r="F4" s="18">
        <f t="shared" ref="F4:F50" si="3">D4/$AA$11</f>
        <v>82.41</v>
      </c>
      <c r="G4" s="119" t="s">
        <v>241</v>
      </c>
      <c r="I4" s="5">
        <f>I7/26</f>
        <v>0.95591884615434819</v>
      </c>
      <c r="J4" t="s">
        <v>9</v>
      </c>
      <c r="M4" s="49" t="s">
        <v>47</v>
      </c>
      <c r="N4" s="5">
        <f t="shared" si="0"/>
        <v>2006.8</v>
      </c>
      <c r="P4" s="49" t="s">
        <v>47</v>
      </c>
      <c r="Q4" s="5">
        <f t="shared" ref="Q4:Q13" si="4">N4/12</f>
        <v>167.23333333333332</v>
      </c>
      <c r="S4" s="49" t="s">
        <v>47</v>
      </c>
      <c r="T4" s="5">
        <f t="shared" ref="T4:T12" si="5">SUM(K50,N50,Q50,T50,W50,Z50,K96,N96,Q96,T96,W96,Z96)</f>
        <v>1198.5133333333333</v>
      </c>
      <c r="V4" s="147"/>
      <c r="W4" s="148"/>
      <c r="AA4" t="s">
        <v>11</v>
      </c>
    </row>
    <row r="5" spans="1:27" x14ac:dyDescent="0.2">
      <c r="A5" s="20" t="s">
        <v>4</v>
      </c>
      <c r="B5" s="111">
        <v>50</v>
      </c>
      <c r="C5" s="21" t="s">
        <v>9</v>
      </c>
      <c r="D5" s="22">
        <f t="shared" si="1"/>
        <v>1300</v>
      </c>
      <c r="E5" s="118">
        <f t="shared" si="2"/>
        <v>108.33333333333333</v>
      </c>
      <c r="F5" s="22">
        <f t="shared" si="3"/>
        <v>50</v>
      </c>
      <c r="G5" s="110" t="s">
        <v>241</v>
      </c>
      <c r="I5" s="5">
        <f>I6/2</f>
        <v>2.0711575000010876</v>
      </c>
      <c r="J5" t="s">
        <v>6</v>
      </c>
      <c r="M5" s="51" t="s">
        <v>3</v>
      </c>
      <c r="N5" s="5">
        <f t="shared" si="0"/>
        <v>7190</v>
      </c>
      <c r="P5" s="51" t="s">
        <v>3</v>
      </c>
      <c r="Q5" s="5">
        <f t="shared" si="4"/>
        <v>599.16666666666663</v>
      </c>
      <c r="S5" s="51" t="s">
        <v>3</v>
      </c>
      <c r="T5" s="5">
        <f t="shared" si="5"/>
        <v>7637.756666666668</v>
      </c>
      <c r="V5" s="147"/>
      <c r="W5" s="148"/>
      <c r="AA5" t="s">
        <v>9</v>
      </c>
    </row>
    <row r="6" spans="1:27" x14ac:dyDescent="0.2">
      <c r="A6" s="23" t="s">
        <v>15</v>
      </c>
      <c r="B6" s="24">
        <f>D6</f>
        <v>81629.34</v>
      </c>
      <c r="C6" s="25" t="s">
        <v>14</v>
      </c>
      <c r="D6" s="22">
        <f>D3-D4-D5</f>
        <v>81629.34</v>
      </c>
      <c r="E6" s="118">
        <f t="shared" si="2"/>
        <v>6802.4449999999997</v>
      </c>
      <c r="F6" s="22">
        <f t="shared" si="3"/>
        <v>3139.5899999999997</v>
      </c>
      <c r="G6" s="26"/>
      <c r="I6" s="5">
        <f>I7/6</f>
        <v>4.1423150000021751</v>
      </c>
      <c r="J6" t="s">
        <v>18</v>
      </c>
      <c r="M6" s="50" t="s">
        <v>7</v>
      </c>
      <c r="N6" s="5">
        <f t="shared" si="0"/>
        <v>8100</v>
      </c>
      <c r="P6" s="50" t="s">
        <v>7</v>
      </c>
      <c r="Q6" s="5">
        <f t="shared" si="4"/>
        <v>675</v>
      </c>
      <c r="S6" s="50" t="s">
        <v>7</v>
      </c>
      <c r="T6" s="5">
        <f t="shared" si="5"/>
        <v>6918.45</v>
      </c>
      <c r="V6" s="147"/>
      <c r="W6" s="148"/>
      <c r="AA6" t="s">
        <v>6</v>
      </c>
    </row>
    <row r="7" spans="1:27" x14ac:dyDescent="0.2">
      <c r="A7" s="6" t="s">
        <v>100</v>
      </c>
      <c r="B7" s="10">
        <f>B6*0.0708</f>
        <v>5779.3572720000002</v>
      </c>
      <c r="C7" s="7" t="s">
        <v>14</v>
      </c>
      <c r="D7" s="18">
        <f t="shared" si="1"/>
        <v>5779.3572720000002</v>
      </c>
      <c r="E7" s="18">
        <f t="shared" si="2"/>
        <v>481.61310600000002</v>
      </c>
      <c r="F7" s="18">
        <f t="shared" si="3"/>
        <v>222.282972</v>
      </c>
      <c r="G7" s="115" t="s">
        <v>242</v>
      </c>
      <c r="I7" s="5">
        <f>D10-SUM(D18:D50)</f>
        <v>24.853890000013052</v>
      </c>
      <c r="J7" t="s">
        <v>14</v>
      </c>
      <c r="M7" s="48" t="s">
        <v>1</v>
      </c>
      <c r="N7" s="5">
        <f t="shared" si="0"/>
        <v>23202</v>
      </c>
      <c r="P7" s="48" t="s">
        <v>1</v>
      </c>
      <c r="Q7" s="5">
        <f t="shared" si="4"/>
        <v>1933.5</v>
      </c>
      <c r="S7" s="48" t="s">
        <v>1</v>
      </c>
      <c r="T7" s="5">
        <f t="shared" si="5"/>
        <v>16836.080000000002</v>
      </c>
      <c r="V7" s="147"/>
      <c r="W7" s="148"/>
      <c r="AA7" t="s">
        <v>18</v>
      </c>
    </row>
    <row r="8" spans="1:27" x14ac:dyDescent="0.2">
      <c r="A8" s="27" t="s">
        <v>99</v>
      </c>
      <c r="B8" s="10">
        <f>B6*0.0785</f>
        <v>6407.90319</v>
      </c>
      <c r="C8" s="7" t="s">
        <v>14</v>
      </c>
      <c r="D8" s="18">
        <f t="shared" si="1"/>
        <v>6407.90319</v>
      </c>
      <c r="E8" s="18">
        <f t="shared" si="2"/>
        <v>533.99193249999996</v>
      </c>
      <c r="F8" s="18">
        <f t="shared" si="3"/>
        <v>246.45781500000001</v>
      </c>
      <c r="G8" s="116" t="s">
        <v>243</v>
      </c>
      <c r="M8" s="53" t="s">
        <v>40</v>
      </c>
      <c r="N8" s="5">
        <f t="shared" si="0"/>
        <v>1560</v>
      </c>
      <c r="P8" s="53" t="s">
        <v>40</v>
      </c>
      <c r="Q8" s="5">
        <f t="shared" si="4"/>
        <v>130</v>
      </c>
      <c r="S8" s="53" t="s">
        <v>40</v>
      </c>
      <c r="T8" s="5">
        <f t="shared" si="5"/>
        <v>1541.8400000000001</v>
      </c>
      <c r="V8" s="147"/>
      <c r="W8" s="148"/>
      <c r="AA8" t="s">
        <v>14</v>
      </c>
    </row>
    <row r="9" spans="1:27" ht="16" thickBot="1" x14ac:dyDescent="0.25">
      <c r="A9" s="28" t="s">
        <v>16</v>
      </c>
      <c r="B9" s="29">
        <f>B6*0.1672</f>
        <v>13648.425647999999</v>
      </c>
      <c r="C9" s="30" t="s">
        <v>14</v>
      </c>
      <c r="D9" s="1">
        <f t="shared" si="1"/>
        <v>13648.425647999999</v>
      </c>
      <c r="E9" s="1">
        <f t="shared" si="2"/>
        <v>1137.368804</v>
      </c>
      <c r="F9" s="1">
        <f t="shared" si="3"/>
        <v>524.93944799999997</v>
      </c>
      <c r="G9" s="117" t="s">
        <v>244</v>
      </c>
      <c r="M9" s="54" t="s">
        <v>48</v>
      </c>
      <c r="N9" s="5">
        <f t="shared" si="0"/>
        <v>9600</v>
      </c>
      <c r="P9" s="54" t="s">
        <v>48</v>
      </c>
      <c r="Q9" s="5">
        <f t="shared" si="4"/>
        <v>800</v>
      </c>
      <c r="S9" s="54" t="s">
        <v>48</v>
      </c>
      <c r="T9" s="5">
        <f t="shared" si="5"/>
        <v>3324.01</v>
      </c>
      <c r="V9" s="147"/>
      <c r="W9" s="148"/>
    </row>
    <row r="10" spans="1:27" ht="16" thickBot="1" x14ac:dyDescent="0.25">
      <c r="A10" s="31" t="s">
        <v>19</v>
      </c>
      <c r="B10" s="32">
        <f>B6-B7-B8-B9</f>
        <v>55793.653890000009</v>
      </c>
      <c r="C10" s="33" t="s">
        <v>14</v>
      </c>
      <c r="D10" s="34">
        <f t="shared" si="1"/>
        <v>55793.653890000009</v>
      </c>
      <c r="E10" s="34">
        <f t="shared" si="2"/>
        <v>4649.471157500001</v>
      </c>
      <c r="F10" s="34">
        <f t="shared" si="3"/>
        <v>2145.9097650000003</v>
      </c>
      <c r="G10" s="35"/>
      <c r="M10" s="52" t="s">
        <v>8</v>
      </c>
      <c r="N10" s="5">
        <f t="shared" si="0"/>
        <v>1200</v>
      </c>
      <c r="P10" s="52" t="s">
        <v>8</v>
      </c>
      <c r="Q10" s="5">
        <f t="shared" si="4"/>
        <v>100</v>
      </c>
      <c r="S10" s="52" t="s">
        <v>8</v>
      </c>
      <c r="T10" s="5">
        <f t="shared" si="5"/>
        <v>1160</v>
      </c>
      <c r="V10" s="147"/>
      <c r="W10" s="148"/>
      <c r="AA10" s="4" t="s">
        <v>23</v>
      </c>
    </row>
    <row r="11" spans="1:27" x14ac:dyDescent="0.2">
      <c r="D11" s="11" t="s">
        <v>14</v>
      </c>
      <c r="E11" s="11" t="s">
        <v>6</v>
      </c>
      <c r="F11" s="11" t="str">
        <f>F1</f>
        <v>Bi-Weekly</v>
      </c>
      <c r="M11" s="61" t="s">
        <v>82</v>
      </c>
      <c r="N11" s="5">
        <f t="shared" si="0"/>
        <v>450</v>
      </c>
      <c r="P11" s="61" t="s">
        <v>82</v>
      </c>
      <c r="Q11" s="5">
        <f t="shared" si="4"/>
        <v>37.5</v>
      </c>
      <c r="S11" s="61" t="s">
        <v>82</v>
      </c>
      <c r="T11" s="5">
        <f t="shared" si="5"/>
        <v>1967.56</v>
      </c>
      <c r="V11" s="147"/>
      <c r="W11" s="148"/>
      <c r="AA11" s="4">
        <f>IF(F1=AA7,6,IF(F1=AA6,12,IF(F1=AA5,26,IF(F1=AA4,52,1))))</f>
        <v>26</v>
      </c>
    </row>
    <row r="12" spans="1:27" x14ac:dyDescent="0.2">
      <c r="A12" s="13" t="s">
        <v>25</v>
      </c>
      <c r="B12" s="14" t="s">
        <v>24</v>
      </c>
      <c r="C12" s="15" t="s">
        <v>22</v>
      </c>
      <c r="D12" s="16" t="s">
        <v>21</v>
      </c>
      <c r="E12" s="16" t="s">
        <v>21</v>
      </c>
      <c r="F12" s="16" t="s">
        <v>21</v>
      </c>
      <c r="G12" s="17"/>
      <c r="H12" s="39" t="s">
        <v>13</v>
      </c>
      <c r="M12" s="62" t="s">
        <v>17</v>
      </c>
      <c r="N12" s="46">
        <f t="shared" si="0"/>
        <v>300</v>
      </c>
      <c r="P12" s="62" t="s">
        <v>17</v>
      </c>
      <c r="Q12" s="46">
        <f t="shared" si="4"/>
        <v>25</v>
      </c>
      <c r="S12" s="62" t="s">
        <v>17</v>
      </c>
      <c r="T12" s="46">
        <f t="shared" si="5"/>
        <v>1516.8999999999999</v>
      </c>
      <c r="V12" s="147"/>
      <c r="W12" s="148"/>
    </row>
    <row r="13" spans="1:27" x14ac:dyDescent="0.2">
      <c r="M13" s="45" t="s">
        <v>49</v>
      </c>
      <c r="N13" s="11">
        <f>IF(SUM(N3:N12)+I7=D10,SUM(N3:N12),"ERROR")</f>
        <v>55768.800000000003</v>
      </c>
      <c r="P13" s="45" t="s">
        <v>49</v>
      </c>
      <c r="Q13" s="11">
        <f t="shared" si="4"/>
        <v>4647.4000000000005</v>
      </c>
      <c r="S13" s="45" t="s">
        <v>49</v>
      </c>
      <c r="T13" s="11">
        <f>IF(SUM(T3:T12)&gt;N13,"TOO MUCH ADJUSTMENT!",SUM(T3:T12))</f>
        <v>44196.56</v>
      </c>
      <c r="V13" s="149"/>
      <c r="W13" s="150"/>
    </row>
    <row r="14" spans="1:27" ht="16" thickBot="1" x14ac:dyDescent="0.25"/>
    <row r="15" spans="1:27" ht="16" x14ac:dyDescent="0.2">
      <c r="J15" s="491" t="s">
        <v>248</v>
      </c>
      <c r="K15" s="484"/>
      <c r="L15" s="484"/>
      <c r="M15" s="484" t="s">
        <v>256</v>
      </c>
      <c r="N15" s="484"/>
      <c r="O15" s="484"/>
      <c r="P15" s="484" t="s">
        <v>257</v>
      </c>
      <c r="Q15" s="484"/>
      <c r="R15" s="484"/>
      <c r="S15" s="484" t="s">
        <v>255</v>
      </c>
      <c r="T15" s="484"/>
      <c r="U15" s="484"/>
      <c r="V15" s="484" t="s">
        <v>254</v>
      </c>
      <c r="W15" s="484"/>
      <c r="X15" s="484"/>
      <c r="Y15" s="484" t="s">
        <v>258</v>
      </c>
      <c r="Z15" s="484"/>
      <c r="AA15" s="485"/>
    </row>
    <row r="16" spans="1:27" x14ac:dyDescent="0.2">
      <c r="A16" s="489" t="s">
        <v>245</v>
      </c>
      <c r="B16" s="489"/>
      <c r="C16" s="489"/>
      <c r="D16" s="489"/>
      <c r="E16" s="489"/>
      <c r="F16" s="489"/>
      <c r="G16" s="489"/>
      <c r="H16" s="489"/>
      <c r="J16" s="481" t="s">
        <v>247</v>
      </c>
      <c r="K16" s="470" t="s">
        <v>246</v>
      </c>
      <c r="L16" s="477" t="s">
        <v>13</v>
      </c>
      <c r="M16" s="468" t="s">
        <v>247</v>
      </c>
      <c r="N16" s="470" t="s">
        <v>246</v>
      </c>
      <c r="O16" s="477" t="s">
        <v>13</v>
      </c>
      <c r="P16" s="468" t="s">
        <v>247</v>
      </c>
      <c r="Q16" s="470" t="s">
        <v>246</v>
      </c>
      <c r="R16" s="477" t="s">
        <v>13</v>
      </c>
      <c r="S16" s="468" t="s">
        <v>247</v>
      </c>
      <c r="T16" s="470" t="s">
        <v>246</v>
      </c>
      <c r="U16" s="477" t="s">
        <v>13</v>
      </c>
      <c r="V16" s="468" t="s">
        <v>247</v>
      </c>
      <c r="W16" s="470" t="s">
        <v>246</v>
      </c>
      <c r="X16" s="477" t="s">
        <v>13</v>
      </c>
      <c r="Y16" s="468" t="s">
        <v>247</v>
      </c>
      <c r="Z16" s="470" t="s">
        <v>246</v>
      </c>
      <c r="AA16" s="472" t="s">
        <v>13</v>
      </c>
    </row>
    <row r="17" spans="1:27" x14ac:dyDescent="0.2">
      <c r="A17" s="490"/>
      <c r="B17" s="490"/>
      <c r="C17" s="490"/>
      <c r="D17" s="490"/>
      <c r="E17" s="490"/>
      <c r="F17" s="490"/>
      <c r="G17" s="490"/>
      <c r="H17" s="490"/>
      <c r="J17" s="482"/>
      <c r="K17" s="471"/>
      <c r="L17" s="478"/>
      <c r="M17" s="469"/>
      <c r="N17" s="471"/>
      <c r="O17" s="478"/>
      <c r="P17" s="469"/>
      <c r="Q17" s="471"/>
      <c r="R17" s="478"/>
      <c r="S17" s="469"/>
      <c r="T17" s="471"/>
      <c r="U17" s="478"/>
      <c r="V17" s="469"/>
      <c r="W17" s="471"/>
      <c r="X17" s="478"/>
      <c r="Y17" s="469"/>
      <c r="Z17" s="471"/>
      <c r="AA17" s="473"/>
    </row>
    <row r="18" spans="1:27" ht="30" x14ac:dyDescent="0.2">
      <c r="A18" s="6" t="s">
        <v>3</v>
      </c>
      <c r="B18" s="10">
        <v>530</v>
      </c>
      <c r="C18" s="7" t="s">
        <v>6</v>
      </c>
      <c r="D18" s="18">
        <f>IF(C18=$AA$7, B18*6,IF(C18=$AA$6, B18*12, IF(C18=$AA$5, B18*26, IF(C18=$AA$4,B18*52,B18))))</f>
        <v>6360</v>
      </c>
      <c r="E18" s="18">
        <f>D18/12</f>
        <v>530</v>
      </c>
      <c r="F18" s="18">
        <f>D18/$AA$11</f>
        <v>244.61538461538461</v>
      </c>
      <c r="G18" s="233" t="s">
        <v>340</v>
      </c>
      <c r="H18" s="40" t="s">
        <v>3</v>
      </c>
      <c r="J18" s="27" t="s">
        <v>252</v>
      </c>
      <c r="K18" s="143">
        <f>-$Q$3</f>
        <v>-180</v>
      </c>
      <c r="L18" s="244" t="s">
        <v>44</v>
      </c>
      <c r="M18" s="140" t="s">
        <v>252</v>
      </c>
      <c r="N18" s="143">
        <f>-$Q$3</f>
        <v>-180</v>
      </c>
      <c r="O18" s="244" t="s">
        <v>44</v>
      </c>
      <c r="P18" s="140" t="s">
        <v>252</v>
      </c>
      <c r="Q18" s="143">
        <f>-$Q$3</f>
        <v>-180</v>
      </c>
      <c r="R18" s="244" t="s">
        <v>44</v>
      </c>
      <c r="S18" s="140" t="s">
        <v>252</v>
      </c>
      <c r="T18" s="143">
        <f>-$Q$3</f>
        <v>-180</v>
      </c>
      <c r="U18" s="244" t="s">
        <v>44</v>
      </c>
      <c r="V18" s="140" t="s">
        <v>252</v>
      </c>
      <c r="W18" s="143">
        <f>-$Q$3</f>
        <v>-180</v>
      </c>
      <c r="X18" s="244" t="s">
        <v>44</v>
      </c>
      <c r="Y18" s="192"/>
      <c r="Z18" s="143"/>
      <c r="AA18" s="248"/>
    </row>
    <row r="19" spans="1:27" ht="30" x14ac:dyDescent="0.2">
      <c r="A19" s="6" t="s">
        <v>66</v>
      </c>
      <c r="B19" s="10">
        <v>350</v>
      </c>
      <c r="C19" s="7" t="s">
        <v>14</v>
      </c>
      <c r="D19" s="18">
        <f>IF(C19=$AA$7, B19*6,IF(C19=$AA$6, B19*12, IF(C19=$AA$5, B19*26, IF(C19=$AA$4,B19*52,B19))))</f>
        <v>350</v>
      </c>
      <c r="E19" s="18">
        <f t="shared" ref="E19:E50" si="6">D19/12</f>
        <v>29.166666666666668</v>
      </c>
      <c r="F19" s="18">
        <f>D19/$AA$11</f>
        <v>13.461538461538462</v>
      </c>
      <c r="H19" s="40" t="s">
        <v>3</v>
      </c>
      <c r="J19" s="27" t="s">
        <v>253</v>
      </c>
      <c r="K19" s="143">
        <v>0</v>
      </c>
      <c r="L19" s="244" t="s">
        <v>44</v>
      </c>
      <c r="M19" s="140" t="s">
        <v>253</v>
      </c>
      <c r="N19" s="143">
        <v>0</v>
      </c>
      <c r="O19" s="244" t="s">
        <v>44</v>
      </c>
      <c r="P19" s="140" t="s">
        <v>253</v>
      </c>
      <c r="Q19" s="143">
        <v>0</v>
      </c>
      <c r="R19" s="244" t="s">
        <v>44</v>
      </c>
      <c r="S19" s="140" t="s">
        <v>253</v>
      </c>
      <c r="T19" s="143">
        <v>0</v>
      </c>
      <c r="U19" s="244" t="s">
        <v>44</v>
      </c>
      <c r="V19" s="140" t="s">
        <v>253</v>
      </c>
      <c r="W19" s="143">
        <v>35.450000000000003</v>
      </c>
      <c r="X19" s="244" t="s">
        <v>44</v>
      </c>
      <c r="Y19" s="140"/>
      <c r="Z19" s="145"/>
      <c r="AA19" s="248"/>
    </row>
    <row r="20" spans="1:27" ht="30" x14ac:dyDescent="0.2">
      <c r="A20" s="6" t="s">
        <v>67</v>
      </c>
      <c r="B20" s="10">
        <v>40</v>
      </c>
      <c r="C20" s="7" t="s">
        <v>6</v>
      </c>
      <c r="D20" s="18">
        <f>IF(C20=$AA$7, B20*6,IF(C20=$AA$6, B20*12, IF(C20=$AA$5, B20*26, IF(C20=$AA$4,B20*52,B20))))</f>
        <v>480</v>
      </c>
      <c r="E20" s="18">
        <f t="shared" si="6"/>
        <v>40</v>
      </c>
      <c r="F20" s="18">
        <f>D20/$AA$11</f>
        <v>18.46153846153846</v>
      </c>
      <c r="G20" s="19" t="s">
        <v>68</v>
      </c>
      <c r="H20" s="40" t="s">
        <v>3</v>
      </c>
      <c r="J20" s="27" t="s">
        <v>252</v>
      </c>
      <c r="K20" s="143">
        <f>-$Q$4</f>
        <v>-167.23333333333332</v>
      </c>
      <c r="L20" s="244" t="s">
        <v>47</v>
      </c>
      <c r="M20" s="140" t="s">
        <v>252</v>
      </c>
      <c r="N20" s="143">
        <f>-$Q$4</f>
        <v>-167.23333333333332</v>
      </c>
      <c r="O20" s="244" t="s">
        <v>47</v>
      </c>
      <c r="P20" s="140" t="s">
        <v>252</v>
      </c>
      <c r="Q20" s="143">
        <f>-$Q$4</f>
        <v>-167.23333333333332</v>
      </c>
      <c r="R20" s="244" t="s">
        <v>47</v>
      </c>
      <c r="S20" s="140" t="s">
        <v>252</v>
      </c>
      <c r="T20" s="143">
        <f>-$Q$4</f>
        <v>-167.23333333333332</v>
      </c>
      <c r="U20" s="244" t="s">
        <v>47</v>
      </c>
      <c r="V20" s="140" t="s">
        <v>252</v>
      </c>
      <c r="W20" s="143">
        <f>-$Q$4</f>
        <v>-167.23333333333332</v>
      </c>
      <c r="X20" s="244" t="s">
        <v>47</v>
      </c>
      <c r="Y20" s="140"/>
      <c r="Z20" s="145"/>
      <c r="AA20" s="248"/>
    </row>
    <row r="21" spans="1:27" ht="30" x14ac:dyDescent="0.2">
      <c r="A21" s="6" t="s">
        <v>30</v>
      </c>
      <c r="B21" s="10">
        <v>0</v>
      </c>
      <c r="C21" s="7" t="s">
        <v>6</v>
      </c>
      <c r="D21" s="18">
        <f t="shared" ref="D21:D24" si="7">IF(C21=$AA$7, B21*6,IF(C21=$AA$6, B21*12, IF(C21=$AA$5, B21*26, IF(C21=$AA$4,B21*52,B21))))</f>
        <v>0</v>
      </c>
      <c r="E21" s="18">
        <f t="shared" si="6"/>
        <v>0</v>
      </c>
      <c r="F21" s="18">
        <f t="shared" ref="F21:F24" si="8">D21/$AA$11</f>
        <v>0</v>
      </c>
      <c r="G21" s="8" t="s">
        <v>34</v>
      </c>
      <c r="H21" s="40" t="s">
        <v>7</v>
      </c>
      <c r="J21" s="27" t="s">
        <v>253</v>
      </c>
      <c r="K21" s="143">
        <v>0</v>
      </c>
      <c r="L21" s="244" t="s">
        <v>47</v>
      </c>
      <c r="M21" s="140" t="s">
        <v>253</v>
      </c>
      <c r="N21" s="143">
        <v>0</v>
      </c>
      <c r="O21" s="244" t="s">
        <v>47</v>
      </c>
      <c r="P21" s="140" t="s">
        <v>253</v>
      </c>
      <c r="Q21" s="143">
        <v>0</v>
      </c>
      <c r="R21" s="244" t="s">
        <v>47</v>
      </c>
      <c r="S21" s="140" t="s">
        <v>253</v>
      </c>
      <c r="T21" s="143">
        <v>10.82</v>
      </c>
      <c r="U21" s="244" t="s">
        <v>47</v>
      </c>
      <c r="V21" s="140" t="s">
        <v>253</v>
      </c>
      <c r="W21" s="143">
        <v>27.06</v>
      </c>
      <c r="X21" s="244" t="s">
        <v>47</v>
      </c>
      <c r="Y21" s="140"/>
      <c r="Z21" s="145"/>
      <c r="AA21" s="248"/>
    </row>
    <row r="22" spans="1:27" x14ac:dyDescent="0.2">
      <c r="A22" s="6" t="s">
        <v>31</v>
      </c>
      <c r="B22" s="10">
        <v>1500</v>
      </c>
      <c r="C22" s="7" t="s">
        <v>14</v>
      </c>
      <c r="D22" s="18">
        <f t="shared" si="7"/>
        <v>1500</v>
      </c>
      <c r="E22" s="18">
        <f t="shared" si="6"/>
        <v>125</v>
      </c>
      <c r="F22" s="18">
        <f t="shared" si="8"/>
        <v>57.692307692307693</v>
      </c>
      <c r="G22" s="8" t="s">
        <v>33</v>
      </c>
      <c r="H22" s="40" t="s">
        <v>7</v>
      </c>
      <c r="J22" s="27" t="s">
        <v>252</v>
      </c>
      <c r="K22" s="143">
        <f>-$Q$5</f>
        <v>-599.16666666666663</v>
      </c>
      <c r="L22" s="244" t="s">
        <v>3</v>
      </c>
      <c r="M22" s="140" t="s">
        <v>252</v>
      </c>
      <c r="N22" s="143">
        <f>-$Q$5</f>
        <v>-599.16666666666663</v>
      </c>
      <c r="O22" s="244" t="s">
        <v>3</v>
      </c>
      <c r="P22" s="140" t="s">
        <v>252</v>
      </c>
      <c r="Q22" s="143">
        <f>-$Q$5</f>
        <v>-599.16666666666663</v>
      </c>
      <c r="R22" s="244" t="s">
        <v>3</v>
      </c>
      <c r="S22" s="140" t="s">
        <v>252</v>
      </c>
      <c r="T22" s="143">
        <f>-$Q$5</f>
        <v>-599.16666666666663</v>
      </c>
      <c r="U22" s="244" t="s">
        <v>3</v>
      </c>
      <c r="V22" s="140" t="s">
        <v>252</v>
      </c>
      <c r="W22" s="143">
        <f>-$Q$5</f>
        <v>-599.16666666666663</v>
      </c>
      <c r="X22" s="244" t="s">
        <v>3</v>
      </c>
      <c r="Y22" s="140"/>
      <c r="Z22" s="145"/>
      <c r="AA22" s="248"/>
    </row>
    <row r="23" spans="1:27" x14ac:dyDescent="0.2">
      <c r="A23" s="6" t="s">
        <v>39</v>
      </c>
      <c r="B23" s="10">
        <v>100</v>
      </c>
      <c r="C23" s="7" t="s">
        <v>6</v>
      </c>
      <c r="D23" s="18">
        <f t="shared" si="7"/>
        <v>1200</v>
      </c>
      <c r="E23" s="18">
        <f t="shared" si="6"/>
        <v>100</v>
      </c>
      <c r="F23" s="18">
        <f t="shared" si="8"/>
        <v>46.153846153846153</v>
      </c>
      <c r="G23" s="8" t="s">
        <v>35</v>
      </c>
      <c r="H23" s="40" t="s">
        <v>7</v>
      </c>
      <c r="J23" s="27" t="s">
        <v>253</v>
      </c>
      <c r="K23" s="143">
        <v>830.53</v>
      </c>
      <c r="L23" s="244" t="s">
        <v>3</v>
      </c>
      <c r="M23" s="140" t="s">
        <v>253</v>
      </c>
      <c r="N23" s="143">
        <v>713</v>
      </c>
      <c r="O23" s="244" t="s">
        <v>3</v>
      </c>
      <c r="P23" s="140" t="s">
        <v>253</v>
      </c>
      <c r="Q23" s="143">
        <v>550.41999999999996</v>
      </c>
      <c r="R23" s="244" t="s">
        <v>3</v>
      </c>
      <c r="S23" s="140" t="s">
        <v>253</v>
      </c>
      <c r="T23" s="143">
        <v>648.98</v>
      </c>
      <c r="U23" s="244" t="s">
        <v>3</v>
      </c>
      <c r="V23" s="140" t="s">
        <v>253</v>
      </c>
      <c r="W23" s="143">
        <v>700.66</v>
      </c>
      <c r="X23" s="244" t="s">
        <v>3</v>
      </c>
      <c r="Y23" s="140"/>
      <c r="Z23" s="145"/>
      <c r="AA23" s="248"/>
    </row>
    <row r="24" spans="1:27" x14ac:dyDescent="0.2">
      <c r="A24" s="6" t="s">
        <v>10</v>
      </c>
      <c r="B24" s="10">
        <v>450</v>
      </c>
      <c r="C24" s="7" t="s">
        <v>6</v>
      </c>
      <c r="D24" s="18">
        <f t="shared" si="7"/>
        <v>5400</v>
      </c>
      <c r="E24" s="18">
        <f t="shared" si="6"/>
        <v>450</v>
      </c>
      <c r="F24" s="18">
        <f t="shared" si="8"/>
        <v>207.69230769230768</v>
      </c>
      <c r="G24" s="36" t="s">
        <v>43</v>
      </c>
      <c r="H24" s="40" t="s">
        <v>7</v>
      </c>
      <c r="J24" s="27" t="s">
        <v>252</v>
      </c>
      <c r="K24" s="143">
        <f>-$Q$6</f>
        <v>-675</v>
      </c>
      <c r="L24" s="244" t="s">
        <v>7</v>
      </c>
      <c r="M24" s="140" t="s">
        <v>252</v>
      </c>
      <c r="N24" s="143">
        <f>-$Q$6</f>
        <v>-675</v>
      </c>
      <c r="O24" s="244" t="s">
        <v>7</v>
      </c>
      <c r="P24" s="140" t="s">
        <v>252</v>
      </c>
      <c r="Q24" s="143">
        <f>-$Q$6</f>
        <v>-675</v>
      </c>
      <c r="R24" s="244" t="s">
        <v>7</v>
      </c>
      <c r="S24" s="140" t="s">
        <v>252</v>
      </c>
      <c r="T24" s="143">
        <f>-$Q$6</f>
        <v>-675</v>
      </c>
      <c r="U24" s="244" t="s">
        <v>7</v>
      </c>
      <c r="V24" s="140" t="s">
        <v>252</v>
      </c>
      <c r="W24" s="143">
        <f>-$Q$6</f>
        <v>-675</v>
      </c>
      <c r="X24" s="244" t="s">
        <v>7</v>
      </c>
      <c r="Y24" s="140"/>
      <c r="Z24" s="145"/>
      <c r="AA24" s="248"/>
    </row>
    <row r="25" spans="1:27" x14ac:dyDescent="0.2">
      <c r="A25" s="6" t="s">
        <v>26</v>
      </c>
      <c r="B25" s="10">
        <v>1850</v>
      </c>
      <c r="C25" s="7" t="s">
        <v>6</v>
      </c>
      <c r="D25" s="18">
        <f t="shared" ref="D25:D28" si="9">IF(C25=$AA$7, B25*6,IF(C25=$AA$6, B25*12, IF(C25=$AA$5, B25*26, IF(C25=$AA$4,B25*52,B25))))</f>
        <v>22200</v>
      </c>
      <c r="E25" s="18">
        <f t="shared" si="6"/>
        <v>1850</v>
      </c>
      <c r="F25" s="18">
        <f t="shared" ref="F25:F28" si="10">D25/$AA$11</f>
        <v>853.84615384615381</v>
      </c>
      <c r="G25" s="221" t="s">
        <v>27</v>
      </c>
      <c r="H25" s="40" t="s">
        <v>1</v>
      </c>
      <c r="J25" s="27" t="s">
        <v>253</v>
      </c>
      <c r="K25" s="143">
        <v>267.49</v>
      </c>
      <c r="L25" s="244" t="s">
        <v>7</v>
      </c>
      <c r="M25" s="140" t="s">
        <v>253</v>
      </c>
      <c r="N25" s="143">
        <v>96.4</v>
      </c>
      <c r="O25" s="244" t="s">
        <v>7</v>
      </c>
      <c r="P25" s="140" t="s">
        <v>253</v>
      </c>
      <c r="Q25" s="143">
        <v>411.37</v>
      </c>
      <c r="R25" s="244" t="s">
        <v>7</v>
      </c>
      <c r="S25" s="140" t="s">
        <v>253</v>
      </c>
      <c r="T25" s="143">
        <v>1270.02</v>
      </c>
      <c r="U25" s="244" t="s">
        <v>7</v>
      </c>
      <c r="V25" s="140" t="s">
        <v>253</v>
      </c>
      <c r="W25" s="143">
        <v>388.17</v>
      </c>
      <c r="X25" s="244" t="s">
        <v>7</v>
      </c>
      <c r="Y25" s="140"/>
      <c r="Z25" s="145"/>
      <c r="AA25" s="248"/>
    </row>
    <row r="26" spans="1:27" ht="30" x14ac:dyDescent="0.2">
      <c r="A26" s="6" t="s">
        <v>29</v>
      </c>
      <c r="B26" s="10">
        <v>30</v>
      </c>
      <c r="C26" s="7" t="s">
        <v>6</v>
      </c>
      <c r="D26" s="18">
        <f t="shared" si="9"/>
        <v>360</v>
      </c>
      <c r="E26" s="18">
        <f t="shared" si="6"/>
        <v>30</v>
      </c>
      <c r="F26" s="18">
        <f t="shared" si="10"/>
        <v>13.846153846153847</v>
      </c>
      <c r="G26" s="222" t="s">
        <v>310</v>
      </c>
      <c r="H26" s="40" t="s">
        <v>47</v>
      </c>
      <c r="J26" s="27" t="s">
        <v>252</v>
      </c>
      <c r="K26" s="143">
        <f>-$Q$7</f>
        <v>-1933.5</v>
      </c>
      <c r="L26" s="244" t="s">
        <v>1</v>
      </c>
      <c r="M26" s="140" t="s">
        <v>252</v>
      </c>
      <c r="N26" s="143">
        <f>-$Q$7</f>
        <v>-1933.5</v>
      </c>
      <c r="O26" s="244" t="s">
        <v>1</v>
      </c>
      <c r="P26" s="140" t="s">
        <v>252</v>
      </c>
      <c r="Q26" s="143">
        <f>-$Q$7</f>
        <v>-1933.5</v>
      </c>
      <c r="R26" s="244" t="s">
        <v>1</v>
      </c>
      <c r="S26" s="140" t="s">
        <v>252</v>
      </c>
      <c r="T26" s="143">
        <f>-$Q$7</f>
        <v>-1933.5</v>
      </c>
      <c r="U26" s="244" t="s">
        <v>1</v>
      </c>
      <c r="V26" s="140" t="s">
        <v>252</v>
      </c>
      <c r="W26" s="143">
        <f>-$Q$7</f>
        <v>-1933.5</v>
      </c>
      <c r="X26" s="244" t="s">
        <v>1</v>
      </c>
      <c r="Y26" s="140"/>
      <c r="Z26" s="145"/>
      <c r="AA26" s="248"/>
    </row>
    <row r="27" spans="1:27" x14ac:dyDescent="0.2">
      <c r="A27" s="6" t="s">
        <v>32</v>
      </c>
      <c r="B27" s="10">
        <v>150</v>
      </c>
      <c r="C27" s="7" t="s">
        <v>14</v>
      </c>
      <c r="D27" s="18">
        <f t="shared" si="9"/>
        <v>150</v>
      </c>
      <c r="E27" s="18">
        <f t="shared" si="6"/>
        <v>12.5</v>
      </c>
      <c r="F27" s="18">
        <f t="shared" si="10"/>
        <v>5.7692307692307692</v>
      </c>
      <c r="G27" s="36" t="s">
        <v>101</v>
      </c>
      <c r="H27" s="40" t="s">
        <v>1</v>
      </c>
      <c r="J27" s="27" t="s">
        <v>253</v>
      </c>
      <c r="K27" s="143">
        <v>0</v>
      </c>
      <c r="L27" s="244" t="s">
        <v>1</v>
      </c>
      <c r="M27" s="140" t="s">
        <v>253</v>
      </c>
      <c r="N27" s="143">
        <v>0</v>
      </c>
      <c r="O27" s="244" t="s">
        <v>1</v>
      </c>
      <c r="P27" s="140" t="s">
        <v>253</v>
      </c>
      <c r="Q27" s="143">
        <v>0</v>
      </c>
      <c r="R27" s="244" t="s">
        <v>1</v>
      </c>
      <c r="S27" s="140" t="s">
        <v>253</v>
      </c>
      <c r="T27" s="143">
        <v>1011.18</v>
      </c>
      <c r="U27" s="244" t="s">
        <v>1</v>
      </c>
      <c r="V27" s="140" t="s">
        <v>253</v>
      </c>
      <c r="W27" s="143">
        <v>1890.4</v>
      </c>
      <c r="X27" s="244" t="s">
        <v>1</v>
      </c>
      <c r="Y27" s="140"/>
      <c r="Z27" s="145"/>
      <c r="AA27" s="248"/>
    </row>
    <row r="28" spans="1:27" ht="30" x14ac:dyDescent="0.2">
      <c r="A28" s="6" t="s">
        <v>312</v>
      </c>
      <c r="B28" s="10">
        <f>60</f>
        <v>60</v>
      </c>
      <c r="C28" s="7" t="s">
        <v>6</v>
      </c>
      <c r="D28" s="18">
        <f t="shared" si="9"/>
        <v>720</v>
      </c>
      <c r="E28" s="18">
        <f t="shared" si="6"/>
        <v>60</v>
      </c>
      <c r="F28" s="18">
        <f t="shared" si="10"/>
        <v>27.692307692307693</v>
      </c>
      <c r="G28" s="222" t="s">
        <v>313</v>
      </c>
      <c r="H28" s="40" t="s">
        <v>1</v>
      </c>
      <c r="J28" s="27" t="s">
        <v>252</v>
      </c>
      <c r="K28" s="143">
        <f>-$Q$8</f>
        <v>-130</v>
      </c>
      <c r="L28" s="244" t="s">
        <v>40</v>
      </c>
      <c r="M28" s="140" t="s">
        <v>252</v>
      </c>
      <c r="N28" s="143">
        <f>-$Q$8</f>
        <v>-130</v>
      </c>
      <c r="O28" s="244" t="s">
        <v>40</v>
      </c>
      <c r="P28" s="140" t="s">
        <v>252</v>
      </c>
      <c r="Q28" s="143">
        <f>-$Q$8</f>
        <v>-130</v>
      </c>
      <c r="R28" s="244" t="s">
        <v>40</v>
      </c>
      <c r="S28" s="140" t="s">
        <v>252</v>
      </c>
      <c r="T28" s="143">
        <f>-$Q$8</f>
        <v>-130</v>
      </c>
      <c r="U28" s="244" t="s">
        <v>40</v>
      </c>
      <c r="V28" s="140" t="s">
        <v>252</v>
      </c>
      <c r="W28" s="143">
        <f>-$Q$8</f>
        <v>-130</v>
      </c>
      <c r="X28" s="244" t="s">
        <v>40</v>
      </c>
      <c r="Y28" s="140"/>
      <c r="Z28" s="145"/>
      <c r="AA28" s="248"/>
    </row>
    <row r="29" spans="1:27" ht="30" x14ac:dyDescent="0.2">
      <c r="A29" s="6" t="s">
        <v>30</v>
      </c>
      <c r="B29" s="10">
        <v>11</v>
      </c>
      <c r="C29" s="7" t="s">
        <v>6</v>
      </c>
      <c r="D29" s="18">
        <f t="shared" ref="D29" si="11">IF(C29=$AA$7, B29*6,IF(C29=$AA$6, B29*12, IF(C29=$AA$5, B29*26, IF(C29=$AA$4,B29*52,B29))))</f>
        <v>132</v>
      </c>
      <c r="E29" s="18">
        <f t="shared" si="6"/>
        <v>11</v>
      </c>
      <c r="F29" s="18">
        <f t="shared" ref="F29" si="12">D29/$AA$11</f>
        <v>5.0769230769230766</v>
      </c>
      <c r="G29" s="222" t="s">
        <v>314</v>
      </c>
      <c r="H29" s="40" t="s">
        <v>1</v>
      </c>
      <c r="J29" s="27" t="s">
        <v>253</v>
      </c>
      <c r="K29" s="143">
        <v>31.5</v>
      </c>
      <c r="L29" s="244" t="s">
        <v>40</v>
      </c>
      <c r="M29" s="140" t="s">
        <v>253</v>
      </c>
      <c r="N29" s="143">
        <v>196.83</v>
      </c>
      <c r="O29" s="244" t="s">
        <v>40</v>
      </c>
      <c r="P29" s="140" t="s">
        <v>253</v>
      </c>
      <c r="Q29" s="143">
        <v>288.26</v>
      </c>
      <c r="R29" s="244" t="s">
        <v>40</v>
      </c>
      <c r="S29" s="140" t="s">
        <v>253</v>
      </c>
      <c r="T29" s="143">
        <v>71.55</v>
      </c>
      <c r="U29" s="244" t="s">
        <v>40</v>
      </c>
      <c r="V29" s="140" t="s">
        <v>253</v>
      </c>
      <c r="W29" s="143">
        <v>43.7</v>
      </c>
      <c r="X29" s="244" t="s">
        <v>40</v>
      </c>
      <c r="Y29" s="140"/>
      <c r="Z29" s="145"/>
      <c r="AA29" s="248"/>
    </row>
    <row r="30" spans="1:27" ht="30" x14ac:dyDescent="0.2">
      <c r="A30" s="6" t="s">
        <v>36</v>
      </c>
      <c r="B30" s="10">
        <v>100</v>
      </c>
      <c r="C30" s="7" t="s">
        <v>14</v>
      </c>
      <c r="D30" s="18">
        <f t="shared" ref="D30:D44" si="13">IF(C30=$AA$7, B30*6,IF(C30=$AA$6, B30*12, IF(C30=$AA$5, B30*26, IF(C30=$AA$4,B30*52,B30))))</f>
        <v>100</v>
      </c>
      <c r="E30" s="18">
        <f t="shared" ref="E30:E31" si="14">D30/12</f>
        <v>8.3333333333333339</v>
      </c>
      <c r="F30" s="18">
        <f t="shared" ref="F30:F44" si="15">D30/$AA$11</f>
        <v>3.8461538461538463</v>
      </c>
      <c r="H30" s="40" t="s">
        <v>47</v>
      </c>
      <c r="J30" s="27" t="s">
        <v>252</v>
      </c>
      <c r="K30" s="143">
        <f>-$Q$9</f>
        <v>-800</v>
      </c>
      <c r="L30" s="244" t="s">
        <v>48</v>
      </c>
      <c r="M30" s="140" t="s">
        <v>252</v>
      </c>
      <c r="N30" s="143">
        <f>-$Q$9</f>
        <v>-800</v>
      </c>
      <c r="O30" s="244" t="s">
        <v>48</v>
      </c>
      <c r="P30" s="140" t="s">
        <v>252</v>
      </c>
      <c r="Q30" s="143">
        <f>-$Q$9</f>
        <v>-800</v>
      </c>
      <c r="R30" s="244" t="s">
        <v>48</v>
      </c>
      <c r="S30" s="140" t="s">
        <v>252</v>
      </c>
      <c r="T30" s="143">
        <f>-$Q$9</f>
        <v>-800</v>
      </c>
      <c r="U30" s="244" t="s">
        <v>48</v>
      </c>
      <c r="V30" s="140" t="s">
        <v>252</v>
      </c>
      <c r="W30" s="143">
        <f>-$Q$9</f>
        <v>-800</v>
      </c>
      <c r="X30" s="244" t="s">
        <v>48</v>
      </c>
      <c r="Y30" s="140"/>
      <c r="Z30" s="145"/>
      <c r="AA30" s="248"/>
    </row>
    <row r="31" spans="1:27" ht="30" x14ac:dyDescent="0.2">
      <c r="A31" s="6" t="s">
        <v>338</v>
      </c>
      <c r="B31" s="10">
        <v>30</v>
      </c>
      <c r="C31" s="7" t="s">
        <v>6</v>
      </c>
      <c r="D31" s="18">
        <f t="shared" si="13"/>
        <v>360</v>
      </c>
      <c r="E31" s="18">
        <f t="shared" si="14"/>
        <v>30</v>
      </c>
      <c r="F31" s="18">
        <f t="shared" si="15"/>
        <v>13.846153846153847</v>
      </c>
      <c r="G31" s="119" t="s">
        <v>371</v>
      </c>
      <c r="H31" s="40" t="s">
        <v>44</v>
      </c>
      <c r="J31" s="27" t="s">
        <v>253</v>
      </c>
      <c r="K31" s="143">
        <v>72</v>
      </c>
      <c r="L31" s="244" t="s">
        <v>48</v>
      </c>
      <c r="M31" s="140" t="s">
        <v>253</v>
      </c>
      <c r="N31" s="143">
        <v>0</v>
      </c>
      <c r="O31" s="244" t="s">
        <v>48</v>
      </c>
      <c r="P31" s="140" t="s">
        <v>253</v>
      </c>
      <c r="Q31" s="143">
        <v>2</v>
      </c>
      <c r="R31" s="244" t="s">
        <v>48</v>
      </c>
      <c r="S31" s="140" t="s">
        <v>253</v>
      </c>
      <c r="T31" s="143">
        <v>31.97</v>
      </c>
      <c r="U31" s="244" t="s">
        <v>48</v>
      </c>
      <c r="V31" s="140" t="s">
        <v>253</v>
      </c>
      <c r="W31" s="143">
        <v>18.04</v>
      </c>
      <c r="X31" s="244" t="s">
        <v>48</v>
      </c>
      <c r="Y31" s="140"/>
      <c r="Z31" s="145"/>
      <c r="AA31" s="248"/>
    </row>
    <row r="32" spans="1:27" ht="30" x14ac:dyDescent="0.2">
      <c r="A32" s="6" t="s">
        <v>37</v>
      </c>
      <c r="B32" s="10">
        <v>10.82</v>
      </c>
      <c r="C32" s="7" t="s">
        <v>6</v>
      </c>
      <c r="D32" s="18">
        <f t="shared" ref="D32:D36" si="16">IF(C32=$AA$7, B32*6,IF(C32=$AA$6, B32*12, IF(C32=$AA$5, B32*26, IF(C32=$AA$4,B32*52,B32))))</f>
        <v>129.84</v>
      </c>
      <c r="E32" s="18">
        <f t="shared" ref="E32:E36" si="17">D32/12</f>
        <v>10.82</v>
      </c>
      <c r="F32" s="18">
        <f t="shared" ref="F32:F36" si="18">D32/$AA$11</f>
        <v>4.993846153846154</v>
      </c>
      <c r="G32" s="119" t="s">
        <v>315</v>
      </c>
      <c r="H32" s="40" t="s">
        <v>47</v>
      </c>
      <c r="J32" s="27" t="s">
        <v>252</v>
      </c>
      <c r="K32" s="143">
        <f>-$Q$10</f>
        <v>-100</v>
      </c>
      <c r="L32" s="244" t="s">
        <v>8</v>
      </c>
      <c r="M32" s="140" t="s">
        <v>252</v>
      </c>
      <c r="N32" s="143">
        <f>-$Q$10</f>
        <v>-100</v>
      </c>
      <c r="O32" s="244" t="s">
        <v>8</v>
      </c>
      <c r="P32" s="140" t="s">
        <v>252</v>
      </c>
      <c r="Q32" s="143">
        <f>-$Q$10</f>
        <v>-100</v>
      </c>
      <c r="R32" s="244" t="s">
        <v>8</v>
      </c>
      <c r="S32" s="140" t="s">
        <v>252</v>
      </c>
      <c r="T32" s="143">
        <f>-$Q$10</f>
        <v>-100</v>
      </c>
      <c r="U32" s="244" t="s">
        <v>8</v>
      </c>
      <c r="V32" s="140" t="s">
        <v>252</v>
      </c>
      <c r="W32" s="143">
        <f>-$Q$10</f>
        <v>-100</v>
      </c>
      <c r="X32" s="244" t="s">
        <v>8</v>
      </c>
      <c r="Y32" s="140"/>
      <c r="Z32" s="145"/>
      <c r="AA32" s="248"/>
    </row>
    <row r="33" spans="1:27" ht="30" x14ac:dyDescent="0.2">
      <c r="A33" s="6" t="s">
        <v>38</v>
      </c>
      <c r="B33" s="10">
        <v>16.239999999999998</v>
      </c>
      <c r="C33" s="7" t="s">
        <v>6</v>
      </c>
      <c r="D33" s="18">
        <f t="shared" si="16"/>
        <v>194.88</v>
      </c>
      <c r="E33" s="18">
        <f t="shared" si="17"/>
        <v>16.239999999999998</v>
      </c>
      <c r="F33" s="18">
        <f t="shared" si="18"/>
        <v>7.4953846153846149</v>
      </c>
      <c r="G33" s="119" t="s">
        <v>315</v>
      </c>
      <c r="H33" s="40" t="s">
        <v>47</v>
      </c>
      <c r="J33" s="27" t="s">
        <v>253</v>
      </c>
      <c r="K33" s="143">
        <v>0</v>
      </c>
      <c r="L33" s="244" t="s">
        <v>8</v>
      </c>
      <c r="M33" s="140" t="s">
        <v>253</v>
      </c>
      <c r="N33" s="143">
        <v>0</v>
      </c>
      <c r="O33" s="244" t="s">
        <v>8</v>
      </c>
      <c r="P33" s="140" t="s">
        <v>253</v>
      </c>
      <c r="Q33" s="143">
        <v>0</v>
      </c>
      <c r="R33" s="244" t="s">
        <v>8</v>
      </c>
      <c r="S33" s="140" t="s">
        <v>253</v>
      </c>
      <c r="T33" s="143">
        <v>0</v>
      </c>
      <c r="U33" s="244" t="s">
        <v>8</v>
      </c>
      <c r="V33" s="140" t="s">
        <v>253</v>
      </c>
      <c r="W33" s="143">
        <v>0</v>
      </c>
      <c r="X33" s="244" t="s">
        <v>8</v>
      </c>
      <c r="Y33" s="140"/>
      <c r="Z33" s="145"/>
      <c r="AA33" s="248"/>
    </row>
    <row r="34" spans="1:27" ht="30" x14ac:dyDescent="0.2">
      <c r="A34" s="6" t="s">
        <v>93</v>
      </c>
      <c r="B34" s="10">
        <f>53.99+6.93+33.99+6.93</f>
        <v>101.84</v>
      </c>
      <c r="C34" s="7" t="s">
        <v>6</v>
      </c>
      <c r="D34" s="18">
        <f t="shared" si="16"/>
        <v>1222.08</v>
      </c>
      <c r="E34" s="18">
        <f t="shared" si="17"/>
        <v>101.83999999999999</v>
      </c>
      <c r="F34" s="18">
        <f t="shared" si="18"/>
        <v>47.003076923076918</v>
      </c>
      <c r="G34" s="220" t="s">
        <v>311</v>
      </c>
      <c r="H34" s="40" t="s">
        <v>47</v>
      </c>
      <c r="J34" s="27" t="s">
        <v>252</v>
      </c>
      <c r="K34" s="143">
        <f>-$Q$11</f>
        <v>-37.5</v>
      </c>
      <c r="L34" s="244" t="s">
        <v>82</v>
      </c>
      <c r="M34" s="140" t="s">
        <v>252</v>
      </c>
      <c r="N34" s="143">
        <f>-$Q$11</f>
        <v>-37.5</v>
      </c>
      <c r="O34" s="244" t="s">
        <v>82</v>
      </c>
      <c r="P34" s="140" t="s">
        <v>252</v>
      </c>
      <c r="Q34" s="143">
        <f>-$Q$11</f>
        <v>-37.5</v>
      </c>
      <c r="R34" s="244" t="s">
        <v>82</v>
      </c>
      <c r="S34" s="140" t="s">
        <v>252</v>
      </c>
      <c r="T34" s="143">
        <f>-$Q$11</f>
        <v>-37.5</v>
      </c>
      <c r="U34" s="244" t="s">
        <v>82</v>
      </c>
      <c r="V34" s="140" t="s">
        <v>252</v>
      </c>
      <c r="W34" s="143">
        <f>-$Q$11</f>
        <v>-37.5</v>
      </c>
      <c r="X34" s="244" t="s">
        <v>82</v>
      </c>
      <c r="Y34" s="140"/>
      <c r="Z34" s="145"/>
      <c r="AA34" s="248"/>
    </row>
    <row r="35" spans="1:27" ht="30" x14ac:dyDescent="0.2">
      <c r="A35" s="6" t="s">
        <v>40</v>
      </c>
      <c r="B35" s="10">
        <v>125</v>
      </c>
      <c r="C35" s="7" t="s">
        <v>6</v>
      </c>
      <c r="D35" s="18">
        <f t="shared" si="16"/>
        <v>1500</v>
      </c>
      <c r="E35" s="18">
        <f t="shared" si="17"/>
        <v>125</v>
      </c>
      <c r="F35" s="18">
        <f t="shared" si="18"/>
        <v>57.692307692307693</v>
      </c>
      <c r="G35" s="9" t="s">
        <v>35</v>
      </c>
      <c r="H35" s="40" t="s">
        <v>40</v>
      </c>
      <c r="J35" s="27" t="s">
        <v>253</v>
      </c>
      <c r="K35" s="143">
        <v>0</v>
      </c>
      <c r="L35" s="244" t="s">
        <v>82</v>
      </c>
      <c r="M35" s="140" t="s">
        <v>253</v>
      </c>
      <c r="N35" s="143">
        <v>609.62</v>
      </c>
      <c r="O35" s="244" t="s">
        <v>82</v>
      </c>
      <c r="P35" s="140" t="s">
        <v>253</v>
      </c>
      <c r="Q35" s="143"/>
      <c r="R35" s="244" t="s">
        <v>82</v>
      </c>
      <c r="S35" s="140" t="s">
        <v>253</v>
      </c>
      <c r="T35" s="143">
        <v>0</v>
      </c>
      <c r="U35" s="244" t="s">
        <v>82</v>
      </c>
      <c r="V35" s="140" t="s">
        <v>253</v>
      </c>
      <c r="W35" s="143">
        <v>345.44</v>
      </c>
      <c r="X35" s="244" t="s">
        <v>82</v>
      </c>
      <c r="Y35" s="140"/>
      <c r="Z35" s="145"/>
      <c r="AA35" s="248"/>
    </row>
    <row r="36" spans="1:27" ht="30" x14ac:dyDescent="0.2">
      <c r="A36" s="6" t="s">
        <v>339</v>
      </c>
      <c r="B36" s="10">
        <v>60</v>
      </c>
      <c r="C36" s="7" t="s">
        <v>14</v>
      </c>
      <c r="D36" s="18">
        <f t="shared" si="16"/>
        <v>60</v>
      </c>
      <c r="E36" s="18">
        <f t="shared" si="17"/>
        <v>5</v>
      </c>
      <c r="F36" s="18">
        <f t="shared" si="18"/>
        <v>2.3076923076923075</v>
      </c>
      <c r="H36" s="40" t="s">
        <v>40</v>
      </c>
      <c r="J36" s="27" t="s">
        <v>252</v>
      </c>
      <c r="K36" s="143">
        <f>-$Q$12</f>
        <v>-25</v>
      </c>
      <c r="L36" s="244" t="s">
        <v>17</v>
      </c>
      <c r="M36" s="140" t="s">
        <v>252</v>
      </c>
      <c r="N36" s="143">
        <f>-$Q$12</f>
        <v>-25</v>
      </c>
      <c r="O36" s="244" t="s">
        <v>17</v>
      </c>
      <c r="P36" s="140" t="s">
        <v>252</v>
      </c>
      <c r="Q36" s="143">
        <f>-$Q$12</f>
        <v>-25</v>
      </c>
      <c r="R36" s="244" t="s">
        <v>17</v>
      </c>
      <c r="S36" s="140" t="s">
        <v>252</v>
      </c>
      <c r="T36" s="143">
        <f>-$Q$12</f>
        <v>-25</v>
      </c>
      <c r="U36" s="244" t="s">
        <v>17</v>
      </c>
      <c r="V36" s="140" t="s">
        <v>252</v>
      </c>
      <c r="W36" s="143">
        <f>-$Q$12</f>
        <v>-25</v>
      </c>
      <c r="X36" s="244" t="s">
        <v>17</v>
      </c>
      <c r="Y36" s="140"/>
      <c r="Z36" s="145"/>
      <c r="AA36" s="248"/>
    </row>
    <row r="37" spans="1:27" x14ac:dyDescent="0.2">
      <c r="A37" s="6" t="s">
        <v>5</v>
      </c>
      <c r="B37" s="10">
        <v>800</v>
      </c>
      <c r="C37" s="7" t="s">
        <v>6</v>
      </c>
      <c r="D37" s="18">
        <f t="shared" si="13"/>
        <v>9600</v>
      </c>
      <c r="E37" s="18">
        <f t="shared" si="6"/>
        <v>800</v>
      </c>
      <c r="F37" s="18">
        <f t="shared" si="15"/>
        <v>369.23076923076923</v>
      </c>
      <c r="G37" s="19" t="s">
        <v>41</v>
      </c>
      <c r="H37" s="40" t="s">
        <v>48</v>
      </c>
      <c r="J37" s="27" t="s">
        <v>253</v>
      </c>
      <c r="K37" s="143">
        <v>157.27000000000001</v>
      </c>
      <c r="L37" s="244" t="s">
        <v>17</v>
      </c>
      <c r="M37" s="140" t="s">
        <v>253</v>
      </c>
      <c r="N37" s="143">
        <v>56.29</v>
      </c>
      <c r="O37" s="244" t="s">
        <v>17</v>
      </c>
      <c r="P37" s="140" t="s">
        <v>253</v>
      </c>
      <c r="Q37" s="143">
        <v>998.37</v>
      </c>
      <c r="R37" s="244" t="s">
        <v>17</v>
      </c>
      <c r="S37" s="140" t="s">
        <v>253</v>
      </c>
      <c r="T37" s="143">
        <v>28.37</v>
      </c>
      <c r="U37" s="244" t="s">
        <v>17</v>
      </c>
      <c r="V37" s="140" t="s">
        <v>253</v>
      </c>
      <c r="W37" s="143">
        <v>101.6</v>
      </c>
      <c r="X37" s="244" t="s">
        <v>17</v>
      </c>
      <c r="Y37" s="140"/>
      <c r="Z37" s="145"/>
      <c r="AA37" s="248"/>
    </row>
    <row r="38" spans="1:27" x14ac:dyDescent="0.2">
      <c r="A38" s="6" t="s">
        <v>42</v>
      </c>
      <c r="B38" s="10">
        <v>100</v>
      </c>
      <c r="C38" s="7" t="s">
        <v>6</v>
      </c>
      <c r="D38" s="18">
        <f t="shared" si="13"/>
        <v>1200</v>
      </c>
      <c r="E38" s="18">
        <f t="shared" si="6"/>
        <v>100</v>
      </c>
      <c r="F38" s="18">
        <f t="shared" si="15"/>
        <v>46.153846153846153</v>
      </c>
      <c r="G38" s="36" t="s">
        <v>43</v>
      </c>
      <c r="H38" s="40" t="s">
        <v>8</v>
      </c>
      <c r="J38" s="27"/>
      <c r="K38" s="143"/>
      <c r="L38" s="244"/>
      <c r="M38" s="140"/>
      <c r="N38" s="145"/>
      <c r="O38" s="244"/>
      <c r="P38" s="140"/>
      <c r="Q38" s="145"/>
      <c r="R38" s="244"/>
      <c r="S38" s="140"/>
      <c r="T38" s="145"/>
      <c r="U38" s="244"/>
      <c r="V38" s="140"/>
      <c r="W38" s="145"/>
      <c r="X38" s="244"/>
      <c r="Y38" s="140"/>
      <c r="Z38" s="145"/>
      <c r="AA38" s="248"/>
    </row>
    <row r="39" spans="1:27" ht="30" x14ac:dyDescent="0.2">
      <c r="A39" s="6" t="s">
        <v>44</v>
      </c>
      <c r="B39" s="10">
        <v>150</v>
      </c>
      <c r="C39" s="7" t="s">
        <v>6</v>
      </c>
      <c r="D39" s="18">
        <f t="shared" si="13"/>
        <v>1800</v>
      </c>
      <c r="E39" s="18">
        <f t="shared" si="6"/>
        <v>150</v>
      </c>
      <c r="F39" s="18">
        <f t="shared" si="15"/>
        <v>69.230769230769226</v>
      </c>
      <c r="G39" s="19" t="s">
        <v>35</v>
      </c>
      <c r="H39" s="37" t="s">
        <v>44</v>
      </c>
      <c r="J39" s="27"/>
      <c r="K39" s="143"/>
      <c r="L39" s="244"/>
      <c r="M39" s="27"/>
      <c r="N39" s="143"/>
      <c r="O39" s="244"/>
      <c r="P39" s="27"/>
      <c r="Q39" s="143"/>
      <c r="R39" s="244"/>
      <c r="S39" s="27"/>
      <c r="T39" s="143"/>
      <c r="U39" s="244"/>
      <c r="V39" s="27"/>
      <c r="W39" s="143"/>
      <c r="X39" s="244"/>
      <c r="Y39" s="140"/>
      <c r="Z39" s="145"/>
      <c r="AA39" s="248"/>
    </row>
    <row r="40" spans="1:27" x14ac:dyDescent="0.2">
      <c r="A40" s="6" t="s">
        <v>83</v>
      </c>
      <c r="B40" s="10">
        <v>450</v>
      </c>
      <c r="C40" s="7" t="s">
        <v>14</v>
      </c>
      <c r="D40" s="18">
        <f t="shared" si="13"/>
        <v>450</v>
      </c>
      <c r="E40" s="18">
        <f t="shared" si="6"/>
        <v>37.5</v>
      </c>
      <c r="F40" s="18">
        <f t="shared" si="15"/>
        <v>17.307692307692307</v>
      </c>
      <c r="G40" s="19" t="s">
        <v>68</v>
      </c>
      <c r="H40" s="37" t="s">
        <v>82</v>
      </c>
      <c r="J40" s="27"/>
      <c r="K40" s="143"/>
      <c r="L40" s="244"/>
      <c r="M40" s="140"/>
      <c r="N40" s="145"/>
      <c r="O40" s="244"/>
      <c r="P40" s="140"/>
      <c r="Q40" s="145"/>
      <c r="R40" s="244"/>
      <c r="S40" s="140"/>
      <c r="T40" s="145"/>
      <c r="U40" s="244"/>
      <c r="V40" s="140"/>
      <c r="W40" s="145"/>
      <c r="X40" s="244"/>
      <c r="Y40" s="140"/>
      <c r="Z40" s="145"/>
      <c r="AA40" s="248"/>
    </row>
    <row r="41" spans="1:27" x14ac:dyDescent="0.2">
      <c r="A41" s="6" t="s">
        <v>334</v>
      </c>
      <c r="B41" s="10">
        <v>25</v>
      </c>
      <c r="C41" s="7" t="s">
        <v>6</v>
      </c>
      <c r="D41" s="18">
        <f t="shared" si="13"/>
        <v>300</v>
      </c>
      <c r="E41" s="18">
        <f t="shared" si="6"/>
        <v>25</v>
      </c>
      <c r="F41" s="18">
        <f t="shared" si="15"/>
        <v>11.538461538461538</v>
      </c>
      <c r="G41" s="19" t="s">
        <v>341</v>
      </c>
      <c r="H41" s="37" t="s">
        <v>17</v>
      </c>
      <c r="J41" s="27"/>
      <c r="K41" s="143"/>
      <c r="L41" s="244"/>
      <c r="M41" s="140"/>
      <c r="N41" s="145"/>
      <c r="O41" s="244"/>
      <c r="P41" s="140"/>
      <c r="Q41" s="145"/>
      <c r="R41" s="244"/>
      <c r="S41" s="140"/>
      <c r="T41" s="145"/>
      <c r="U41" s="244"/>
      <c r="V41" s="140"/>
      <c r="W41" s="145"/>
      <c r="X41" s="244"/>
      <c r="Y41" s="140"/>
      <c r="Z41" s="145"/>
      <c r="AA41" s="248"/>
    </row>
    <row r="42" spans="1:27" x14ac:dyDescent="0.2">
      <c r="D42" s="18">
        <f t="shared" si="13"/>
        <v>0</v>
      </c>
      <c r="E42" s="18">
        <f t="shared" si="6"/>
        <v>0</v>
      </c>
      <c r="F42" s="18">
        <f t="shared" si="15"/>
        <v>0</v>
      </c>
      <c r="J42" s="27"/>
      <c r="K42" s="143"/>
      <c r="L42" s="244"/>
      <c r="M42" s="140"/>
      <c r="N42" s="145"/>
      <c r="O42" s="244"/>
      <c r="P42" s="140"/>
      <c r="Q42" s="145"/>
      <c r="R42" s="244"/>
      <c r="S42" s="140"/>
      <c r="T42" s="145"/>
      <c r="U42" s="244"/>
      <c r="V42" s="140"/>
      <c r="W42" s="145"/>
      <c r="X42" s="244"/>
      <c r="Y42" s="140"/>
      <c r="Z42" s="145"/>
      <c r="AA42" s="248"/>
    </row>
    <row r="43" spans="1:27" x14ac:dyDescent="0.2">
      <c r="D43" s="18">
        <f t="shared" si="13"/>
        <v>0</v>
      </c>
      <c r="E43" s="18">
        <f t="shared" si="6"/>
        <v>0</v>
      </c>
      <c r="F43" s="18">
        <f t="shared" si="15"/>
        <v>0</v>
      </c>
      <c r="J43" s="27"/>
      <c r="K43" s="143"/>
      <c r="L43" s="244"/>
      <c r="M43" s="140"/>
      <c r="N43" s="145"/>
      <c r="O43" s="244"/>
      <c r="P43" s="140"/>
      <c r="Q43" s="145"/>
      <c r="R43" s="244"/>
      <c r="S43" s="140"/>
      <c r="T43" s="145"/>
      <c r="U43" s="244"/>
      <c r="V43" s="140"/>
      <c r="W43" s="145"/>
      <c r="X43" s="244"/>
      <c r="Y43" s="140"/>
      <c r="Z43" s="145"/>
      <c r="AA43" s="248"/>
    </row>
    <row r="44" spans="1:27" x14ac:dyDescent="0.2">
      <c r="D44" s="18">
        <f t="shared" si="13"/>
        <v>0</v>
      </c>
      <c r="E44" s="18">
        <f t="shared" si="6"/>
        <v>0</v>
      </c>
      <c r="F44" s="18">
        <f t="shared" si="15"/>
        <v>0</v>
      </c>
      <c r="J44" s="27"/>
      <c r="K44" s="143"/>
      <c r="L44" s="244"/>
      <c r="M44" s="140"/>
      <c r="N44" s="145"/>
      <c r="O44" s="244"/>
      <c r="P44" s="140"/>
      <c r="Q44" s="145"/>
      <c r="R44" s="244"/>
      <c r="S44" s="140"/>
      <c r="T44" s="145"/>
      <c r="U44" s="244"/>
      <c r="V44" s="140"/>
      <c r="W44" s="145"/>
      <c r="X44" s="244"/>
      <c r="Y44" s="140"/>
      <c r="Z44" s="145"/>
      <c r="AA44" s="248"/>
    </row>
    <row r="45" spans="1:27" x14ac:dyDescent="0.2">
      <c r="D45" s="18">
        <f t="shared" si="1"/>
        <v>0</v>
      </c>
      <c r="E45" s="18">
        <f t="shared" si="6"/>
        <v>0</v>
      </c>
      <c r="F45" s="18">
        <f t="shared" si="3"/>
        <v>0</v>
      </c>
      <c r="H45" s="40"/>
      <c r="J45" s="27"/>
      <c r="K45" s="143"/>
      <c r="L45" s="244"/>
      <c r="M45" s="140"/>
      <c r="N45" s="145"/>
      <c r="O45" s="244"/>
      <c r="P45" s="140"/>
      <c r="Q45" s="145"/>
      <c r="R45" s="244"/>
      <c r="S45" s="140"/>
      <c r="T45" s="145"/>
      <c r="U45" s="244"/>
      <c r="V45" s="140"/>
      <c r="W45" s="145"/>
      <c r="X45" s="244"/>
      <c r="Y45" s="140"/>
      <c r="Z45" s="145"/>
      <c r="AA45" s="248"/>
    </row>
    <row r="46" spans="1:27" x14ac:dyDescent="0.2">
      <c r="D46" s="18">
        <f t="shared" si="1"/>
        <v>0</v>
      </c>
      <c r="E46" s="18">
        <f t="shared" si="6"/>
        <v>0</v>
      </c>
      <c r="F46" s="18">
        <f t="shared" si="3"/>
        <v>0</v>
      </c>
      <c r="H46" s="40"/>
      <c r="J46" s="27"/>
      <c r="K46" s="143"/>
      <c r="L46" s="244"/>
      <c r="M46" s="140"/>
      <c r="N46" s="145"/>
      <c r="O46" s="244"/>
      <c r="P46" s="140"/>
      <c r="Q46" s="145"/>
      <c r="R46" s="244"/>
      <c r="S46" s="140"/>
      <c r="T46" s="145"/>
      <c r="U46" s="244"/>
      <c r="V46" s="140"/>
      <c r="W46" s="145"/>
      <c r="X46" s="244"/>
      <c r="Y46" s="140"/>
      <c r="Z46" s="145"/>
      <c r="AA46" s="248"/>
    </row>
    <row r="47" spans="1:27" x14ac:dyDescent="0.2">
      <c r="D47" s="18">
        <f t="shared" si="1"/>
        <v>0</v>
      </c>
      <c r="E47" s="18">
        <f t="shared" si="6"/>
        <v>0</v>
      </c>
      <c r="F47" s="18">
        <f t="shared" si="3"/>
        <v>0</v>
      </c>
      <c r="H47" s="40"/>
      <c r="J47" s="165"/>
      <c r="K47" s="144"/>
      <c r="L47" s="245"/>
      <c r="M47" s="141"/>
      <c r="N47" s="146"/>
      <c r="O47" s="245"/>
      <c r="P47" s="141"/>
      <c r="Q47" s="146"/>
      <c r="R47" s="245"/>
      <c r="S47" s="141"/>
      <c r="T47" s="146"/>
      <c r="U47" s="245"/>
      <c r="V47" s="141"/>
      <c r="W47" s="146"/>
      <c r="X47" s="245"/>
      <c r="Y47" s="141"/>
      <c r="Z47" s="146"/>
      <c r="AA47" s="249"/>
    </row>
    <row r="48" spans="1:27" ht="16" x14ac:dyDescent="0.2">
      <c r="D48" s="18">
        <f t="shared" si="1"/>
        <v>0</v>
      </c>
      <c r="E48" s="18">
        <f t="shared" si="6"/>
        <v>0</v>
      </c>
      <c r="F48" s="18">
        <f t="shared" si="3"/>
        <v>0</v>
      </c>
      <c r="H48" s="40"/>
      <c r="J48" s="483" t="s">
        <v>249</v>
      </c>
      <c r="K48" s="475"/>
      <c r="L48" s="479"/>
      <c r="M48" s="474" t="s">
        <v>259</v>
      </c>
      <c r="N48" s="475"/>
      <c r="O48" s="479"/>
      <c r="P48" s="474" t="s">
        <v>260</v>
      </c>
      <c r="Q48" s="475"/>
      <c r="R48" s="479"/>
      <c r="S48" s="474" t="s">
        <v>261</v>
      </c>
      <c r="T48" s="475"/>
      <c r="U48" s="479"/>
      <c r="V48" s="474" t="s">
        <v>262</v>
      </c>
      <c r="W48" s="475"/>
      <c r="X48" s="479"/>
      <c r="Y48" s="474" t="s">
        <v>263</v>
      </c>
      <c r="Z48" s="475"/>
      <c r="AA48" s="476"/>
    </row>
    <row r="49" spans="4:27" x14ac:dyDescent="0.2">
      <c r="D49" s="18">
        <f t="shared" si="1"/>
        <v>0</v>
      </c>
      <c r="E49" s="18">
        <f t="shared" si="6"/>
        <v>0</v>
      </c>
      <c r="F49" s="18">
        <f t="shared" si="3"/>
        <v>0</v>
      </c>
      <c r="H49" s="40"/>
      <c r="J49" s="166" t="s">
        <v>44</v>
      </c>
      <c r="K49" s="153">
        <f>SUMIF(L$18:L$47,J49,K$18:K$47)+$Q3</f>
        <v>0</v>
      </c>
      <c r="L49" s="244"/>
      <c r="M49" s="131" t="s">
        <v>44</v>
      </c>
      <c r="N49" s="153">
        <f>SUMIF(O$18:O$47,M49,N$18:N$47)+$Q3</f>
        <v>0</v>
      </c>
      <c r="O49" s="244"/>
      <c r="P49" s="131" t="s">
        <v>44</v>
      </c>
      <c r="Q49" s="153">
        <f>SUMIF(R$18:R$47,P49,Q$18:Q$47)+$Q3</f>
        <v>0</v>
      </c>
      <c r="R49" s="244"/>
      <c r="S49" s="131" t="s">
        <v>44</v>
      </c>
      <c r="T49" s="153">
        <f>SUMIF(U$18:U$47,S49,T$18:T$47)+$Q3</f>
        <v>0</v>
      </c>
      <c r="U49" s="244"/>
      <c r="V49" s="131" t="s">
        <v>44</v>
      </c>
      <c r="W49" s="153">
        <f>SUMIF(X$18:X$47,V49,W$18:W$47)+$Q3</f>
        <v>35.449999999999989</v>
      </c>
      <c r="X49" s="244"/>
      <c r="Y49" s="131" t="s">
        <v>44</v>
      </c>
      <c r="Z49" s="153">
        <f>SUMIF(AA$18:AA$47,Y49,Z$18:Z$47)+$Q3</f>
        <v>180</v>
      </c>
      <c r="AA49" s="248"/>
    </row>
    <row r="50" spans="4:27" x14ac:dyDescent="0.2">
      <c r="D50" s="18">
        <f t="shared" si="1"/>
        <v>0</v>
      </c>
      <c r="E50" s="18">
        <f t="shared" si="6"/>
        <v>0</v>
      </c>
      <c r="F50" s="18">
        <f t="shared" si="3"/>
        <v>0</v>
      </c>
      <c r="H50" s="40"/>
      <c r="J50" s="167" t="s">
        <v>47</v>
      </c>
      <c r="K50" s="153">
        <f t="shared" ref="K50:K58" si="19">SUMIF(L$18:L$47,J50,K$18:K$47)+$Q4</f>
        <v>0</v>
      </c>
      <c r="L50" s="244"/>
      <c r="M50" s="132" t="s">
        <v>47</v>
      </c>
      <c r="N50" s="153">
        <f t="shared" ref="N50:N58" si="20">SUMIF(O$18:O$47,M50,N$18:N$47)+$Q4</f>
        <v>0</v>
      </c>
      <c r="O50" s="244"/>
      <c r="P50" s="132" t="s">
        <v>47</v>
      </c>
      <c r="Q50" s="153">
        <f t="shared" ref="Q50:Q58" si="21">SUMIF(R$18:R$47,P50,Q$18:Q$47)+$Q4</f>
        <v>0</v>
      </c>
      <c r="R50" s="244"/>
      <c r="S50" s="132" t="s">
        <v>47</v>
      </c>
      <c r="T50" s="153">
        <f t="shared" ref="T50:T58" si="22">SUMIF(U$18:U$47,S50,T$18:T$47)+$Q4</f>
        <v>10.819999999999993</v>
      </c>
      <c r="U50" s="244"/>
      <c r="V50" s="132" t="s">
        <v>47</v>
      </c>
      <c r="W50" s="153">
        <f t="shared" ref="W50:W58" si="23">SUMIF(X$18:X$47,V50,W$18:W$47)+$Q4</f>
        <v>27.060000000000002</v>
      </c>
      <c r="X50" s="244"/>
      <c r="Y50" s="132" t="s">
        <v>47</v>
      </c>
      <c r="Z50" s="153">
        <f t="shared" ref="Z50:Z58" si="24">SUMIF(AA$18:AA$47,Y50,Z$18:Z$47)+$Q4</f>
        <v>167.23333333333332</v>
      </c>
      <c r="AA50" s="248"/>
    </row>
    <row r="51" spans="4:27" x14ac:dyDescent="0.2">
      <c r="H51" s="40"/>
      <c r="J51" s="168" t="s">
        <v>3</v>
      </c>
      <c r="K51" s="153">
        <f t="shared" si="19"/>
        <v>830.53</v>
      </c>
      <c r="L51" s="41"/>
      <c r="M51" s="133" t="s">
        <v>3</v>
      </c>
      <c r="N51" s="153">
        <f t="shared" si="20"/>
        <v>713</v>
      </c>
      <c r="O51" s="41"/>
      <c r="P51" s="133" t="s">
        <v>3</v>
      </c>
      <c r="Q51" s="153">
        <f t="shared" si="21"/>
        <v>550.41999999999996</v>
      </c>
      <c r="R51" s="41"/>
      <c r="S51" s="133" t="s">
        <v>3</v>
      </c>
      <c r="T51" s="153">
        <f t="shared" si="22"/>
        <v>648.98</v>
      </c>
      <c r="U51" s="41"/>
      <c r="V51" s="133" t="s">
        <v>3</v>
      </c>
      <c r="W51" s="153">
        <f t="shared" si="23"/>
        <v>700.66</v>
      </c>
      <c r="X51" s="41"/>
      <c r="Y51" s="133" t="s">
        <v>3</v>
      </c>
      <c r="Z51" s="153">
        <f t="shared" si="24"/>
        <v>599.16666666666663</v>
      </c>
      <c r="AA51" s="169"/>
    </row>
    <row r="52" spans="4:27" x14ac:dyDescent="0.2">
      <c r="H52" s="40"/>
      <c r="J52" s="170" t="s">
        <v>7</v>
      </c>
      <c r="K52" s="153">
        <f t="shared" si="19"/>
        <v>267.49</v>
      </c>
      <c r="L52" s="41"/>
      <c r="M52" s="134" t="s">
        <v>7</v>
      </c>
      <c r="N52" s="153">
        <f t="shared" si="20"/>
        <v>96.399999999999977</v>
      </c>
      <c r="O52" s="41"/>
      <c r="P52" s="134" t="s">
        <v>7</v>
      </c>
      <c r="Q52" s="153">
        <f t="shared" si="21"/>
        <v>411.37</v>
      </c>
      <c r="R52" s="41"/>
      <c r="S52" s="134" t="s">
        <v>7</v>
      </c>
      <c r="T52" s="153">
        <f t="shared" si="22"/>
        <v>1270.02</v>
      </c>
      <c r="U52" s="41"/>
      <c r="V52" s="134" t="s">
        <v>7</v>
      </c>
      <c r="W52" s="153">
        <f t="shared" si="23"/>
        <v>388.17</v>
      </c>
      <c r="X52" s="41"/>
      <c r="Y52" s="134" t="s">
        <v>7</v>
      </c>
      <c r="Z52" s="153">
        <f t="shared" si="24"/>
        <v>675</v>
      </c>
      <c r="AA52" s="169"/>
    </row>
    <row r="53" spans="4:27" x14ac:dyDescent="0.2">
      <c r="H53" s="40"/>
      <c r="J53" s="171" t="s">
        <v>1</v>
      </c>
      <c r="K53" s="153">
        <f t="shared" si="19"/>
        <v>0</v>
      </c>
      <c r="L53" s="41"/>
      <c r="M53" s="135" t="s">
        <v>1</v>
      </c>
      <c r="N53" s="153">
        <f t="shared" si="20"/>
        <v>0</v>
      </c>
      <c r="O53" s="41"/>
      <c r="P53" s="135" t="s">
        <v>1</v>
      </c>
      <c r="Q53" s="153">
        <f t="shared" si="21"/>
        <v>0</v>
      </c>
      <c r="R53" s="41"/>
      <c r="S53" s="135" t="s">
        <v>1</v>
      </c>
      <c r="T53" s="153">
        <f t="shared" si="22"/>
        <v>1011.18</v>
      </c>
      <c r="U53" s="41"/>
      <c r="V53" s="135" t="s">
        <v>1</v>
      </c>
      <c r="W53" s="153">
        <f t="shared" si="23"/>
        <v>1890.4</v>
      </c>
      <c r="X53" s="41"/>
      <c r="Y53" s="135" t="s">
        <v>1</v>
      </c>
      <c r="Z53" s="153">
        <f t="shared" si="24"/>
        <v>1933.5</v>
      </c>
      <c r="AA53" s="169"/>
    </row>
    <row r="54" spans="4:27" x14ac:dyDescent="0.2">
      <c r="H54" s="40"/>
      <c r="J54" s="172" t="s">
        <v>40</v>
      </c>
      <c r="K54" s="153">
        <f t="shared" si="19"/>
        <v>31.5</v>
      </c>
      <c r="L54" s="41"/>
      <c r="M54" s="136" t="s">
        <v>40</v>
      </c>
      <c r="N54" s="153">
        <f t="shared" si="20"/>
        <v>196.83</v>
      </c>
      <c r="O54" s="41"/>
      <c r="P54" s="136" t="s">
        <v>40</v>
      </c>
      <c r="Q54" s="153">
        <f t="shared" si="21"/>
        <v>288.26</v>
      </c>
      <c r="R54" s="41"/>
      <c r="S54" s="136" t="s">
        <v>40</v>
      </c>
      <c r="T54" s="153">
        <f t="shared" si="22"/>
        <v>71.55</v>
      </c>
      <c r="U54" s="41"/>
      <c r="V54" s="136" t="s">
        <v>40</v>
      </c>
      <c r="W54" s="153">
        <f t="shared" si="23"/>
        <v>43.7</v>
      </c>
      <c r="X54" s="41"/>
      <c r="Y54" s="136" t="s">
        <v>40</v>
      </c>
      <c r="Z54" s="153">
        <f t="shared" si="24"/>
        <v>130</v>
      </c>
      <c r="AA54" s="169"/>
    </row>
    <row r="55" spans="4:27" x14ac:dyDescent="0.2">
      <c r="H55" s="40"/>
      <c r="J55" s="173" t="s">
        <v>48</v>
      </c>
      <c r="K55" s="153">
        <f t="shared" si="19"/>
        <v>72</v>
      </c>
      <c r="L55" s="41"/>
      <c r="M55" s="137" t="s">
        <v>48</v>
      </c>
      <c r="N55" s="153">
        <f t="shared" si="20"/>
        <v>0</v>
      </c>
      <c r="O55" s="41"/>
      <c r="P55" s="137" t="s">
        <v>48</v>
      </c>
      <c r="Q55" s="153">
        <f t="shared" si="21"/>
        <v>2</v>
      </c>
      <c r="R55" s="41"/>
      <c r="S55" s="137" t="s">
        <v>48</v>
      </c>
      <c r="T55" s="153">
        <f t="shared" si="22"/>
        <v>31.970000000000027</v>
      </c>
      <c r="U55" s="41"/>
      <c r="V55" s="137" t="s">
        <v>48</v>
      </c>
      <c r="W55" s="153">
        <f t="shared" si="23"/>
        <v>18.039999999999964</v>
      </c>
      <c r="X55" s="41"/>
      <c r="Y55" s="137" t="s">
        <v>48</v>
      </c>
      <c r="Z55" s="153">
        <f t="shared" si="24"/>
        <v>800</v>
      </c>
      <c r="AA55" s="169"/>
    </row>
    <row r="56" spans="4:27" x14ac:dyDescent="0.2">
      <c r="H56" s="40"/>
      <c r="J56" s="174" t="s">
        <v>8</v>
      </c>
      <c r="K56" s="153">
        <f t="shared" si="19"/>
        <v>0</v>
      </c>
      <c r="L56" s="41"/>
      <c r="M56" s="138" t="s">
        <v>8</v>
      </c>
      <c r="N56" s="153">
        <f t="shared" si="20"/>
        <v>0</v>
      </c>
      <c r="O56" s="41"/>
      <c r="P56" s="138" t="s">
        <v>8</v>
      </c>
      <c r="Q56" s="153">
        <f t="shared" si="21"/>
        <v>0</v>
      </c>
      <c r="R56" s="41"/>
      <c r="S56" s="138" t="s">
        <v>8</v>
      </c>
      <c r="T56" s="153">
        <f t="shared" si="22"/>
        <v>0</v>
      </c>
      <c r="U56" s="41"/>
      <c r="V56" s="138" t="s">
        <v>8</v>
      </c>
      <c r="W56" s="153">
        <f t="shared" si="23"/>
        <v>0</v>
      </c>
      <c r="X56" s="41"/>
      <c r="Y56" s="138" t="s">
        <v>8</v>
      </c>
      <c r="Z56" s="153">
        <f t="shared" si="24"/>
        <v>100</v>
      </c>
      <c r="AA56" s="169"/>
    </row>
    <row r="57" spans="4:27" x14ac:dyDescent="0.2">
      <c r="H57" s="40"/>
      <c r="J57" s="175" t="s">
        <v>82</v>
      </c>
      <c r="K57" s="153">
        <f t="shared" si="19"/>
        <v>0</v>
      </c>
      <c r="L57" s="41"/>
      <c r="M57" s="139" t="s">
        <v>82</v>
      </c>
      <c r="N57" s="153">
        <f t="shared" si="20"/>
        <v>609.62</v>
      </c>
      <c r="O57" s="41"/>
      <c r="P57" s="139" t="s">
        <v>82</v>
      </c>
      <c r="Q57" s="153">
        <f t="shared" si="21"/>
        <v>0</v>
      </c>
      <c r="R57" s="41"/>
      <c r="S57" s="139" t="s">
        <v>82</v>
      </c>
      <c r="T57" s="153">
        <f t="shared" si="22"/>
        <v>0</v>
      </c>
      <c r="U57" s="41"/>
      <c r="V57" s="139" t="s">
        <v>82</v>
      </c>
      <c r="W57" s="153">
        <f t="shared" si="23"/>
        <v>345.44</v>
      </c>
      <c r="X57" s="41"/>
      <c r="Y57" s="139" t="s">
        <v>82</v>
      </c>
      <c r="Z57" s="153">
        <f t="shared" si="24"/>
        <v>37.5</v>
      </c>
      <c r="AA57" s="169"/>
    </row>
    <row r="58" spans="4:27" x14ac:dyDescent="0.2">
      <c r="H58" s="40"/>
      <c r="J58" s="176" t="s">
        <v>17</v>
      </c>
      <c r="K58" s="153">
        <f t="shared" si="19"/>
        <v>157.27000000000001</v>
      </c>
      <c r="L58" s="41"/>
      <c r="M58" s="151" t="s">
        <v>17</v>
      </c>
      <c r="N58" s="153">
        <f t="shared" si="20"/>
        <v>56.29</v>
      </c>
      <c r="O58" s="41"/>
      <c r="P58" s="151" t="s">
        <v>17</v>
      </c>
      <c r="Q58" s="153">
        <f t="shared" si="21"/>
        <v>998.37</v>
      </c>
      <c r="R58" s="41"/>
      <c r="S58" s="151" t="s">
        <v>17</v>
      </c>
      <c r="T58" s="153">
        <f t="shared" si="22"/>
        <v>28.37</v>
      </c>
      <c r="U58" s="41"/>
      <c r="V58" s="151" t="s">
        <v>17</v>
      </c>
      <c r="W58" s="153">
        <f t="shared" si="23"/>
        <v>101.6</v>
      </c>
      <c r="X58" s="41"/>
      <c r="Y58" s="151" t="s">
        <v>17</v>
      </c>
      <c r="Z58" s="153">
        <f t="shared" si="24"/>
        <v>25</v>
      </c>
      <c r="AA58" s="177"/>
    </row>
    <row r="59" spans="4:27" x14ac:dyDescent="0.2">
      <c r="H59" s="40"/>
      <c r="J59" s="178" t="s">
        <v>49</v>
      </c>
      <c r="K59" s="152">
        <f>IF(SUM(K49:K58)&gt;$Q$13,"TOO MUCH ADJUSTMENT!",SUM(K49:K58))</f>
        <v>1358.79</v>
      </c>
      <c r="L59" s="253">
        <f>K59-$Q$13</f>
        <v>-3288.6100000000006</v>
      </c>
      <c r="M59" s="142" t="s">
        <v>49</v>
      </c>
      <c r="N59" s="152">
        <f>IF(SUM(N49:N58)&gt;$Q$13,"TOO MUCH ADJUSTMENT!",SUM(N49:N58))</f>
        <v>1672.1399999999999</v>
      </c>
      <c r="O59" s="253">
        <f>N59-$Q$13</f>
        <v>-2975.2600000000007</v>
      </c>
      <c r="P59" s="142" t="s">
        <v>49</v>
      </c>
      <c r="Q59" s="152">
        <f>IF(SUM(Q49:Q58)&gt;$Q$13,"TOO MUCH ADJUSTMENT!",SUM(Q49:Q58))</f>
        <v>2250.42</v>
      </c>
      <c r="R59" s="253">
        <f>Q59-$Q$13</f>
        <v>-2396.9800000000005</v>
      </c>
      <c r="S59" s="142" t="s">
        <v>49</v>
      </c>
      <c r="T59" s="152">
        <f>IF(SUM(T49:T58)&gt;$Q$13,"TOO MUCH ADJUSTMENT!",SUM(T49:T58))</f>
        <v>3072.8900000000003</v>
      </c>
      <c r="U59" s="253">
        <f>T59-$Q$13</f>
        <v>-1574.5100000000002</v>
      </c>
      <c r="V59" s="142" t="s">
        <v>49</v>
      </c>
      <c r="W59" s="152">
        <f>IF(SUM(W49:W58)&gt;$Q$13,"TOO MUCH ADJUSTMENT!",SUM(W49:W58))</f>
        <v>3550.5199999999995</v>
      </c>
      <c r="X59" s="253">
        <f>W59-$Q$13</f>
        <v>-1096.880000000001</v>
      </c>
      <c r="Y59" s="142" t="s">
        <v>49</v>
      </c>
      <c r="Z59" s="152">
        <f>IF(SUM(Z49:Z58)&gt;$Q$13,"TOO MUCH ADJUSTMENT!",SUM(Z49:Z58))</f>
        <v>4647.3999999999996</v>
      </c>
      <c r="AA59" s="254">
        <f>Z59-$Q$13</f>
        <v>0</v>
      </c>
    </row>
    <row r="60" spans="4:27" x14ac:dyDescent="0.2">
      <c r="H60" s="40"/>
      <c r="J60" s="183"/>
      <c r="K60" s="184"/>
      <c r="L60" s="184"/>
      <c r="M60" s="184"/>
      <c r="N60" s="184"/>
      <c r="O60" s="184"/>
      <c r="P60" s="184"/>
      <c r="Q60" s="184"/>
      <c r="R60" s="184"/>
      <c r="S60" s="184"/>
      <c r="T60" s="184"/>
      <c r="U60" s="184"/>
      <c r="V60" s="184"/>
      <c r="W60" s="184"/>
      <c r="X60" s="184"/>
      <c r="Y60" s="184"/>
      <c r="Z60" s="184"/>
      <c r="AA60" s="185"/>
    </row>
    <row r="61" spans="4:27" ht="16" x14ac:dyDescent="0.2">
      <c r="H61" s="40"/>
      <c r="J61" s="480" t="s">
        <v>264</v>
      </c>
      <c r="K61" s="466"/>
      <c r="L61" s="466"/>
      <c r="M61" s="466" t="s">
        <v>265</v>
      </c>
      <c r="N61" s="466"/>
      <c r="O61" s="466"/>
      <c r="P61" s="466" t="s">
        <v>266</v>
      </c>
      <c r="Q61" s="466"/>
      <c r="R61" s="466"/>
      <c r="S61" s="466" t="s">
        <v>267</v>
      </c>
      <c r="T61" s="466"/>
      <c r="U61" s="466"/>
      <c r="V61" s="466" t="s">
        <v>268</v>
      </c>
      <c r="W61" s="466"/>
      <c r="X61" s="466"/>
      <c r="Y61" s="466" t="s">
        <v>269</v>
      </c>
      <c r="Z61" s="466"/>
      <c r="AA61" s="467"/>
    </row>
    <row r="62" spans="4:27" x14ac:dyDescent="0.2">
      <c r="H62" s="40"/>
      <c r="J62" s="481" t="s">
        <v>247</v>
      </c>
      <c r="K62" s="470" t="s">
        <v>246</v>
      </c>
      <c r="L62" s="477" t="s">
        <v>13</v>
      </c>
      <c r="M62" s="468" t="s">
        <v>247</v>
      </c>
      <c r="N62" s="470" t="s">
        <v>246</v>
      </c>
      <c r="O62" s="477" t="s">
        <v>13</v>
      </c>
      <c r="P62" s="468" t="s">
        <v>247</v>
      </c>
      <c r="Q62" s="470" t="s">
        <v>246</v>
      </c>
      <c r="R62" s="477" t="s">
        <v>13</v>
      </c>
      <c r="S62" s="468" t="s">
        <v>247</v>
      </c>
      <c r="T62" s="470" t="s">
        <v>246</v>
      </c>
      <c r="U62" s="477" t="s">
        <v>13</v>
      </c>
      <c r="V62" s="468" t="s">
        <v>247</v>
      </c>
      <c r="W62" s="470" t="s">
        <v>246</v>
      </c>
      <c r="X62" s="477" t="s">
        <v>13</v>
      </c>
      <c r="Y62" s="468" t="s">
        <v>247</v>
      </c>
      <c r="Z62" s="470" t="s">
        <v>246</v>
      </c>
      <c r="AA62" s="472" t="s">
        <v>13</v>
      </c>
    </row>
    <row r="63" spans="4:27" x14ac:dyDescent="0.2">
      <c r="H63" s="40"/>
      <c r="J63" s="482"/>
      <c r="K63" s="471"/>
      <c r="L63" s="478"/>
      <c r="M63" s="469"/>
      <c r="N63" s="471"/>
      <c r="O63" s="478"/>
      <c r="P63" s="469"/>
      <c r="Q63" s="471"/>
      <c r="R63" s="478"/>
      <c r="S63" s="469"/>
      <c r="T63" s="471"/>
      <c r="U63" s="478"/>
      <c r="V63" s="469"/>
      <c r="W63" s="471"/>
      <c r="X63" s="478"/>
      <c r="Y63" s="469"/>
      <c r="Z63" s="471"/>
      <c r="AA63" s="473"/>
    </row>
    <row r="64" spans="4:27" x14ac:dyDescent="0.2">
      <c r="H64" s="40"/>
      <c r="J64" s="27"/>
      <c r="K64" s="145"/>
      <c r="L64" s="244"/>
      <c r="M64" s="140" t="s">
        <v>372</v>
      </c>
      <c r="N64" s="145">
        <v>110</v>
      </c>
      <c r="O64" s="244" t="s">
        <v>8</v>
      </c>
      <c r="P64" s="140" t="s">
        <v>372</v>
      </c>
      <c r="Q64" s="145">
        <v>110</v>
      </c>
      <c r="R64" s="244" t="s">
        <v>8</v>
      </c>
      <c r="S64" s="234" t="s">
        <v>372</v>
      </c>
      <c r="T64" s="255">
        <v>110</v>
      </c>
      <c r="U64" s="235" t="s">
        <v>8</v>
      </c>
      <c r="V64" s="140"/>
      <c r="W64" s="145"/>
      <c r="X64" s="244"/>
      <c r="Y64" s="140"/>
      <c r="Z64" s="145"/>
      <c r="AA64" s="248"/>
    </row>
    <row r="65" spans="8:27" ht="30" x14ac:dyDescent="0.2">
      <c r="H65" s="40"/>
      <c r="J65" s="27"/>
      <c r="K65" s="145"/>
      <c r="L65" s="244"/>
      <c r="M65" s="140" t="s">
        <v>373</v>
      </c>
      <c r="N65" s="145">
        <v>-10</v>
      </c>
      <c r="O65" s="244" t="s">
        <v>47</v>
      </c>
      <c r="P65" s="140" t="s">
        <v>395</v>
      </c>
      <c r="Q65" s="145">
        <v>-120</v>
      </c>
      <c r="R65" s="244" t="s">
        <v>7</v>
      </c>
      <c r="S65" s="140" t="s">
        <v>547</v>
      </c>
      <c r="T65" s="145">
        <v>400</v>
      </c>
      <c r="U65" s="244" t="s">
        <v>82</v>
      </c>
      <c r="V65" s="140"/>
      <c r="W65" s="145"/>
      <c r="X65" s="244"/>
      <c r="Y65" s="140"/>
      <c r="Z65" s="145"/>
      <c r="AA65" s="248"/>
    </row>
    <row r="66" spans="8:27" x14ac:dyDescent="0.2">
      <c r="H66" s="40"/>
      <c r="J66" s="27"/>
      <c r="K66" s="145"/>
      <c r="L66" s="244"/>
      <c r="M66" s="140" t="s">
        <v>395</v>
      </c>
      <c r="N66" s="145">
        <v>-120</v>
      </c>
      <c r="O66" s="244" t="s">
        <v>7</v>
      </c>
      <c r="P66" s="140" t="s">
        <v>397</v>
      </c>
      <c r="Q66" s="145">
        <v>-800</v>
      </c>
      <c r="R66" s="244" t="s">
        <v>48</v>
      </c>
      <c r="S66" s="140" t="s">
        <v>397</v>
      </c>
      <c r="T66" s="145">
        <v>-800</v>
      </c>
      <c r="U66" s="244" t="s">
        <v>48</v>
      </c>
      <c r="V66" s="140"/>
      <c r="W66" s="145"/>
      <c r="X66" s="244"/>
      <c r="Y66" s="140"/>
      <c r="Z66" s="145"/>
      <c r="AA66" s="248"/>
    </row>
    <row r="67" spans="8:27" x14ac:dyDescent="0.2">
      <c r="H67" s="40"/>
      <c r="J67" s="27"/>
      <c r="K67" s="145"/>
      <c r="L67" s="244"/>
      <c r="M67" s="140" t="s">
        <v>397</v>
      </c>
      <c r="N67" s="145">
        <v>-800</v>
      </c>
      <c r="O67" s="244" t="s">
        <v>48</v>
      </c>
      <c r="P67" s="140" t="s">
        <v>413</v>
      </c>
      <c r="Q67" s="145">
        <v>300</v>
      </c>
      <c r="R67" s="244" t="s">
        <v>82</v>
      </c>
      <c r="S67" s="140" t="s">
        <v>548</v>
      </c>
      <c r="T67" s="145">
        <v>50</v>
      </c>
      <c r="U67" s="244" t="s">
        <v>82</v>
      </c>
      <c r="V67" s="140"/>
      <c r="W67" s="145"/>
      <c r="X67" s="244"/>
      <c r="Y67" s="140"/>
      <c r="Z67" s="145"/>
      <c r="AA67" s="248"/>
    </row>
    <row r="68" spans="8:27" ht="30" x14ac:dyDescent="0.2">
      <c r="H68" s="40"/>
      <c r="J68" s="27"/>
      <c r="K68" s="145"/>
      <c r="L68" s="244"/>
      <c r="M68" s="140" t="s">
        <v>396</v>
      </c>
      <c r="N68" s="145">
        <v>500</v>
      </c>
      <c r="O68" s="244" t="s">
        <v>44</v>
      </c>
      <c r="P68" s="140" t="s">
        <v>438</v>
      </c>
      <c r="Q68" s="145">
        <v>300</v>
      </c>
      <c r="R68" s="244" t="s">
        <v>44</v>
      </c>
      <c r="S68" s="140"/>
      <c r="T68" s="145"/>
      <c r="U68" s="327"/>
      <c r="V68" s="140"/>
      <c r="W68" s="145"/>
      <c r="X68" s="244"/>
      <c r="Y68" s="140"/>
      <c r="Z68" s="145"/>
      <c r="AA68" s="248"/>
    </row>
    <row r="69" spans="8:27" x14ac:dyDescent="0.2">
      <c r="H69" s="40"/>
      <c r="J69" s="27"/>
      <c r="K69" s="145"/>
      <c r="L69" s="244"/>
      <c r="M69" s="140" t="s">
        <v>437</v>
      </c>
      <c r="N69" s="145">
        <v>200</v>
      </c>
      <c r="O69" s="244" t="s">
        <v>1</v>
      </c>
      <c r="P69" s="140" t="s">
        <v>437</v>
      </c>
      <c r="Q69" s="145">
        <v>200</v>
      </c>
      <c r="R69" s="244" t="s">
        <v>1</v>
      </c>
      <c r="S69" s="140"/>
      <c r="T69" s="145"/>
      <c r="U69" s="244"/>
      <c r="V69" s="140"/>
      <c r="W69" s="145"/>
      <c r="X69" s="244"/>
      <c r="Y69" s="140"/>
      <c r="Z69" s="145"/>
      <c r="AA69" s="248"/>
    </row>
    <row r="70" spans="8:27" x14ac:dyDescent="0.2">
      <c r="H70" s="40"/>
      <c r="J70" s="27"/>
      <c r="K70" s="145"/>
      <c r="L70" s="244"/>
      <c r="M70" s="140"/>
      <c r="N70" s="145"/>
      <c r="O70" s="244"/>
      <c r="P70" s="140"/>
      <c r="Q70" s="145"/>
      <c r="R70" s="244"/>
      <c r="S70" s="140"/>
      <c r="T70" s="145"/>
      <c r="U70" s="244"/>
      <c r="V70" s="140"/>
      <c r="W70" s="145"/>
      <c r="X70" s="244"/>
      <c r="Y70" s="140"/>
      <c r="Z70" s="145"/>
      <c r="AA70" s="248"/>
    </row>
    <row r="71" spans="8:27" x14ac:dyDescent="0.2">
      <c r="H71" s="40"/>
      <c r="J71" s="27"/>
      <c r="K71" s="145"/>
      <c r="L71" s="244"/>
      <c r="M71" s="140"/>
      <c r="N71" s="145"/>
      <c r="O71" s="244"/>
      <c r="P71" s="140"/>
      <c r="Q71" s="145"/>
      <c r="R71" s="244"/>
      <c r="S71" s="140"/>
      <c r="T71" s="145"/>
      <c r="U71" s="244"/>
      <c r="V71" s="140"/>
      <c r="W71" s="145"/>
      <c r="X71" s="244"/>
      <c r="Y71" s="140"/>
      <c r="Z71" s="145"/>
      <c r="AA71" s="248"/>
    </row>
    <row r="72" spans="8:27" x14ac:dyDescent="0.2">
      <c r="H72" s="40"/>
      <c r="J72" s="27"/>
      <c r="K72" s="145"/>
      <c r="L72" s="244"/>
      <c r="M72" s="140"/>
      <c r="N72" s="145"/>
      <c r="O72" s="244"/>
      <c r="P72" s="140"/>
      <c r="Q72" s="145"/>
      <c r="R72" s="244"/>
      <c r="S72" s="140"/>
      <c r="T72" s="145"/>
      <c r="U72" s="244"/>
      <c r="V72" s="140"/>
      <c r="W72" s="145"/>
      <c r="X72" s="244"/>
      <c r="Y72" s="140"/>
      <c r="Z72" s="145"/>
      <c r="AA72" s="248"/>
    </row>
    <row r="73" spans="8:27" x14ac:dyDescent="0.2">
      <c r="H73" s="40"/>
      <c r="J73" s="27"/>
      <c r="K73" s="145"/>
      <c r="L73" s="244"/>
      <c r="M73" s="140"/>
      <c r="N73" s="145"/>
      <c r="O73" s="244"/>
      <c r="P73" s="140"/>
      <c r="Q73" s="145"/>
      <c r="R73" s="244"/>
      <c r="S73" s="140"/>
      <c r="T73" s="145"/>
      <c r="U73" s="244"/>
      <c r="V73" s="140"/>
      <c r="W73" s="145"/>
      <c r="X73" s="244"/>
      <c r="Y73" s="140"/>
      <c r="Z73" s="145"/>
      <c r="AA73" s="248"/>
    </row>
    <row r="74" spans="8:27" x14ac:dyDescent="0.2">
      <c r="H74" s="40"/>
      <c r="J74" s="27"/>
      <c r="K74" s="145"/>
      <c r="L74" s="244"/>
      <c r="M74" s="140"/>
      <c r="N74" s="145"/>
      <c r="O74" s="244"/>
      <c r="P74" s="140"/>
      <c r="Q74" s="145"/>
      <c r="R74" s="244"/>
      <c r="S74" s="140"/>
      <c r="T74" s="145"/>
      <c r="U74" s="244"/>
      <c r="V74" s="140"/>
      <c r="W74" s="145"/>
      <c r="X74" s="244"/>
      <c r="Y74" s="140"/>
      <c r="Z74" s="145"/>
      <c r="AA74" s="248"/>
    </row>
    <row r="75" spans="8:27" x14ac:dyDescent="0.2">
      <c r="H75" s="40"/>
      <c r="J75" s="27"/>
      <c r="K75" s="145"/>
      <c r="L75" s="244"/>
      <c r="M75" s="140"/>
      <c r="N75" s="145"/>
      <c r="O75" s="244"/>
      <c r="P75" s="140"/>
      <c r="Q75" s="145"/>
      <c r="R75" s="244"/>
      <c r="S75" s="140"/>
      <c r="T75" s="145"/>
      <c r="U75" s="244"/>
      <c r="V75" s="140"/>
      <c r="W75" s="145"/>
      <c r="X75" s="244"/>
      <c r="Y75" s="140"/>
      <c r="Z75" s="145"/>
      <c r="AA75" s="248"/>
    </row>
    <row r="76" spans="8:27" x14ac:dyDescent="0.2">
      <c r="H76" s="40"/>
      <c r="J76" s="27"/>
      <c r="K76" s="145"/>
      <c r="L76" s="244"/>
      <c r="M76" s="140"/>
      <c r="N76" s="145"/>
      <c r="O76" s="244"/>
      <c r="P76" s="140"/>
      <c r="Q76" s="145"/>
      <c r="R76" s="244"/>
      <c r="S76" s="140"/>
      <c r="T76" s="145"/>
      <c r="U76" s="244"/>
      <c r="V76" s="140"/>
      <c r="W76" s="145"/>
      <c r="X76" s="244"/>
      <c r="Y76" s="140"/>
      <c r="Z76" s="145"/>
      <c r="AA76" s="248"/>
    </row>
    <row r="77" spans="8:27" x14ac:dyDescent="0.2">
      <c r="H77" s="40"/>
      <c r="J77" s="27"/>
      <c r="K77" s="145"/>
      <c r="L77" s="244"/>
      <c r="M77" s="140"/>
      <c r="N77" s="145"/>
      <c r="O77" s="244"/>
      <c r="P77" s="140"/>
      <c r="Q77" s="145"/>
      <c r="R77" s="244"/>
      <c r="S77" s="140"/>
      <c r="T77" s="145"/>
      <c r="U77" s="244"/>
      <c r="V77" s="140"/>
      <c r="W77" s="145"/>
      <c r="X77" s="244"/>
      <c r="Y77" s="140"/>
      <c r="Z77" s="145"/>
      <c r="AA77" s="248"/>
    </row>
    <row r="78" spans="8:27" x14ac:dyDescent="0.2">
      <c r="H78" s="40"/>
      <c r="J78" s="27"/>
      <c r="K78" s="145"/>
      <c r="L78" s="244"/>
      <c r="M78" s="140"/>
      <c r="N78" s="145"/>
      <c r="O78" s="244"/>
      <c r="P78" s="140"/>
      <c r="Q78" s="145"/>
      <c r="R78" s="244"/>
      <c r="S78" s="140"/>
      <c r="T78" s="145"/>
      <c r="U78" s="244"/>
      <c r="V78" s="140"/>
      <c r="W78" s="145"/>
      <c r="X78" s="244"/>
      <c r="Y78" s="140"/>
      <c r="Z78" s="145"/>
      <c r="AA78" s="248"/>
    </row>
    <row r="79" spans="8:27" x14ac:dyDescent="0.2">
      <c r="H79" s="40"/>
      <c r="J79" s="27"/>
      <c r="K79" s="145"/>
      <c r="L79" s="244"/>
      <c r="M79" s="140"/>
      <c r="N79" s="145"/>
      <c r="O79" s="244"/>
      <c r="P79" s="140"/>
      <c r="Q79" s="145"/>
      <c r="R79" s="244"/>
      <c r="S79" s="140"/>
      <c r="T79" s="145"/>
      <c r="U79" s="244"/>
      <c r="V79" s="140"/>
      <c r="W79" s="145"/>
      <c r="X79" s="244"/>
      <c r="Y79" s="140"/>
      <c r="Z79" s="145"/>
      <c r="AA79" s="248"/>
    </row>
    <row r="80" spans="8:27" x14ac:dyDescent="0.2">
      <c r="H80" s="40"/>
      <c r="J80" s="27"/>
      <c r="K80" s="145"/>
      <c r="L80" s="244"/>
      <c r="M80" s="140"/>
      <c r="N80" s="145"/>
      <c r="O80" s="244"/>
      <c r="P80" s="140"/>
      <c r="Q80" s="145"/>
      <c r="R80" s="244"/>
      <c r="S80" s="140"/>
      <c r="T80" s="145"/>
      <c r="U80" s="244"/>
      <c r="V80" s="140"/>
      <c r="W80" s="145"/>
      <c r="X80" s="244"/>
      <c r="Y80" s="140"/>
      <c r="Z80" s="145"/>
      <c r="AA80" s="248"/>
    </row>
    <row r="81" spans="8:27" x14ac:dyDescent="0.2">
      <c r="H81" s="40"/>
      <c r="J81" s="27"/>
      <c r="K81" s="145"/>
      <c r="L81" s="244"/>
      <c r="M81" s="140"/>
      <c r="N81" s="145"/>
      <c r="O81" s="244"/>
      <c r="P81" s="140"/>
      <c r="Q81" s="145"/>
      <c r="R81" s="244"/>
      <c r="S81" s="140"/>
      <c r="T81" s="145"/>
      <c r="U81" s="244"/>
      <c r="V81" s="140"/>
      <c r="W81" s="145"/>
      <c r="X81" s="244"/>
      <c r="Y81" s="140"/>
      <c r="Z81" s="145"/>
      <c r="AA81" s="248"/>
    </row>
    <row r="82" spans="8:27" x14ac:dyDescent="0.2">
      <c r="H82" s="40"/>
      <c r="J82" s="27"/>
      <c r="K82" s="145"/>
      <c r="L82" s="244"/>
      <c r="M82" s="140"/>
      <c r="N82" s="145"/>
      <c r="O82" s="244"/>
      <c r="P82" s="140"/>
      <c r="Q82" s="145"/>
      <c r="R82" s="244"/>
      <c r="S82" s="140"/>
      <c r="T82" s="145"/>
      <c r="U82" s="244"/>
      <c r="V82" s="140"/>
      <c r="W82" s="145"/>
      <c r="X82" s="244"/>
      <c r="Y82" s="140"/>
      <c r="Z82" s="145"/>
      <c r="AA82" s="248"/>
    </row>
    <row r="83" spans="8:27" x14ac:dyDescent="0.2">
      <c r="H83" s="40"/>
      <c r="J83" s="27"/>
      <c r="K83" s="145"/>
      <c r="L83" s="244"/>
      <c r="M83" s="140"/>
      <c r="N83" s="145"/>
      <c r="O83" s="244"/>
      <c r="P83" s="140"/>
      <c r="Q83" s="145"/>
      <c r="R83" s="244"/>
      <c r="S83" s="140"/>
      <c r="T83" s="145"/>
      <c r="U83" s="244"/>
      <c r="V83" s="140"/>
      <c r="W83" s="145"/>
      <c r="X83" s="244"/>
      <c r="Y83" s="140"/>
      <c r="Z83" s="145"/>
      <c r="AA83" s="248"/>
    </row>
    <row r="84" spans="8:27" x14ac:dyDescent="0.2">
      <c r="H84" s="40"/>
      <c r="J84" s="27"/>
      <c r="K84" s="145"/>
      <c r="L84" s="244"/>
      <c r="M84" s="140"/>
      <c r="N84" s="145"/>
      <c r="O84" s="244"/>
      <c r="P84" s="140"/>
      <c r="Q84" s="145"/>
      <c r="R84" s="244"/>
      <c r="S84" s="140"/>
      <c r="T84" s="145"/>
      <c r="U84" s="244"/>
      <c r="V84" s="140"/>
      <c r="W84" s="145"/>
      <c r="X84" s="244"/>
      <c r="Y84" s="140"/>
      <c r="Z84" s="145"/>
      <c r="AA84" s="248"/>
    </row>
    <row r="85" spans="8:27" x14ac:dyDescent="0.2">
      <c r="H85" s="40"/>
      <c r="J85" s="27"/>
      <c r="K85" s="145"/>
      <c r="L85" s="244"/>
      <c r="M85" s="140"/>
      <c r="N85" s="145"/>
      <c r="O85" s="244"/>
      <c r="P85" s="140"/>
      <c r="Q85" s="145"/>
      <c r="R85" s="244"/>
      <c r="S85" s="140"/>
      <c r="T85" s="145"/>
      <c r="U85" s="244"/>
      <c r="V85" s="140"/>
      <c r="W85" s="145"/>
      <c r="X85" s="244"/>
      <c r="Y85" s="140"/>
      <c r="Z85" s="145"/>
      <c r="AA85" s="248"/>
    </row>
    <row r="86" spans="8:27" x14ac:dyDescent="0.2">
      <c r="H86" s="40"/>
      <c r="J86" s="27"/>
      <c r="K86" s="145"/>
      <c r="L86" s="244"/>
      <c r="M86" s="140"/>
      <c r="N86" s="145"/>
      <c r="O86" s="244"/>
      <c r="P86" s="140"/>
      <c r="Q86" s="145"/>
      <c r="R86" s="244"/>
      <c r="S86" s="140"/>
      <c r="T86" s="145"/>
      <c r="U86" s="244"/>
      <c r="V86" s="140"/>
      <c r="W86" s="145"/>
      <c r="X86" s="244"/>
      <c r="Y86" s="140"/>
      <c r="Z86" s="145"/>
      <c r="AA86" s="248"/>
    </row>
    <row r="87" spans="8:27" x14ac:dyDescent="0.2">
      <c r="H87" s="40"/>
      <c r="J87" s="27"/>
      <c r="K87" s="145"/>
      <c r="L87" s="244"/>
      <c r="M87" s="140"/>
      <c r="N87" s="145"/>
      <c r="O87" s="244"/>
      <c r="P87" s="140"/>
      <c r="Q87" s="145"/>
      <c r="R87" s="244"/>
      <c r="S87" s="140"/>
      <c r="T87" s="145"/>
      <c r="U87" s="244"/>
      <c r="V87" s="140"/>
      <c r="W87" s="145"/>
      <c r="X87" s="244"/>
      <c r="Y87" s="140"/>
      <c r="Z87" s="145"/>
      <c r="AA87" s="248"/>
    </row>
    <row r="88" spans="8:27" x14ac:dyDescent="0.2">
      <c r="H88" s="40"/>
      <c r="J88" s="27"/>
      <c r="K88" s="145"/>
      <c r="L88" s="244"/>
      <c r="M88" s="140"/>
      <c r="N88" s="145"/>
      <c r="O88" s="244"/>
      <c r="P88" s="140"/>
      <c r="Q88" s="145"/>
      <c r="R88" s="244"/>
      <c r="S88" s="140"/>
      <c r="T88" s="145"/>
      <c r="U88" s="244"/>
      <c r="V88" s="140"/>
      <c r="W88" s="145"/>
      <c r="X88" s="244"/>
      <c r="Y88" s="140"/>
      <c r="Z88" s="145"/>
      <c r="AA88" s="248"/>
    </row>
    <row r="89" spans="8:27" x14ac:dyDescent="0.2">
      <c r="H89" s="40"/>
      <c r="J89" s="27"/>
      <c r="K89" s="145"/>
      <c r="L89" s="244"/>
      <c r="M89" s="140"/>
      <c r="N89" s="145"/>
      <c r="O89" s="244"/>
      <c r="P89" s="140"/>
      <c r="Q89" s="145"/>
      <c r="R89" s="244"/>
      <c r="S89" s="140"/>
      <c r="T89" s="145"/>
      <c r="U89" s="244"/>
      <c r="V89" s="140"/>
      <c r="W89" s="145"/>
      <c r="X89" s="244"/>
      <c r="Y89" s="140"/>
      <c r="Z89" s="145"/>
      <c r="AA89" s="248"/>
    </row>
    <row r="90" spans="8:27" x14ac:dyDescent="0.2">
      <c r="H90" s="40"/>
      <c r="J90" s="27"/>
      <c r="K90" s="145"/>
      <c r="L90" s="244"/>
      <c r="M90" s="140"/>
      <c r="N90" s="145"/>
      <c r="O90" s="244"/>
      <c r="P90" s="140"/>
      <c r="Q90" s="145"/>
      <c r="R90" s="244"/>
      <c r="S90" s="140"/>
      <c r="T90" s="145"/>
      <c r="U90" s="244"/>
      <c r="V90" s="140"/>
      <c r="W90" s="145"/>
      <c r="X90" s="244"/>
      <c r="Y90" s="140"/>
      <c r="Z90" s="145"/>
      <c r="AA90" s="248"/>
    </row>
    <row r="91" spans="8:27" x14ac:dyDescent="0.2">
      <c r="H91" s="40"/>
      <c r="J91" s="27"/>
      <c r="K91" s="145"/>
      <c r="L91" s="244"/>
      <c r="M91" s="140"/>
      <c r="N91" s="145"/>
      <c r="O91" s="244"/>
      <c r="P91" s="140"/>
      <c r="Q91" s="145"/>
      <c r="R91" s="244"/>
      <c r="S91" s="140"/>
      <c r="T91" s="145"/>
      <c r="U91" s="244"/>
      <c r="V91" s="140"/>
      <c r="W91" s="145"/>
      <c r="X91" s="244"/>
      <c r="Y91" s="140"/>
      <c r="Z91" s="145"/>
      <c r="AA91" s="248"/>
    </row>
    <row r="92" spans="8:27" x14ac:dyDescent="0.2">
      <c r="H92" s="40"/>
      <c r="J92" s="27"/>
      <c r="K92" s="145"/>
      <c r="L92" s="244"/>
      <c r="M92" s="140" t="s">
        <v>439</v>
      </c>
      <c r="N92" s="145">
        <v>120</v>
      </c>
      <c r="O92" s="244" t="s">
        <v>8</v>
      </c>
      <c r="P92" s="140" t="s">
        <v>440</v>
      </c>
      <c r="Q92" s="145">
        <v>10</v>
      </c>
      <c r="R92" s="244" t="s">
        <v>8</v>
      </c>
      <c r="S92" s="140" t="s">
        <v>440</v>
      </c>
      <c r="T92" s="145">
        <v>0</v>
      </c>
      <c r="U92" s="244" t="s">
        <v>8</v>
      </c>
      <c r="V92" s="140" t="s">
        <v>440</v>
      </c>
      <c r="W92" s="145">
        <v>0</v>
      </c>
      <c r="X92" s="244" t="s">
        <v>8</v>
      </c>
      <c r="Y92" s="140" t="s">
        <v>440</v>
      </c>
      <c r="Z92" s="145">
        <v>0</v>
      </c>
      <c r="AA92" s="244" t="s">
        <v>8</v>
      </c>
    </row>
    <row r="93" spans="8:27" x14ac:dyDescent="0.2">
      <c r="H93" s="40"/>
      <c r="J93" s="165"/>
      <c r="K93" s="146"/>
      <c r="L93" s="245"/>
      <c r="M93" s="141"/>
      <c r="N93" s="146"/>
      <c r="O93" s="245"/>
      <c r="P93" s="141"/>
      <c r="Q93" s="146"/>
      <c r="R93" s="245"/>
      <c r="S93" s="141"/>
      <c r="T93" s="146"/>
      <c r="U93" s="245"/>
      <c r="V93" s="141"/>
      <c r="W93" s="146"/>
      <c r="X93" s="245"/>
      <c r="Y93" s="141"/>
      <c r="Z93" s="146"/>
      <c r="AA93" s="249"/>
    </row>
    <row r="94" spans="8:27" ht="16" x14ac:dyDescent="0.2">
      <c r="H94" s="40"/>
      <c r="J94" s="483" t="s">
        <v>270</v>
      </c>
      <c r="K94" s="475"/>
      <c r="L94" s="479"/>
      <c r="M94" s="474" t="s">
        <v>271</v>
      </c>
      <c r="N94" s="475"/>
      <c r="O94" s="479"/>
      <c r="P94" s="474" t="s">
        <v>272</v>
      </c>
      <c r="Q94" s="475"/>
      <c r="R94" s="479"/>
      <c r="S94" s="474" t="s">
        <v>273</v>
      </c>
      <c r="T94" s="475"/>
      <c r="U94" s="479"/>
      <c r="V94" s="474" t="s">
        <v>274</v>
      </c>
      <c r="W94" s="475"/>
      <c r="X94" s="479"/>
      <c r="Y94" s="474" t="s">
        <v>275</v>
      </c>
      <c r="Z94" s="475"/>
      <c r="AA94" s="476"/>
    </row>
    <row r="95" spans="8:27" x14ac:dyDescent="0.2">
      <c r="H95" s="40"/>
      <c r="J95" s="166" t="s">
        <v>44</v>
      </c>
      <c r="K95" s="153">
        <f>SUMIF(L$64:L$93,J95,K$64:K$93)+$Q3</f>
        <v>180</v>
      </c>
      <c r="L95" s="244"/>
      <c r="M95" s="131" t="s">
        <v>44</v>
      </c>
      <c r="N95" s="153">
        <f>SUMIF(O$64:O$93,M95,N$64:N$93)+$Q3</f>
        <v>680</v>
      </c>
      <c r="O95" s="244"/>
      <c r="P95" s="131" t="s">
        <v>44</v>
      </c>
      <c r="Q95" s="153">
        <f>SUMIF(R$64:R$93,P95,Q$64:Q$93)+$Q3</f>
        <v>480</v>
      </c>
      <c r="R95" s="244"/>
      <c r="S95" s="131" t="s">
        <v>44</v>
      </c>
      <c r="T95" s="153">
        <f>SUMIF(U$64:U$93,S95,T$64:T$93)+$Q3</f>
        <v>180</v>
      </c>
      <c r="U95" s="244"/>
      <c r="V95" s="131" t="s">
        <v>44</v>
      </c>
      <c r="W95" s="153">
        <f>SUMIF(X$64:X$93,V95,W$64:W$93)+$Q3</f>
        <v>180</v>
      </c>
      <c r="X95" s="244"/>
      <c r="Y95" s="131" t="s">
        <v>44</v>
      </c>
      <c r="Z95" s="153">
        <f>SUMIF(AA$64:AA$93,Y95,Z$64:Z$93)+$Q3</f>
        <v>180</v>
      </c>
      <c r="AA95" s="248"/>
    </row>
    <row r="96" spans="8:27" x14ac:dyDescent="0.2">
      <c r="H96" s="40"/>
      <c r="J96" s="167" t="s">
        <v>47</v>
      </c>
      <c r="K96" s="153">
        <f t="shared" ref="K96:K104" si="25">SUMIF(L$64:L$93,J96,K$64:K$93)+$Q4</f>
        <v>167.23333333333332</v>
      </c>
      <c r="L96" s="244"/>
      <c r="M96" s="132" t="s">
        <v>47</v>
      </c>
      <c r="N96" s="153">
        <f t="shared" ref="N96:N104" si="26">SUMIF(O$64:O$93,M96,N$64:N$93)+$Q4</f>
        <v>157.23333333333332</v>
      </c>
      <c r="O96" s="244"/>
      <c r="P96" s="132" t="s">
        <v>47</v>
      </c>
      <c r="Q96" s="153">
        <f t="shared" ref="Q96:Q104" si="27">SUMIF(R$64:R$93,P96,Q$64:Q$93)+$Q4</f>
        <v>167.23333333333332</v>
      </c>
      <c r="R96" s="244"/>
      <c r="S96" s="132" t="s">
        <v>47</v>
      </c>
      <c r="T96" s="153">
        <f t="shared" ref="T96:T104" si="28">SUMIF(U$64:U$93,S96,T$64:T$93)+$Q4</f>
        <v>167.23333333333332</v>
      </c>
      <c r="U96" s="244"/>
      <c r="V96" s="132" t="s">
        <v>47</v>
      </c>
      <c r="W96" s="153">
        <f t="shared" ref="W96:W104" si="29">SUMIF(X$64:X$93,V96,W$64:W$93)+$Q4</f>
        <v>167.23333333333332</v>
      </c>
      <c r="X96" s="244"/>
      <c r="Y96" s="132" t="s">
        <v>47</v>
      </c>
      <c r="Z96" s="153">
        <f t="shared" ref="Z96:Z104" si="30">SUMIF(AA$64:AA$93,Y96,Z$64:Z$93)+$Q4</f>
        <v>167.23333333333332</v>
      </c>
      <c r="AA96" s="248"/>
    </row>
    <row r="97" spans="8:27" x14ac:dyDescent="0.2">
      <c r="H97" s="40"/>
      <c r="J97" s="168" t="s">
        <v>3</v>
      </c>
      <c r="K97" s="153">
        <f t="shared" si="25"/>
        <v>599.16666666666663</v>
      </c>
      <c r="L97" s="41"/>
      <c r="M97" s="133" t="s">
        <v>3</v>
      </c>
      <c r="N97" s="153">
        <f t="shared" si="26"/>
        <v>599.16666666666663</v>
      </c>
      <c r="O97" s="41"/>
      <c r="P97" s="133" t="s">
        <v>3</v>
      </c>
      <c r="Q97" s="153">
        <f t="shared" si="27"/>
        <v>599.16666666666663</v>
      </c>
      <c r="R97" s="41"/>
      <c r="S97" s="133" t="s">
        <v>3</v>
      </c>
      <c r="T97" s="153">
        <f t="shared" si="28"/>
        <v>599.16666666666663</v>
      </c>
      <c r="U97" s="41"/>
      <c r="V97" s="133" t="s">
        <v>3</v>
      </c>
      <c r="W97" s="153">
        <f t="shared" si="29"/>
        <v>599.16666666666663</v>
      </c>
      <c r="X97" s="41"/>
      <c r="Y97" s="133" t="s">
        <v>3</v>
      </c>
      <c r="Z97" s="153">
        <f t="shared" si="30"/>
        <v>599.16666666666663</v>
      </c>
      <c r="AA97" s="169"/>
    </row>
    <row r="98" spans="8:27" x14ac:dyDescent="0.2">
      <c r="H98" s="40"/>
      <c r="J98" s="170" t="s">
        <v>7</v>
      </c>
      <c r="K98" s="153">
        <f t="shared" si="25"/>
        <v>675</v>
      </c>
      <c r="L98" s="41"/>
      <c r="M98" s="134" t="s">
        <v>7</v>
      </c>
      <c r="N98" s="153">
        <f t="shared" si="26"/>
        <v>555</v>
      </c>
      <c r="O98" s="41"/>
      <c r="P98" s="134" t="s">
        <v>7</v>
      </c>
      <c r="Q98" s="153">
        <f t="shared" si="27"/>
        <v>555</v>
      </c>
      <c r="R98" s="41"/>
      <c r="S98" s="134" t="s">
        <v>7</v>
      </c>
      <c r="T98" s="153">
        <f t="shared" si="28"/>
        <v>675</v>
      </c>
      <c r="U98" s="41"/>
      <c r="V98" s="134" t="s">
        <v>7</v>
      </c>
      <c r="W98" s="153">
        <f t="shared" si="29"/>
        <v>675</v>
      </c>
      <c r="X98" s="41"/>
      <c r="Y98" s="134" t="s">
        <v>7</v>
      </c>
      <c r="Z98" s="153">
        <f t="shared" si="30"/>
        <v>675</v>
      </c>
      <c r="AA98" s="169"/>
    </row>
    <row r="99" spans="8:27" x14ac:dyDescent="0.2">
      <c r="H99" s="40"/>
      <c r="J99" s="171" t="s">
        <v>1</v>
      </c>
      <c r="K99" s="153">
        <f t="shared" si="25"/>
        <v>1933.5</v>
      </c>
      <c r="L99" s="41"/>
      <c r="M99" s="135" t="s">
        <v>1</v>
      </c>
      <c r="N99" s="153">
        <f t="shared" si="26"/>
        <v>2133.5</v>
      </c>
      <c r="O99" s="41"/>
      <c r="P99" s="135" t="s">
        <v>1</v>
      </c>
      <c r="Q99" s="153">
        <f t="shared" si="27"/>
        <v>2133.5</v>
      </c>
      <c r="R99" s="41"/>
      <c r="S99" s="135" t="s">
        <v>1</v>
      </c>
      <c r="T99" s="153">
        <f t="shared" si="28"/>
        <v>1933.5</v>
      </c>
      <c r="U99" s="41"/>
      <c r="V99" s="135" t="s">
        <v>1</v>
      </c>
      <c r="W99" s="153">
        <f t="shared" si="29"/>
        <v>1933.5</v>
      </c>
      <c r="X99" s="41"/>
      <c r="Y99" s="135" t="s">
        <v>1</v>
      </c>
      <c r="Z99" s="153">
        <f t="shared" si="30"/>
        <v>1933.5</v>
      </c>
      <c r="AA99" s="169"/>
    </row>
    <row r="100" spans="8:27" x14ac:dyDescent="0.2">
      <c r="H100" s="40"/>
      <c r="J100" s="172" t="s">
        <v>40</v>
      </c>
      <c r="K100" s="153">
        <f t="shared" si="25"/>
        <v>130</v>
      </c>
      <c r="L100" s="41"/>
      <c r="M100" s="136" t="s">
        <v>40</v>
      </c>
      <c r="N100" s="153">
        <f t="shared" si="26"/>
        <v>130</v>
      </c>
      <c r="O100" s="41"/>
      <c r="P100" s="136" t="s">
        <v>40</v>
      </c>
      <c r="Q100" s="153">
        <f t="shared" si="27"/>
        <v>130</v>
      </c>
      <c r="R100" s="41"/>
      <c r="S100" s="136" t="s">
        <v>40</v>
      </c>
      <c r="T100" s="153">
        <f t="shared" si="28"/>
        <v>130</v>
      </c>
      <c r="U100" s="41"/>
      <c r="V100" s="136" t="s">
        <v>40</v>
      </c>
      <c r="W100" s="153">
        <f t="shared" si="29"/>
        <v>130</v>
      </c>
      <c r="X100" s="41"/>
      <c r="Y100" s="136" t="s">
        <v>40</v>
      </c>
      <c r="Z100" s="153">
        <f t="shared" si="30"/>
        <v>130</v>
      </c>
      <c r="AA100" s="169"/>
    </row>
    <row r="101" spans="8:27" x14ac:dyDescent="0.2">
      <c r="J101" s="173" t="s">
        <v>48</v>
      </c>
      <c r="K101" s="153">
        <f>SUMIF(L$64:L$93,J101,K$64:K$93)+$Q9</f>
        <v>800</v>
      </c>
      <c r="L101" s="41"/>
      <c r="M101" s="137" t="s">
        <v>48</v>
      </c>
      <c r="N101" s="153">
        <f>SUMIF(O$64:O$93,M101,N$64:N$93)+$Q9</f>
        <v>0</v>
      </c>
      <c r="O101" s="41"/>
      <c r="P101" s="137" t="s">
        <v>48</v>
      </c>
      <c r="Q101" s="153">
        <f>SUMIF(R$64:R$93,P101,Q$64:Q$93)+$Q9</f>
        <v>0</v>
      </c>
      <c r="R101" s="41"/>
      <c r="S101" s="137" t="s">
        <v>48</v>
      </c>
      <c r="T101" s="153">
        <f>SUMIF(U$64:U$93,S101,T$64:T$93)+$Q9</f>
        <v>0</v>
      </c>
      <c r="U101" s="41"/>
      <c r="V101" s="137" t="s">
        <v>48</v>
      </c>
      <c r="W101" s="153">
        <f>SUMIF(X$64:X$93,V101,W$64:W$93)+$Q9</f>
        <v>800</v>
      </c>
      <c r="X101" s="41"/>
      <c r="Y101" s="137" t="s">
        <v>48</v>
      </c>
      <c r="Z101" s="153">
        <f>SUMIF(AA$64:AA$93,Y101,Z$64:Z$93)+$Q9</f>
        <v>800</v>
      </c>
      <c r="AA101" s="169"/>
    </row>
    <row r="102" spans="8:27" x14ac:dyDescent="0.2">
      <c r="J102" s="174" t="s">
        <v>8</v>
      </c>
      <c r="K102" s="153">
        <f t="shared" si="25"/>
        <v>100</v>
      </c>
      <c r="L102" s="41"/>
      <c r="M102" s="138" t="s">
        <v>8</v>
      </c>
      <c r="N102" s="153">
        <f t="shared" si="26"/>
        <v>330</v>
      </c>
      <c r="O102" s="41"/>
      <c r="P102" s="138" t="s">
        <v>8</v>
      </c>
      <c r="Q102" s="153">
        <f t="shared" si="27"/>
        <v>220</v>
      </c>
      <c r="R102" s="41"/>
      <c r="S102" s="138" t="s">
        <v>8</v>
      </c>
      <c r="T102" s="153">
        <f t="shared" si="28"/>
        <v>210</v>
      </c>
      <c r="U102" s="41"/>
      <c r="V102" s="138" t="s">
        <v>8</v>
      </c>
      <c r="W102" s="153">
        <f t="shared" si="29"/>
        <v>100</v>
      </c>
      <c r="X102" s="41"/>
      <c r="Y102" s="138" t="s">
        <v>8</v>
      </c>
      <c r="Z102" s="153">
        <f t="shared" si="30"/>
        <v>100</v>
      </c>
      <c r="AA102" s="169"/>
    </row>
    <row r="103" spans="8:27" x14ac:dyDescent="0.2">
      <c r="J103" s="175" t="s">
        <v>82</v>
      </c>
      <c r="K103" s="153">
        <f t="shared" si="25"/>
        <v>37.5</v>
      </c>
      <c r="L103" s="41"/>
      <c r="M103" s="139" t="s">
        <v>82</v>
      </c>
      <c r="N103" s="153">
        <f t="shared" si="26"/>
        <v>37.5</v>
      </c>
      <c r="O103" s="41"/>
      <c r="P103" s="139" t="s">
        <v>82</v>
      </c>
      <c r="Q103" s="153">
        <f t="shared" si="27"/>
        <v>337.5</v>
      </c>
      <c r="R103" s="41"/>
      <c r="S103" s="139" t="s">
        <v>82</v>
      </c>
      <c r="T103" s="153">
        <f t="shared" si="28"/>
        <v>487.5</v>
      </c>
      <c r="U103" s="41"/>
      <c r="V103" s="139" t="s">
        <v>82</v>
      </c>
      <c r="W103" s="153">
        <f t="shared" si="29"/>
        <v>37.5</v>
      </c>
      <c r="X103" s="41"/>
      <c r="Y103" s="139" t="s">
        <v>82</v>
      </c>
      <c r="Z103" s="153">
        <f t="shared" si="30"/>
        <v>37.5</v>
      </c>
      <c r="AA103" s="169"/>
    </row>
    <row r="104" spans="8:27" x14ac:dyDescent="0.2">
      <c r="J104" s="176" t="s">
        <v>17</v>
      </c>
      <c r="K104" s="153">
        <f t="shared" si="25"/>
        <v>25</v>
      </c>
      <c r="L104" s="41"/>
      <c r="M104" s="151" t="s">
        <v>17</v>
      </c>
      <c r="N104" s="153">
        <f t="shared" si="26"/>
        <v>25</v>
      </c>
      <c r="O104" s="41"/>
      <c r="P104" s="151" t="s">
        <v>17</v>
      </c>
      <c r="Q104" s="153">
        <f t="shared" si="27"/>
        <v>25</v>
      </c>
      <c r="R104" s="41"/>
      <c r="S104" s="151" t="s">
        <v>17</v>
      </c>
      <c r="T104" s="153">
        <f t="shared" si="28"/>
        <v>25</v>
      </c>
      <c r="U104" s="41"/>
      <c r="V104" s="151" t="s">
        <v>17</v>
      </c>
      <c r="W104" s="153">
        <f t="shared" si="29"/>
        <v>25</v>
      </c>
      <c r="X104" s="41"/>
      <c r="Y104" s="151" t="s">
        <v>17</v>
      </c>
      <c r="Z104" s="153">
        <f t="shared" si="30"/>
        <v>25</v>
      </c>
      <c r="AA104" s="177"/>
    </row>
    <row r="105" spans="8:27" ht="16" thickBot="1" x14ac:dyDescent="0.25">
      <c r="J105" s="180" t="s">
        <v>49</v>
      </c>
      <c r="K105" s="181">
        <f>IF(SUM(K95:K104)&gt;$Q$13,"TOO MUCH ADJUSTMENT!",SUM(K95:K104))</f>
        <v>4647.3999999999996</v>
      </c>
      <c r="L105" s="256">
        <f>K105-$Q$13</f>
        <v>0</v>
      </c>
      <c r="M105" s="182" t="s">
        <v>49</v>
      </c>
      <c r="N105" s="181">
        <f>IF(SUM(N95:N104)&gt;$Q$13,"TOO MUCH ADJUSTMENT!",SUM(N95:N104))</f>
        <v>4647.3999999999996</v>
      </c>
      <c r="O105" s="256">
        <f>N105-$Q$13</f>
        <v>0</v>
      </c>
      <c r="P105" s="182" t="s">
        <v>49</v>
      </c>
      <c r="Q105" s="181">
        <f>IF(SUM(Q95:Q104)&gt;$Q$13,"TOO MUCH ADJUSTMENT!",SUM(Q95:Q104))</f>
        <v>4647.3999999999996</v>
      </c>
      <c r="R105" s="256">
        <f>Q105-$Q$13</f>
        <v>0</v>
      </c>
      <c r="S105" s="182" t="s">
        <v>49</v>
      </c>
      <c r="T105" s="181">
        <f>IF(SUM(T95:T104)&gt;$Q$13,"TOO MUCH ADJUSTMENT!",SUM(T95:T104))</f>
        <v>4407.3999999999996</v>
      </c>
      <c r="U105" s="256">
        <f>T105-$Q$13</f>
        <v>-240.00000000000091</v>
      </c>
      <c r="V105" s="182" t="s">
        <v>49</v>
      </c>
      <c r="W105" s="181">
        <f>IF(SUM(W95:W104)&gt;$Q$13,"TOO MUCH ADJUSTMENT!",SUM(W95:W104))</f>
        <v>4647.3999999999996</v>
      </c>
      <c r="X105" s="256">
        <f>W105-$Q$13</f>
        <v>0</v>
      </c>
      <c r="Y105" s="182" t="s">
        <v>49</v>
      </c>
      <c r="Z105" s="181">
        <f>IF(SUM(Z95:Z104)&gt;$Q$13,"TOO MUCH ADJUSTMENT!",SUM(Z95:Z104))</f>
        <v>4647.3999999999996</v>
      </c>
      <c r="AA105" s="257">
        <f>Z105-$Q$13</f>
        <v>0</v>
      </c>
    </row>
  </sheetData>
  <mergeCells count="65">
    <mergeCell ref="S1:T2"/>
    <mergeCell ref="V1:W2"/>
    <mergeCell ref="M1:N2"/>
    <mergeCell ref="P1:Q2"/>
    <mergeCell ref="A16:H17"/>
    <mergeCell ref="J16:J17"/>
    <mergeCell ref="K16:K17"/>
    <mergeCell ref="L16:L17"/>
    <mergeCell ref="J15:L15"/>
    <mergeCell ref="P15:R15"/>
    <mergeCell ref="P16:P17"/>
    <mergeCell ref="Q16:Q17"/>
    <mergeCell ref="R16:R17"/>
    <mergeCell ref="V15:X15"/>
    <mergeCell ref="V16:V17"/>
    <mergeCell ref="W16:W17"/>
    <mergeCell ref="J48:L48"/>
    <mergeCell ref="M15:O15"/>
    <mergeCell ref="M16:M17"/>
    <mergeCell ref="N16:N17"/>
    <mergeCell ref="O16:O17"/>
    <mergeCell ref="M48:O48"/>
    <mergeCell ref="P48:R48"/>
    <mergeCell ref="S15:U15"/>
    <mergeCell ref="S16:S17"/>
    <mergeCell ref="T16:T17"/>
    <mergeCell ref="U16:U17"/>
    <mergeCell ref="S48:U48"/>
    <mergeCell ref="X16:X17"/>
    <mergeCell ref="V48:X48"/>
    <mergeCell ref="Y15:AA15"/>
    <mergeCell ref="Y16:Y17"/>
    <mergeCell ref="Z16:Z17"/>
    <mergeCell ref="AA16:AA17"/>
    <mergeCell ref="Y48:AA48"/>
    <mergeCell ref="J61:L61"/>
    <mergeCell ref="J62:J63"/>
    <mergeCell ref="K62:K63"/>
    <mergeCell ref="L62:L63"/>
    <mergeCell ref="J94:L94"/>
    <mergeCell ref="M61:O61"/>
    <mergeCell ref="M62:M63"/>
    <mergeCell ref="N62:N63"/>
    <mergeCell ref="O62:O63"/>
    <mergeCell ref="M94:O94"/>
    <mergeCell ref="P61:R61"/>
    <mergeCell ref="P62:P63"/>
    <mergeCell ref="Q62:Q63"/>
    <mergeCell ref="R62:R63"/>
    <mergeCell ref="P94:R94"/>
    <mergeCell ref="S61:U61"/>
    <mergeCell ref="S62:S63"/>
    <mergeCell ref="T62:T63"/>
    <mergeCell ref="U62:U63"/>
    <mergeCell ref="S94:U94"/>
    <mergeCell ref="V61:X61"/>
    <mergeCell ref="V62:V63"/>
    <mergeCell ref="W62:W63"/>
    <mergeCell ref="X62:X63"/>
    <mergeCell ref="V94:X94"/>
    <mergeCell ref="Y61:AA61"/>
    <mergeCell ref="Y62:Y63"/>
    <mergeCell ref="Z62:Z63"/>
    <mergeCell ref="AA62:AA63"/>
    <mergeCell ref="Y94:AA94"/>
  </mergeCells>
  <conditionalFormatting sqref="A51:F100 A18:F18 A19:D37 A45:D50 D38:D44 E19:F50 A30:F40">
    <cfRule type="expression" dxfId="11" priority="22">
      <formula>$H18=$M$12</formula>
    </cfRule>
    <cfRule type="expression" dxfId="10" priority="23">
      <formula>$H18=$M$11</formula>
    </cfRule>
    <cfRule type="expression" dxfId="9" priority="24">
      <formula>$H18=$M$10</formula>
    </cfRule>
    <cfRule type="expression" dxfId="8" priority="25">
      <formula>$H18=$M$9</formula>
    </cfRule>
    <cfRule type="expression" dxfId="7" priority="26">
      <formula>$H18=$M$8</formula>
    </cfRule>
    <cfRule type="expression" dxfId="6" priority="27">
      <formula>$H18=$M$7</formula>
    </cfRule>
    <cfRule type="expression" dxfId="5" priority="28">
      <formula>$H18=$M$6</formula>
    </cfRule>
    <cfRule type="expression" dxfId="4" priority="29">
      <formula>$H18=$M$5</formula>
    </cfRule>
    <cfRule type="expression" dxfId="3" priority="30">
      <formula>$H18=$M$4</formula>
    </cfRule>
    <cfRule type="expression" dxfId="2" priority="31">
      <formula>$H18=$M$3</formula>
    </cfRule>
  </conditionalFormatting>
  <conditionalFormatting sqref="K59 N59 Q59 T59 W59 Z59 Z105 W105 T105 Q105">
    <cfRule type="containsText" dxfId="1" priority="1" operator="containsText" text="ADJUSTMENT!">
      <formula>NOT(ISERROR(SEARCH("ADJUSTMENT!",K59)))</formula>
    </cfRule>
  </conditionalFormatting>
  <dataValidations count="3">
    <dataValidation type="list" showInputMessage="1" showErrorMessage="1" sqref="F1 C3:C11 C45:C102 C18:C40">
      <formula1>$AA$3:$AA$8</formula1>
    </dataValidation>
    <dataValidation showInputMessage="1" showErrorMessage="1" sqref="C12"/>
    <dataValidation type="list" allowBlank="1" showInputMessage="1" showErrorMessage="1" sqref="AA18:AA47 H45:H100 L18:L47 L49:L50 AA95:AA96 O49:O50 U18:U47 R49:R50 O18:O47 U49:U50 R18:R47 X49:X50 X18:X47 AA49:AA50 L64:L93 L95:L96 O64:O93 O95:O96 H18:H38 R95:R96 R64:R93 U95:U96 AA64:AA93 X95:X96 X64:X93 U65:U93">
      <formula1>$M$3:$M$12</formula1>
    </dataValidation>
  </dataValidation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5" sqref="A5"/>
    </sheetView>
  </sheetViews>
  <sheetFormatPr baseColWidth="10" defaultColWidth="11.5" defaultRowHeight="19" x14ac:dyDescent="0.25"/>
  <cols>
    <col min="1" max="1" width="119.33203125" style="223" customWidth="1"/>
  </cols>
  <sheetData>
    <row r="1" spans="1:1" ht="24" x14ac:dyDescent="0.3">
      <c r="A1" s="224" t="s">
        <v>319</v>
      </c>
    </row>
    <row r="2" spans="1:1" x14ac:dyDescent="0.25">
      <c r="A2" s="223" t="s">
        <v>320</v>
      </c>
    </row>
    <row r="3" spans="1:1" x14ac:dyDescent="0.25">
      <c r="A3" s="223" t="s">
        <v>321</v>
      </c>
    </row>
    <row r="4" spans="1:1" x14ac:dyDescent="0.25">
      <c r="A4" s="223" t="s">
        <v>342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Graphical Sheet</vt:lpstr>
      <vt:lpstr>Overview Sheet</vt:lpstr>
      <vt:lpstr>Details Sheet</vt:lpstr>
      <vt:lpstr>CEFCU Balance</vt:lpstr>
      <vt:lpstr>Planned Expenses</vt:lpstr>
      <vt:lpstr>Note For improvement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Vis</dc:creator>
  <cp:lastModifiedBy>Microsoft Office User</cp:lastModifiedBy>
  <dcterms:created xsi:type="dcterms:W3CDTF">2017-04-26T01:51:33Z</dcterms:created>
  <dcterms:modified xsi:type="dcterms:W3CDTF">2017-10-18T02:50:40Z</dcterms:modified>
</cp:coreProperties>
</file>