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ger/Programming/XPlane/LiveTraffic/Doc/"/>
    </mc:Choice>
  </mc:AlternateContent>
  <xr:revisionPtr revIDLastSave="0" documentId="13_ncr:1_{3CA19318-3F64-0640-B5AC-F55EBDABF94D}" xr6:coauthVersionLast="36" xr6:coauthVersionMax="36" xr10:uidLastSave="{00000000-0000-0000-0000-000000000000}"/>
  <bookViews>
    <workbookView xWindow="20" yWindow="460" windowWidth="28400" windowHeight="17040" xr2:uid="{B417AEC3-CE4E-6445-9477-AF968A094F6A}"/>
  </bookViews>
  <sheets>
    <sheet name="Roll-out Slow-Down" sheetId="1" r:id="rId1"/>
    <sheet name="Acceleration" sheetId="2" r:id="rId2"/>
    <sheet name="Accel2" sheetId="4" r:id="rId3"/>
    <sheet name="Angle" sheetId="3" r:id="rId4"/>
  </sheets>
  <definedNames>
    <definedName name="acceleration">Acceleration!$B$7</definedName>
    <definedName name="const" localSheetId="1">Acceleration!#REF!</definedName>
    <definedName name="const">'Roll-out Slow-Down'!#REF!</definedName>
    <definedName name="deceleration">'Roll-out Slow-Down'!$B$2</definedName>
    <definedName name="deltaSpeed">Acceleration!$B$5</definedName>
    <definedName name="deltaT" localSheetId="1">Acceleration!$B$6</definedName>
    <definedName name="deltaT">'Roll-out Slow-Down'!$B$4</definedName>
    <definedName name="dist" localSheetId="1">Acceleration!#REF!</definedName>
    <definedName name="dist">'Roll-out Slow-Down'!#REF!</definedName>
    <definedName name="endTS">Acceleration!$B$4</definedName>
    <definedName name="speed" localSheetId="1">Acceleration!$B$1</definedName>
    <definedName name="speed">'Roll-out Slow-Down'!$B$1</definedName>
    <definedName name="speedKt" localSheetId="1">Acceleration!$C$1</definedName>
    <definedName name="speedKt">'Roll-out Slow-Down'!$C$1</definedName>
    <definedName name="startTS" localSheetId="1">Acceleration!$B$3</definedName>
    <definedName name="startTS">'Roll-out Slow-Down'!$B$3</definedName>
    <definedName name="stopTS" localSheetId="1">Acceleration!$B$4</definedName>
    <definedName name="stopTS">'Roll-out Slow-Down'!$B$5</definedName>
    <definedName name="TableEnd" localSheetId="1">Acceleration!$A$34</definedName>
    <definedName name="TableEnd">'Roll-out Slow-Down'!$A$32</definedName>
    <definedName name="TableStart" localSheetId="1">Acceleration!$A$14</definedName>
    <definedName name="TableStart">'Roll-out Slow-Down'!$A$12</definedName>
    <definedName name="target">Acceleration!$B$2</definedName>
    <definedName name="targetKt">Acceleration!$C$2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4" i="4" l="1"/>
  <c r="E5" i="4" s="1"/>
  <c r="C1" i="4" s="1"/>
  <c r="E2" i="4"/>
  <c r="B7" i="4" s="1"/>
  <c r="B1" i="2"/>
  <c r="B8" i="4" l="1"/>
  <c r="F3" i="3"/>
  <c r="G3" i="3" s="1"/>
  <c r="H3" i="3"/>
  <c r="I3" i="3" s="1"/>
  <c r="F4" i="3"/>
  <c r="G4" i="3" s="1"/>
  <c r="H4" i="3"/>
  <c r="I4" i="3" s="1"/>
  <c r="F5" i="3"/>
  <c r="G5" i="3" s="1"/>
  <c r="H5" i="3"/>
  <c r="I5" i="3" s="1"/>
  <c r="F6" i="3"/>
  <c r="G6" i="3" s="1"/>
  <c r="H6" i="3"/>
  <c r="I6" i="3" s="1"/>
  <c r="F7" i="3"/>
  <c r="G7" i="3" s="1"/>
  <c r="H7" i="3"/>
  <c r="I7" i="3" s="1"/>
  <c r="F8" i="3"/>
  <c r="G8" i="3" s="1"/>
  <c r="H8" i="3"/>
  <c r="I8" i="3" s="1"/>
  <c r="E2" i="3"/>
  <c r="F2" i="3" s="1"/>
  <c r="G2" i="3" s="1"/>
  <c r="C2" i="3"/>
  <c r="H2" i="3" s="1"/>
  <c r="I2" i="3" s="1"/>
  <c r="B10" i="4" l="1"/>
  <c r="B11" i="4" s="1"/>
  <c r="B13" i="4"/>
  <c r="B14" i="4" s="1"/>
  <c r="B6" i="2"/>
  <c r="B2" i="2"/>
  <c r="B15" i="4" l="1"/>
  <c r="B17" i="4" s="1"/>
  <c r="E2" i="2"/>
  <c r="F2" i="2" s="1"/>
  <c r="B5" i="2"/>
  <c r="B7" i="2" s="1"/>
  <c r="A14" i="2"/>
  <c r="B14" i="2" s="1"/>
  <c r="B8" i="2" l="1"/>
  <c r="A34" i="2"/>
  <c r="A24" i="2" s="1"/>
  <c r="B24" i="2" s="1"/>
  <c r="D24" i="2" s="1"/>
  <c r="C14" i="2"/>
  <c r="D14" i="2"/>
  <c r="B1" i="1"/>
  <c r="A12" i="1"/>
  <c r="B12" i="1" s="1"/>
  <c r="A30" i="2" l="1"/>
  <c r="B30" i="2" s="1"/>
  <c r="D30" i="2" s="1"/>
  <c r="A32" i="2"/>
  <c r="B32" i="2" s="1"/>
  <c r="A28" i="2"/>
  <c r="B28" i="2" s="1"/>
  <c r="D28" i="2" s="1"/>
  <c r="A18" i="2"/>
  <c r="B18" i="2" s="1"/>
  <c r="A16" i="2"/>
  <c r="B16" i="2" s="1"/>
  <c r="A26" i="2"/>
  <c r="B26" i="2" s="1"/>
  <c r="A33" i="2"/>
  <c r="B33" i="2" s="1"/>
  <c r="A15" i="2"/>
  <c r="B15" i="2" s="1"/>
  <c r="A31" i="2"/>
  <c r="B31" i="2" s="1"/>
  <c r="D31" i="2" s="1"/>
  <c r="A19" i="2"/>
  <c r="B19" i="2" s="1"/>
  <c r="D19" i="2" s="1"/>
  <c r="B34" i="2"/>
  <c r="D34" i="2" s="1"/>
  <c r="A29" i="2"/>
  <c r="B29" i="2" s="1"/>
  <c r="D29" i="2" s="1"/>
  <c r="A25" i="2"/>
  <c r="B25" i="2" s="1"/>
  <c r="A23" i="2"/>
  <c r="B23" i="2" s="1"/>
  <c r="A27" i="2"/>
  <c r="B27" i="2" s="1"/>
  <c r="D27" i="2" s="1"/>
  <c r="A21" i="2"/>
  <c r="B21" i="2" s="1"/>
  <c r="D21" i="2" s="1"/>
  <c r="A17" i="2"/>
  <c r="B17" i="2" s="1"/>
  <c r="D17" i="2" s="1"/>
  <c r="A22" i="2"/>
  <c r="B22" i="2" s="1"/>
  <c r="A20" i="2"/>
  <c r="B20" i="2" s="1"/>
  <c r="B4" i="1"/>
  <c r="B5" i="1" s="1"/>
  <c r="A32" i="1" s="1"/>
  <c r="B32" i="1" s="1"/>
  <c r="D32" i="1" s="1"/>
  <c r="D12" i="1"/>
  <c r="C12" i="1"/>
  <c r="D33" i="2" l="1"/>
  <c r="E34" i="2" s="1"/>
  <c r="D25" i="2"/>
  <c r="E25" i="2" s="1"/>
  <c r="D16" i="2"/>
  <c r="D23" i="2"/>
  <c r="E24" i="2" s="1"/>
  <c r="D18" i="2"/>
  <c r="E19" i="2" s="1"/>
  <c r="D26" i="2"/>
  <c r="D22" i="2"/>
  <c r="E22" i="2" s="1"/>
  <c r="D32" i="2"/>
  <c r="D20" i="2"/>
  <c r="E20" i="2" s="1"/>
  <c r="D15" i="2"/>
  <c r="E15" i="2" s="1"/>
  <c r="C15" i="2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E28" i="2"/>
  <c r="E30" i="2"/>
  <c r="E29" i="2"/>
  <c r="E31" i="2"/>
  <c r="B6" i="1"/>
  <c r="A15" i="1"/>
  <c r="B15" i="1" s="1"/>
  <c r="D15" i="1" s="1"/>
  <c r="A27" i="1"/>
  <c r="B27" i="1" s="1"/>
  <c r="D27" i="1" s="1"/>
  <c r="A31" i="1"/>
  <c r="B31" i="1" s="1"/>
  <c r="D31" i="1" s="1"/>
  <c r="A20" i="1"/>
  <c r="B20" i="1" s="1"/>
  <c r="D20" i="1" s="1"/>
  <c r="A21" i="1"/>
  <c r="B21" i="1" s="1"/>
  <c r="D21" i="1" s="1"/>
  <c r="A25" i="1"/>
  <c r="B25" i="1" s="1"/>
  <c r="D25" i="1" s="1"/>
  <c r="A24" i="1"/>
  <c r="B24" i="1" s="1"/>
  <c r="D24" i="1" s="1"/>
  <c r="A29" i="1"/>
  <c r="B29" i="1" s="1"/>
  <c r="D29" i="1" s="1"/>
  <c r="A14" i="1"/>
  <c r="B14" i="1" s="1"/>
  <c r="D14" i="1" s="1"/>
  <c r="A23" i="1"/>
  <c r="B23" i="1" s="1"/>
  <c r="D23" i="1" s="1"/>
  <c r="A30" i="1"/>
  <c r="B30" i="1" s="1"/>
  <c r="D30" i="1" s="1"/>
  <c r="A13" i="1"/>
  <c r="B13" i="1" s="1"/>
  <c r="D13" i="1" s="1"/>
  <c r="A19" i="1"/>
  <c r="B19" i="1" s="1"/>
  <c r="D19" i="1" s="1"/>
  <c r="A18" i="1"/>
  <c r="B18" i="1" s="1"/>
  <c r="D18" i="1" s="1"/>
  <c r="A28" i="1"/>
  <c r="B28" i="1" s="1"/>
  <c r="D28" i="1" s="1"/>
  <c r="A22" i="1"/>
  <c r="B22" i="1" s="1"/>
  <c r="D22" i="1" s="1"/>
  <c r="A16" i="1"/>
  <c r="B16" i="1" s="1"/>
  <c r="D16" i="1" s="1"/>
  <c r="A26" i="1"/>
  <c r="B26" i="1" s="1"/>
  <c r="D26" i="1" s="1"/>
  <c r="A17" i="1"/>
  <c r="B17" i="1" s="1"/>
  <c r="D17" i="1" s="1"/>
  <c r="E26" i="2" l="1"/>
  <c r="E16" i="2"/>
  <c r="E27" i="2"/>
  <c r="E21" i="2"/>
  <c r="E18" i="2"/>
  <c r="E33" i="2"/>
  <c r="E23" i="2"/>
  <c r="E17" i="2"/>
  <c r="E32" i="2"/>
  <c r="C13" i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</calcChain>
</file>

<file path=xl/sharedStrings.xml><?xml version="1.0" encoding="utf-8"?>
<sst xmlns="http://schemas.openxmlformats.org/spreadsheetml/2006/main" count="48" uniqueCount="40">
  <si>
    <t>Final Approach Speed</t>
  </si>
  <si>
    <t>Start timestamp</t>
  </si>
  <si>
    <t>Stop timestamp</t>
  </si>
  <si>
    <t>Stop distance</t>
  </si>
  <si>
    <t>forumla:</t>
  </si>
  <si>
    <t>∆dist</t>
  </si>
  <si>
    <t>timestamp</t>
  </si>
  <si>
    <t>Stopping time</t>
  </si>
  <si>
    <t>∆t</t>
  </si>
  <si>
    <t>speed</t>
  </si>
  <si>
    <t>Deceleration</t>
  </si>
  <si>
    <t>𝑓(∆t) = speed × ∆t - ½ deceleration × ∆t²</t>
  </si>
  <si>
    <t>Start Speed</t>
  </si>
  <si>
    <t>Target Speed</t>
  </si>
  <si>
    <t>End timestamp</t>
  </si>
  <si>
    <t>∆ speed</t>
  </si>
  <si>
    <t>∆ time</t>
  </si>
  <si>
    <t>∆∆dist</t>
  </si>
  <si>
    <t>avg</t>
  </si>
  <si>
    <t>avg dist</t>
  </si>
  <si>
    <t>Acceleration</t>
  </si>
  <si>
    <t>𝑓(∆t) = speed × ∆t + ½ acceleration × ∆t²</t>
  </si>
  <si>
    <t>Speed</t>
  </si>
  <si>
    <t>VSI</t>
  </si>
  <si>
    <t>Angle</t>
  </si>
  <si>
    <t>startSpeed</t>
  </si>
  <si>
    <t>targetSpeed</t>
  </si>
  <si>
    <t>startTime</t>
  </si>
  <si>
    <t>targetTime</t>
  </si>
  <si>
    <t>deltaSpeed</t>
  </si>
  <si>
    <t>deltaTime</t>
  </si>
  <si>
    <t>tx</t>
  </si>
  <si>
    <t>deltaDist</t>
  </si>
  <si>
    <t>accel</t>
  </si>
  <si>
    <t>d_const</t>
  </si>
  <si>
    <t>t_const</t>
  </si>
  <si>
    <t>t_accel</t>
  </si>
  <si>
    <t>d_accel</t>
  </si>
  <si>
    <t>d</t>
  </si>
  <si>
    <t>avgSpeed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</si>
</sst>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\ &quot;m/s&quot;"/>
    <numFmt numFmtId="165" formatCode="0\ &quot;m&quot;"/>
    <numFmt numFmtId="166" formatCode="0.0\ &quot;m/s&quot;"/>
    <numFmt numFmtId="167" formatCode="0\ &quot;kt&quot;"/>
    <numFmt numFmtId="168" formatCode="#,##0\ &quot;m&quot;"/>
    <numFmt numFmtId="169" formatCode="[$-F400]h:mm:ss\ AM/PM"/>
    <numFmt numFmtId="170" formatCode="#,##0.0\ &quot;s&quot;"/>
    <numFmt numFmtId="171" formatCode="0.0\ &quot;m/s²&quot;"/>
    <numFmt numFmtId="172" formatCode="0\ &quot;ft/min&quot;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horizontal="right"/>
    </xf>
    <xf numFmtId="167" fontId="0" fillId="2" borderId="0" xfId="0" applyNumberFormat="1" applyFill="1" applyBorder="1"/>
    <xf numFmtId="169" fontId="0" fillId="2" borderId="0" xfId="0" applyNumberFormat="1" applyFill="1" applyBorder="1"/>
    <xf numFmtId="0" fontId="0" fillId="0" borderId="0" xfId="0" applyFill="1" applyBorder="1"/>
    <xf numFmtId="166" fontId="0" fillId="0" borderId="0" xfId="0" applyNumberFormat="1" applyFill="1" applyBorder="1"/>
    <xf numFmtId="169" fontId="0" fillId="0" borderId="0" xfId="0" applyNumberFormat="1" applyFill="1" applyBorder="1"/>
    <xf numFmtId="170" fontId="0" fillId="0" borderId="0" xfId="0" applyNumberFormat="1" applyFill="1" applyBorder="1"/>
    <xf numFmtId="168" fontId="0" fillId="0" borderId="0" xfId="0" applyNumberFormat="1" applyFill="1" applyBorder="1"/>
    <xf numFmtId="0" fontId="0" fillId="0" borderId="0" xfId="0" quotePrefix="1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3" fontId="0" fillId="0" borderId="0" xfId="0" applyNumberFormat="1" applyFill="1" applyBorder="1"/>
    <xf numFmtId="171" fontId="0" fillId="0" borderId="0" xfId="0" applyNumberFormat="1" applyFill="1" applyBorder="1"/>
    <xf numFmtId="171" fontId="0" fillId="2" borderId="0" xfId="0" applyNumberFormat="1" applyFill="1" applyBorder="1"/>
    <xf numFmtId="0" fontId="0" fillId="0" borderId="0" xfId="0" applyNumberFormat="1"/>
    <xf numFmtId="166" fontId="0" fillId="0" borderId="0" xfId="0" applyNumberFormat="1"/>
    <xf numFmtId="167" fontId="0" fillId="0" borderId="0" xfId="0" applyNumberFormat="1"/>
    <xf numFmtId="17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Deceleration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'Roll-out Slow-Down'!$C$11</c:f>
              <c:strCache>
                <c:ptCount val="1"/>
                <c:pt idx="0">
                  <c:v>speed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'Roll-out Slow-Down'!$B$12:$B$32</c:f>
              <c:numCache>
                <c:formatCode>#,##0.0\ "s"</c:formatCode>
                <c:ptCount val="21"/>
                <c:pt idx="0">
                  <c:v>0</c:v>
                </c:pt>
                <c:pt idx="1">
                  <c:v>1.6719430000014412</c:v>
                </c:pt>
                <c:pt idx="2">
                  <c:v>3.3438859999980863</c:v>
                </c:pt>
                <c:pt idx="3">
                  <c:v>5.0158289999995276</c:v>
                </c:pt>
                <c:pt idx="4">
                  <c:v>6.6877720000009688</c:v>
                </c:pt>
                <c:pt idx="5">
                  <c:v>8.3597149999976139</c:v>
                </c:pt>
                <c:pt idx="6">
                  <c:v>10.031657999999055</c:v>
                </c:pt>
                <c:pt idx="7">
                  <c:v>11.703601000000496</c:v>
                </c:pt>
                <c:pt idx="8">
                  <c:v>13.375544000001938</c:v>
                </c:pt>
                <c:pt idx="9">
                  <c:v>15.047486999998583</c:v>
                </c:pt>
                <c:pt idx="10">
                  <c:v>16.719430000000024</c:v>
                </c:pt>
                <c:pt idx="11">
                  <c:v>18.391373000001465</c:v>
                </c:pt>
                <c:pt idx="12">
                  <c:v>20.06331599999811</c:v>
                </c:pt>
                <c:pt idx="13">
                  <c:v>21.735258999999552</c:v>
                </c:pt>
                <c:pt idx="14">
                  <c:v>23.407202000000993</c:v>
                </c:pt>
                <c:pt idx="15">
                  <c:v>25.079145000002434</c:v>
                </c:pt>
                <c:pt idx="16">
                  <c:v>26.751087999999079</c:v>
                </c:pt>
                <c:pt idx="17">
                  <c:v>28.42303100000052</c:v>
                </c:pt>
                <c:pt idx="18">
                  <c:v>30.094974000001962</c:v>
                </c:pt>
                <c:pt idx="19">
                  <c:v>31.766916999998607</c:v>
                </c:pt>
                <c:pt idx="20">
                  <c:v>33.438860000000048</c:v>
                </c:pt>
              </c:numCache>
            </c:numRef>
          </c:xVal>
          <c:yVal>
            <c:numRef>
              <c:f>'Roll-out Slow-Down'!$C$12:$C$32</c:f>
              <c:numCache>
                <c:formatCode>#,##0\ "m/s"</c:formatCode>
                <c:ptCount val="21"/>
                <c:pt idx="0">
                  <c:v>66.877719999999997</c:v>
                </c:pt>
                <c:pt idx="1">
                  <c:v>63.533833999997114</c:v>
                </c:pt>
                <c:pt idx="2">
                  <c:v>60.189948000003824</c:v>
                </c:pt>
                <c:pt idx="3">
                  <c:v>56.846062000000941</c:v>
                </c:pt>
                <c:pt idx="4">
                  <c:v>53.502175999998059</c:v>
                </c:pt>
                <c:pt idx="5">
                  <c:v>50.158290000004769</c:v>
                </c:pt>
                <c:pt idx="6">
                  <c:v>46.814404000001886</c:v>
                </c:pt>
                <c:pt idx="7">
                  <c:v>43.470517999999004</c:v>
                </c:pt>
                <c:pt idx="8">
                  <c:v>40.126631999996121</c:v>
                </c:pt>
                <c:pt idx="9">
                  <c:v>36.782746000002831</c:v>
                </c:pt>
                <c:pt idx="10">
                  <c:v>33.438859999999949</c:v>
                </c:pt>
                <c:pt idx="11">
                  <c:v>30.094973999997066</c:v>
                </c:pt>
                <c:pt idx="12">
                  <c:v>26.751088000003776</c:v>
                </c:pt>
                <c:pt idx="13">
                  <c:v>23.407202000000893</c:v>
                </c:pt>
                <c:pt idx="14">
                  <c:v>20.063315999998011</c:v>
                </c:pt>
                <c:pt idx="15">
                  <c:v>16.719429999995128</c:v>
                </c:pt>
                <c:pt idx="16">
                  <c:v>13.375544000001838</c:v>
                </c:pt>
                <c:pt idx="17">
                  <c:v>10.031657999998956</c:v>
                </c:pt>
                <c:pt idx="18">
                  <c:v>6.6877719999960732</c:v>
                </c:pt>
                <c:pt idx="19">
                  <c:v>3.343886000002783</c:v>
                </c:pt>
                <c:pt idx="20">
                  <c:v>-9.9475983006414026E-14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97-E64F-98A7-21CB3E128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0510943"/>
        <c:axId val="2063866879"/>
      </c:scatterChart>
      <c:scatterChart>
        <c:scatterStyle val="lineMarker"/>
        <c:varyColors val="0"/>
        <c:ser>
          <c:idx val="1"/>
          <c:order val="1"/>
          <c:tx>
            <c:strRef>
              <c:f>'Roll-out Slow-Down'!$D$11</c:f>
              <c:strCache>
                <c:ptCount val="1"/>
                <c:pt idx="0">
                  <c:v>∆dist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'Roll-out Slow-Down'!$B$12:$B$32</c:f>
              <c:numCache>
                <c:formatCode>#,##0.0\ "s"</c:formatCode>
                <c:ptCount val="21"/>
                <c:pt idx="0">
                  <c:v>0</c:v>
                </c:pt>
                <c:pt idx="1">
                  <c:v>1.6719430000014412</c:v>
                </c:pt>
                <c:pt idx="2">
                  <c:v>3.3438859999980863</c:v>
                </c:pt>
                <c:pt idx="3">
                  <c:v>5.0158289999995276</c:v>
                </c:pt>
                <c:pt idx="4">
                  <c:v>6.6877720000009688</c:v>
                </c:pt>
                <c:pt idx="5">
                  <c:v>8.3597149999976139</c:v>
                </c:pt>
                <c:pt idx="6">
                  <c:v>10.031657999999055</c:v>
                </c:pt>
                <c:pt idx="7">
                  <c:v>11.703601000000496</c:v>
                </c:pt>
                <c:pt idx="8">
                  <c:v>13.375544000001938</c:v>
                </c:pt>
                <c:pt idx="9">
                  <c:v>15.047486999998583</c:v>
                </c:pt>
                <c:pt idx="10">
                  <c:v>16.719430000000024</c:v>
                </c:pt>
                <c:pt idx="11">
                  <c:v>18.391373000001465</c:v>
                </c:pt>
                <c:pt idx="12">
                  <c:v>20.06331599999811</c:v>
                </c:pt>
                <c:pt idx="13">
                  <c:v>21.735258999999552</c:v>
                </c:pt>
                <c:pt idx="14">
                  <c:v>23.407202000000993</c:v>
                </c:pt>
                <c:pt idx="15">
                  <c:v>25.079145000002434</c:v>
                </c:pt>
                <c:pt idx="16">
                  <c:v>26.751087999999079</c:v>
                </c:pt>
                <c:pt idx="17">
                  <c:v>28.42303100000052</c:v>
                </c:pt>
                <c:pt idx="18">
                  <c:v>30.094974000001962</c:v>
                </c:pt>
                <c:pt idx="19">
                  <c:v>31.766916999998607</c:v>
                </c:pt>
                <c:pt idx="20">
                  <c:v>33.438860000000048</c:v>
                </c:pt>
              </c:numCache>
            </c:numRef>
          </c:xVal>
          <c:yVal>
            <c:numRef>
              <c:f>'Roll-out Slow-Down'!$D$12:$D$32</c:f>
              <c:numCache>
                <c:formatCode>0\ "m"</c:formatCode>
                <c:ptCount val="21"/>
                <c:pt idx="0">
                  <c:v>0</c:v>
                </c:pt>
                <c:pt idx="1">
                  <c:v>109.02034241480256</c:v>
                </c:pt>
                <c:pt idx="2">
                  <c:v>212.44989803880878</c:v>
                </c:pt>
                <c:pt idx="3">
                  <c:v>310.28866687261211</c:v>
                </c:pt>
                <c:pt idx="4">
                  <c:v>402.53664891590779</c:v>
                </c:pt>
                <c:pt idx="5">
                  <c:v>489.19384416845531</c:v>
                </c:pt>
                <c:pt idx="6">
                  <c:v>570.26025263075178</c:v>
                </c:pt>
                <c:pt idx="7">
                  <c:v>645.73587430254054</c:v>
                </c:pt>
                <c:pt idx="8">
                  <c:v>715.62070918382165</c:v>
                </c:pt>
                <c:pt idx="9">
                  <c:v>779.91475727441889</c:v>
                </c:pt>
                <c:pt idx="10">
                  <c:v>838.61801857470084</c:v>
                </c:pt>
                <c:pt idx="11">
                  <c:v>891.73049308447514</c:v>
                </c:pt>
                <c:pt idx="12">
                  <c:v>939.25218080361333</c:v>
                </c:pt>
                <c:pt idx="13">
                  <c:v>981.18308173238847</c:v>
                </c:pt>
                <c:pt idx="14">
                  <c:v>1017.5231958706559</c:v>
                </c:pt>
                <c:pt idx="15">
                  <c:v>1048.2725232184157</c:v>
                </c:pt>
                <c:pt idx="16">
                  <c:v>1073.4310637756037</c:v>
                </c:pt>
                <c:pt idx="17">
                  <c:v>1092.9988175423641</c:v>
                </c:pt>
                <c:pt idx="18">
                  <c:v>1106.975784518617</c:v>
                </c:pt>
                <c:pt idx="19">
                  <c:v>1115.3619647043461</c:v>
                </c:pt>
                <c:pt idx="20">
                  <c:v>1118.1573580996001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97-E64F-98A7-21CB3E128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6175183"/>
        <c:axId val="1995787359"/>
      </c:scatterChart>
      <c:valAx>
        <c:axId val="2040510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\ &quot;s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3866879"/>
        <c:crosses val="autoZero"/>
        <c:crossBetween val="midCat"/>
      </c:valAx>
      <c:valAx>
        <c:axId val="206386687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m/s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40510943"/>
        <c:crosses val="autoZero"/>
        <c:crossBetween val="midCat"/>
      </c:valAx>
      <c:valAx>
        <c:axId val="1995787359"/>
        <c:scaling>
          <c:orientation val="minMax"/>
        </c:scaling>
        <c:delete val="0"/>
        <c:axPos val="r"/>
        <c:numFmt formatCode="0\ &quot;m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6175183"/>
        <c:crosses val="max"/>
        <c:crossBetween val="midCat"/>
      </c:valAx>
      <c:valAx>
        <c:axId val="1996175183"/>
        <c:scaling>
          <c:orientation val="minMax"/>
        </c:scaling>
        <c:delete val="1"/>
        <c:axPos val="b"/>
        <c:numFmt formatCode="#,##0.0\ &quot;s&quot;" sourceLinked="1"/>
        <c:majorTickMark val="out"/>
        <c:minorTickMark val="none"/>
        <c:tickLblPos val="nextTo"/>
        <c:crossAx val="1995787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Deceleration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Acceleration!$C$13</c:f>
              <c:strCache>
                <c:ptCount val="1"/>
                <c:pt idx="0">
                  <c:v>speed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Acceleration!$B$14:$B$34</c:f>
              <c:numCache>
                <c:formatCode>#,##0.0\ "s"</c:formatCode>
                <c:ptCount val="21"/>
                <c:pt idx="0">
                  <c:v>0</c:v>
                </c:pt>
                <c:pt idx="1">
                  <c:v>3.7500000000005862</c:v>
                </c:pt>
                <c:pt idx="2">
                  <c:v>7.5000000000011724</c:v>
                </c:pt>
                <c:pt idx="3">
                  <c:v>11.249999999999361</c:v>
                </c:pt>
                <c:pt idx="4">
                  <c:v>14.999999999999947</c:v>
                </c:pt>
                <c:pt idx="5">
                  <c:v>18.750000000000533</c:v>
                </c:pt>
                <c:pt idx="6">
                  <c:v>22.499999999998721</c:v>
                </c:pt>
                <c:pt idx="7">
                  <c:v>26.249999999999307</c:v>
                </c:pt>
                <c:pt idx="8">
                  <c:v>29.999999999999893</c:v>
                </c:pt>
                <c:pt idx="9">
                  <c:v>33.750000000000483</c:v>
                </c:pt>
                <c:pt idx="10">
                  <c:v>37.500000000001066</c:v>
                </c:pt>
                <c:pt idx="11">
                  <c:v>41.249999999999254</c:v>
                </c:pt>
                <c:pt idx="12">
                  <c:v>44.999999999999844</c:v>
                </c:pt>
                <c:pt idx="13">
                  <c:v>48.750000000000426</c:v>
                </c:pt>
                <c:pt idx="14">
                  <c:v>52.499999999998614</c:v>
                </c:pt>
                <c:pt idx="15">
                  <c:v>56.249999999999204</c:v>
                </c:pt>
                <c:pt idx="16">
                  <c:v>59.999999999999787</c:v>
                </c:pt>
                <c:pt idx="17">
                  <c:v>63.750000000000369</c:v>
                </c:pt>
                <c:pt idx="18">
                  <c:v>67.500000000000966</c:v>
                </c:pt>
                <c:pt idx="19">
                  <c:v>71.249999999999147</c:v>
                </c:pt>
                <c:pt idx="20">
                  <c:v>74.99999999999973</c:v>
                </c:pt>
              </c:numCache>
            </c:numRef>
          </c:xVal>
          <c:yVal>
            <c:numRef>
              <c:f>Acceleration!$C$14:$C$34</c:f>
              <c:numCache>
                <c:formatCode>#,##0\ "m/s"</c:formatCode>
                <c:ptCount val="21"/>
                <c:pt idx="0">
                  <c:v>1.9548871999999999</c:v>
                </c:pt>
                <c:pt idx="1">
                  <c:v>3.1175306400001856</c:v>
                </c:pt>
                <c:pt idx="2">
                  <c:v>4.2801740800003714</c:v>
                </c:pt>
                <c:pt idx="3">
                  <c:v>5.4428175199998137</c:v>
                </c:pt>
                <c:pt idx="4">
                  <c:v>6.6054609599999994</c:v>
                </c:pt>
                <c:pt idx="5">
                  <c:v>7.7681044000001851</c:v>
                </c:pt>
                <c:pt idx="6">
                  <c:v>8.9307478399996274</c:v>
                </c:pt>
                <c:pt idx="7">
                  <c:v>10.093391279999814</c:v>
                </c:pt>
                <c:pt idx="8">
                  <c:v>11.256034720000001</c:v>
                </c:pt>
                <c:pt idx="9">
                  <c:v>12.418678160000187</c:v>
                </c:pt>
                <c:pt idx="10">
                  <c:v>13.581321600000372</c:v>
                </c:pt>
                <c:pt idx="11">
                  <c:v>14.743965039999814</c:v>
                </c:pt>
                <c:pt idx="12">
                  <c:v>15.906608480000001</c:v>
                </c:pt>
                <c:pt idx="13">
                  <c:v>17.069251920000184</c:v>
                </c:pt>
                <c:pt idx="14">
                  <c:v>18.231895359999626</c:v>
                </c:pt>
                <c:pt idx="15">
                  <c:v>19.394538799999815</c:v>
                </c:pt>
                <c:pt idx="16">
                  <c:v>20.557182239999999</c:v>
                </c:pt>
                <c:pt idx="17">
                  <c:v>21.719825680000184</c:v>
                </c:pt>
                <c:pt idx="18">
                  <c:v>22.882469120000373</c:v>
                </c:pt>
                <c:pt idx="19">
                  <c:v>24.045112559999811</c:v>
                </c:pt>
                <c:pt idx="20">
                  <c:v>25.207755999999996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75-614C-A71C-B46D75176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0510943"/>
        <c:axId val="2063866879"/>
      </c:scatterChart>
      <c:scatterChart>
        <c:scatterStyle val="lineMarker"/>
        <c:varyColors val="0"/>
        <c:ser>
          <c:idx val="1"/>
          <c:order val="1"/>
          <c:tx>
            <c:strRef>
              <c:f>Acceleration!$D$13</c:f>
              <c:strCache>
                <c:ptCount val="1"/>
                <c:pt idx="0">
                  <c:v>∆dist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Acceleration!$B$14:$B$34</c:f>
              <c:numCache>
                <c:formatCode>#,##0.0\ "s"</c:formatCode>
                <c:ptCount val="21"/>
                <c:pt idx="0">
                  <c:v>0</c:v>
                </c:pt>
                <c:pt idx="1">
                  <c:v>3.7500000000005862</c:v>
                </c:pt>
                <c:pt idx="2">
                  <c:v>7.5000000000011724</c:v>
                </c:pt>
                <c:pt idx="3">
                  <c:v>11.249999999999361</c:v>
                </c:pt>
                <c:pt idx="4">
                  <c:v>14.999999999999947</c:v>
                </c:pt>
                <c:pt idx="5">
                  <c:v>18.750000000000533</c:v>
                </c:pt>
                <c:pt idx="6">
                  <c:v>22.499999999998721</c:v>
                </c:pt>
                <c:pt idx="7">
                  <c:v>26.249999999999307</c:v>
                </c:pt>
                <c:pt idx="8">
                  <c:v>29.999999999999893</c:v>
                </c:pt>
                <c:pt idx="9">
                  <c:v>33.750000000000483</c:v>
                </c:pt>
                <c:pt idx="10">
                  <c:v>37.500000000001066</c:v>
                </c:pt>
                <c:pt idx="11">
                  <c:v>41.249999999999254</c:v>
                </c:pt>
                <c:pt idx="12">
                  <c:v>44.999999999999844</c:v>
                </c:pt>
                <c:pt idx="13">
                  <c:v>48.750000000000426</c:v>
                </c:pt>
                <c:pt idx="14">
                  <c:v>52.499999999998614</c:v>
                </c:pt>
                <c:pt idx="15">
                  <c:v>56.249999999999204</c:v>
                </c:pt>
                <c:pt idx="16">
                  <c:v>59.999999999999787</c:v>
                </c:pt>
                <c:pt idx="17">
                  <c:v>63.750000000000369</c:v>
                </c:pt>
                <c:pt idx="18">
                  <c:v>67.500000000000966</c:v>
                </c:pt>
                <c:pt idx="19">
                  <c:v>71.249999999999147</c:v>
                </c:pt>
                <c:pt idx="20">
                  <c:v>74.99999999999973</c:v>
                </c:pt>
              </c:numCache>
            </c:numRef>
          </c:xVal>
          <c:yVal>
            <c:numRef>
              <c:f>Acceleration!$D$14:$D$34</c:f>
              <c:numCache>
                <c:formatCode>0\ "m"</c:formatCode>
                <c:ptCount val="21"/>
                <c:pt idx="0">
                  <c:v>0</c:v>
                </c:pt>
                <c:pt idx="1">
                  <c:v>9.5107834500018349</c:v>
                </c:pt>
                <c:pt idx="2">
                  <c:v>23.381479800005049</c:v>
                </c:pt>
                <c:pt idx="3">
                  <c:v>41.612089049996591</c:v>
                </c:pt>
                <c:pt idx="4">
                  <c:v>64.20261119999978</c:v>
                </c:pt>
                <c:pt idx="5">
                  <c:v>91.153046250004337</c:v>
                </c:pt>
                <c:pt idx="6">
                  <c:v>122.46339419998887</c:v>
                </c:pt>
                <c:pt idx="7">
                  <c:v>158.13365504999339</c:v>
                </c:pt>
                <c:pt idx="8">
                  <c:v>198.16382879999932</c:v>
                </c:pt>
                <c:pt idx="9">
                  <c:v>242.55391545000663</c:v>
                </c:pt>
                <c:pt idx="10">
                  <c:v>291.30391500001531</c:v>
                </c:pt>
                <c:pt idx="11">
                  <c:v>344.41382744998998</c:v>
                </c:pt>
                <c:pt idx="12">
                  <c:v>401.88365279999869</c:v>
                </c:pt>
                <c:pt idx="13">
                  <c:v>463.71339105000857</c:v>
                </c:pt>
                <c:pt idx="14">
                  <c:v>529.90304219997631</c:v>
                </c:pt>
                <c:pt idx="15">
                  <c:v>600.45260624998627</c:v>
                </c:pt>
                <c:pt idx="16">
                  <c:v>675.36208319999764</c:v>
                </c:pt>
                <c:pt idx="17">
                  <c:v>754.6314730500103</c:v>
                </c:pt>
                <c:pt idx="18">
                  <c:v>838.26077580002459</c:v>
                </c:pt>
                <c:pt idx="19">
                  <c:v>926.24999144998219</c:v>
                </c:pt>
                <c:pt idx="20">
                  <c:v>1018.5991199999962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75-614C-A71C-B46D75176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6175183"/>
        <c:axId val="1995787359"/>
      </c:scatterChart>
      <c:valAx>
        <c:axId val="2040510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\ &quot;s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3866879"/>
        <c:crosses val="autoZero"/>
        <c:crossBetween val="midCat"/>
      </c:valAx>
      <c:valAx>
        <c:axId val="206386687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m/s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40510943"/>
        <c:crosses val="autoZero"/>
        <c:crossBetween val="midCat"/>
      </c:valAx>
      <c:valAx>
        <c:axId val="1995787359"/>
        <c:scaling>
          <c:orientation val="minMax"/>
        </c:scaling>
        <c:delete val="0"/>
        <c:axPos val="r"/>
        <c:numFmt formatCode="0\ &quot;m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6175183"/>
        <c:crosses val="max"/>
        <c:crossBetween val="midCat"/>
      </c:valAx>
      <c:valAx>
        <c:axId val="1996175183"/>
        <c:scaling>
          <c:orientation val="minMax"/>
        </c:scaling>
        <c:delete val="1"/>
        <c:axPos val="b"/>
        <c:numFmt formatCode="#,##0.0\ &quot;s&quot;" sourceLinked="1"/>
        <c:majorTickMark val="out"/>
        <c:minorTickMark val="none"/>
        <c:tickLblPos val="nextTo"/>
        <c:crossAx val="1995787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9</xdr:row>
      <xdr:rowOff>196850</xdr:rowOff>
    </xdr:from>
    <xdr:to>
      <xdr:col>12</xdr:col>
      <xdr:colOff>647700</xdr:colOff>
      <xdr:row>32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96CDC3-B0C7-8748-BDFA-5CC2300084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11</xdr:row>
      <xdr:rowOff>196850</xdr:rowOff>
    </xdr:from>
    <xdr:to>
      <xdr:col>13</xdr:col>
      <xdr:colOff>647700</xdr:colOff>
      <xdr:row>34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B1B8C6-B3CF-F04B-8256-2982D8F7C9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B1A5-3A24-754E-A787-A85AC5A5A3D1}">
  <dimension ref="A1:D37"/>
  <sheetViews>
    <sheetView tabSelected="1" workbookViewId="0">
      <selection activeCell="B4" sqref="B4"/>
    </sheetView>
  </sheetViews>
  <sheetFormatPr baseColWidth="10" defaultRowHeight="16" x14ac:dyDescent="0.2"/>
  <cols>
    <col min="1" max="1" width="19" style="4" bestFit="1" customWidth="1"/>
    <col min="2" max="2" width="19" style="4" customWidth="1"/>
    <col min="3" max="16384" width="10.83203125" style="4"/>
  </cols>
  <sheetData>
    <row r="1" spans="1:4" x14ac:dyDescent="0.2">
      <c r="A1" s="4" t="s">
        <v>0</v>
      </c>
      <c r="B1" s="5">
        <f>speedKt*0.514444</f>
        <v>66.877719999999997</v>
      </c>
      <c r="C1" s="2">
        <v>130</v>
      </c>
    </row>
    <row r="2" spans="1:4" x14ac:dyDescent="0.2">
      <c r="A2" s="4" t="s">
        <v>10</v>
      </c>
      <c r="B2" s="14">
        <v>2</v>
      </c>
    </row>
    <row r="3" spans="1:4" x14ac:dyDescent="0.2">
      <c r="A3" s="4" t="s">
        <v>1</v>
      </c>
      <c r="B3" s="3">
        <v>0.48406250000000001</v>
      </c>
    </row>
    <row r="4" spans="1:4" x14ac:dyDescent="0.2">
      <c r="A4" s="4" t="s">
        <v>7</v>
      </c>
      <c r="B4" s="7">
        <f>speed/deceleration</f>
        <v>33.438859999999998</v>
      </c>
    </row>
    <row r="5" spans="1:4" x14ac:dyDescent="0.2">
      <c r="A5" s="4" t="s">
        <v>2</v>
      </c>
      <c r="B5" s="6">
        <f>B3+deltaT/86400</f>
        <v>0.4844495238425926</v>
      </c>
    </row>
    <row r="6" spans="1:4" x14ac:dyDescent="0.2">
      <c r="A6" s="4" t="s">
        <v>3</v>
      </c>
      <c r="B6" s="8">
        <f>speed*deltaT-deceleration/2*POWER(deltaT,2)</f>
        <v>1118.1573580995998</v>
      </c>
      <c r="C6" s="11"/>
    </row>
    <row r="8" spans="1:4" x14ac:dyDescent="0.2">
      <c r="A8" s="4" t="s">
        <v>4</v>
      </c>
      <c r="B8" s="9" t="s">
        <v>11</v>
      </c>
    </row>
    <row r="9" spans="1:4" x14ac:dyDescent="0.2">
      <c r="B9" s="9"/>
    </row>
    <row r="11" spans="1:4" x14ac:dyDescent="0.2">
      <c r="A11" s="1" t="s">
        <v>6</v>
      </c>
      <c r="B11" s="1" t="s">
        <v>8</v>
      </c>
      <c r="C11" s="1" t="s">
        <v>9</v>
      </c>
      <c r="D11" s="1" t="s">
        <v>5</v>
      </c>
    </row>
    <row r="12" spans="1:4" x14ac:dyDescent="0.2">
      <c r="A12" s="6">
        <f>startTS</f>
        <v>0.48406250000000001</v>
      </c>
      <c r="B12" s="7">
        <f t="shared" ref="B12:B32" si="0">(A12-TableStart)*86400</f>
        <v>0</v>
      </c>
      <c r="C12" s="10">
        <f>speed</f>
        <v>66.877719999999997</v>
      </c>
      <c r="D12" s="11">
        <f t="shared" ref="D12:D32" si="1">speed*B12-deceleration/2*POWER(B12,2)</f>
        <v>0</v>
      </c>
    </row>
    <row r="13" spans="1:4" x14ac:dyDescent="0.2">
      <c r="A13" s="6">
        <f t="shared" ref="A13:A31" si="2">TableStart+(TableEnd-TableStart)*(ROW()-ROW(TableStart))/(ROW(TableEnd)-ROW(TableStart))</f>
        <v>0.48408185119212965</v>
      </c>
      <c r="B13" s="7">
        <f t="shared" si="0"/>
        <v>1.6719430000014412</v>
      </c>
      <c r="C13" s="10">
        <f t="shared" ref="C13:C32" si="3">C12-(B13-B12)*deceleration</f>
        <v>63.533833999997114</v>
      </c>
      <c r="D13" s="11">
        <f t="shared" si="1"/>
        <v>109.02034241480256</v>
      </c>
    </row>
    <row r="14" spans="1:4" x14ac:dyDescent="0.2">
      <c r="A14" s="6">
        <f t="shared" si="2"/>
        <v>0.48410120238425924</v>
      </c>
      <c r="B14" s="7">
        <f t="shared" si="0"/>
        <v>3.3438859999980863</v>
      </c>
      <c r="C14" s="10">
        <f t="shared" si="3"/>
        <v>60.189948000003824</v>
      </c>
      <c r="D14" s="11">
        <f t="shared" si="1"/>
        <v>212.44989803880878</v>
      </c>
    </row>
    <row r="15" spans="1:4" x14ac:dyDescent="0.2">
      <c r="A15" s="6">
        <f t="shared" si="2"/>
        <v>0.48412055357638889</v>
      </c>
      <c r="B15" s="7">
        <f t="shared" si="0"/>
        <v>5.0158289999995276</v>
      </c>
      <c r="C15" s="10">
        <f t="shared" si="3"/>
        <v>56.846062000000941</v>
      </c>
      <c r="D15" s="11">
        <f t="shared" si="1"/>
        <v>310.28866687261211</v>
      </c>
    </row>
    <row r="16" spans="1:4" x14ac:dyDescent="0.2">
      <c r="A16" s="6">
        <f t="shared" si="2"/>
        <v>0.48413990476851854</v>
      </c>
      <c r="B16" s="7">
        <f t="shared" si="0"/>
        <v>6.6877720000009688</v>
      </c>
      <c r="C16" s="10">
        <f t="shared" si="3"/>
        <v>53.502175999998059</v>
      </c>
      <c r="D16" s="11">
        <f t="shared" si="1"/>
        <v>402.53664891590779</v>
      </c>
    </row>
    <row r="17" spans="1:4" x14ac:dyDescent="0.2">
      <c r="A17" s="6">
        <f t="shared" si="2"/>
        <v>0.48415925596064813</v>
      </c>
      <c r="B17" s="7">
        <f t="shared" si="0"/>
        <v>8.3597149999976139</v>
      </c>
      <c r="C17" s="10">
        <f t="shared" si="3"/>
        <v>50.158290000004769</v>
      </c>
      <c r="D17" s="11">
        <f t="shared" si="1"/>
        <v>489.19384416845531</v>
      </c>
    </row>
    <row r="18" spans="1:4" x14ac:dyDescent="0.2">
      <c r="A18" s="6">
        <f t="shared" si="2"/>
        <v>0.48417860715277777</v>
      </c>
      <c r="B18" s="7">
        <f t="shared" si="0"/>
        <v>10.031657999999055</v>
      </c>
      <c r="C18" s="10">
        <f t="shared" si="3"/>
        <v>46.814404000001886</v>
      </c>
      <c r="D18" s="11">
        <f t="shared" si="1"/>
        <v>570.26025263075178</v>
      </c>
    </row>
    <row r="19" spans="1:4" x14ac:dyDescent="0.2">
      <c r="A19" s="6">
        <f t="shared" si="2"/>
        <v>0.48419795834490742</v>
      </c>
      <c r="B19" s="7">
        <f t="shared" si="0"/>
        <v>11.703601000000496</v>
      </c>
      <c r="C19" s="10">
        <f t="shared" si="3"/>
        <v>43.470517999999004</v>
      </c>
      <c r="D19" s="11">
        <f t="shared" si="1"/>
        <v>645.73587430254054</v>
      </c>
    </row>
    <row r="20" spans="1:4" x14ac:dyDescent="0.2">
      <c r="A20" s="6">
        <f t="shared" si="2"/>
        <v>0.48421730953703707</v>
      </c>
      <c r="B20" s="7">
        <f t="shared" si="0"/>
        <v>13.375544000001938</v>
      </c>
      <c r="C20" s="10">
        <f t="shared" si="3"/>
        <v>40.126631999996121</v>
      </c>
      <c r="D20" s="11">
        <f t="shared" si="1"/>
        <v>715.62070918382165</v>
      </c>
    </row>
    <row r="21" spans="1:4" x14ac:dyDescent="0.2">
      <c r="A21" s="6">
        <f t="shared" si="2"/>
        <v>0.48423666072916666</v>
      </c>
      <c r="B21" s="7">
        <f t="shared" si="0"/>
        <v>15.047486999998583</v>
      </c>
      <c r="C21" s="10">
        <f t="shared" si="3"/>
        <v>36.782746000002831</v>
      </c>
      <c r="D21" s="11">
        <f t="shared" si="1"/>
        <v>779.91475727441889</v>
      </c>
    </row>
    <row r="22" spans="1:4" x14ac:dyDescent="0.2">
      <c r="A22" s="6">
        <f t="shared" si="2"/>
        <v>0.4842560119212963</v>
      </c>
      <c r="B22" s="7">
        <f t="shared" si="0"/>
        <v>16.719430000000024</v>
      </c>
      <c r="C22" s="10">
        <f t="shared" si="3"/>
        <v>33.438859999999949</v>
      </c>
      <c r="D22" s="11">
        <f t="shared" si="1"/>
        <v>838.61801857470084</v>
      </c>
    </row>
    <row r="23" spans="1:4" x14ac:dyDescent="0.2">
      <c r="A23" s="6">
        <f t="shared" si="2"/>
        <v>0.48427536311342595</v>
      </c>
      <c r="B23" s="7">
        <f t="shared" si="0"/>
        <v>18.391373000001465</v>
      </c>
      <c r="C23" s="10">
        <f t="shared" si="3"/>
        <v>30.094973999997066</v>
      </c>
      <c r="D23" s="11">
        <f t="shared" si="1"/>
        <v>891.73049308447514</v>
      </c>
    </row>
    <row r="24" spans="1:4" x14ac:dyDescent="0.2">
      <c r="A24" s="6">
        <f t="shared" si="2"/>
        <v>0.48429471430555554</v>
      </c>
      <c r="B24" s="7">
        <f t="shared" si="0"/>
        <v>20.06331599999811</v>
      </c>
      <c r="C24" s="10">
        <f t="shared" si="3"/>
        <v>26.751088000003776</v>
      </c>
      <c r="D24" s="11">
        <f t="shared" si="1"/>
        <v>939.25218080361333</v>
      </c>
    </row>
    <row r="25" spans="1:4" x14ac:dyDescent="0.2">
      <c r="A25" s="6">
        <f t="shared" si="2"/>
        <v>0.48431406549768519</v>
      </c>
      <c r="B25" s="7">
        <f t="shared" si="0"/>
        <v>21.735258999999552</v>
      </c>
      <c r="C25" s="10">
        <f t="shared" si="3"/>
        <v>23.407202000000893</v>
      </c>
      <c r="D25" s="11">
        <f t="shared" si="1"/>
        <v>981.18308173238847</v>
      </c>
    </row>
    <row r="26" spans="1:4" x14ac:dyDescent="0.2">
      <c r="A26" s="6">
        <f t="shared" si="2"/>
        <v>0.48433341668981483</v>
      </c>
      <c r="B26" s="7">
        <f t="shared" si="0"/>
        <v>23.407202000000993</v>
      </c>
      <c r="C26" s="10">
        <f t="shared" si="3"/>
        <v>20.063315999998011</v>
      </c>
      <c r="D26" s="11">
        <f t="shared" si="1"/>
        <v>1017.5231958706559</v>
      </c>
    </row>
    <row r="27" spans="1:4" x14ac:dyDescent="0.2">
      <c r="A27" s="6">
        <f t="shared" si="2"/>
        <v>0.48435276788194448</v>
      </c>
      <c r="B27" s="7">
        <f t="shared" si="0"/>
        <v>25.079145000002434</v>
      </c>
      <c r="C27" s="10">
        <f t="shared" si="3"/>
        <v>16.719429999995128</v>
      </c>
      <c r="D27" s="11">
        <f t="shared" si="1"/>
        <v>1048.2725232184157</v>
      </c>
    </row>
    <row r="28" spans="1:4" x14ac:dyDescent="0.2">
      <c r="A28" s="6">
        <f t="shared" si="2"/>
        <v>0.48437211907407407</v>
      </c>
      <c r="B28" s="7">
        <f t="shared" si="0"/>
        <v>26.751087999999079</v>
      </c>
      <c r="C28" s="10">
        <f t="shared" si="3"/>
        <v>13.375544000001838</v>
      </c>
      <c r="D28" s="11">
        <f t="shared" si="1"/>
        <v>1073.4310637756037</v>
      </c>
    </row>
    <row r="29" spans="1:4" x14ac:dyDescent="0.2">
      <c r="A29" s="6">
        <f t="shared" si="2"/>
        <v>0.48439147026620372</v>
      </c>
      <c r="B29" s="7">
        <f t="shared" si="0"/>
        <v>28.42303100000052</v>
      </c>
      <c r="C29" s="10">
        <f t="shared" si="3"/>
        <v>10.031657999998956</v>
      </c>
      <c r="D29" s="11">
        <f t="shared" si="1"/>
        <v>1092.9988175423641</v>
      </c>
    </row>
    <row r="30" spans="1:4" x14ac:dyDescent="0.2">
      <c r="A30" s="6">
        <f t="shared" si="2"/>
        <v>0.48441082145833336</v>
      </c>
      <c r="B30" s="7">
        <f t="shared" si="0"/>
        <v>30.094974000001962</v>
      </c>
      <c r="C30" s="10">
        <f t="shared" si="3"/>
        <v>6.6877719999960732</v>
      </c>
      <c r="D30" s="11">
        <f t="shared" si="1"/>
        <v>1106.975784518617</v>
      </c>
    </row>
    <row r="31" spans="1:4" x14ac:dyDescent="0.2">
      <c r="A31" s="6">
        <f t="shared" si="2"/>
        <v>0.48443017265046295</v>
      </c>
      <c r="B31" s="7">
        <f t="shared" si="0"/>
        <v>31.766916999998607</v>
      </c>
      <c r="C31" s="10">
        <f t="shared" si="3"/>
        <v>3.343886000002783</v>
      </c>
      <c r="D31" s="11">
        <f t="shared" si="1"/>
        <v>1115.3619647043461</v>
      </c>
    </row>
    <row r="32" spans="1:4" x14ac:dyDescent="0.2">
      <c r="A32" s="6">
        <f>stopTS</f>
        <v>0.4844495238425926</v>
      </c>
      <c r="B32" s="7">
        <f t="shared" si="0"/>
        <v>33.438860000000048</v>
      </c>
      <c r="C32" s="10">
        <f t="shared" si="3"/>
        <v>-9.9475983006414026E-14</v>
      </c>
      <c r="D32" s="11">
        <f t="shared" si="1"/>
        <v>1118.1573580996001</v>
      </c>
    </row>
    <row r="33" spans="2:2" x14ac:dyDescent="0.2">
      <c r="B33" s="12"/>
    </row>
    <row r="34" spans="2:2" x14ac:dyDescent="0.2">
      <c r="B34" s="12"/>
    </row>
    <row r="35" spans="2:2" x14ac:dyDescent="0.2">
      <c r="B35" s="12"/>
    </row>
    <row r="36" spans="2:2" x14ac:dyDescent="0.2">
      <c r="B36" s="12"/>
    </row>
    <row r="37" spans="2:2" x14ac:dyDescent="0.2">
      <c r="B37" s="12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4C0B-421C-6B43-ACB3-12BCCA8B22C6}">
  <dimension ref="A1:F39"/>
  <sheetViews>
    <sheetView workbookViewId="0">
      <selection activeCell="B5" sqref="B5"/>
    </sheetView>
  </sheetViews>
  <sheetFormatPr baseColWidth="10" defaultRowHeight="16" x14ac:dyDescent="0.2"/>
  <cols>
    <col min="1" max="1" width="19" style="4" bestFit="1" customWidth="1"/>
    <col min="2" max="2" width="19" style="4" customWidth="1"/>
    <col min="3" max="16384" width="10.83203125" style="4"/>
  </cols>
  <sheetData>
    <row r="1" spans="1:6" x14ac:dyDescent="0.2">
      <c r="A1" s="4" t="s">
        <v>12</v>
      </c>
      <c r="B1" s="5">
        <f>speedKt*0.514444</f>
        <v>1.9548871999999999</v>
      </c>
      <c r="C1" s="2">
        <v>3.8</v>
      </c>
      <c r="E1" s="4" t="s">
        <v>18</v>
      </c>
      <c r="F1" s="4" t="s">
        <v>19</v>
      </c>
    </row>
    <row r="2" spans="1:6" x14ac:dyDescent="0.2">
      <c r="A2" s="4" t="s">
        <v>13</v>
      </c>
      <c r="B2" s="5">
        <f>targetKt*0.514444</f>
        <v>25.207756</v>
      </c>
      <c r="C2" s="2">
        <v>49</v>
      </c>
      <c r="E2" s="4">
        <f>(target+speed)/2</f>
        <v>13.581321599999999</v>
      </c>
      <c r="F2" s="4">
        <f>E2*deltaT</f>
        <v>1018.5991199999962</v>
      </c>
    </row>
    <row r="3" spans="1:6" x14ac:dyDescent="0.2">
      <c r="A3" s="4" t="s">
        <v>1</v>
      </c>
      <c r="B3" s="3">
        <v>0.12990740740740742</v>
      </c>
    </row>
    <row r="4" spans="1:6" x14ac:dyDescent="0.2">
      <c r="A4" s="4" t="s">
        <v>14</v>
      </c>
      <c r="B4" s="3">
        <v>0.13077546296296297</v>
      </c>
    </row>
    <row r="5" spans="1:6" x14ac:dyDescent="0.2">
      <c r="A5" s="4" t="s">
        <v>15</v>
      </c>
      <c r="B5" s="5">
        <f>target-speed</f>
        <v>23.252868800000002</v>
      </c>
    </row>
    <row r="6" spans="1:6" x14ac:dyDescent="0.2">
      <c r="A6" s="4" t="s">
        <v>16</v>
      </c>
      <c r="B6" s="7">
        <f>(endTS-startTS)*86400</f>
        <v>74.99999999999973</v>
      </c>
    </row>
    <row r="7" spans="1:6" x14ac:dyDescent="0.2">
      <c r="A7" s="4" t="s">
        <v>20</v>
      </c>
      <c r="B7" s="13">
        <f>deltaSpeed/deltaT</f>
        <v>0.31003825066666779</v>
      </c>
    </row>
    <row r="8" spans="1:6" x14ac:dyDescent="0.2">
      <c r="A8" s="4" t="s">
        <v>3</v>
      </c>
      <c r="B8" s="8">
        <f>speed*deltaT+acceleration/2*POWER(deltaT,2)</f>
        <v>1018.5991199999962</v>
      </c>
      <c r="C8" s="11"/>
    </row>
    <row r="10" spans="1:6" x14ac:dyDescent="0.2">
      <c r="A10" s="4" t="s">
        <v>4</v>
      </c>
      <c r="B10" s="9" t="s">
        <v>21</v>
      </c>
    </row>
    <row r="11" spans="1:6" x14ac:dyDescent="0.2">
      <c r="B11" s="9"/>
    </row>
    <row r="13" spans="1:6" x14ac:dyDescent="0.2">
      <c r="A13" s="1" t="s">
        <v>6</v>
      </c>
      <c r="B13" s="1" t="s">
        <v>8</v>
      </c>
      <c r="C13" s="1" t="s">
        <v>9</v>
      </c>
      <c r="D13" s="1" t="s">
        <v>5</v>
      </c>
      <c r="E13" s="1" t="s">
        <v>17</v>
      </c>
    </row>
    <row r="14" spans="1:6" x14ac:dyDescent="0.2">
      <c r="A14" s="6">
        <f>startTS</f>
        <v>0.12990740740740742</v>
      </c>
      <c r="B14" s="7">
        <f t="shared" ref="B14:B34" si="0">(A14-TableStart)*86400</f>
        <v>0</v>
      </c>
      <c r="C14" s="10">
        <f>speed</f>
        <v>1.9548871999999999</v>
      </c>
      <c r="D14" s="11">
        <f t="shared" ref="D14" si="1">speed*B14-deceleration/2*POWER(B14,2)</f>
        <v>0</v>
      </c>
      <c r="E14" s="11"/>
    </row>
    <row r="15" spans="1:6" x14ac:dyDescent="0.2">
      <c r="A15" s="6">
        <f t="shared" ref="A15:A33" si="2">TableStart+(TableEnd-TableStart)*(ROW()-ROW(TableStart))/(ROW(TableEnd)-ROW(TableStart))</f>
        <v>0.1299508101851852</v>
      </c>
      <c r="B15" s="7">
        <f t="shared" si="0"/>
        <v>3.7500000000005862</v>
      </c>
      <c r="C15" s="10">
        <f t="shared" ref="C15:C34" si="3">C14+(B15-B14)*acceleration</f>
        <v>3.1175306400001856</v>
      </c>
      <c r="D15" s="11">
        <f t="shared" ref="D15:D34" si="4">speed*B15+acceleration/2*POWER(B15,2)</f>
        <v>9.5107834500018349</v>
      </c>
      <c r="E15" s="11">
        <f>D15-D14</f>
        <v>9.5107834500018349</v>
      </c>
    </row>
    <row r="16" spans="1:6" x14ac:dyDescent="0.2">
      <c r="A16" s="6">
        <f t="shared" si="2"/>
        <v>0.12999421296296299</v>
      </c>
      <c r="B16" s="7">
        <f t="shared" si="0"/>
        <v>7.5000000000011724</v>
      </c>
      <c r="C16" s="10">
        <f t="shared" si="3"/>
        <v>4.2801740800003714</v>
      </c>
      <c r="D16" s="11">
        <f t="shared" si="4"/>
        <v>23.381479800005049</v>
      </c>
      <c r="E16" s="11">
        <f t="shared" ref="E16:E34" si="5">D16-D15</f>
        <v>13.870696350003215</v>
      </c>
    </row>
    <row r="17" spans="1:5" x14ac:dyDescent="0.2">
      <c r="A17" s="6">
        <f t="shared" si="2"/>
        <v>0.13003761574074074</v>
      </c>
      <c r="B17" s="7">
        <f t="shared" si="0"/>
        <v>11.249999999999361</v>
      </c>
      <c r="C17" s="10">
        <f t="shared" si="3"/>
        <v>5.4428175199998137</v>
      </c>
      <c r="D17" s="11">
        <f t="shared" si="4"/>
        <v>41.612089049996591</v>
      </c>
      <c r="E17" s="11">
        <f t="shared" si="5"/>
        <v>18.230609249991542</v>
      </c>
    </row>
    <row r="18" spans="1:5" x14ac:dyDescent="0.2">
      <c r="A18" s="6">
        <f t="shared" si="2"/>
        <v>0.13008101851851853</v>
      </c>
      <c r="B18" s="7">
        <f t="shared" si="0"/>
        <v>14.999999999999947</v>
      </c>
      <c r="C18" s="10">
        <f t="shared" si="3"/>
        <v>6.6054609599999994</v>
      </c>
      <c r="D18" s="11">
        <f t="shared" si="4"/>
        <v>64.20261119999978</v>
      </c>
      <c r="E18" s="11">
        <f t="shared" si="5"/>
        <v>22.590522150003189</v>
      </c>
    </row>
    <row r="19" spans="1:5" x14ac:dyDescent="0.2">
      <c r="A19" s="6">
        <f t="shared" si="2"/>
        <v>0.13012442129629631</v>
      </c>
      <c r="B19" s="7">
        <f t="shared" si="0"/>
        <v>18.750000000000533</v>
      </c>
      <c r="C19" s="10">
        <f t="shared" si="3"/>
        <v>7.7681044000001851</v>
      </c>
      <c r="D19" s="11">
        <f t="shared" si="4"/>
        <v>91.153046250004337</v>
      </c>
      <c r="E19" s="11">
        <f t="shared" si="5"/>
        <v>26.950435050004558</v>
      </c>
    </row>
    <row r="20" spans="1:5" x14ac:dyDescent="0.2">
      <c r="A20" s="6">
        <f t="shared" si="2"/>
        <v>0.13016782407407407</v>
      </c>
      <c r="B20" s="7">
        <f t="shared" si="0"/>
        <v>22.499999999998721</v>
      </c>
      <c r="C20" s="10">
        <f t="shared" si="3"/>
        <v>8.9307478399996274</v>
      </c>
      <c r="D20" s="11">
        <f t="shared" si="4"/>
        <v>122.46339419998887</v>
      </c>
      <c r="E20" s="11">
        <f t="shared" si="5"/>
        <v>31.310347949984532</v>
      </c>
    </row>
    <row r="21" spans="1:5" x14ac:dyDescent="0.2">
      <c r="A21" s="6">
        <f t="shared" si="2"/>
        <v>0.13021122685185185</v>
      </c>
      <c r="B21" s="7">
        <f t="shared" si="0"/>
        <v>26.249999999999307</v>
      </c>
      <c r="C21" s="10">
        <f t="shared" si="3"/>
        <v>10.093391279999814</v>
      </c>
      <c r="D21" s="11">
        <f t="shared" si="4"/>
        <v>158.13365504999339</v>
      </c>
      <c r="E21" s="11">
        <f t="shared" si="5"/>
        <v>35.670260850004524</v>
      </c>
    </row>
    <row r="22" spans="1:5" x14ac:dyDescent="0.2">
      <c r="A22" s="6">
        <f t="shared" si="2"/>
        <v>0.13025462962962964</v>
      </c>
      <c r="B22" s="7">
        <f t="shared" si="0"/>
        <v>29.999999999999893</v>
      </c>
      <c r="C22" s="10">
        <f t="shared" si="3"/>
        <v>11.256034720000001</v>
      </c>
      <c r="D22" s="11">
        <f t="shared" si="4"/>
        <v>198.16382879999932</v>
      </c>
      <c r="E22" s="11">
        <f t="shared" si="5"/>
        <v>40.030173750005929</v>
      </c>
    </row>
    <row r="23" spans="1:5" x14ac:dyDescent="0.2">
      <c r="A23" s="6">
        <f t="shared" si="2"/>
        <v>0.13029803240740742</v>
      </c>
      <c r="B23" s="7">
        <f t="shared" si="0"/>
        <v>33.750000000000483</v>
      </c>
      <c r="C23" s="10">
        <f t="shared" si="3"/>
        <v>12.418678160000187</v>
      </c>
      <c r="D23" s="11">
        <f t="shared" si="4"/>
        <v>242.55391545000663</v>
      </c>
      <c r="E23" s="11">
        <f t="shared" si="5"/>
        <v>44.390086650007305</v>
      </c>
    </row>
    <row r="24" spans="1:5" x14ac:dyDescent="0.2">
      <c r="A24" s="6">
        <f t="shared" si="2"/>
        <v>0.13034143518518521</v>
      </c>
      <c r="B24" s="7">
        <f t="shared" si="0"/>
        <v>37.500000000001066</v>
      </c>
      <c r="C24" s="10">
        <f t="shared" si="3"/>
        <v>13.581321600000372</v>
      </c>
      <c r="D24" s="11">
        <f t="shared" si="4"/>
        <v>291.30391500001531</v>
      </c>
      <c r="E24" s="11">
        <f t="shared" si="5"/>
        <v>48.749999550008681</v>
      </c>
    </row>
    <row r="25" spans="1:5" x14ac:dyDescent="0.2">
      <c r="A25" s="6">
        <f t="shared" si="2"/>
        <v>0.13038483796296296</v>
      </c>
      <c r="B25" s="7">
        <f t="shared" si="0"/>
        <v>41.249999999999254</v>
      </c>
      <c r="C25" s="10">
        <f t="shared" si="3"/>
        <v>14.743965039999814</v>
      </c>
      <c r="D25" s="11">
        <f t="shared" si="4"/>
        <v>344.41382744998998</v>
      </c>
      <c r="E25" s="11">
        <f t="shared" si="5"/>
        <v>53.109912449974672</v>
      </c>
    </row>
    <row r="26" spans="1:5" x14ac:dyDescent="0.2">
      <c r="A26" s="6">
        <f t="shared" si="2"/>
        <v>0.13042824074074075</v>
      </c>
      <c r="B26" s="7">
        <f t="shared" si="0"/>
        <v>44.999999999999844</v>
      </c>
      <c r="C26" s="10">
        <f t="shared" si="3"/>
        <v>15.906608480000001</v>
      </c>
      <c r="D26" s="11">
        <f t="shared" si="4"/>
        <v>401.88365279999869</v>
      </c>
      <c r="E26" s="11">
        <f t="shared" si="5"/>
        <v>57.469825350008705</v>
      </c>
    </row>
    <row r="27" spans="1:5" x14ac:dyDescent="0.2">
      <c r="A27" s="6">
        <f t="shared" si="2"/>
        <v>0.13047164351851853</v>
      </c>
      <c r="B27" s="7">
        <f t="shared" si="0"/>
        <v>48.750000000000426</v>
      </c>
      <c r="C27" s="10">
        <f t="shared" si="3"/>
        <v>17.069251920000184</v>
      </c>
      <c r="D27" s="11">
        <f t="shared" si="4"/>
        <v>463.71339105000857</v>
      </c>
      <c r="E27" s="11">
        <f t="shared" si="5"/>
        <v>61.829738250009882</v>
      </c>
    </row>
    <row r="28" spans="1:5" x14ac:dyDescent="0.2">
      <c r="A28" s="6">
        <f t="shared" si="2"/>
        <v>0.13051504629629629</v>
      </c>
      <c r="B28" s="7">
        <f t="shared" si="0"/>
        <v>52.499999999998614</v>
      </c>
      <c r="C28" s="10">
        <f t="shared" si="3"/>
        <v>18.231895359999626</v>
      </c>
      <c r="D28" s="11">
        <f t="shared" si="4"/>
        <v>529.90304219997631</v>
      </c>
      <c r="E28" s="11">
        <f t="shared" si="5"/>
        <v>66.189651149967744</v>
      </c>
    </row>
    <row r="29" spans="1:5" x14ac:dyDescent="0.2">
      <c r="A29" s="6">
        <f t="shared" si="2"/>
        <v>0.13055844907407407</v>
      </c>
      <c r="B29" s="7">
        <f t="shared" si="0"/>
        <v>56.249999999999204</v>
      </c>
      <c r="C29" s="10">
        <f t="shared" si="3"/>
        <v>19.394538799999815</v>
      </c>
      <c r="D29" s="11">
        <f t="shared" si="4"/>
        <v>600.45260624998627</v>
      </c>
      <c r="E29" s="11">
        <f t="shared" si="5"/>
        <v>70.549564050009963</v>
      </c>
    </row>
    <row r="30" spans="1:5" x14ac:dyDescent="0.2">
      <c r="A30" s="6">
        <f t="shared" si="2"/>
        <v>0.13060185185185186</v>
      </c>
      <c r="B30" s="7">
        <f t="shared" si="0"/>
        <v>59.999999999999787</v>
      </c>
      <c r="C30" s="10">
        <f t="shared" si="3"/>
        <v>20.557182239999999</v>
      </c>
      <c r="D30" s="11">
        <f t="shared" si="4"/>
        <v>675.36208319999764</v>
      </c>
      <c r="E30" s="11">
        <f t="shared" si="5"/>
        <v>74.909476950011367</v>
      </c>
    </row>
    <row r="31" spans="1:5" x14ac:dyDescent="0.2">
      <c r="A31" s="6">
        <f t="shared" si="2"/>
        <v>0.13064525462962964</v>
      </c>
      <c r="B31" s="7">
        <f t="shared" si="0"/>
        <v>63.750000000000369</v>
      </c>
      <c r="C31" s="10">
        <f t="shared" si="3"/>
        <v>21.719825680000184</v>
      </c>
      <c r="D31" s="11">
        <f t="shared" si="4"/>
        <v>754.6314730500103</v>
      </c>
      <c r="E31" s="11">
        <f t="shared" si="5"/>
        <v>79.269389850012658</v>
      </c>
    </row>
    <row r="32" spans="1:5" x14ac:dyDescent="0.2">
      <c r="A32" s="6">
        <f t="shared" si="2"/>
        <v>0.13068865740740743</v>
      </c>
      <c r="B32" s="7">
        <f t="shared" si="0"/>
        <v>67.500000000000966</v>
      </c>
      <c r="C32" s="10">
        <f t="shared" si="3"/>
        <v>22.882469120000373</v>
      </c>
      <c r="D32" s="11">
        <f t="shared" si="4"/>
        <v>838.26077580002459</v>
      </c>
      <c r="E32" s="11">
        <f t="shared" si="5"/>
        <v>83.62930275001429</v>
      </c>
    </row>
    <row r="33" spans="1:5" x14ac:dyDescent="0.2">
      <c r="A33" s="6">
        <f t="shared" si="2"/>
        <v>0.13073206018518518</v>
      </c>
      <c r="B33" s="7">
        <f t="shared" si="0"/>
        <v>71.249999999999147</v>
      </c>
      <c r="C33" s="10">
        <f t="shared" si="3"/>
        <v>24.045112559999811</v>
      </c>
      <c r="D33" s="11">
        <f t="shared" si="4"/>
        <v>926.24999144998219</v>
      </c>
      <c r="E33" s="11">
        <f t="shared" si="5"/>
        <v>87.9892156499576</v>
      </c>
    </row>
    <row r="34" spans="1:5" x14ac:dyDescent="0.2">
      <c r="A34" s="6">
        <f>stopTS</f>
        <v>0.13077546296296297</v>
      </c>
      <c r="B34" s="7">
        <f t="shared" si="0"/>
        <v>74.99999999999973</v>
      </c>
      <c r="C34" s="10">
        <f t="shared" si="3"/>
        <v>25.207755999999996</v>
      </c>
      <c r="D34" s="11">
        <f t="shared" si="4"/>
        <v>1018.5991199999962</v>
      </c>
      <c r="E34" s="11">
        <f t="shared" si="5"/>
        <v>92.349128550014029</v>
      </c>
    </row>
    <row r="35" spans="1:5" x14ac:dyDescent="0.2">
      <c r="B35" s="12"/>
    </row>
    <row r="36" spans="1:5" x14ac:dyDescent="0.2">
      <c r="B36" s="12"/>
    </row>
    <row r="37" spans="1:5" x14ac:dyDescent="0.2">
      <c r="B37" s="12"/>
    </row>
    <row r="38" spans="1:5" x14ac:dyDescent="0.2">
      <c r="B38" s="12"/>
    </row>
    <row r="39" spans="1:5" x14ac:dyDescent="0.2">
      <c r="B39" s="12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C50E-5BBB-894D-BD4D-A3BD2A152119}">
  <dimension ref="A1:E17"/>
  <sheetViews>
    <sheetView workbookViewId="0">
      <selection activeCell="B7" sqref="B7"/>
    </sheetView>
  </sheetViews>
  <sheetFormatPr baseColWidth="10" defaultRowHeight="16" x14ac:dyDescent="0.2"/>
  <cols>
    <col min="2" max="2" width="13.6640625" style="19" bestFit="1" customWidth="1"/>
  </cols>
  <sheetData>
    <row r="1" spans="1:5" x14ac:dyDescent="0.2">
      <c r="A1" t="s">
        <v>25</v>
      </c>
      <c r="B1" s="19">
        <v>58.82</v>
      </c>
      <c r="C1" s="19">
        <f>E5-(B2-E5)</f>
        <v>58.81591561961767</v>
      </c>
    </row>
    <row r="2" spans="1:5" x14ac:dyDescent="0.2">
      <c r="A2" t="s">
        <v>26</v>
      </c>
      <c r="B2" s="19">
        <v>71.84</v>
      </c>
      <c r="D2" t="s">
        <v>29</v>
      </c>
      <c r="E2" s="19">
        <f>B2-B1</f>
        <v>13.020000000000003</v>
      </c>
    </row>
    <row r="3" spans="1:5" x14ac:dyDescent="0.2">
      <c r="A3" t="s">
        <v>27</v>
      </c>
      <c r="B3" s="19">
        <v>1524841698.8034999</v>
      </c>
    </row>
    <row r="4" spans="1:5" x14ac:dyDescent="0.2">
      <c r="A4" t="s">
        <v>28</v>
      </c>
      <c r="B4" s="19">
        <v>1524841718.1524899</v>
      </c>
      <c r="D4" t="s">
        <v>30</v>
      </c>
      <c r="E4" s="19">
        <f>B4-B3</f>
        <v>19.348989963531494</v>
      </c>
    </row>
    <row r="5" spans="1:5" x14ac:dyDescent="0.2">
      <c r="A5" t="s">
        <v>32</v>
      </c>
      <c r="B5" s="19">
        <v>1264.03</v>
      </c>
      <c r="D5" t="s">
        <v>39</v>
      </c>
      <c r="E5">
        <f>B5/E4</f>
        <v>65.327957809808836</v>
      </c>
    </row>
    <row r="7" spans="1:5" x14ac:dyDescent="0.2">
      <c r="A7" t="s">
        <v>31</v>
      </c>
      <c r="B7" s="19">
        <f>2/E2*(B1*E4+E2/2*B4-B5)</f>
        <v>1524841698.8095696</v>
      </c>
    </row>
    <row r="8" spans="1:5" x14ac:dyDescent="0.2">
      <c r="A8" t="s">
        <v>33</v>
      </c>
      <c r="B8" s="19">
        <f>E2/(B4-B7)</f>
        <v>0.67311449335541229</v>
      </c>
    </row>
    <row r="10" spans="1:5" x14ac:dyDescent="0.2">
      <c r="A10" t="s">
        <v>35</v>
      </c>
      <c r="B10" s="19">
        <f>B7-B3</f>
        <v>6.0696601867675781E-3</v>
      </c>
    </row>
    <row r="11" spans="1:5" x14ac:dyDescent="0.2">
      <c r="A11" t="s">
        <v>34</v>
      </c>
      <c r="B11" s="19">
        <f>B1*B10</f>
        <v>0.35701741218566896</v>
      </c>
    </row>
    <row r="13" spans="1:5" x14ac:dyDescent="0.2">
      <c r="A13" t="s">
        <v>36</v>
      </c>
      <c r="B13" s="19">
        <f>B4-B7</f>
        <v>19.342920303344727</v>
      </c>
    </row>
    <row r="14" spans="1:5" x14ac:dyDescent="0.2">
      <c r="A14" t="s">
        <v>34</v>
      </c>
      <c r="B14" s="19">
        <f>B1*B13</f>
        <v>1137.7505722427368</v>
      </c>
    </row>
    <row r="15" spans="1:5" x14ac:dyDescent="0.2">
      <c r="A15" t="s">
        <v>37</v>
      </c>
      <c r="B15" s="19">
        <f>E2*B13/2</f>
        <v>125.9224111747742</v>
      </c>
    </row>
    <row r="17" spans="1:2" x14ac:dyDescent="0.2">
      <c r="A17" t="s">
        <v>38</v>
      </c>
      <c r="B17" s="19">
        <f>B11+B14+B15</f>
        <v>1264.0300008296967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DF64-9315-D544-9139-7BC9BD963648}">
  <dimension ref="B1:I8"/>
  <sheetViews>
    <sheetView workbookViewId="0">
      <selection activeCell="G9" sqref="G9"/>
    </sheetView>
  </sheetViews>
  <sheetFormatPr baseColWidth="10" defaultRowHeight="16" x14ac:dyDescent="0.2"/>
  <cols>
    <col min="1" max="1" width="31.83203125" style="15" customWidth="1"/>
    <col min="2" max="4" width="10.83203125" style="15"/>
    <col min="5" max="5" width="7.5" style="15" bestFit="1" customWidth="1"/>
    <col min="6" max="16384" width="10.83203125" style="15"/>
  </cols>
  <sheetData>
    <row r="1" spans="2:9" x14ac:dyDescent="0.2">
      <c r="B1" s="15" t="s">
        <v>22</v>
      </c>
      <c r="D1" s="15" t="s">
        <v>23</v>
      </c>
      <c r="F1" s="15" t="s">
        <v>24</v>
      </c>
    </row>
    <row r="2" spans="2:9" x14ac:dyDescent="0.2">
      <c r="B2" s="17">
        <v>100</v>
      </c>
      <c r="C2" s="16">
        <f>B2*0.514444</f>
        <v>51.444400000000002</v>
      </c>
      <c r="D2" s="18">
        <v>1500</v>
      </c>
      <c r="E2" s="16">
        <f>D2*0.3048/60</f>
        <v>7.620000000000001</v>
      </c>
      <c r="F2" s="15">
        <f>ATAN(E2/C2)</f>
        <v>0.14705186679273544</v>
      </c>
      <c r="G2" s="15">
        <f>F2*180/PI()</f>
        <v>8.4254513367437216</v>
      </c>
      <c r="H2" s="15">
        <f>ATAN2(C2,E2)</f>
        <v>0.14705186679273544</v>
      </c>
      <c r="I2" s="15">
        <f>H2*180/PI()</f>
        <v>8.4254513367437216</v>
      </c>
    </row>
    <row r="3" spans="2:9" x14ac:dyDescent="0.2">
      <c r="C3" s="15">
        <v>1000</v>
      </c>
      <c r="E3" s="15">
        <v>10000</v>
      </c>
      <c r="F3" s="15">
        <f t="shared" ref="F3:F8" si="0">ATAN(E3/C3)</f>
        <v>1.4711276743037347</v>
      </c>
      <c r="G3" s="15">
        <f t="shared" ref="G3:G8" si="1">F3*180/PI()</f>
        <v>84.289406862500371</v>
      </c>
      <c r="H3" s="15">
        <f t="shared" ref="H3:H8" si="2">ATAN2(C3,E3)</f>
        <v>1.4711276743037347</v>
      </c>
      <c r="I3" s="15">
        <f t="shared" ref="I3:I8" si="3">H3*180/PI()</f>
        <v>84.289406862500371</v>
      </c>
    </row>
    <row r="4" spans="2:9" x14ac:dyDescent="0.2">
      <c r="F4" s="15" t="e">
        <f t="shared" si="0"/>
        <v>#DIV/0!</v>
      </c>
      <c r="G4" s="15" t="e">
        <f t="shared" si="1"/>
        <v>#DIV/0!</v>
      </c>
      <c r="H4" s="15" t="e">
        <f t="shared" si="2"/>
        <v>#DIV/0!</v>
      </c>
      <c r="I4" s="15" t="e">
        <f t="shared" si="3"/>
        <v>#DIV/0!</v>
      </c>
    </row>
    <row r="5" spans="2:9" x14ac:dyDescent="0.2">
      <c r="F5" s="15" t="e">
        <f t="shared" si="0"/>
        <v>#DIV/0!</v>
      </c>
      <c r="G5" s="15" t="e">
        <f t="shared" si="1"/>
        <v>#DIV/0!</v>
      </c>
      <c r="H5" s="15" t="e">
        <f t="shared" si="2"/>
        <v>#DIV/0!</v>
      </c>
      <c r="I5" s="15" t="e">
        <f t="shared" si="3"/>
        <v>#DIV/0!</v>
      </c>
    </row>
    <row r="6" spans="2:9" x14ac:dyDescent="0.2">
      <c r="F6" s="15" t="e">
        <f t="shared" si="0"/>
        <v>#DIV/0!</v>
      </c>
      <c r="G6" s="15" t="e">
        <f t="shared" si="1"/>
        <v>#DIV/0!</v>
      </c>
      <c r="H6" s="15" t="e">
        <f t="shared" si="2"/>
        <v>#DIV/0!</v>
      </c>
      <c r="I6" s="15" t="e">
        <f t="shared" si="3"/>
        <v>#DIV/0!</v>
      </c>
    </row>
    <row r="7" spans="2:9" x14ac:dyDescent="0.2">
      <c r="F7" s="15" t="e">
        <f t="shared" si="0"/>
        <v>#DIV/0!</v>
      </c>
      <c r="G7" s="15" t="e">
        <f t="shared" si="1"/>
        <v>#DIV/0!</v>
      </c>
      <c r="H7" s="15" t="e">
        <f t="shared" si="2"/>
        <v>#DIV/0!</v>
      </c>
      <c r="I7" s="15" t="e">
        <f t="shared" si="3"/>
        <v>#DIV/0!</v>
      </c>
    </row>
    <row r="8" spans="2:9" x14ac:dyDescent="0.2">
      <c r="F8" s="15" t="e">
        <f t="shared" si="0"/>
        <v>#DIV/0!</v>
      </c>
      <c r="G8" s="15" t="e">
        <f t="shared" si="1"/>
        <v>#DIV/0!</v>
      </c>
      <c r="H8" s="15" t="e">
        <f t="shared" si="2"/>
        <v>#DIV/0!</v>
      </c>
      <c r="I8" s="15" t="e">
        <f t="shared" si="3"/>
        <v>#DIV/0!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20</vt:i4>
      </vt:variant>
    </vt:vector>
  </HeadingPairs>
  <TitlesOfParts>
    <vt:vector size="24" baseType="lpstr">
      <vt:lpstr>Roll-out Slow-Down</vt:lpstr>
      <vt:lpstr>Acceleration</vt:lpstr>
      <vt:lpstr>Accel2</vt:lpstr>
      <vt:lpstr>Angle</vt:lpstr>
      <vt:lpstr>acceleration</vt:lpstr>
      <vt:lpstr>deceleration</vt:lpstr>
      <vt:lpstr>deltaSpeed</vt:lpstr>
      <vt:lpstr>Acceleration!deltaT</vt:lpstr>
      <vt:lpstr>deltaT</vt:lpstr>
      <vt:lpstr>endTS</vt:lpstr>
      <vt:lpstr>Acceleration!speed</vt:lpstr>
      <vt:lpstr>speed</vt:lpstr>
      <vt:lpstr>Acceleration!speedKt</vt:lpstr>
      <vt:lpstr>speedKt</vt:lpstr>
      <vt:lpstr>Acceleration!startTS</vt:lpstr>
      <vt:lpstr>startTS</vt:lpstr>
      <vt:lpstr>Acceleration!stopTS</vt:lpstr>
      <vt:lpstr>stopTS</vt:lpstr>
      <vt:lpstr>Acceleration!TableEnd</vt:lpstr>
      <vt:lpstr>TableEnd</vt:lpstr>
      <vt:lpstr>Acceleration!TableStart</vt:lpstr>
      <vt:lpstr>TableStart</vt:lpstr>
      <vt:lpstr>target</vt:lpstr>
      <vt:lpstr>targetKt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Birger Hoppe</dc:creator>
  <cp:lastModifiedBy>Birger Hoppe</cp:lastModifiedBy>
  <dcterms:created xsi:type="dcterms:W3CDTF">2018-06-26T19:31:50Z</dcterms:created>
  <dcterms:modified xsi:type="dcterms:W3CDTF">2018-08-18T21:09:10Z</dcterms:modified>
</cp:coreProperties>
</file>