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PREWORK_LD\Module-1\"/>
    </mc:Choice>
  </mc:AlternateContent>
  <xr:revisionPtr revIDLastSave="0" documentId="13_ncr:1_{AB06F06F-81C2-4860-B4CD-C6F6CCFC4AF6}" xr6:coauthVersionLast="40" xr6:coauthVersionMax="40" xr10:uidLastSave="{00000000-0000-0000-0000-000000000000}"/>
  <bookViews>
    <workbookView xWindow="-110" yWindow="-110" windowWidth="18480" windowHeight="11020" firstSheet="2" activeTab="4" xr2:uid="{00000000-000D-0000-FFFF-FFFF00000000}"/>
  </bookViews>
  <sheets>
    <sheet name="Starter Book Report" sheetId="7" r:id="rId1"/>
    <sheet name="Outcome vs Category" sheetId="3" r:id="rId2"/>
    <sheet name="Outcome vs Subcaterogy" sheetId="4" r:id="rId3"/>
    <sheet name="Outcome vs Date Created Convers" sheetId="5" r:id="rId4"/>
    <sheet name="Bonus" sheetId="6" r:id="rId5"/>
    <sheet name="Sheet1" sheetId="1" r:id="rId6"/>
  </sheets>
  <externalReferences>
    <externalReference r:id="rId7"/>
  </externalReferences>
  <calcPr calcId="191029"/>
  <pivotCaches>
    <pivotCache cacheId="59" r:id="rId8"/>
    <pivotCache cacheId="7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E6" i="6" s="1"/>
  <c r="B7" i="6"/>
  <c r="B8" i="6"/>
  <c r="E8" i="6" s="1"/>
  <c r="B9" i="6"/>
  <c r="E9" i="6" s="1"/>
  <c r="B10" i="6"/>
  <c r="B11" i="6"/>
  <c r="E11" i="6" s="1"/>
  <c r="B12" i="6"/>
  <c r="E12" i="6" s="1"/>
  <c r="G12" i="6" s="1"/>
  <c r="B13" i="6"/>
  <c r="E13" i="6" s="1"/>
  <c r="B14" i="6"/>
  <c r="F14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15" i="1"/>
  <c r="E14" i="6"/>
  <c r="G14" i="6" s="1"/>
  <c r="C15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2" i="6"/>
  <c r="C11" i="6"/>
  <c r="C10" i="6"/>
  <c r="C9" i="6"/>
  <c r="C8" i="6"/>
  <c r="C7" i="6"/>
  <c r="C6" i="6"/>
  <c r="C5" i="6"/>
  <c r="C4" i="6"/>
  <c r="C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6" l="1"/>
  <c r="F4" i="6"/>
  <c r="E4" i="6"/>
  <c r="F5" i="6"/>
  <c r="E5" i="6"/>
  <c r="G6" i="6"/>
  <c r="H6" i="6"/>
  <c r="F6" i="6"/>
  <c r="E7" i="6"/>
  <c r="G8" i="6"/>
  <c r="H8" i="6"/>
  <c r="F8" i="6"/>
  <c r="G9" i="6"/>
  <c r="H9" i="6"/>
  <c r="F9" i="6"/>
  <c r="E10" i="6"/>
  <c r="F11" i="6"/>
  <c r="H11" i="6"/>
  <c r="G11" i="6"/>
  <c r="H12" i="6"/>
  <c r="F12" i="6"/>
  <c r="H14" i="6"/>
  <c r="G13" i="6"/>
  <c r="H13" i="6"/>
  <c r="B15" i="6"/>
  <c r="F13" i="6"/>
  <c r="G3" i="6" l="1"/>
  <c r="H3" i="6"/>
  <c r="F3" i="6"/>
  <c r="G4" i="6"/>
  <c r="H4" i="6"/>
  <c r="G5" i="6"/>
  <c r="H5" i="6"/>
  <c r="H7" i="6"/>
  <c r="G7" i="6"/>
  <c r="E15" i="6"/>
  <c r="F7" i="6"/>
  <c r="F10" i="6"/>
  <c r="H10" i="6"/>
  <c r="G10" i="6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<sst xmlns="http://schemas.openxmlformats.org/spreadsheetml/2006/main" count="24823" uniqueCount="8402">
  <si>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</si>
  <si>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</si>
  <si>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</si>
  <si>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</si>
  <si>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</si>
  <si>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</si>
  <si>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</si>
  <si>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</si>
  <si>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</si>
  <si>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</si>
  <si>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</si>
  <si>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</si>
  <si>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</si>
  <si>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</si>
  <si>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</si>
  <si>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</si>
  <si>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</si>
  <si>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</si>
  <si>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</si>
  <si>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</si>
  <si>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</si>
  <si>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</si>
  <si>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</si>
  <si>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</si>
  <si>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</si>
  <si>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</si>
  <si>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</si>
  <si>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</si>
  <si>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</si>
  <si>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</si>
  <si>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</si>
  <si>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</si>
  <si>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</si>
  <si>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</si>
  <si>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</si>
  <si>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</si>
  <si>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</si>
  <si>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</si>
  <si>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</si>
  <si>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</si>
  <si>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</si>
  <si>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</si>
  <si>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</si>
  <si>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</si>
  <si>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</si>
  <si>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</si>
  <si>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</si>
  <si>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</si>
  <si>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</si>
  <si>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</si>
  <si>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</si>
  <si>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</si>
  <si>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</si>
  <si>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</si>
  <si>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</si>
  <si>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</si>
  <si>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</si>
  <si>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</si>
  <si>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</si>
  <si>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</si>
  <si>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</si>
  <si>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</si>
  <si>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</si>
  <si>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</si>
  <si>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</si>
  <si>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</si>
  <si>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</si>
  <si>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</si>
  <si>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</si>
  <si>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</si>
  <si>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</si>
  <si>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</si>
  <si>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</si>
  <si>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</si>
  <si>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</si>
  <si>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</si>
  <si>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</si>
  <si>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</si>
  <si>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</si>
  <si>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</si>
  <si>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</si>
  <si>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</si>
  <si>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</si>
  <si>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</si>
  <si>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</si>
  <si>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</si>
  <si>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</si>
  <si>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</si>
  <si>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</si>
  <si>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</si>
  <si>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</si>
  <si>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</si>
  <si>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</si>
  <si>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</si>
  <si>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</si>
  <si>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</si>
  <si>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</si>
  <si>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</si>
  <si>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</si>
  <si>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</si>
  <si>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</si>
  <si>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</si>
  <si>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</si>
  <si>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</si>
  <si>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</si>
  <si>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</si>
  <si>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</si>
  <si>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</si>
  <si>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</si>
  <si>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</si>
  <si>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</si>
  <si>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</si>
  <si>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</si>
  <si>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</si>
  <si>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</si>
  <si>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</si>
  <si>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</si>
  <si>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</si>
  <si>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</si>
  <si>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</si>
  <si>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</si>
  <si>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</si>
  <si>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</si>
  <si>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</si>
  <si>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</si>
  <si>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</si>
  <si>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</si>
  <si>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</si>
  <si>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</si>
  <si>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</si>
  <si>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</si>
  <si>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</si>
  <si>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</si>
  <si>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</si>
  <si>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</si>
  <si>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</si>
  <si>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</si>
  <si>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</si>
  <si>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</si>
  <si>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</si>
  <si>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</si>
  <si>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</si>
  <si>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</si>
  <si>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</si>
  <si>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</si>
  <si>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</si>
  <si>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</si>
  <si>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</si>
  <si>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</si>
  <si>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</si>
  <si>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</si>
  <si>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</si>
  <si>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</si>
  <si>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</si>
  <si>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</si>
  <si>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</si>
  <si>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</si>
  <si>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</si>
  <si>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</si>
  <si>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</si>
  <si>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</si>
  <si>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</si>
  <si>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</si>
  <si>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</si>
  <si>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</si>
  <si>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</si>
  <si>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</si>
  <si>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</si>
  <si>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</si>
  <si>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</si>
  <si>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</si>
  <si>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</si>
  <si>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</si>
  <si>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</si>
  <si>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</si>
  <si>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</si>
  <si>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</si>
  <si>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</si>
  <si>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</si>
  <si>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</si>
  <si>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</si>
  <si>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</si>
  <si>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</si>
  <si>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</si>
  <si>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</si>
  <si>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</si>
  <si>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</si>
  <si>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</si>
  <si>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</si>
  <si>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</si>
  <si>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</si>
  <si>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</si>
  <si>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</si>
  <si>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</si>
  <si>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</si>
  <si>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</si>
  <si>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</si>
  <si>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</si>
  <si>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</si>
  <si>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</si>
  <si>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</si>
  <si>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</si>
  <si>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</si>
  <si>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</si>
  <si>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</si>
  <si>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</si>
  <si>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</si>
  <si>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</si>
  <si>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</si>
  <si>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</si>
  <si>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</si>
  <si>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</si>
  <si>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</si>
  <si>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</si>
  <si>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</si>
  <si>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</si>
  <si>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</si>
  <si>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</si>
  <si>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</si>
  <si>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</si>
  <si>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</si>
  <si>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</si>
  <si>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</si>
  <si>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</si>
  <si>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</si>
  <si>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</si>
  <si>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</si>
  <si>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</si>
  <si>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</si>
  <si>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</si>
  <si>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</si>
  <si>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</si>
  <si>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</si>
  <si>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</si>
  <si>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</si>
  <si>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</si>
  <si>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</si>
  <si>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</si>
  <si>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</si>
  <si>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</si>
  <si>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</si>
  <si>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</si>
  <si>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</si>
  <si>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</si>
  <si>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</si>
  <si>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</si>
  <si>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</si>
  <si>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</si>
  <si>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</si>
  <si>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</si>
  <si>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</si>
  <si>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</si>
  <si>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</si>
  <si>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</si>
  <si>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</si>
  <si>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</si>
  <si>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</si>
  <si>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</si>
  <si>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</si>
  <si>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</si>
  <si>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</si>
  <si>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</si>
  <si>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</si>
  <si>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</si>
  <si>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</si>
  <si>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</si>
  <si>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</si>
  <si>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</si>
  <si>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</si>
  <si>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</si>
  <si>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</si>
  <si>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</si>
  <si>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</si>
  <si>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</si>
  <si>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</si>
  <si>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</si>
  <si>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</si>
  <si>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</si>
  <si>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</si>
  <si>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</si>
  <si>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</si>
  <si>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</si>
  <si>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</si>
  <si>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</si>
  <si>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</si>
  <si>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</si>
  <si>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</si>
  <si>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</si>
  <si>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</si>
  <si>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</si>
  <si>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</si>
  <si>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</si>
  <si>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</si>
  <si>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</si>
  <si>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</si>
  <si>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</si>
  <si>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</si>
  <si>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</si>
  <si>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</si>
  <si>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</si>
  <si>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</si>
  <si>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</si>
  <si>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</si>
  <si>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</si>
  <si>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</si>
  <si>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</si>
  <si>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</si>
  <si>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</si>
  <si>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</si>
  <si>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</si>
  <si>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</si>
  <si>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</si>
  <si>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</si>
  <si>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</si>
  <si>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</si>
  <si>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</si>
  <si>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</si>
  <si>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</si>
  <si>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</si>
  <si>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</si>
  <si>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</si>
  <si>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</si>
  <si>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</si>
  <si>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</si>
  <si>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</si>
  <si>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</si>
  <si>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</si>
  <si>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</si>
  <si>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</si>
  <si>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</si>
  <si>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</si>
  <si>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</si>
  <si>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</si>
  <si>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</si>
  <si>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</si>
  <si>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</si>
  <si>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</si>
  <si>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</si>
  <si>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</si>
  <si>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</si>
  <si>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</si>
  <si>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</si>
  <si>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</si>
  <si>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</si>
  <si>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</si>
  <si>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</si>
  <si>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</si>
  <si>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</si>
  <si>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</si>
  <si>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</si>
  <si>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</si>
  <si>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</si>
  <si>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</si>
  <si>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</si>
  <si>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</si>
  <si>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</si>
  <si>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</si>
  <si>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</si>
  <si>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</si>
  <si>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</si>
  <si>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</si>
  <si>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</si>
  <si>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</si>
  <si>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</si>
  <si>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</si>
  <si>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</si>
  <si>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</si>
  <si>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</si>
  <si>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</si>
  <si>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</si>
  <si>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</si>
  <si>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</si>
  <si>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</si>
  <si>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</si>
  <si>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</si>
  <si>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</si>
  <si>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</si>
  <si>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</si>
  <si>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</si>
  <si>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</si>
  <si>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</si>
  <si>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</si>
  <si>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</si>
  <si>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</si>
  <si>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</si>
  <si>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</si>
  <si>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</si>
  <si>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</si>
  <si>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</si>
  <si>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</si>
  <si>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</si>
  <si>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</si>
  <si>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</si>
  <si>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</si>
  <si>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</si>
  <si>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</si>
  <si>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</si>
  <si>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</si>
  <si>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</si>
  <si>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</si>
  <si>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</si>
  <si>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</si>
  <si>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</si>
  <si>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</si>
  <si>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</si>
  <si>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</si>
  <si>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</si>
  <si>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</si>
  <si>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</si>
  <si>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</si>
  <si>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</si>
  <si>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</si>
  <si>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</si>
  <si>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</si>
  <si>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</si>
  <si>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</si>
  <si>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</si>
  <si>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</si>
  <si>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</si>
  <si>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</si>
  <si>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</si>
  <si>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</si>
  <si>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</si>
  <si>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</si>
  <si>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</si>
  <si>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</si>
  <si>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</si>
  <si>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</si>
  <si>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</si>
  <si>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</si>
  <si>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</si>
  <si>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</si>
  <si>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</si>
  <si>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</si>
  <si>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</si>
  <si>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</si>
  <si>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</si>
  <si>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</si>
  <si>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</si>
  <si>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</si>
  <si>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</si>
  <si>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</si>
  <si>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</si>
  <si>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</si>
  <si>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</si>
  <si>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</si>
  <si>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</si>
  <si>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</si>
  <si>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</si>
  <si>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</si>
  <si>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</si>
  <si>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</si>
  <si>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</si>
  <si>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</si>
  <si>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</si>
  <si>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</si>
  <si>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</si>
  <si>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</si>
  <si>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</si>
  <si>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</si>
  <si>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</si>
  <si>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</si>
  <si>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</si>
  <si>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</si>
  <si>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</si>
  <si>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</si>
  <si>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</si>
  <si>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</si>
  <si>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</si>
  <si>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</si>
  <si>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</si>
  <si>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</si>
  <si>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</si>
  <si>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</si>
  <si>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</si>
  <si>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</si>
  <si>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</si>
  <si>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</si>
  <si>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</si>
  <si>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</si>
  <si>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</si>
  <si>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</si>
  <si>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</si>
  <si>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</si>
  <si>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</si>
  <si>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</si>
  <si>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</si>
  <si>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</si>
  <si>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</si>
  <si>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</si>
  <si>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</si>
  <si>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</si>
  <si>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</si>
  <si>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</si>
  <si>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</si>
  <si>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</si>
  <si>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</si>
  <si>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</si>
  <si>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</si>
  <si>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</si>
  <si>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</si>
  <si>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</si>
  <si>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</si>
  <si>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</si>
  <si>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</si>
  <si>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</si>
  <si>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</si>
  <si>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</si>
  <si>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</si>
  <si>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</si>
  <si>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</si>
  <si>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</si>
  <si>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</si>
  <si>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</si>
  <si>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</si>
  <si>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</si>
  <si>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</si>
  <si>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</si>
  <si>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</si>
  <si>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</si>
  <si>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</si>
  <si>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</si>
  <si>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</si>
  <si>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</si>
  <si>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</si>
  <si>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</si>
  <si>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</si>
  <si>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</si>
  <si>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</si>
  <si>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</si>
  <si>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</si>
  <si>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</si>
  <si>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</si>
  <si>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</si>
  <si>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</si>
  <si>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</si>
  <si>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</si>
  <si>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</si>
  <si>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</si>
  <si>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</si>
  <si>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</si>
  <si>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</si>
  <si>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</si>
  <si>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</si>
  <si>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</si>
  <si>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</si>
  <si>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</si>
  <si>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</si>
  <si>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</si>
  <si>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</si>
  <si>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</si>
  <si>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</si>
  <si>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</si>
  <si>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</si>
  <si>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</si>
  <si>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</si>
  <si>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</si>
  <si>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</si>
  <si>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</si>
  <si>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</si>
  <si>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</si>
  <si>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</si>
  <si>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</si>
  <si>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</si>
  <si>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</si>
  <si>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</si>
  <si>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</si>
  <si>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</si>
  <si>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</si>
  <si>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</si>
  <si>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</si>
  <si>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</si>
  <si>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</si>
  <si>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</si>
  <si>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</si>
  <si>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</si>
  <si>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</si>
  <si>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</si>
  <si>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</si>
  <si>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</si>
  <si>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</si>
  <si>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</si>
  <si>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</si>
  <si>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</si>
  <si>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</si>
  <si>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</si>
  <si>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</si>
  <si>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</si>
  <si>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</si>
  <si>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</si>
  <si>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</si>
  <si>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</si>
  <si>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</si>
  <si>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</si>
  <si>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</si>
  <si>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</si>
  <si>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</si>
  <si>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</si>
  <si>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</si>
  <si>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</si>
  <si>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</si>
  <si>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</si>
  <si>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</si>
  <si>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</si>
  <si>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</si>
  <si>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</si>
  <si>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</si>
  <si>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</si>
  <si>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</si>
  <si>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</si>
  <si>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</si>
  <si>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</si>
  <si>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</si>
  <si>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</si>
  <si>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</si>
  <si>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</si>
  <si>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</si>
  <si>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</si>
  <si>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</si>
  <si>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</si>
  <si>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</si>
  <si>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</si>
  <si>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</si>
  <si>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</si>
  <si>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</si>
  <si>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</si>
  <si>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</si>
  <si>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</si>
  <si>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</si>
  <si>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</si>
  <si>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</si>
  <si>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</si>
  <si>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</si>
  <si>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</si>
  <si>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</si>
  <si>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</si>
  <si>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</si>
  <si>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</si>
  <si>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</si>
  <si>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</si>
  <si>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</si>
  <si>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</si>
  <si>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</si>
  <si>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</si>
  <si>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</si>
  <si>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</si>
  <si>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</si>
  <si>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</si>
  <si>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</si>
  <si>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</si>
  <si>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</si>
  <si>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</si>
  <si>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</si>
  <si>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</si>
  <si>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</si>
  <si>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</si>
  <si>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</si>
  <si>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</si>
  <si>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</si>
  <si>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</si>
  <si>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</si>
  <si>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</si>
  <si>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</si>
  <si>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</si>
  <si>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</si>
  <si>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</si>
  <si>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</si>
  <si>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</si>
  <si>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</si>
  <si>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</si>
  <si>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</si>
  <si>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</si>
  <si>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</si>
  <si>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</si>
  <si>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</si>
  <si>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</si>
  <si>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</si>
  <si>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</si>
  <si>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</si>
  <si>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</si>
  <si>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</si>
  <si>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</si>
  <si>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</si>
  <si>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</si>
  <si>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</si>
  <si>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</si>
  <si>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</si>
  <si>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</si>
  <si>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</si>
  <si>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</si>
  <si>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</si>
  <si>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</si>
  <si>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</si>
  <si>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</si>
  <si>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</si>
  <si>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</si>
  <si>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</si>
  <si>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</si>
  <si>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</si>
  <si>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</si>
  <si>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</si>
  <si>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</si>
  <si>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</si>
  <si>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</si>
  <si>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</si>
  <si>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</si>
  <si>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</si>
  <si>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</si>
  <si>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</si>
  <si>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</si>
  <si>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</si>
  <si>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</si>
  <si>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</si>
  <si>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</si>
  <si>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</si>
  <si>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</si>
  <si>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</si>
  <si>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</si>
  <si>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</si>
  <si>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</si>
  <si>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</si>
  <si>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</si>
  <si>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</si>
  <si>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</si>
  <si>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</si>
  <si>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</si>
  <si>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</si>
  <si>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</si>
  <si>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</si>
  <si>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</si>
  <si>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</si>
  <si>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</si>
  <si>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</si>
  <si>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</si>
  <si>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</si>
  <si>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</si>
  <si>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</si>
  <si>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</si>
  <si>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</si>
  <si>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</si>
  <si>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</si>
  <si>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</si>
  <si>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</si>
  <si>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</si>
  <si>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</si>
  <si>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</si>
  <si>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</si>
  <si>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</si>
  <si>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</si>
  <si>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</si>
  <si>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</si>
  <si>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</si>
  <si>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</si>
  <si>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</si>
  <si>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</si>
  <si>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</si>
  <si>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</si>
  <si>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</si>
  <si>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</si>
  <si>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</si>
  <si>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</si>
  <si>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</si>
  <si>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</si>
  <si>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</si>
  <si>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</si>
  <si>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</si>
  <si>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</si>
  <si>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</si>
  <si>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</si>
  <si>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</si>
  <si>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</si>
  <si>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</si>
  <si>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</si>
  <si>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</si>
  <si>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</si>
  <si>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</si>
  <si>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</si>
  <si>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</si>
  <si>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</si>
  <si>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</si>
  <si>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</si>
  <si>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</si>
  <si>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</si>
  <si>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</si>
  <si>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</si>
  <si>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</si>
  <si>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</si>
  <si>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</si>
  <si>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</si>
  <si>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</si>
  <si>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</si>
  <si>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</si>
  <si>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</si>
  <si>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</si>
  <si>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</si>
  <si>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</si>
  <si>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</si>
  <si>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</si>
  <si>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</si>
  <si>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</si>
  <si>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</si>
  <si>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</si>
  <si>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</si>
  <si>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</si>
  <si>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</si>
  <si>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</si>
  <si>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</si>
  <si>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</si>
  <si>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</si>
  <si>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</si>
  <si>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</si>
  <si>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</si>
  <si>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</si>
  <si>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</si>
  <si>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</si>
  <si>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</si>
  <si>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</si>
  <si>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</si>
  <si>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</si>
  <si>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</si>
  <si>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</si>
  <si>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</si>
  <si>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</si>
  <si>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</si>
  <si>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</si>
  <si>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</si>
  <si>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</si>
  <si>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</si>
  <si>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</si>
  <si>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</si>
  <si>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</si>
  <si>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</si>
  <si>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</si>
  <si>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</si>
  <si>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</si>
  <si>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</si>
  <si>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</si>
  <si>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</si>
  <si>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</si>
  <si>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</si>
  <si>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</si>
  <si>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</si>
  <si>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</si>
  <si>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</si>
  <si>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</si>
  <si>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</si>
  <si>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</si>
  <si>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</si>
  <si>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</si>
  <si>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</si>
  <si>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</si>
  <si>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</si>
  <si>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</si>
  <si>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</si>
  <si>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</si>
  <si>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</si>
  <si>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</si>
  <si>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</si>
  <si>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</si>
  <si>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</si>
  <si>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</si>
  <si>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</si>
  <si>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</si>
  <si>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</si>
  <si>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</si>
  <si>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</si>
  <si>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</si>
  <si>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</si>
  <si>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</si>
  <si>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</si>
  <si>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</si>
  <si>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</si>
  <si>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</si>
  <si>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</si>
  <si>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</si>
  <si>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</si>
  <si>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</si>
  <si>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</si>
  <si>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</si>
  <si>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</si>
  <si>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</si>
  <si>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</si>
  <si>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</si>
  <si>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</si>
  <si>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</si>
  <si>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</si>
  <si>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</si>
  <si>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</si>
  <si>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</si>
  <si>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</si>
  <si>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</si>
  <si>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</si>
  <si>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</si>
  <si>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</si>
  <si>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</si>
  <si>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</si>
  <si>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</si>
  <si>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</si>
  <si>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</si>
  <si>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</si>
  <si>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</si>
  <si>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</si>
  <si>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</si>
  <si>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</si>
  <si>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</si>
  <si>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</si>
  <si>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</si>
  <si>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</si>
  <si>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</si>
  <si>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</si>
  <si>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</si>
  <si>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</si>
  <si>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</si>
  <si>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</si>
  <si>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</si>
  <si>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</si>
  <si>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</si>
  <si>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</si>
  <si>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</si>
  <si>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</si>
  <si>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</si>
  <si>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</si>
  <si>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</si>
  <si>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</si>
  <si>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</si>
  <si>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</si>
  <si>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</si>
  <si>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</si>
  <si>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</si>
  <si>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</si>
  <si>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</si>
  <si>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</si>
  <si>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</si>
  <si>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</si>
  <si>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</si>
  <si>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</si>
  <si>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</si>
  <si>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</si>
  <si>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</si>
  <si>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</si>
  <si>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</si>
  <si>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</si>
  <si>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</si>
  <si>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</si>
  <si>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</si>
  <si>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</si>
  <si>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</si>
  <si>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</si>
  <si>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</si>
  <si>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</si>
  <si>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</si>
  <si>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</si>
  <si>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</si>
  <si>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</si>
  <si>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</si>
  <si>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</si>
  <si>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</si>
  <si>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</si>
  <si>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</si>
  <si>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</si>
  <si>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</si>
  <si>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</si>
  <si>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</si>
  <si>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</si>
  <si>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</si>
  <si>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</si>
  <si>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</si>
  <si>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</si>
  <si>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</si>
  <si>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</si>
  <si>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</si>
  <si>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</si>
  <si>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</si>
  <si>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</si>
  <si>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</si>
  <si>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</si>
  <si>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</si>
  <si>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</si>
  <si>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</si>
  <si>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</si>
  <si>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</si>
  <si>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</si>
  <si>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</si>
  <si>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</si>
  <si>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</si>
  <si>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</si>
  <si>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</si>
  <si>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</si>
  <si>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</si>
  <si>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</si>
  <si>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</si>
  <si>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</si>
  <si>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</si>
  <si>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</si>
  <si>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</si>
  <si>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</si>
  <si>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</si>
  <si>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</si>
  <si>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</si>
  <si>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</si>
  <si>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</si>
  <si>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</si>
  <si>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</si>
  <si>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</si>
  <si>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</si>
  <si>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</si>
  <si>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</si>
  <si>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</si>
  <si>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</si>
  <si>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</si>
  <si>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</si>
  <si>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</si>
  <si>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</si>
  <si>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</si>
  <si>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</si>
  <si>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</si>
  <si>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</si>
  <si>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</si>
  <si>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</si>
  <si>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</si>
  <si>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</si>
  <si>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</si>
  <si>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</si>
  <si>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</si>
  <si>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</si>
  <si>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</si>
  <si>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</si>
  <si>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</si>
  <si>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</si>
  <si>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</si>
  <si>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</si>
  <si>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</si>
  <si>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</si>
  <si>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</si>
  <si>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</si>
  <si>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</si>
  <si>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</si>
  <si>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</si>
  <si>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</si>
  <si>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</si>
  <si>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</si>
  <si>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</si>
  <si>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</si>
  <si>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</si>
  <si>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</si>
  <si>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</si>
  <si>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</si>
  <si>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</si>
  <si>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</si>
  <si>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</si>
  <si>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</si>
  <si>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</si>
  <si>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</si>
  <si>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</si>
  <si>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</si>
  <si>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</si>
  <si>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</si>
  <si>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</si>
  <si>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</si>
  <si>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</si>
  <si>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</si>
  <si>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</si>
  <si>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</si>
  <si>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</si>
  <si>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</si>
  <si>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</si>
  <si>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</si>
  <si>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</si>
  <si>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</si>
  <si>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</si>
  <si>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</si>
  <si>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</si>
  <si>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</si>
  <si>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</si>
  <si>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</si>
  <si>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</si>
  <si>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</si>
  <si>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</si>
  <si>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</si>
  <si>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</si>
  <si>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</si>
  <si>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</si>
  <si>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</si>
  <si>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</si>
  <si>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</si>
  <si>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</si>
  <si>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</si>
  <si>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</si>
  <si>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</si>
  <si>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</si>
  <si>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</si>
  <si>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</si>
  <si>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</si>
  <si>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</si>
  <si>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</si>
  <si>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</si>
  <si>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</si>
  <si>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</si>
  <si>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</si>
  <si>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</si>
  <si>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</si>
  <si>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</si>
  <si>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</si>
  <si>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</si>
  <si>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</si>
  <si>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</si>
  <si>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</si>
  <si>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</si>
  <si>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</si>
  <si>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</si>
  <si>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</si>
  <si>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</si>
  <si>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</si>
  <si>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</si>
  <si>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</si>
  <si>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</si>
  <si>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</si>
  <si>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</si>
  <si>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</si>
  <si>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</si>
  <si>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</si>
  <si>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</si>
  <si>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</si>
  <si>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</si>
  <si>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</si>
  <si>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</si>
  <si>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</si>
  <si>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</si>
  <si>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</si>
  <si>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</si>
  <si>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</si>
  <si>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</si>
  <si>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</si>
  <si>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</si>
  <si>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</si>
  <si>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</si>
  <si>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</si>
  <si>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</si>
  <si>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</si>
  <si>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</si>
  <si>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</si>
  <si>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</si>
  <si>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</si>
  <si>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</si>
  <si>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</si>
  <si>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</si>
  <si>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</si>
  <si>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</si>
  <si>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</si>
  <si>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</si>
  <si>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</si>
  <si>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</si>
  <si>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</si>
  <si>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</si>
  <si>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</si>
  <si>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</si>
  <si>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</si>
  <si>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</si>
  <si>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</si>
  <si>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</si>
  <si>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</si>
  <si>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</si>
  <si>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</si>
  <si>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</si>
  <si>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</si>
  <si>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</si>
  <si>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</si>
  <si>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</si>
  <si>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</si>
  <si>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</si>
  <si>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</si>
  <si>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</si>
  <si>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</si>
  <si>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</si>
  <si>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</si>
  <si>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</si>
  <si>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</si>
  <si>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</si>
  <si>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</si>
  <si>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</si>
  <si>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</si>
  <si>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</si>
  <si>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</si>
  <si>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</si>
  <si>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</si>
  <si>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</si>
  <si>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</si>
  <si>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</si>
  <si>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</si>
  <si>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</si>
  <si>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</si>
  <si>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</si>
  <si>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</si>
  <si>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</si>
  <si>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</si>
  <si>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</si>
  <si>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</si>
  <si>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</si>
  <si>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</si>
  <si>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</si>
  <si>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</si>
  <si>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</si>
  <si>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</si>
  <si>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</si>
  <si>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</si>
  <si>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</si>
  <si>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</si>
  <si>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</si>
  <si>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</si>
  <si>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</si>
  <si>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</si>
  <si>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</si>
  <si>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</si>
  <si>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</si>
  <si>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</si>
  <si>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</si>
  <si>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</si>
  <si>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</si>
  <si>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</si>
  <si>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</si>
  <si>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</si>
  <si>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</si>
  <si>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</si>
  <si>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</si>
  <si>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</si>
  <si>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</si>
  <si>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</si>
  <si>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</si>
  <si>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</si>
  <si>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</si>
  <si>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</si>
  <si>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</si>
  <si>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</si>
  <si>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</si>
  <si>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</si>
  <si>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</si>
  <si>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</si>
  <si>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</si>
  <si>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</si>
  <si>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</si>
  <si>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</si>
  <si>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</si>
  <si>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</si>
  <si>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</si>
  <si>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</si>
  <si>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</si>
  <si>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</si>
  <si>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</si>
  <si>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</si>
  <si>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</si>
  <si>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</si>
  <si>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</si>
  <si>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</si>
  <si>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</si>
  <si>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</si>
  <si>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</si>
  <si>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</si>
  <si>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</si>
  <si>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</si>
  <si>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</si>
  <si>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</si>
  <si>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</si>
  <si>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</si>
  <si>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</si>
  <si>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</si>
  <si>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</si>
  <si>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</si>
  <si>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</si>
  <si>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</si>
  <si>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</si>
  <si>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</si>
  <si>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</si>
  <si>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</si>
  <si>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</si>
  <si>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</si>
  <si>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</si>
  <si>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</si>
  <si>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</si>
  <si>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</si>
  <si>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</si>
  <si>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</si>
  <si>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</si>
  <si>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</si>
  <si>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</si>
  <si>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</si>
  <si>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</si>
  <si>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</si>
  <si>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</si>
  <si>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</si>
  <si>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</si>
  <si>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</si>
  <si>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</si>
  <si>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</si>
  <si>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</si>
  <si>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</si>
  <si>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</si>
  <si>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</si>
  <si>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</si>
  <si>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</si>
  <si>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</si>
  <si>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</si>
  <si>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</si>
  <si>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</si>
  <si>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</si>
  <si>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</si>
  <si>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</si>
  <si>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</si>
  <si>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</si>
  <si>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</si>
  <si>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</si>
  <si>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</si>
  <si>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</si>
  <si>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</si>
  <si>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</si>
  <si>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</si>
  <si>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</si>
  <si>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</si>
  <si>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</si>
  <si>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</si>
  <si>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</si>
  <si>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</si>
  <si>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</si>
  <si>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</si>
  <si>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</si>
  <si>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</si>
  <si>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</si>
  <si>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</si>
  <si>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</si>
  <si>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</si>
  <si>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</si>
  <si>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</si>
  <si>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</si>
  <si>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</si>
  <si>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</si>
  <si>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</si>
  <si>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</si>
  <si>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</si>
  <si>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</si>
  <si>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</si>
  <si>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</si>
  <si>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</si>
  <si>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</si>
  <si>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</si>
  <si>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</si>
  <si>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</si>
  <si>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</si>
  <si>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</si>
  <si>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</si>
  <si>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</si>
  <si>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</si>
  <si>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</si>
  <si>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</si>
  <si>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</si>
  <si>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</si>
  <si>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</si>
  <si>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</si>
  <si>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</si>
  <si>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</si>
  <si>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</si>
  <si>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</si>
  <si>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</si>
  <si>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</si>
  <si>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</si>
  <si>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</si>
  <si>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</si>
  <si>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</si>
  <si>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</si>
  <si>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</si>
  <si>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</si>
  <si>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</si>
  <si>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</si>
  <si>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</si>
  <si>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</si>
  <si>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</si>
  <si>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</si>
  <si>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</si>
  <si>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</si>
  <si>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</si>
  <si>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</si>
  <si>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</si>
  <si>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</si>
  <si>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</si>
  <si>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</si>
  <si>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</si>
  <si>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</si>
  <si>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</si>
  <si>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</si>
  <si>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</si>
  <si>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</si>
  <si>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</si>
  <si>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</si>
  <si>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</si>
  <si>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</si>
  <si>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</si>
  <si>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</si>
  <si>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</si>
  <si>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</si>
  <si>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</si>
  <si>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</si>
  <si>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</si>
  <si>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</si>
  <si>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</si>
  <si>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</si>
  <si>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</si>
  <si>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</si>
  <si>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</si>
  <si>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</si>
  <si>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</si>
  <si>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</si>
  <si>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</si>
  <si>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</si>
  <si>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</si>
  <si>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</si>
  <si>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</si>
  <si>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</si>
  <si>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</si>
  <si>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</si>
  <si>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</si>
  <si>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</si>
  <si>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</si>
  <si>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</si>
  <si>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</si>
  <si>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</si>
  <si>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</si>
  <si>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</si>
  <si>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</si>
  <si>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</si>
  <si>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</si>
  <si>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</si>
  <si>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</si>
  <si>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</si>
  <si>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</si>
  <si>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</si>
  <si>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</si>
  <si>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</si>
  <si>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</si>
  <si>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</si>
  <si>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</si>
  <si>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</si>
  <si>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</si>
  <si>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</si>
  <si>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</si>
  <si>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</si>
  <si>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</si>
  <si>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</si>
  <si>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</si>
  <si>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</si>
  <si>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</si>
  <si>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</si>
  <si>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</si>
  <si>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</si>
  <si>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</si>
  <si>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</si>
  <si>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</si>
  <si>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</si>
  <si>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</si>
  <si>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</si>
  <si>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</si>
  <si>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</si>
  <si>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</si>
  <si>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</si>
  <si>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</si>
  <si>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</si>
  <si>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</si>
  <si>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</si>
  <si>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</si>
  <si>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</si>
  <si>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</si>
  <si>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</si>
  <si>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</si>
  <si>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</si>
  <si>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</si>
  <si>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</si>
  <si>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</si>
  <si>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</si>
  <si>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</si>
  <si>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</si>
  <si>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</si>
  <si>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</si>
  <si>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</si>
  <si>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</si>
  <si>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</si>
  <si>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</si>
  <si>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</si>
  <si>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</si>
  <si>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</si>
  <si>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</si>
  <si>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</si>
  <si>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</si>
  <si>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</si>
  <si>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</si>
  <si>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</si>
  <si>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</si>
  <si>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</si>
  <si>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</si>
  <si>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</si>
  <si>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</si>
  <si>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</si>
  <si>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</si>
  <si>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</si>
  <si>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</si>
  <si>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</si>
  <si>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</si>
  <si>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</si>
  <si>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</si>
  <si>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</si>
  <si>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</si>
  <si>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</si>
  <si>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</si>
  <si>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</si>
  <si>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</si>
  <si>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</si>
  <si>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</si>
  <si>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</si>
  <si>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</si>
  <si>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</si>
  <si>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</si>
  <si>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</si>
  <si>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</si>
  <si>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</si>
  <si>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</si>
  <si>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</si>
  <si>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</si>
  <si>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</si>
  <si>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</si>
  <si>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</si>
  <si>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</si>
  <si>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</si>
  <si>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</si>
  <si>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</si>
  <si>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</si>
  <si>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</si>
  <si>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</si>
  <si>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</si>
  <si>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</si>
  <si>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</si>
  <si>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</si>
  <si>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</si>
  <si>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</si>
  <si>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</si>
  <si>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</si>
  <si>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</si>
  <si>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</si>
  <si>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</si>
  <si>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</si>
  <si>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</si>
  <si>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</si>
  <si>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</si>
  <si>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</si>
  <si>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</si>
  <si>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</si>
  <si>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</si>
  <si>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</si>
  <si>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</si>
  <si>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</si>
  <si>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</si>
  <si>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</si>
  <si>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</si>
  <si>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</si>
  <si>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</si>
  <si>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</si>
  <si>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</si>
  <si>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</si>
  <si>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</si>
  <si>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</si>
  <si>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</si>
  <si>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</si>
  <si>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</si>
  <si>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</si>
  <si>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</si>
  <si>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</si>
  <si>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</si>
  <si>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</si>
  <si>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</si>
  <si>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</si>
  <si>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</si>
  <si>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</si>
  <si>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</si>
  <si>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</si>
  <si>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</si>
  <si>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</si>
  <si>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</si>
  <si>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</si>
  <si>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</si>
  <si>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</si>
  <si>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</si>
  <si>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</si>
  <si>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</si>
  <si>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</si>
  <si>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</si>
  <si>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</si>
  <si>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</si>
  <si>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</si>
  <si>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</si>
  <si>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</si>
  <si>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</si>
  <si>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</si>
  <si>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</si>
  <si>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</si>
  <si>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</si>
  <si>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</si>
  <si>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</si>
  <si>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</si>
  <si>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</si>
  <si>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</si>
  <si>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</si>
  <si>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</si>
  <si>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</si>
  <si>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</si>
  <si>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</si>
  <si>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</si>
  <si>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</si>
  <si>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</si>
  <si>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</si>
  <si>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</si>
  <si>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</si>
  <si>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</si>
  <si>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</si>
  <si>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</si>
  <si>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</si>
  <si>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</si>
  <si>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</si>
  <si>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</si>
  <si>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</si>
  <si>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</si>
  <si>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</si>
  <si>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</si>
  <si>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</si>
  <si>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</si>
  <si>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</si>
  <si>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</si>
  <si>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</si>
  <si>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</si>
  <si>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</si>
  <si>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</si>
  <si>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</si>
  <si>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</si>
  <si>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</si>
  <si>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</si>
  <si>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</si>
  <si>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</si>
  <si>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</si>
  <si>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</si>
  <si>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</si>
  <si>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</si>
  <si>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</si>
  <si>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</si>
  <si>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</si>
  <si>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</si>
  <si>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</si>
  <si>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</si>
  <si>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</si>
  <si>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</si>
  <si>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</si>
  <si>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</si>
  <si>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</si>
  <si>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</si>
  <si>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</si>
  <si>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</si>
  <si>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</si>
  <si>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</si>
  <si>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</si>
  <si>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</si>
  <si>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</si>
  <si>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</si>
  <si>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</si>
  <si>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</si>
  <si>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</si>
  <si>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</si>
  <si>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</si>
  <si>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</si>
  <si>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</si>
  <si>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</si>
  <si>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</si>
  <si>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</si>
  <si>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</si>
  <si>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</si>
  <si>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</si>
  <si>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</si>
  <si>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</si>
  <si>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</si>
  <si>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</si>
  <si>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</si>
  <si>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</si>
  <si>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</si>
  <si>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</si>
  <si>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</si>
  <si>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</si>
  <si>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</si>
  <si>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</si>
  <si>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</si>
  <si>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</si>
  <si>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</si>
  <si>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</si>
  <si>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</si>
  <si>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</si>
  <si>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</si>
  <si>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</si>
  <si>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</si>
  <si>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</si>
  <si>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</si>
  <si>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</si>
  <si>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</si>
  <si>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</si>
  <si>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</si>
  <si>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</si>
  <si>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</si>
  <si>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</si>
  <si>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</si>
  <si>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</si>
  <si>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</si>
  <si>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</si>
  <si>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</si>
  <si>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</si>
  <si>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</si>
  <si>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</si>
  <si>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</si>
  <si>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</si>
  <si>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</si>
  <si>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</si>
  <si>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</si>
  <si>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</si>
  <si>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</si>
  <si>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</si>
  <si>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</si>
  <si>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</si>
  <si>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</si>
  <si>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</si>
  <si>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</si>
  <si>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</si>
  <si>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</si>
  <si>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</si>
  <si>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</si>
  <si>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</si>
  <si>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</si>
  <si>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</si>
  <si>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</si>
  <si>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</si>
  <si>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</si>
  <si>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</si>
  <si>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</si>
  <si>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</si>
  <si>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</si>
  <si>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</si>
  <si>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</si>
  <si>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</si>
  <si>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</si>
  <si>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</si>
  <si>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</si>
  <si>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</si>
  <si>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</si>
  <si>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</si>
  <si>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</si>
  <si>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</si>
  <si>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</si>
  <si>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</si>
  <si>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</si>
  <si>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</si>
  <si>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</si>
  <si>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</si>
  <si>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</si>
  <si>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</si>
  <si>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</si>
  <si>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</si>
  <si>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</si>
  <si>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</si>
  <si>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</si>
  <si>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</si>
  <si>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</si>
  <si>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</si>
  <si>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</si>
  <si>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</si>
  <si>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</si>
  <si>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</si>
  <si>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</si>
  <si>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</si>
  <si>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</si>
  <si>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</si>
  <si>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</si>
  <si>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</si>
  <si>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</si>
  <si>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</si>
  <si>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</si>
  <si>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</si>
  <si>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</si>
  <si>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</si>
  <si>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</si>
  <si>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</si>
  <si>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</si>
  <si>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</si>
  <si>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</si>
  <si>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</si>
  <si>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</si>
  <si>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</si>
  <si>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</si>
  <si>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</si>
  <si>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</si>
  <si>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</si>
  <si>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</si>
  <si>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</si>
  <si>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</si>
  <si>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</si>
  <si>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</si>
  <si>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</si>
  <si>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</si>
  <si>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</si>
  <si>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</si>
  <si>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</si>
  <si>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</si>
  <si>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</si>
  <si>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</si>
  <si>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</si>
  <si>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</si>
  <si>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</si>
  <si>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</si>
  <si>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</si>
  <si>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</si>
  <si>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</si>
  <si>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</si>
  <si>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</si>
  <si>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</si>
  <si>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</si>
  <si>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</si>
  <si>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</si>
  <si>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</si>
  <si>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</si>
  <si>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</si>
  <si>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</si>
  <si>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</si>
  <si>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</si>
  <si>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</si>
  <si>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</si>
  <si>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</si>
  <si>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</si>
  <si>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</si>
  <si>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</si>
  <si>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</si>
  <si>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</si>
  <si>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</si>
  <si>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</si>
  <si>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</si>
  <si>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</si>
  <si>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</si>
  <si>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</si>
  <si>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</si>
  <si>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</si>
  <si>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</si>
  <si>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</si>
  <si>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</si>
  <si>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</si>
  <si>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</si>
  <si>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</si>
  <si>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</si>
  <si>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</si>
  <si>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</si>
  <si>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</si>
  <si>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</si>
  <si>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</si>
  <si>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</si>
  <si>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</si>
  <si>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</si>
  <si>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</si>
  <si>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</si>
  <si>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</si>
  <si>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</si>
  <si>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</si>
  <si>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</si>
  <si>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</si>
  <si>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</si>
  <si>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</si>
  <si>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</si>
  <si>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</si>
  <si>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</si>
  <si>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</si>
  <si>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</si>
  <si>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</si>
  <si>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</si>
  <si>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</si>
  <si>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</si>
  <si>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</si>
  <si>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</si>
  <si>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</si>
  <si>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</si>
  <si>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</si>
  <si>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</si>
  <si>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</si>
  <si>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</si>
  <si>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</si>
  <si>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</si>
  <si>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</si>
  <si>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</si>
  <si>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</si>
  <si>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</si>
  <si>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</si>
  <si>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</si>
  <si>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</si>
  <si>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</si>
  <si>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</si>
  <si>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</si>
  <si>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</si>
  <si>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</si>
  <si>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</si>
  <si>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</si>
  <si>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</si>
  <si>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</si>
  <si>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</si>
  <si>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</si>
  <si>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</si>
  <si>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</si>
  <si>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</si>
  <si>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</si>
  <si>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</si>
  <si>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</si>
  <si>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</si>
  <si>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</si>
  <si>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</si>
  <si>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</si>
  <si>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</si>
  <si>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</si>
  <si>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</si>
  <si>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</si>
  <si>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</si>
  <si>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</si>
  <si>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</si>
  <si>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</si>
  <si>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</si>
  <si>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</si>
  <si>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</si>
  <si>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</si>
  <si>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</si>
  <si>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</si>
  <si>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</si>
  <si>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</si>
  <si>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</si>
  <si>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</si>
  <si>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</si>
  <si>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</si>
  <si>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</si>
  <si>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</si>
  <si>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</si>
  <si>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</si>
  <si>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</si>
  <si>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</si>
  <si>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</si>
  <si>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</si>
  <si>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</si>
  <si>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</si>
  <si>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</si>
  <si>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</si>
  <si>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</si>
  <si>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</si>
  <si>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</si>
  <si>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</si>
  <si>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</si>
  <si>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</si>
  <si>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</si>
  <si>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</si>
  <si>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</si>
  <si>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</si>
  <si>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</si>
  <si>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</si>
  <si>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</si>
  <si>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</si>
  <si>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</si>
  <si>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</si>
  <si>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</si>
  <si>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</si>
  <si>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</si>
  <si>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</si>
  <si>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</si>
  <si>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</si>
  <si>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</si>
  <si>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</si>
  <si>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</si>
  <si>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</si>
  <si>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</si>
  <si>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</si>
  <si>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</si>
  <si>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</si>
  <si>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</si>
  <si>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</si>
  <si>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</si>
  <si>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</si>
  <si>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</si>
  <si>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</si>
  <si>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</si>
  <si>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</si>
  <si>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</si>
  <si>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</si>
  <si>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</si>
  <si>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</si>
  <si>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</si>
  <si>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</si>
  <si>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</si>
  <si>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</si>
  <si>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</si>
  <si>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</si>
  <si>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</si>
  <si>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</si>
  <si>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</si>
  <si>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</si>
  <si>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</si>
  <si>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</si>
  <si>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</si>
  <si>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</si>
  <si>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</si>
  <si>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</si>
  <si>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</si>
  <si>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</si>
  <si>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</si>
  <si>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</si>
  <si>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</si>
  <si>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</si>
  <si>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</si>
  <si>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</si>
  <si>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</si>
  <si>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</si>
  <si>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</si>
  <si>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</si>
  <si>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</si>
  <si>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</si>
  <si>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</si>
  <si>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</si>
  <si>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</si>
  <si>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</si>
  <si>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</si>
  <si>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</si>
  <si>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</si>
  <si>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</si>
  <si>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</si>
  <si>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</si>
  <si>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</si>
  <si>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</si>
  <si>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</si>
  <si>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</si>
  <si>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</si>
  <si>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</si>
  <si>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</si>
  <si>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</si>
  <si>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</si>
  <si>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</si>
  <si>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</si>
  <si>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</si>
  <si>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</si>
  <si>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</si>
  <si>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</si>
  <si>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</si>
  <si>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</si>
  <si>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</si>
  <si>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</si>
  <si>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</si>
  <si>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</si>
  <si>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</si>
  <si>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</si>
  <si>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</si>
  <si>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</si>
  <si>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</si>
  <si>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</si>
  <si>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</si>
  <si>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</si>
  <si>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</si>
  <si>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</si>
  <si>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</si>
  <si>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</si>
  <si>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</si>
  <si>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</si>
  <si>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</si>
  <si>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</si>
  <si>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</si>
  <si>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</si>
  <si>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</si>
  <si>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</si>
  <si>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</si>
  <si>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</si>
  <si>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</si>
  <si>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</si>
  <si>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</si>
  <si>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</si>
  <si>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</si>
  <si>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</si>
  <si>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</si>
  <si>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</si>
  <si>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</si>
  <si>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</si>
  <si>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</si>
  <si>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</si>
  <si>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</si>
  <si>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</si>
  <si>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</si>
  <si>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</si>
  <si>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</si>
  <si>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</si>
  <si>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</si>
  <si>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</si>
  <si>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</si>
  <si>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</si>
  <si>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</si>
  <si>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</si>
  <si>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</si>
  <si>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</si>
  <si>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</si>
  <si>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</si>
  <si>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</si>
  <si>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</si>
  <si>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</si>
  <si>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</si>
  <si>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</si>
  <si>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</si>
  <si>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</si>
  <si>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</si>
  <si>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</si>
  <si>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</si>
  <si>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</si>
  <si>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</si>
  <si>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</si>
  <si>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</si>
  <si>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</si>
  <si>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</si>
  <si>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</si>
  <si>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</si>
  <si>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</si>
  <si>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</si>
  <si>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</si>
  <si>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</si>
  <si>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</si>
  <si>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</si>
  <si>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</si>
  <si>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</si>
  <si>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</si>
  <si>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</si>
  <si>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</si>
  <si>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</si>
  <si>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</si>
  <si>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</si>
  <si>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</si>
  <si>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</si>
  <si>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</si>
  <si>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</si>
  <si>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</si>
  <si>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</si>
  <si>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</si>
  <si>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</si>
  <si>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</si>
  <si>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</si>
  <si>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</si>
  <si>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</si>
  <si>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</si>
  <si>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</si>
  <si>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</si>
  <si>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</si>
  <si>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</si>
  <si>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</si>
  <si>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</si>
  <si>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</si>
  <si>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</si>
  <si>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</si>
  <si>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</si>
  <si>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</si>
  <si>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</si>
  <si>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</si>
  <si>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</si>
  <si>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</si>
  <si>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</si>
  <si>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</si>
  <si>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</si>
  <si>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</si>
  <si>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</si>
  <si>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</si>
  <si>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</si>
  <si>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</si>
  <si>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</si>
  <si>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</si>
  <si>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</si>
  <si>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</si>
  <si>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</si>
  <si>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</si>
  <si>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</si>
  <si>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</si>
  <si>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</si>
  <si>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</si>
  <si>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</si>
  <si>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</si>
  <si>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</si>
  <si>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</si>
  <si>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</si>
  <si>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</si>
  <si>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</si>
  <si>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</si>
  <si>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</si>
  <si>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</si>
  <si>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</si>
  <si>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</si>
  <si>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</si>
  <si>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</si>
  <si>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</si>
  <si>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</si>
  <si>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</si>
  <si>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</si>
  <si>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</si>
  <si>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</si>
  <si>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</si>
  <si>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</si>
  <si>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</si>
  <si>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</si>
  <si>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</si>
  <si>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</si>
  <si>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</si>
  <si>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</si>
  <si>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</si>
  <si>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</si>
  <si>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</si>
  <si>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</si>
  <si>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</si>
  <si>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</si>
  <si>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</si>
  <si>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</si>
  <si>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</si>
  <si>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</si>
  <si>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</si>
  <si>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</si>
  <si>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</si>
  <si>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</si>
  <si>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</si>
  <si>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</si>
  <si>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</si>
  <si>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</si>
  <si>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</si>
  <si>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</si>
  <si>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</si>
  <si>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</si>
  <si>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</si>
  <si>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</si>
  <si>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</si>
  <si>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</si>
  <si>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</si>
  <si>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</si>
  <si>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</si>
  <si>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</si>
  <si>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</si>
  <si>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</si>
  <si>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</si>
  <si>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</si>
  <si>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</si>
  <si>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</si>
  <si>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</si>
  <si>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</si>
  <si>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</si>
  <si>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</si>
  <si>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</si>
  <si>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</si>
  <si>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</si>
  <si>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</si>
  <si>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</si>
  <si>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</si>
  <si>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</si>
  <si>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</si>
  <si>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</si>
  <si>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</si>
  <si>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</si>
  <si>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</si>
  <si>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</si>
  <si>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</si>
  <si>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</si>
  <si>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</si>
  <si>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</si>
  <si>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</si>
  <si>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</si>
  <si>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</si>
  <si>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</si>
  <si>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</si>
  <si>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</si>
  <si>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</si>
  <si>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</si>
  <si>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</si>
  <si>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</si>
  <si>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</si>
  <si>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</si>
  <si>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</si>
  <si>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</si>
  <si>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</si>
  <si>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</si>
  <si>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</si>
  <si>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</si>
  <si>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</si>
  <si>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</si>
  <si>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</si>
  <si>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</si>
  <si>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</si>
  <si>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</si>
  <si>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</si>
  <si>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</si>
  <si>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</si>
  <si>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</si>
  <si>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</si>
  <si>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</si>
  <si>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</si>
  <si>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</si>
  <si>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</si>
  <si>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</si>
  <si>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</si>
  <si>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</si>
  <si>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</si>
  <si>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</si>
  <si>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</si>
  <si>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</si>
  <si>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</si>
  <si>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</si>
  <si>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</si>
  <si>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</si>
  <si>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</si>
  <si>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</si>
  <si>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</si>
  <si>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</si>
  <si>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</si>
  <si>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</si>
  <si>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</si>
  <si>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</si>
  <si>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</si>
  <si>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</si>
  <si>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</si>
  <si>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</si>
  <si>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</si>
  <si>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</si>
  <si>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</si>
  <si>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</si>
  <si>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</si>
  <si>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</si>
  <si>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</si>
  <si>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</si>
  <si>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</si>
  <si>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</si>
  <si>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</si>
  <si>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</si>
  <si>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</si>
  <si>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</si>
  <si>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</si>
  <si>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</si>
  <si>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</si>
  <si>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</si>
  <si>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</si>
  <si>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</si>
  <si>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</si>
  <si>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</si>
  <si>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</si>
  <si>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</si>
  <si>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</si>
  <si>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</si>
  <si>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</si>
  <si>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</si>
  <si>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</si>
  <si>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</si>
  <si>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</si>
  <si>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</si>
  <si>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</si>
  <si>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</si>
  <si>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</si>
  <si>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</si>
  <si>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</si>
  <si>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</si>
  <si>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</si>
  <si>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</si>
  <si>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</si>
  <si>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</si>
  <si>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</si>
  <si>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</si>
  <si>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</si>
  <si>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</si>
  <si>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</si>
  <si>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</si>
  <si>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</si>
  <si>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</si>
  <si>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</si>
  <si>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</si>
  <si>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</si>
  <si>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</si>
  <si>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</si>
  <si>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</si>
  <si>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</si>
  <si>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</si>
  <si>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</si>
  <si>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</si>
  <si>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</si>
  <si>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</si>
  <si>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</si>
  <si>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</si>
  <si>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</si>
  <si>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</si>
  <si>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</si>
  <si>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</si>
  <si>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</si>
  <si>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</si>
  <si>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</si>
  <si>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</si>
  <si>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</si>
  <si>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</si>
  <si>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</si>
  <si>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</si>
  <si>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</si>
  <si>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</si>
  <si>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</si>
  <si>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</si>
  <si>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</si>
  <si>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</si>
  <si>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</si>
  <si>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</si>
  <si>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</si>
  <si>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</si>
  <si>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</si>
  <si>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</si>
  <si>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</si>
  <si>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</si>
  <si>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</si>
  <si>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</si>
  <si>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</si>
  <si>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</si>
  <si>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</si>
  <si>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</si>
  <si>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</si>
  <si>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</si>
  <si>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</si>
  <si>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</si>
  <si>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</si>
  <si>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</si>
  <si>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</si>
  <si>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</si>
  <si>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</si>
  <si>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</si>
  <si>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</si>
  <si>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</si>
  <si>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</si>
  <si>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</si>
  <si>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</si>
  <si>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</si>
  <si>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</si>
  <si>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</si>
  <si>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</si>
  <si>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</si>
  <si>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</si>
  <si>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</si>
  <si>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</si>
  <si>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</si>
  <si>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</si>
  <si>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</si>
  <si>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</si>
  <si>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</si>
  <si>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</si>
  <si>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</si>
  <si>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</si>
  <si>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</si>
  <si>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</si>
  <si>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</si>
  <si>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</si>
  <si>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</si>
  <si>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</si>
  <si>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</si>
  <si>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</si>
  <si>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</si>
  <si>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</si>
  <si>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</si>
  <si>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</si>
  <si>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</si>
  <si>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</si>
  <si>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</si>
  <si>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</si>
  <si>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</si>
  <si>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</si>
  <si>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</si>
  <si>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</si>
  <si>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</si>
  <si>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</si>
  <si>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</si>
  <si>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</si>
  <si>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</si>
  <si>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</si>
  <si>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</si>
  <si>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</si>
  <si>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</si>
  <si>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</si>
  <si>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</si>
  <si>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</si>
  <si>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</si>
  <si>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</si>
  <si>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</si>
  <si>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</si>
  <si>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</si>
  <si>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</si>
  <si>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</si>
  <si>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</si>
  <si>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</si>
  <si>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</si>
  <si>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</si>
  <si>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</si>
  <si>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</si>
  <si>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</si>
  <si>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</si>
  <si>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</si>
  <si>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</si>
  <si>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</si>
  <si>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</si>
  <si>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</si>
  <si>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</si>
  <si>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</si>
  <si>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</si>
  <si>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</si>
  <si>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</si>
  <si>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</si>
  <si>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</si>
  <si>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</si>
  <si>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</si>
  <si>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</si>
  <si>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</si>
  <si>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</si>
  <si>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</si>
  <si>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</si>
  <si>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</si>
  <si>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</si>
  <si>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</si>
  <si>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</si>
  <si>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</si>
  <si>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</si>
  <si>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</si>
  <si>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</si>
  <si>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</si>
  <si>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</si>
  <si>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</si>
  <si>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</si>
  <si>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</si>
  <si>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</si>
  <si>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</si>
  <si>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</si>
  <si>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</si>
  <si>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</si>
  <si>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</si>
  <si>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</si>
  <si>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</si>
  <si>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</si>
  <si>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</si>
  <si>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</si>
  <si>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</si>
  <si>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</si>
  <si>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</si>
  <si>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</si>
  <si>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</si>
  <si>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</si>
  <si>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</si>
  <si>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</si>
  <si>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</si>
  <si>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</si>
  <si>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</si>
  <si>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</si>
  <si>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</si>
  <si>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</si>
  <si>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</si>
  <si>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</si>
  <si>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</si>
  <si>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</si>
  <si>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</si>
  <si>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</si>
  <si>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</si>
  <si>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</si>
  <si>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</si>
  <si>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</si>
  <si>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</si>
  <si>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</si>
  <si>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</si>
  <si>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</si>
  <si>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</si>
  <si>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</si>
  <si>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</si>
  <si>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</si>
  <si>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</si>
  <si>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</si>
  <si>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</si>
  <si>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</si>
  <si>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</si>
  <si>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</si>
  <si>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</si>
  <si>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</si>
  <si>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</si>
  <si>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</si>
  <si>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</si>
  <si>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</si>
  <si>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</si>
  <si>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</si>
  <si>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</si>
  <si>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</si>
  <si>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</si>
  <si>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</si>
  <si>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</si>
  <si>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</si>
  <si>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</si>
  <si>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</si>
  <si>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</si>
  <si>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</si>
  <si>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</si>
  <si>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</si>
  <si>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</si>
  <si>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</si>
  <si>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</si>
  <si>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</si>
  <si>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</si>
  <si>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</si>
  <si>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</si>
  <si>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</si>
  <si>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</si>
  <si>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</si>
  <si>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</si>
  <si>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</si>
  <si>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</si>
  <si>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</si>
  <si>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</si>
  <si>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</si>
  <si>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</si>
  <si>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</si>
  <si>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</si>
  <si>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</si>
  <si>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</si>
  <si>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</si>
  <si>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</si>
  <si>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</si>
  <si>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</si>
  <si>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</si>
  <si>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</si>
  <si>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</si>
  <si>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</si>
  <si>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</si>
  <si>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</si>
  <si>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</si>
  <si>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</si>
  <si>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</si>
  <si>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</si>
  <si>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</si>
  <si>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</si>
  <si>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</si>
  <si>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</si>
  <si>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</si>
  <si>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</si>
  <si>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</si>
  <si>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</si>
  <si>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</si>
  <si>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</si>
  <si>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</si>
  <si>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</si>
  <si>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</si>
  <si>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</si>
  <si>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</si>
  <si>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</si>
  <si>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</si>
  <si>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</si>
  <si>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</si>
  <si>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</si>
  <si>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</si>
  <si>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</si>
  <si>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</si>
  <si>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</si>
  <si>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</si>
  <si>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</si>
  <si>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</si>
  <si>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</si>
  <si>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</si>
  <si>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</si>
  <si>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</si>
  <si>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</si>
  <si>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</si>
  <si>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</si>
  <si>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</si>
  <si>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</si>
  <si>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</si>
  <si>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</si>
  <si>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</si>
  <si>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</si>
  <si>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</si>
  <si>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</si>
  <si>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</si>
  <si>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</si>
  <si>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</si>
  <si>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</si>
  <si>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</si>
  <si>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</si>
  <si>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</si>
  <si>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</si>
  <si>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</si>
  <si>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</si>
  <si>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</si>
  <si>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</si>
  <si>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</si>
  <si>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</si>
  <si>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</si>
  <si>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</si>
  <si>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</si>
  <si>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</si>
  <si>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</si>
  <si>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</si>
  <si>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</si>
  <si>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</si>
  <si>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</si>
  <si>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</si>
  <si>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</si>
  <si>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</si>
  <si>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</si>
  <si>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</si>
  <si>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</si>
  <si>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</si>
  <si>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</si>
  <si>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</si>
  <si>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</si>
  <si>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</si>
  <si>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</si>
  <si>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</si>
  <si>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</si>
  <si>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</si>
  <si>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</si>
  <si>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</si>
  <si>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</si>
  <si>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</si>
  <si>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</si>
  <si>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</si>
  <si>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</si>
  <si>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</si>
  <si>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</si>
  <si>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</si>
  <si>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</si>
  <si>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</si>
  <si>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</si>
  <si>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</si>
  <si>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</si>
  <si>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</si>
  <si>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</si>
  <si>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</si>
  <si>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</si>
  <si>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</si>
  <si>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</si>
  <si>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</si>
  <si>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</si>
  <si>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</si>
  <si>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</si>
  <si>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</si>
  <si>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</si>
  <si>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</si>
  <si>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</si>
  <si>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</si>
  <si>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</si>
  <si>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</si>
  <si>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</si>
  <si>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</si>
  <si>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</si>
  <si>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</si>
  <si>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</si>
  <si>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</si>
  <si>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</si>
  <si>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</si>
  <si>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</si>
  <si>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</si>
  <si>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</si>
  <si>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</si>
  <si>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</si>
  <si>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</si>
  <si>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</si>
  <si>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</si>
  <si>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</si>
  <si>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</si>
  <si>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</si>
  <si>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</si>
  <si>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</si>
  <si>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</si>
  <si>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</si>
  <si>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</si>
  <si>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</si>
  <si>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</si>
  <si>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</si>
  <si>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</si>
  <si>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</si>
  <si>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</si>
  <si>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</si>
  <si>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</si>
  <si>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</si>
  <si>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</si>
  <si>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</si>
  <si>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</si>
  <si>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</si>
  <si>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</si>
  <si>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</si>
  <si>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</si>
  <si>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</si>
  <si>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</si>
  <si>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</si>
  <si>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</si>
  <si>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</si>
  <si>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</si>
  <si>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</si>
  <si>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</si>
  <si>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</si>
  <si>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</si>
  <si>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</si>
  <si>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</si>
  <si>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</si>
  <si>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</si>
  <si>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</si>
  <si>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</si>
  <si>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</si>
  <si>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</si>
  <si>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</si>
  <si>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</si>
  <si>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</si>
  <si>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</si>
  <si>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</si>
  <si>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</si>
  <si>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</si>
  <si>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</si>
  <si>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</si>
  <si>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</si>
  <si>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</si>
  <si>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</si>
  <si>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</si>
  <si>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</si>
  <si>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</si>
  <si>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</si>
  <si>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</si>
  <si>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</si>
  <si>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</si>
  <si>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</si>
  <si>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</si>
  <si>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</si>
  <si>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</si>
  <si>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</si>
  <si>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</si>
  <si>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</si>
  <si>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</si>
  <si>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</si>
  <si>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</si>
  <si>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</si>
  <si>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</si>
  <si>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</si>
  <si>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</si>
  <si>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</si>
  <si>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</si>
  <si>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</si>
  <si>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</si>
  <si>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</si>
  <si>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</si>
  <si>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</si>
  <si>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</si>
  <si>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</si>
  <si>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</si>
  <si>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</si>
  <si>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</si>
  <si>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</si>
  <si>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</si>
  <si>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</si>
  <si>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</si>
  <si>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</si>
  <si>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</si>
  <si>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</si>
  <si>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</si>
  <si>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</si>
  <si>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</si>
  <si>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</si>
  <si>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</si>
  <si>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</si>
  <si>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</si>
  <si>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</si>
  <si>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</si>
  <si>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</si>
  <si>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</si>
  <si>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</si>
  <si>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</si>
  <si>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</si>
  <si>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</si>
  <si>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</si>
  <si>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</si>
  <si>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</si>
  <si>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</si>
  <si>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</si>
  <si>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</si>
  <si>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</si>
  <si>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</si>
  <si>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</si>
  <si>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</si>
  <si>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</si>
  <si>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</si>
  <si>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</si>
  <si>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</si>
  <si>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</si>
  <si>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</si>
  <si>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</si>
  <si>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</si>
  <si>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</si>
  <si>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</si>
  <si>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</si>
  <si>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</si>
  <si>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</si>
  <si>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</si>
  <si>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</si>
  <si>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</si>
  <si>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</si>
  <si>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</si>
  <si>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</si>
  <si>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</si>
  <si>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</si>
  <si>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</si>
  <si>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</si>
  <si>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</si>
  <si>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</si>
  <si>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</si>
  <si>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</si>
  <si>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</si>
  <si>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</si>
  <si>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</si>
  <si>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</si>
  <si>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</si>
  <si>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</si>
  <si>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</si>
  <si>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</si>
  <si>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</si>
  <si>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</si>
  <si>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</si>
  <si>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</si>
  <si>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</si>
  <si>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</si>
  <si>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</si>
  <si>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</si>
  <si>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</si>
  <si>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</si>
  <si>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</si>
  <si>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</si>
  <si>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</si>
  <si>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</si>
  <si>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</si>
  <si>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</si>
  <si>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</si>
  <si>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</si>
  <si>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</si>
  <si>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</si>
  <si>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</si>
  <si>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</si>
  <si>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</si>
  <si>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</si>
  <si>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</si>
  <si>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</si>
  <si>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</si>
  <si>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</si>
  <si>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</si>
  <si>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</si>
  <si>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</si>
  <si>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</si>
  <si>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</si>
  <si>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</si>
  <si>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</si>
  <si>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</si>
  <si>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</si>
  <si>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</si>
  <si>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</si>
  <si>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</si>
  <si>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</si>
  <si>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</si>
  <si>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</si>
  <si>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</si>
  <si>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</si>
  <si>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</si>
  <si>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</si>
  <si>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</si>
  <si>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</si>
  <si>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</si>
  <si>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</si>
  <si>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</si>
  <si>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</si>
  <si>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</si>
  <si>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</si>
  <si>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</si>
  <si>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</si>
  <si>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</si>
  <si>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</si>
  <si>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</si>
  <si>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</si>
  <si>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</si>
  <si>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</si>
  <si>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</si>
  <si>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</si>
  <si>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</si>
  <si>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</si>
  <si>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</si>
  <si>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</si>
  <si>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</si>
  <si>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</si>
  <si>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</si>
  <si>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</si>
  <si>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</si>
  <si>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</si>
  <si>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</si>
  <si>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</si>
  <si>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</si>
  <si>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</si>
  <si>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</si>
  <si>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</si>
  <si>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</si>
  <si>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</si>
  <si>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</si>
  <si>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</si>
  <si>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</si>
  <si>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</si>
  <si>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</si>
  <si>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</si>
  <si>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</si>
  <si>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</si>
  <si>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</si>
  <si>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</si>
  <si>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</si>
  <si>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</si>
  <si>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</si>
  <si>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</si>
  <si>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</si>
  <si>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</si>
  <si>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</si>
  <si>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</si>
  <si>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</si>
  <si>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</si>
  <si>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</si>
  <si>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</si>
  <si>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</si>
  <si>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</si>
  <si>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</si>
  <si>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</si>
  <si>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</si>
  <si>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</si>
  <si>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</si>
  <si>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</si>
  <si>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</si>
  <si>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</si>
  <si>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</si>
  <si>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</si>
  <si>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</si>
  <si>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</si>
  <si>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</si>
  <si>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</si>
  <si>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</si>
  <si>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</si>
  <si>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</si>
  <si>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</si>
  <si>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</si>
  <si>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</si>
  <si>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</si>
  <si>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</si>
  <si>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</si>
  <si>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</si>
  <si>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</si>
  <si>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</si>
  <si>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</si>
  <si>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</si>
  <si>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</si>
  <si>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</si>
  <si>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</si>
  <si>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</si>
  <si>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</si>
  <si>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</si>
  <si>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</si>
  <si>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</si>
  <si>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</si>
  <si>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</si>
  <si>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</si>
  <si>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</si>
  <si>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</si>
  <si>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</si>
  <si>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</si>
  <si>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</si>
  <si>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</si>
  <si>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</si>
  <si>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</si>
  <si>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</si>
  <si>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</si>
  <si>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</si>
  <si>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</si>
  <si>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</si>
  <si>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</si>
  <si>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</si>
  <si>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</si>
  <si>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</si>
  <si>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</si>
  <si>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</si>
  <si>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</si>
  <si>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</si>
  <si>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</si>
  <si>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</si>
  <si>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</si>
  <si>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</si>
  <si>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</si>
  <si>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</si>
  <si>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</si>
  <si>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</si>
  <si>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</si>
  <si>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</si>
  <si>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</si>
  <si>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</si>
  <si>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</si>
  <si>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</si>
  <si>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</si>
  <si>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</si>
  <si>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</si>
  <si>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</si>
  <si>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</si>
  <si>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</si>
  <si>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</si>
  <si>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</si>
  <si>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</si>
  <si>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</si>
  <si>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</si>
  <si>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</si>
  <si>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</si>
  <si>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</si>
  <si>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</si>
  <si>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</si>
  <si>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</si>
  <si>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</si>
  <si>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</si>
  <si>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</si>
  <si>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</si>
  <si>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</si>
  <si>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</si>
  <si>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</si>
  <si>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</si>
  <si>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</si>
  <si>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</si>
  <si>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</si>
  <si>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</si>
  <si>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</si>
  <si>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</si>
  <si>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</si>
  <si>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</si>
  <si>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</si>
  <si>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</si>
  <si>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</si>
  <si>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</si>
  <si>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</si>
  <si>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</si>
  <si>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</si>
  <si>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</si>
  <si>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</si>
  <si>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</si>
  <si>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</si>
  <si>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</si>
  <si>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</si>
  <si>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</si>
  <si>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</si>
  <si>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</si>
  <si>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</si>
  <si>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</si>
  <si>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</si>
  <si>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</si>
  <si>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</si>
  <si>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</si>
  <si>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</si>
  <si>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</si>
  <si>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</si>
  <si>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</si>
  <si>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</si>
  <si>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</si>
  <si>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</si>
  <si>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</si>
  <si>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</si>
  <si>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</si>
  <si>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</si>
  <si>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</si>
  <si>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</si>
  <si>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</si>
  <si>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</si>
  <si>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</si>
  <si>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</si>
  <si>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</si>
  <si>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</si>
  <si>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</si>
  <si>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</si>
  <si>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</si>
  <si>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</si>
  <si>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</si>
  <si>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</si>
  <si>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</si>
  <si>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</si>
  <si>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</si>
  <si>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</si>
  <si>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</si>
  <si>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</si>
  <si>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</si>
  <si>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</si>
  <si>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</si>
  <si>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</si>
  <si>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</si>
  <si>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</si>
  <si>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</si>
  <si>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</si>
  <si>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</si>
  <si>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</si>
  <si>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</si>
  <si>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</si>
  <si>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</si>
  <si>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</si>
  <si>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</si>
  <si>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</si>
  <si>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</si>
  <si>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</si>
  <si>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</si>
  <si>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</si>
  <si>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</si>
  <si>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</si>
  <si>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</si>
  <si>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</si>
  <si>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</si>
  <si>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</si>
  <si>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</si>
  <si>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</si>
  <si>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</si>
  <si>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</si>
  <si>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</si>
  <si>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</si>
  <si>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</si>
  <si>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</si>
  <si>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</si>
  <si>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</si>
  <si>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</si>
  <si>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</si>
  <si>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</si>
  <si>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</si>
  <si>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</si>
  <si>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</si>
  <si>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</si>
  <si>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</si>
  <si>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</si>
  <si>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</si>
  <si>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</si>
  <si>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</si>
  <si>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</si>
  <si>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</si>
  <si>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</si>
  <si>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</si>
  <si>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</si>
  <si>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</si>
  <si>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</si>
  <si>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</si>
  <si>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</si>
  <si>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</si>
  <si>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</si>
  <si>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</si>
  <si>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</si>
  <si>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</si>
  <si>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</si>
  <si>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</si>
  <si>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</si>
  <si>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</si>
  <si>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</si>
  <si>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</si>
  <si>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</si>
  <si>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</si>
  <si>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</si>
  <si>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</si>
  <si>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</si>
  <si>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</si>
  <si>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</si>
  <si>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</si>
  <si>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</si>
  <si>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</si>
  <si>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</si>
  <si>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</si>
  <si>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</si>
  <si>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</si>
  <si>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</si>
  <si>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</si>
  <si>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</si>
  <si>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</si>
  <si>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</si>
  <si>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</si>
  <si>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</si>
  <si>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</si>
  <si>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</si>
  <si>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</si>
  <si>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</si>
  <si>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</si>
  <si>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</si>
  <si>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</si>
  <si>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</si>
  <si>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</si>
  <si>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</si>
  <si>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</si>
  <si>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</si>
  <si>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</si>
  <si>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</si>
  <si>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</si>
  <si>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</si>
  <si>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</si>
  <si>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</si>
  <si>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</si>
  <si>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</si>
  <si>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</si>
  <si>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</si>
  <si>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</si>
  <si>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</si>
  <si>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</si>
  <si>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</si>
  <si>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</si>
  <si>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</si>
  <si>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</si>
  <si>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</si>
  <si>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</si>
  <si>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</si>
  <si>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</si>
  <si>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</si>
  <si>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</si>
  <si>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</si>
  <si>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</si>
  <si>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</si>
  <si>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</si>
  <si>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</si>
  <si>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</si>
  <si>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</si>
  <si>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</si>
  <si>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</si>
  <si>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</si>
  <si>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</si>
  <si>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</si>
  <si>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</si>
  <si>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</si>
  <si>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</si>
  <si>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</si>
  <si>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</si>
  <si>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</si>
  <si>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</si>
  <si>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</si>
  <si>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</si>
  <si>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</si>
  <si>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</si>
  <si>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</si>
  <si>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</si>
  <si>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</si>
  <si>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</si>
  <si>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</si>
  <si>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</si>
  <si>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</si>
  <si>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</si>
  <si>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</si>
  <si>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</si>
  <si>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</si>
  <si>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</si>
  <si>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</si>
  <si>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</si>
  <si>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</si>
  <si>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</si>
  <si>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</si>
  <si>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</si>
  <si>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</si>
  <si>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</si>
  <si>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</si>
  <si>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</si>
  <si>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</si>
  <si>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</si>
  <si>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</si>
  <si>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</si>
  <si>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</si>
  <si>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</si>
  <si>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</si>
  <si>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</si>
  <si>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</si>
  <si>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</si>
  <si>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</si>
  <si>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</si>
  <si>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</si>
  <si>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</si>
  <si>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</si>
  <si>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</si>
  <si>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</si>
  <si>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</si>
  <si>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</si>
  <si>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</si>
  <si>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</si>
  <si>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</si>
  <si>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</si>
  <si>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</si>
  <si>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</si>
  <si>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</si>
  <si>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</si>
  <si>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</si>
  <si>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</si>
  <si>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</si>
  <si>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</si>
  <si>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</si>
  <si>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</si>
  <si>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</si>
  <si>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</si>
  <si>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</si>
  <si>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</si>
  <si>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</si>
  <si>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</si>
  <si>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</si>
  <si>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</si>
  <si>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</si>
  <si>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</si>
  <si>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</si>
  <si>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</si>
  <si>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</si>
  <si>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</si>
  <si>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</si>
  <si>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</si>
  <si>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</si>
  <si>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</si>
  <si>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</si>
  <si>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</si>
  <si>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</si>
  <si>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</si>
  <si>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</si>
  <si>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</si>
  <si>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</si>
  <si>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</si>
  <si>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</si>
  <si>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</si>
  <si>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</si>
  <si>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</si>
  <si>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</si>
  <si>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</si>
  <si>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</si>
  <si>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</si>
  <si>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</si>
  <si>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</si>
  <si>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</si>
  <si>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</si>
  <si>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</si>
  <si>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</si>
  <si>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</si>
  <si>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</si>
  <si>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</si>
  <si>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</si>
  <si>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</si>
  <si>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</si>
  <si>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</si>
  <si>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</si>
  <si>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</si>
  <si>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</si>
  <si>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</si>
  <si>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</si>
  <si>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</si>
  <si>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</si>
  <si>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</si>
  <si>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</si>
  <si>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</si>
  <si>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</si>
  <si>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</si>
  <si>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</si>
  <si>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</si>
  <si>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</si>
  <si>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</si>
  <si>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</si>
  <si>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</si>
  <si>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</si>
  <si>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</si>
  <si>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</si>
  <si>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</si>
  <si>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</si>
  <si>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</si>
  <si>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</si>
  <si>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</si>
  <si>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</si>
  <si>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</si>
  <si>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</si>
  <si>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</si>
  <si>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</si>
  <si>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</si>
  <si>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</si>
  <si>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</si>
  <si>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</si>
  <si>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</si>
  <si>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</si>
  <si>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</si>
  <si>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</si>
  <si>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</si>
  <si>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</si>
  <si>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</si>
  <si>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</si>
  <si>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</si>
  <si>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</si>
  <si>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</si>
  <si>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</si>
  <si>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</si>
  <si>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</si>
  <si>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</si>
  <si>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</si>
  <si>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</si>
  <si>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</si>
  <si>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</si>
  <si>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</si>
  <si>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</si>
  <si>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</si>
  <si>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</si>
  <si>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</si>
  <si>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</si>
  <si>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</si>
  <si>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</si>
  <si>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</si>
  <si>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</si>
  <si>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</si>
  <si>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</si>
  <si>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</si>
  <si>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</si>
  <si>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</si>
  <si>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</si>
  <si>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</si>
  <si>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</si>
  <si>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</si>
  <si>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</si>
  <si>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</si>
  <si>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</si>
  <si>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</si>
  <si>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</si>
  <si>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</si>
  <si>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</si>
  <si>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</si>
  <si>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</si>
  <si>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</si>
  <si>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</si>
  <si>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</si>
  <si>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</si>
  <si>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</si>
  <si>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</si>
  <si>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</si>
  <si>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</si>
  <si>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</si>
  <si>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</si>
  <si>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</si>
  <si>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</si>
  <si>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</si>
  <si>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</si>
  <si>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</si>
  <si>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</si>
  <si>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</si>
  <si>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</si>
  <si>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</si>
  <si>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</si>
  <si>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</si>
  <si>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</si>
  <si>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</si>
  <si>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</si>
  <si>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</si>
  <si>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</si>
  <si>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</si>
  <si>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</si>
  <si>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</si>
  <si>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</si>
  <si>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</si>
  <si>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</si>
  <si>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</si>
  <si>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</si>
  <si>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</si>
  <si>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</si>
  <si>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</si>
  <si>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</si>
  <si>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</si>
  <si>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</si>
  <si>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</si>
  <si>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</si>
  <si>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</si>
  <si>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</si>
  <si>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</si>
  <si>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</si>
  <si>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</si>
  <si>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</si>
  <si>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</si>
  <si>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</si>
  <si>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</si>
  <si>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</si>
  <si>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</si>
  <si>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</si>
  <si>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</si>
  <si>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</si>
  <si>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</si>
  <si>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</si>
  <si>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</si>
  <si>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</si>
  <si>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</si>
  <si>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</si>
  <si>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</si>
  <si>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</si>
  <si>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</si>
  <si>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</si>
  <si>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</si>
  <si>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</si>
  <si>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</si>
  <si>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</si>
  <si>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</si>
  <si>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</si>
  <si>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</si>
  <si>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</si>
  <si>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</si>
  <si>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</si>
  <si>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</si>
  <si>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</si>
  <si>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</si>
  <si>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</si>
  <si>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</si>
  <si>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</si>
  <si>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</si>
  <si>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</si>
  <si>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</si>
  <si>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</si>
  <si>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</si>
  <si>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</si>
  <si>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</si>
  <si>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</si>
  <si>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</si>
  <si>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</si>
  <si>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</si>
  <si>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</si>
  <si>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</si>
  <si>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</si>
  <si>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</si>
  <si>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</si>
  <si>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</si>
  <si>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</si>
  <si>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</si>
  <si>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</si>
  <si>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</si>
  <si>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</si>
  <si>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</si>
  <si>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</si>
  <si>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</si>
  <si>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</si>
  <si>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</si>
  <si>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</si>
  <si>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</si>
  <si>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</si>
  <si>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</si>
  <si>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</si>
  <si>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</si>
  <si>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</si>
  <si>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</si>
  <si>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</si>
  <si>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</si>
  <si>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</si>
  <si>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</si>
  <si>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</si>
  <si>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</si>
  <si>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</si>
  <si>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</si>
  <si>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</si>
  <si>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</si>
  <si>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</si>
  <si>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</si>
  <si>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</si>
  <si>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</si>
  <si>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</si>
  <si>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</si>
  <si>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</si>
  <si>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</si>
  <si>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</si>
  <si>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</si>
  <si>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</si>
  <si>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</si>
  <si>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</si>
  <si>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</si>
  <si>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</si>
  <si>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</si>
  <si>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</si>
  <si>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</si>
  <si>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</si>
  <si>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</si>
  <si>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</si>
  <si>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</si>
  <si>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</si>
  <si>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</si>
  <si>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</si>
  <si>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</si>
  <si>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</si>
  <si>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</si>
  <si>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</si>
  <si>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</si>
  <si>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</si>
  <si>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</si>
  <si>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</si>
  <si>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</si>
  <si>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</si>
  <si>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</si>
  <si>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</si>
  <si>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</si>
  <si>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</si>
  <si>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</si>
  <si>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</si>
  <si>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</si>
  <si>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</si>
  <si>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</si>
  <si>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</si>
  <si>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</si>
  <si>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</si>
  <si>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</si>
  <si>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</si>
  <si>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</si>
  <si>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</si>
  <si>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</si>
  <si>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</si>
  <si>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</si>
  <si>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</si>
  <si>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</si>
  <si>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</si>
  <si>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</si>
  <si>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</si>
  <si>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</si>
  <si>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</si>
  <si>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</si>
  <si>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</si>
  <si>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</si>
  <si>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</si>
  <si>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</si>
  <si>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</si>
  <si>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</si>
  <si>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</si>
  <si>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</si>
  <si>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</si>
  <si>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</si>
  <si>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</si>
  <si>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</si>
  <si>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</si>
  <si>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</si>
  <si>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</si>
  <si>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</si>
  <si>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</si>
  <si>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</si>
  <si>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</si>
  <si>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</si>
  <si>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</si>
  <si>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</si>
  <si>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</si>
  <si>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</si>
  <si>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</si>
  <si>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</si>
  <si>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</si>
  <si>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</si>
  <si>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</si>
  <si>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</si>
  <si>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</si>
  <si>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</si>
  <si>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</si>
  <si>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</si>
  <si>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</si>
  <si>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</si>
  <si>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</si>
  <si>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</si>
  <si>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</si>
  <si>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</si>
  <si>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</si>
  <si>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</si>
  <si>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</si>
  <si>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</si>
  <si>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</si>
  <si>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</si>
  <si>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</si>
  <si>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</si>
  <si>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</si>
  <si>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</si>
  <si>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</si>
  <si>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</si>
  <si>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</si>
  <si>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</si>
  <si>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</si>
  <si>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</si>
  <si>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</si>
  <si>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</si>
  <si>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</si>
  <si>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</si>
  <si>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</si>
  <si>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</si>
  <si>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</si>
  <si>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</si>
  <si>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</si>
  <si>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</si>
  <si>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</si>
  <si>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</si>
  <si>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</si>
  <si>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</si>
  <si>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</si>
  <si>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</si>
  <si>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</si>
  <si>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</si>
  <si>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</si>
  <si>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</si>
  <si>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</si>
  <si>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</si>
  <si>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</si>
  <si>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</si>
  <si>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</si>
  <si>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</si>
  <si>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</si>
  <si>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</si>
  <si>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</si>
  <si>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</si>
  <si>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</si>
  <si>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</si>
  <si>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</si>
  <si>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</si>
  <si>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</si>
  <si>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</si>
  <si>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</si>
  <si>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</si>
  <si>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</si>
  <si>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</si>
  <si>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</si>
  <si>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</si>
  <si>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</si>
  <si>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</si>
  <si>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</si>
  <si>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</si>
  <si>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</si>
  <si>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</si>
  <si>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</si>
  <si>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</si>
  <si>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</si>
  <si>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</si>
  <si>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</si>
  <si>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</si>
  <si>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</si>
  <si>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</si>
  <si>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</si>
  <si>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</si>
  <si>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</si>
  <si>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</si>
  <si>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</si>
  <si>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</si>
  <si>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</si>
  <si>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</si>
  <si>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</si>
  <si>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</si>
  <si>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</si>
  <si>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</si>
  <si>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</si>
  <si>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</si>
  <si>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</si>
  <si>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</si>
  <si>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</si>
  <si>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</si>
  <si>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</si>
  <si>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</si>
  <si>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</si>
  <si>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</si>
  <si>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</si>
  <si>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</si>
  <si>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</si>
  <si>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</si>
  <si>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</si>
  <si>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</si>
  <si>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</si>
  <si>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</si>
  <si>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</si>
  <si>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</si>
  <si>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</si>
  <si>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</si>
  <si>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</si>
  <si>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</si>
  <si>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</si>
  <si>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</si>
  <si>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</si>
  <si>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</si>
  <si>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</si>
  <si>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</si>
  <si>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</si>
  <si>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</si>
  <si>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</si>
  <si>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</si>
  <si>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</si>
  <si>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</si>
  <si>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</si>
  <si>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</si>
  <si>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</si>
  <si>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</si>
  <si>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</si>
  <si>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</si>
  <si>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</si>
  <si>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</si>
  <si>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</si>
  <si>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</si>
  <si>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</si>
  <si>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</si>
  <si>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</si>
  <si>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</si>
  <si>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</si>
  <si>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</si>
  <si>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</si>
  <si>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</si>
  <si>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</si>
  <si>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</si>
  <si>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</si>
  <si>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</si>
  <si>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</si>
  <si>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</si>
  <si>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</si>
  <si>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</si>
  <si>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</si>
  <si>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</si>
  <si>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</si>
  <si>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</si>
  <si>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</si>
  <si>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</si>
  <si>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</si>
  <si>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</si>
  <si>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</si>
  <si>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</si>
  <si>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</si>
  <si>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</si>
  <si>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</si>
  <si>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</si>
  <si>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</si>
  <si>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</si>
  <si>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</si>
  <si>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</si>
  <si>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</si>
  <si>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</si>
  <si>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</si>
  <si>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</si>
  <si>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</si>
  <si>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</si>
  <si>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</si>
  <si>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</si>
  <si>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</si>
  <si>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</si>
  <si>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</si>
  <si>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</si>
  <si>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</si>
  <si>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</si>
  <si>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</si>
  <si>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</si>
  <si>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</si>
  <si>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</si>
  <si>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</si>
  <si>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</si>
  <si>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</si>
  <si>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</si>
  <si>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</si>
  <si>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</si>
  <si>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</si>
  <si>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</si>
  <si>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</si>
  <si>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</si>
  <si>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</si>
  <si>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</si>
  <si>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</si>
  <si>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</si>
  <si>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</si>
  <si>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</si>
  <si>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</si>
  <si>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</si>
  <si>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</si>
  <si>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</si>
  <si>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</si>
  <si>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</si>
  <si>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</si>
  <si>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</si>
  <si>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</si>
  <si>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</si>
  <si>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</si>
  <si>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</si>
  <si>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</si>
  <si>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</si>
  <si>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</si>
  <si>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</si>
  <si>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</si>
  <si>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</si>
  <si>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</si>
  <si>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</si>
  <si>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</si>
  <si>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</si>
  <si>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</si>
  <si>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</si>
  <si>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</si>
  <si>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</si>
  <si>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</si>
  <si>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</si>
  <si>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</si>
  <si>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</si>
  <si>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</si>
  <si>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</si>
  <si>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</si>
  <si>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</si>
  <si>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</si>
  <si>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</si>
  <si>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</si>
  <si>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</si>
  <si>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</si>
  <si>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</si>
  <si>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</si>
  <si>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</si>
  <si>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</si>
  <si>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</si>
  <si>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</si>
  <si>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</si>
  <si>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</si>
  <si>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</si>
  <si>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</si>
  <si>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</si>
  <si>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</si>
  <si>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</si>
  <si>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</si>
  <si>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</si>
  <si>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</si>
  <si>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</si>
  <si>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</si>
  <si>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</si>
  <si>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</si>
  <si>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</si>
  <si>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</si>
  <si>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</si>
  <si>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</si>
  <si>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</si>
  <si>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</si>
  <si>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</si>
  <si>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</si>
  <si>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</si>
  <si>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</si>
  <si>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</si>
  <si>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</si>
  <si>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</si>
  <si>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</si>
  <si>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</si>
  <si>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</si>
  <si>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</si>
  <si>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</si>
  <si>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</si>
  <si>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</si>
  <si>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</si>
  <si>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</si>
  <si>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</si>
  <si>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</si>
  <si>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</si>
  <si>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</si>
  <si>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</si>
  <si>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</si>
  <si>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</si>
  <si>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</si>
  <si>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</si>
  <si>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</si>
  <si>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</si>
  <si>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</si>
  <si>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</si>
  <si>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</si>
  <si>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</si>
  <si>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</si>
  <si>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</si>
  <si>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</si>
  <si>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</si>
  <si>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</si>
  <si>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</si>
  <si>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</si>
  <si>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</si>
  <si>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</si>
  <si>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</si>
  <si>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</si>
  <si>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</si>
  <si>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</si>
  <si>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</si>
  <si>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</si>
  <si>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</si>
  <si>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</si>
  <si>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</si>
  <si>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</si>
  <si>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</si>
  <si>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</si>
  <si>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</si>
  <si>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</si>
  <si>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</si>
  <si>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</si>
  <si>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</si>
  <si>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</si>
  <si>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</si>
  <si>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</si>
  <si>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</si>
  <si>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</si>
  <si>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</si>
  <si>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</si>
  <si>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</si>
  <si>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</si>
  <si>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</si>
  <si>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</si>
  <si>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</si>
  <si>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</si>
  <si>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</si>
  <si>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</si>
  <si>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</si>
  <si>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</si>
  <si>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</si>
  <si>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</si>
  <si>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</si>
  <si>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</si>
  <si>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</si>
  <si>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</si>
  <si>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</si>
  <si>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</si>
  <si>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</si>
  <si>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</si>
  <si>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</si>
  <si>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</si>
  <si>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</si>
  <si>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</si>
  <si>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</si>
  <si>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</si>
  <si>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</si>
  <si>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</si>
  <si>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</si>
  <si>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</si>
  <si>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</si>
  <si>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</si>
  <si>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</si>
  <si>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</si>
  <si>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</si>
  <si>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</si>
  <si>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</si>
  <si>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</si>
  <si>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</si>
  <si>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</si>
  <si>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</si>
  <si>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</si>
  <si>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</si>
  <si>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</si>
  <si>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</si>
  <si>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</si>
  <si>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</si>
  <si>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</si>
  <si>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</si>
  <si>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</si>
  <si>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</si>
  <si>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</si>
  <si>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</si>
  <si>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</si>
  <si>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</si>
  <si>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</si>
  <si>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</si>
  <si>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</si>
  <si>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</si>
  <si>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</si>
  <si>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</si>
  <si>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</si>
  <si>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</si>
  <si>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</si>
  <si>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</si>
  <si>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</si>
  <si>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</si>
  <si>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</si>
  <si>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</si>
  <si>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</si>
  <si>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</si>
  <si>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</si>
  <si>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</si>
  <si>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</si>
  <si>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</si>
  <si>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</si>
  <si>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</si>
  <si>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</si>
  <si>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</si>
  <si>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</si>
  <si>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</si>
  <si>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</si>
  <si>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</si>
  <si>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</si>
  <si>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</si>
  <si>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</si>
  <si>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</si>
  <si>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</si>
  <si>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</si>
  <si>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</si>
  <si>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</si>
  <si>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</si>
  <si>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</si>
  <si>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</si>
  <si>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</si>
  <si>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</si>
  <si>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</si>
  <si>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</si>
  <si>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</si>
  <si>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</si>
  <si>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</si>
  <si>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</si>
  <si>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</si>
  <si>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</si>
  <si>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</si>
  <si>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</si>
  <si>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</si>
  <si>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</si>
  <si>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</si>
  <si>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</si>
  <si>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</si>
  <si>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</si>
  <si>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</si>
  <si>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</si>
  <si>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</si>
  <si>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</si>
  <si>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</si>
  <si>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</si>
  <si>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</si>
  <si>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</si>
  <si>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</si>
  <si>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</si>
  <si>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</si>
  <si>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</si>
  <si>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</si>
  <si>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</si>
  <si>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</si>
  <si>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</si>
  <si>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</si>
  <si>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</si>
  <si>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</si>
  <si>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</si>
  <si>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</si>
  <si>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</si>
  <si>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</si>
  <si>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</si>
  <si>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</si>
  <si>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</si>
  <si>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</si>
  <si>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</si>
  <si>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</si>
  <si>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</si>
  <si>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</si>
  <si>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</si>
  <si>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</si>
  <si>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</si>
  <si>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</si>
  <si>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</si>
  <si>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</si>
  <si>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</si>
  <si>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</si>
  <si>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</si>
  <si>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</si>
  <si>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</si>
  <si>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</si>
  <si>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</si>
  <si>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</si>
  <si>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</si>
  <si>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</si>
  <si>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</si>
  <si>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</si>
  <si>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</si>
  <si>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</si>
  <si>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</si>
  <si>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</si>
  <si>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</si>
  <si>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</si>
  <si>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</si>
  <si>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</si>
  <si>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</si>
  <si>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</si>
  <si>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</si>
  <si>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</si>
  <si>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</si>
  <si>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</si>
  <si>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</si>
  <si>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</si>
  <si>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</si>
  <si>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</si>
  <si>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</si>
  <si>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</si>
  <si>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</si>
  <si>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</si>
  <si>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</si>
  <si>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</si>
  <si>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</si>
  <si>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</si>
  <si>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</si>
  <si>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</si>
  <si>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</si>
  <si>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</si>
  <si>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</si>
  <si>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</si>
  <si>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</si>
  <si>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</si>
  <si>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</si>
  <si>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</si>
  <si>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</si>
  <si>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</si>
  <si>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</si>
  <si>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</si>
  <si>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</si>
  <si>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</si>
  <si>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</si>
  <si>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</si>
  <si>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</si>
  <si>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</si>
  <si>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</si>
  <si>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</si>
  <si>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</si>
  <si>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</si>
  <si>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</si>
  <si>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</si>
  <si>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</si>
  <si>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</si>
  <si>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</si>
  <si>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</si>
  <si>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</si>
  <si>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</si>
  <si>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</si>
  <si>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</si>
  <si>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</si>
  <si>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</si>
  <si>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</si>
  <si>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</si>
  <si>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</si>
  <si>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</si>
  <si>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</si>
  <si>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</si>
  <si>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</si>
  <si>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</si>
  <si>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</si>
  <si>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</si>
  <si>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</si>
  <si>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</si>
  <si>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</si>
  <si>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</si>
  <si>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</si>
  <si>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</si>
  <si>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</si>
  <si>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</si>
  <si>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</si>
  <si>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</si>
  <si>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</si>
  <si>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</si>
  <si>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</si>
  <si>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</si>
  <si>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</si>
  <si>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</si>
  <si>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</si>
  <si>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</si>
  <si>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</si>
  <si>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</si>
  <si>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</si>
  <si>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</si>
  <si>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</si>
  <si>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</si>
  <si>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</si>
  <si>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</si>
  <si>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</si>
  <si>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</si>
  <si>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</si>
  <si>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</si>
  <si>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</si>
  <si>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</si>
  <si>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</si>
  <si>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</si>
  <si>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</si>
  <si>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</si>
  <si>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</si>
  <si>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</si>
  <si>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</si>
  <si>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</si>
  <si>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</si>
  <si>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</si>
  <si>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</si>
  <si>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</si>
  <si>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</si>
  <si>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</si>
  <si>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</si>
  <si>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</si>
  <si>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</si>
  <si>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</si>
  <si>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</si>
  <si>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</si>
  <si>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</si>
  <si>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</si>
  <si>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</si>
  <si>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</si>
  <si>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</si>
  <si>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</si>
  <si>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</si>
  <si>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</si>
  <si>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</si>
  <si>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</si>
  <si>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</si>
  <si>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</si>
  <si>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</si>
  <si>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</si>
  <si>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</si>
  <si>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</si>
  <si>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</si>
  <si>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</si>
  <si>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</si>
  <si>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</si>
  <si>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</si>
  <si>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</si>
  <si>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</si>
  <si>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</si>
  <si>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</si>
  <si>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</si>
  <si>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</si>
  <si>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</si>
  <si>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</si>
  <si>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</si>
  <si>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</si>
  <si>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</si>
  <si>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</si>
  <si>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</si>
  <si>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</si>
  <si>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</si>
  <si>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</si>
  <si>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</si>
  <si>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</si>
  <si>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</si>
  <si>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</si>
  <si>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</si>
  <si>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</si>
  <si>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</si>
  <si>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</si>
  <si>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</si>
  <si>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</si>
  <si>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</si>
  <si>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</si>
  <si>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</si>
  <si>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</si>
  <si>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</si>
  <si>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</si>
  <si>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</si>
  <si>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</si>
  <si>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</si>
  <si>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</si>
  <si>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</si>
  <si>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</si>
  <si>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</si>
  <si>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</si>
  <si>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</si>
  <si>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</si>
  <si>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</si>
  <si>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</si>
  <si>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</si>
  <si>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</si>
  <si>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</si>
  <si>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</si>
  <si>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</si>
  <si>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</si>
  <si>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</si>
  <si>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</si>
  <si>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</si>
  <si>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</si>
  <si>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</si>
  <si>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</si>
  <si>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</si>
  <si>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</si>
  <si>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</si>
  <si>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</si>
  <si>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</si>
  <si>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</si>
  <si>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</si>
  <si>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</si>
  <si>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</si>
  <si>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</si>
  <si>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</si>
  <si>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</si>
  <si>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</si>
  <si>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</si>
  <si>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</si>
  <si>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</si>
  <si>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</si>
  <si>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</si>
  <si>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</si>
  <si>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</si>
  <si>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</si>
  <si>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</si>
  <si>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</si>
  <si>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</si>
  <si>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</si>
  <si>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</si>
  <si>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</si>
  <si>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</si>
  <si>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</si>
  <si>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</si>
  <si>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</si>
  <si>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</si>
  <si>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</si>
  <si>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</si>
  <si>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</si>
  <si>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</si>
  <si>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</si>
  <si>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</si>
  <si>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</si>
  <si>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</si>
  <si>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</si>
  <si>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</si>
  <si>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</si>
  <si>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</si>
  <si>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</si>
  <si>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</si>
  <si>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</si>
  <si>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</si>
  <si>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</si>
  <si>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</si>
  <si>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</si>
  <si>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</si>
  <si>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</si>
  <si>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</si>
  <si>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</si>
  <si>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</si>
  <si>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</si>
  <si>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</si>
  <si>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</si>
  <si>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</si>
  <si>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</si>
  <si>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</si>
  <si>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</si>
  <si>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</si>
  <si>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</si>
  <si>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</si>
  <si>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</si>
  <si>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</si>
  <si>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</si>
  <si>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</si>
  <si>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</si>
  <si>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</si>
  <si>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</si>
  <si>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</si>
  <si>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</si>
  <si>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</si>
  <si>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</si>
  <si>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</si>
  <si>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</si>
  <si>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</si>
  <si>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</si>
  <si>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</si>
  <si>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</si>
  <si>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</si>
  <si>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</si>
  <si>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</si>
  <si>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</si>
  <si>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</si>
  <si>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</si>
  <si>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</si>
  <si>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</si>
  <si>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</si>
  <si>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</si>
  <si>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</si>
  <si>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</si>
  <si>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</si>
  <si>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</si>
  <si>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</si>
  <si>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</si>
  <si>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</si>
  <si>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</si>
  <si>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</si>
  <si>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</si>
  <si>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</si>
  <si>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</si>
  <si>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</si>
  <si>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</si>
  <si>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</si>
  <si>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</si>
  <si>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</si>
  <si>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</si>
  <si>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</si>
  <si>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</si>
  <si>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</si>
  <si>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</si>
  <si>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</si>
  <si>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</si>
  <si>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</si>
  <si>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</si>
  <si>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</si>
  <si>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</si>
  <si>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</si>
  <si>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</si>
  <si>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</si>
  <si>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</si>
  <si>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</si>
  <si>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</si>
  <si>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</si>
  <si>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</si>
  <si>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</si>
  <si>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</si>
  <si>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</si>
  <si>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</si>
  <si>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</si>
  <si>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</si>
  <si>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</si>
  <si>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</si>
  <si>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</si>
  <si>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</si>
  <si>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</si>
  <si>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</si>
  <si>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</si>
  <si>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</si>
  <si>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</si>
  <si>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</si>
  <si>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</si>
  <si>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</si>
  <si>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</si>
  <si>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</si>
  <si>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</si>
  <si>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</si>
  <si>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</si>
  <si>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</si>
  <si>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</si>
  <si>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</si>
  <si>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</si>
  <si>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</si>
  <si>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</si>
  <si>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</si>
  <si>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</si>
  <si>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</si>
  <si>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</si>
  <si>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</si>
  <si>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</si>
  <si>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</si>
  <si>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</si>
  <si>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</si>
  <si>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</si>
  <si>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</si>
  <si>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</si>
  <si>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</si>
  <si>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</si>
  <si>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</si>
  <si>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</si>
  <si>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</si>
  <si>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</si>
  <si>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</si>
  <si>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</si>
  <si>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</si>
  <si>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</si>
  <si>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</si>
  <si>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</si>
  <si>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</si>
  <si>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</si>
  <si>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</si>
  <si>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</si>
  <si>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</si>
  <si>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</si>
  <si>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</si>
  <si>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</si>
  <si>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</si>
  <si>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</si>
  <si>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</si>
  <si>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</si>
  <si>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</si>
  <si>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</si>
  <si>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</si>
  <si>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</si>
  <si>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</si>
  <si>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</si>
  <si>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</si>
  <si>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</si>
  <si>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</si>
  <si>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</si>
  <si>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</si>
  <si>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</si>
  <si>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</si>
  <si>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</si>
  <si>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</si>
  <si>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</si>
  <si>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</si>
  <si>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</si>
  <si>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</si>
  <si>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</si>
  <si>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</si>
  <si>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</si>
  <si>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</si>
  <si>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</si>
  <si>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</si>
  <si>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</si>
  <si>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</si>
  <si>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</si>
  <si>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</si>
  <si>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</si>
  <si>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</si>
  <si>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</si>
  <si>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</si>
  <si>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</si>
  <si>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</si>
  <si>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</si>
  <si>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</si>
  <si>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</si>
  <si>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</si>
  <si>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</si>
  <si>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</si>
  <si>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</si>
  <si>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</si>
  <si>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</si>
  <si>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</si>
  <si>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</si>
  <si>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</si>
  <si>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</si>
  <si>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</si>
  <si>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</si>
  <si>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</si>
  <si>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</si>
  <si>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</si>
  <si>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</si>
  <si>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</si>
  <si>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</si>
  <si>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</si>
  <si>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</si>
  <si>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</si>
  <si>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</si>
  <si>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</si>
  <si>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</si>
  <si>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</si>
  <si>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</si>
  <si>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</si>
  <si>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</si>
  <si>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</si>
  <si>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</si>
  <si>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</si>
  <si>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</si>
  <si>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</si>
  <si>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</si>
  <si>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</si>
  <si>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</si>
  <si>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</si>
  <si>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</si>
  <si>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</si>
  <si>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</si>
  <si>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</si>
  <si>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</si>
  <si>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</si>
  <si>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</si>
  <si>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</si>
  <si>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</si>
  <si>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</si>
  <si>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</si>
  <si>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</si>
  <si>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</si>
  <si>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</si>
  <si>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</si>
  <si>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</si>
  <si>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</si>
  <si>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</si>
  <si>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</si>
  <si>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</si>
  <si>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</si>
  <si>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</si>
  <si>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</si>
  <si>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</si>
  <si>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</si>
  <si>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</si>
  <si>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</si>
  <si>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</si>
  <si>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</si>
  <si>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</si>
  <si>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</si>
  <si>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</si>
  <si>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</si>
  <si>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</si>
  <si>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</si>
  <si>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</si>
  <si>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</si>
  <si>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</si>
  <si>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</si>
  <si>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</si>
  <si>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</si>
  <si>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</si>
  <si>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</si>
  <si>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</si>
  <si>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</si>
  <si>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</si>
  <si>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</si>
  <si>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</si>
  <si>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</si>
  <si>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</si>
  <si>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</si>
  <si>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</si>
  <si>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</si>
  <si>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</si>
  <si>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</si>
  <si>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</si>
  <si>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</si>
  <si>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</si>
  <si>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</si>
  <si>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</si>
  <si>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</si>
  <si>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</si>
  <si>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</si>
  <si>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</si>
  <si>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</si>
  <si>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</si>
  <si>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</si>
  <si>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</si>
  <si>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</si>
  <si>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</si>
  <si>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</si>
  <si>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</si>
  <si>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</si>
  <si>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</si>
  <si>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</si>
  <si>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</si>
  <si>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</si>
  <si>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</si>
  <si>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</si>
  <si>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</si>
  <si>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</si>
  <si>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</si>
  <si>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</si>
  <si>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</si>
  <si>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</si>
  <si>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</si>
  <si>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</si>
  <si>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</si>
  <si>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</si>
  <si>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</si>
  <si>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</si>
  <si>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</si>
  <si>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</si>
  <si>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</si>
  <si>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</si>
  <si>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</si>
  <si>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</si>
  <si>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</si>
  <si>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</si>
  <si>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</si>
  <si>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</si>
  <si>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</si>
  <si>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</si>
  <si>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</si>
  <si>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</si>
  <si>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</si>
  <si>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</si>
  <si>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</si>
  <si>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</si>
  <si>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</si>
  <si>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</si>
  <si>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</si>
  <si>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</si>
  <si>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</si>
  <si>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</si>
  <si>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</si>
  <si>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</si>
  <si>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</si>
  <si>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</si>
  <si>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</si>
  <si>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</si>
  <si>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</si>
  <si>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</si>
  <si>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</si>
  <si>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</si>
  <si>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</si>
  <si>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</si>
  <si>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</si>
  <si>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</si>
  <si>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</si>
  <si>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</si>
  <si>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</si>
  <si>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</si>
  <si>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</si>
  <si>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</si>
  <si>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</si>
  <si>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</si>
  <si>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</si>
  <si>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</si>
  <si>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</si>
  <si>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</si>
  <si>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</si>
  <si>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</si>
  <si>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</si>
  <si>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</si>
  <si>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</si>
  <si>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</si>
  <si>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</si>
  <si>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</si>
  <si>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</si>
  <si>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</si>
  <si>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</si>
  <si>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</si>
  <si>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</si>
  <si>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</si>
  <si>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</si>
  <si>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</si>
  <si>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</si>
  <si>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</si>
  <si>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</si>
  <si>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</si>
  <si>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</si>
  <si>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</si>
  <si>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</si>
  <si>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</si>
  <si>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</si>
  <si>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</si>
  <si>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</si>
  <si>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</si>
  <si>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</si>
  <si>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</si>
  <si>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</si>
  <si>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</si>
  <si>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</si>
  <si>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</si>
  <si>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</si>
  <si>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</si>
  <si>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</si>
  <si>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</si>
  <si>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</si>
  <si>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</si>
  <si>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</si>
  <si>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</si>
  <si>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</si>
  <si>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</si>
  <si>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</si>
  <si>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</si>
  <si>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</si>
  <si>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</si>
  <si>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</si>
  <si>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</si>
  <si>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</si>
  <si>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</si>
  <si>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</si>
  <si>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</si>
  <si>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</si>
  <si>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</si>
  <si>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</si>
  <si>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</si>
  <si>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</si>
  <si>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</si>
  <si>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</si>
  <si>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</si>
  <si>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</si>
  <si>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</si>
  <si>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</si>
  <si>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</si>
  <si>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</si>
  <si>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</si>
  <si>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</si>
  <si>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</si>
  <si>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</si>
  <si>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</si>
  <si>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</si>
  <si>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</si>
  <si>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</si>
  <si>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</si>
  <si>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</si>
  <si>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</si>
  <si>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</si>
  <si>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</si>
  <si>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</si>
  <si>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</si>
  <si>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</si>
  <si>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</si>
  <si>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</si>
  <si>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</si>
  <si>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</si>
  <si>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</si>
  <si>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</si>
  <si>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</si>
  <si>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</si>
  <si>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</si>
  <si>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</si>
  <si>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</si>
  <si>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</si>
  <si>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</si>
  <si>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</si>
  <si>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</si>
  <si>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</si>
  <si>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</si>
  <si>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</si>
  <si>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</si>
  <si>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</si>
  <si>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</si>
  <si>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</si>
  <si>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</si>
  <si>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</si>
  <si>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</si>
  <si>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</si>
  <si>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</si>
  <si>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</si>
  <si>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</si>
  <si>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</si>
  <si>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</si>
  <si>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</si>
  <si>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</si>
  <si>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</si>
  <si>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</si>
  <si>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</si>
  <si>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</si>
  <si>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</si>
  <si>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</si>
  <si>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</si>
  <si>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</si>
  <si>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</si>
  <si>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</si>
  <si>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</si>
  <si>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</si>
  <si>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</si>
  <si>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</si>
  <si>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</si>
  <si>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</si>
  <si>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</si>
  <si>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</si>
  <si>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</si>
  <si>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</si>
  <si>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</si>
  <si>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</si>
  <si>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</si>
  <si>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</si>
  <si>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</si>
  <si>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</si>
  <si>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</si>
  <si>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</si>
  <si>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</si>
  <si>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</si>
  <si>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</si>
  <si>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</si>
  <si>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</si>
  <si>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</si>
  <si>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</si>
  <si>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</si>
  <si>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</si>
  <si>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</si>
  <si>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</si>
  <si>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</si>
  <si>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</si>
  <si>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</si>
  <si>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</si>
  <si>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</si>
  <si>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</si>
  <si>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</si>
  <si>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</si>
  <si>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</si>
  <si>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</si>
  <si>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</si>
  <si>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</si>
  <si>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</si>
  <si>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</si>
  <si>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</si>
  <si>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</si>
  <si>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</si>
  <si>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</si>
  <si>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</si>
  <si>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</si>
  <si>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</si>
  <si>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</si>
  <si>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</si>
  <si>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</si>
  <si>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</si>
  <si>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</si>
  <si>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</si>
  <si>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</si>
  <si>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</si>
  <si>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</si>
  <si>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</si>
  <si>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</si>
  <si>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</si>
  <si>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</si>
  <si>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</si>
  <si>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</si>
  <si>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</si>
  <si>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</si>
  <si>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</si>
  <si>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</si>
  <si>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</si>
  <si>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</si>
  <si>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</si>
  <si>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</si>
  <si>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</si>
  <si>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</si>
  <si>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</si>
  <si>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</si>
  <si>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</si>
  <si>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</si>
  <si>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</si>
  <si>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</si>
  <si>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</si>
  <si>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</si>
  <si>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</si>
  <si>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</si>
  <si>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</si>
  <si>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</si>
  <si>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</si>
  <si>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</si>
  <si>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</si>
  <si>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</si>
  <si>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</si>
  <si>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</si>
  <si>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</si>
  <si>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</si>
  <si>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</si>
  <si>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</si>
  <si>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</si>
  <si>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</si>
  <si>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</si>
  <si>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</si>
  <si>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</si>
  <si>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</si>
  <si>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</si>
  <si>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</si>
  <si>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</si>
  <si>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</si>
  <si>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</si>
  <si>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</si>
  <si>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</si>
  <si>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</si>
  <si>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</si>
  <si>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</si>
  <si>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</si>
  <si>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</si>
  <si>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</si>
  <si>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</si>
  <si>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</si>
  <si>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</si>
  <si>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</si>
  <si>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</si>
  <si>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</si>
  <si>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</si>
  <si>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</si>
  <si>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</si>
  <si>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</si>
  <si>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</si>
  <si>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</si>
  <si>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</si>
  <si>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</si>
  <si>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</si>
  <si>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</si>
  <si>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</si>
  <si>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</si>
  <si>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</si>
  <si>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</si>
  <si>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</si>
  <si>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</si>
  <si>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</si>
  <si>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</si>
  <si>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</si>
  <si>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</si>
  <si>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</si>
  <si>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</si>
  <si>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</si>
  <si>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</si>
  <si>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</si>
  <si>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</si>
  <si>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</si>
  <si>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</si>
  <si>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</si>
  <si>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</si>
  <si>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</si>
  <si>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</si>
  <si>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</si>
  <si>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</si>
  <si>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</si>
  <si>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</si>
  <si>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</si>
  <si>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</si>
  <si>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</si>
  <si>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</si>
  <si>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</si>
  <si>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</si>
  <si>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</si>
  <si>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</si>
  <si>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</si>
  <si>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</si>
  <si>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</si>
  <si>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</si>
  <si>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</si>
  <si>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</si>
  <si>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</si>
  <si>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</si>
  <si>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</si>
  <si>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</si>
  <si>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</si>
  <si>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</si>
  <si>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</si>
  <si>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</si>
  <si>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</si>
  <si>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</si>
  <si>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</si>
  <si>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</si>
  <si>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</si>
  <si>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</si>
  <si>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</si>
  <si>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</si>
  <si>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</si>
  <si>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</si>
  <si>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</si>
  <si>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</si>
  <si>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</si>
  <si>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</si>
  <si>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</si>
  <si>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</si>
  <si>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</si>
  <si>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</si>
  <si>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</si>
  <si>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</si>
  <si>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</si>
  <si>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</si>
  <si>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</si>
  <si>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</si>
  <si>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</si>
  <si>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</si>
  <si>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</si>
  <si>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</si>
  <si>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</si>
  <si>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</si>
  <si>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</si>
  <si>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</si>
  <si>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</si>
  <si>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</si>
  <si>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</si>
  <si>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</si>
  <si>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</si>
  <si>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</si>
  <si>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</si>
  <si>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</si>
  <si>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</si>
  <si>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</si>
  <si>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</si>
  <si>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</si>
  <si>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</si>
  <si>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</si>
  <si>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</si>
  <si>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</si>
  <si>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</si>
  <si>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</si>
  <si>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</si>
  <si>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</si>
  <si>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</si>
  <si>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</si>
  <si>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</si>
  <si>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</si>
  <si>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</si>
  <si>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</si>
  <si>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</si>
  <si>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</si>
  <si>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</si>
  <si>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</si>
  <si>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</si>
  <si>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</si>
  <si>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</si>
  <si>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</si>
  <si>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</si>
  <si>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</si>
  <si>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</si>
  <si>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</si>
  <si>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</si>
  <si>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</si>
  <si>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</si>
  <si>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</si>
  <si>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</si>
  <si>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</si>
  <si>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</si>
  <si>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</si>
  <si>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</si>
  <si>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</si>
  <si>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</si>
  <si>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</si>
  <si>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</si>
  <si>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</si>
  <si>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</si>
  <si>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</si>
  <si>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</si>
  <si>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</si>
  <si>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</si>
  <si>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</si>
  <si>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</si>
  <si>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</si>
  <si>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</si>
  <si>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</si>
  <si>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</si>
  <si>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</si>
  <si>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</si>
  <si>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</si>
  <si>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</si>
  <si>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</si>
  <si>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</si>
  <si>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</si>
  <si>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</si>
  <si>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</si>
  <si>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</si>
  <si>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</si>
  <si>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</si>
  <si>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</si>
  <si>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</si>
  <si>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</si>
  <si>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</si>
  <si>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</si>
  <si>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</si>
  <si>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</si>
  <si>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</si>
  <si>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</si>
  <si>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</si>
  <si>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</si>
  <si>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</si>
  <si>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</si>
  <si>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</si>
  <si>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</si>
  <si>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</si>
  <si>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</si>
  <si>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</si>
  <si>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</si>
  <si>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</si>
  <si>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</si>
  <si>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</si>
  <si>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</si>
  <si>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</si>
  <si>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</si>
  <si>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</si>
  <si>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</si>
  <si>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</si>
  <si>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</si>
  <si>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</si>
  <si>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</si>
  <si>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</si>
  <si>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</si>
  <si>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</si>
  <si>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</si>
  <si>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</si>
  <si>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</si>
  <si>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</si>
  <si>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</si>
  <si>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</si>
  <si>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</si>
  <si>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</si>
  <si>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</si>
  <si>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</si>
  <si>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</si>
  <si>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</si>
  <si>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</si>
  <si>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</si>
  <si>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</si>
  <si>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</si>
  <si>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</si>
  <si>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</si>
  <si>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</si>
  <si>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</si>
  <si>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</si>
  <si>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</si>
  <si>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</si>
  <si>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</si>
  <si>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</si>
  <si>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</si>
  <si>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</si>
  <si>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</si>
  <si>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</si>
  <si>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</si>
  <si>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</si>
  <si>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</si>
  <si>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</si>
  <si>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</si>
  <si>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</si>
  <si>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</si>
  <si>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</si>
  <si>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</si>
  <si>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</si>
  <si>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</si>
  <si>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</si>
  <si>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</si>
  <si>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</si>
  <si>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</si>
  <si>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</si>
  <si>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</si>
  <si>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</si>
  <si>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</si>
  <si>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</si>
  <si>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</si>
  <si>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</si>
  <si>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</si>
  <si>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</si>
  <si>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</si>
  <si>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</si>
  <si>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</si>
  <si>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</si>
  <si>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</si>
  <si>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</si>
  <si>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</si>
  <si>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</si>
  <si>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</si>
  <si>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</si>
  <si>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</si>
  <si>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</si>
  <si>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</si>
  <si>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</si>
  <si>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</si>
  <si>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</si>
  <si>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</si>
  <si>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</si>
  <si>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</si>
  <si>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</si>
  <si>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</si>
  <si>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</si>
  <si>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</si>
  <si>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</si>
  <si>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</si>
  <si>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</si>
  <si>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</si>
  <si>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</si>
  <si>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</si>
  <si>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</si>
  <si>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</si>
  <si>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</si>
  <si>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</si>
  <si>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</si>
  <si>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</si>
  <si>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</si>
  <si>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</si>
  <si>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</si>
  <si>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</si>
  <si>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</si>
  <si>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</si>
  <si>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</si>
  <si>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</si>
  <si>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</si>
  <si>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</si>
  <si>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</si>
  <si>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</si>
  <si>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</si>
  <si>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</si>
  <si>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</si>
  <si>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</si>
  <si>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</si>
  <si>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</si>
  <si>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</si>
  <si>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</si>
  <si>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</si>
  <si>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</si>
  <si>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</si>
  <si>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</si>
  <si>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</si>
  <si>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</si>
  <si>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</si>
  <si>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</si>
  <si>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</si>
  <si>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</si>
  <si>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</si>
  <si>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</si>
  <si>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</si>
  <si>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</si>
  <si>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</si>
  <si>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</si>
  <si>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</si>
  <si>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</si>
  <si>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</si>
  <si>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</si>
  <si>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</si>
  <si>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</si>
  <si>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</si>
  <si>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</si>
  <si>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</si>
  <si>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</si>
  <si>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</si>
  <si>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</si>
  <si>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</si>
  <si>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</si>
  <si>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</si>
  <si>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</si>
  <si>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</si>
  <si>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</si>
  <si>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</si>
  <si>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</si>
  <si>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</si>
  <si>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</si>
  <si>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</si>
  <si>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</si>
  <si>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</si>
  <si>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</si>
  <si>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</si>
  <si>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</si>
  <si>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</si>
  <si>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</si>
  <si>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</si>
  <si>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</si>
  <si>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</si>
  <si>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</si>
  <si>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</si>
  <si>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</si>
  <si>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</si>
  <si>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</si>
  <si>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</si>
  <si>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</si>
  <si>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</si>
  <si>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</si>
  <si>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</si>
  <si>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</si>
  <si>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</si>
  <si>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</si>
  <si>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</si>
  <si>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</si>
  <si>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</si>
  <si>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</si>
  <si>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</si>
  <si>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</si>
  <si>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</si>
  <si>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</si>
  <si>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</si>
  <si>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</si>
  <si>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</si>
  <si>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</si>
  <si>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</si>
  <si>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</si>
  <si>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</si>
  <si>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</si>
  <si>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</si>
  <si>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</si>
  <si>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</si>
  <si>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</si>
  <si>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</si>
  <si>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</si>
  <si>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</si>
  <si>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</si>
  <si>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</si>
  <si>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</si>
  <si>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</si>
  <si>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</si>
  <si>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</si>
  <si>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</si>
  <si>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</si>
  <si>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</si>
  <si>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</si>
  <si>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</si>
  <si>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</si>
  <si>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</si>
  <si>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</si>
  <si>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</si>
  <si>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</si>
  <si>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</si>
  <si>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</si>
  <si>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</si>
  <si>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</si>
  <si>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</si>
  <si>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</si>
  <si>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</si>
  <si>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</si>
  <si>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</si>
  <si>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</si>
  <si>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</si>
  <si>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</si>
  <si>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</si>
  <si>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</si>
  <si>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</si>
  <si>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</si>
  <si>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</si>
  <si>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</si>
  <si>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</si>
  <si>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</si>
  <si>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</si>
  <si>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</si>
  <si>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</si>
  <si>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</si>
  <si>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</si>
  <si>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</si>
  <si>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</si>
  <si>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</si>
  <si>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</si>
  <si>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</si>
  <si>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</si>
  <si>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</si>
  <si>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</si>
  <si>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</si>
  <si>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</si>
  <si>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</si>
  <si>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</si>
  <si>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</si>
  <si>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</si>
  <si>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</si>
  <si>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</si>
  <si>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</si>
  <si>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</si>
  <si>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</si>
  <si>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</si>
  <si>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</si>
  <si>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</si>
  <si>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</si>
  <si>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</si>
  <si>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</si>
  <si>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</si>
  <si>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</si>
  <si>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</si>
  <si>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</si>
  <si>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</si>
  <si>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</si>
  <si>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</si>
  <si>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</si>
  <si>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</si>
  <si>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</si>
  <si>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</si>
  <si>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</si>
  <si>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</si>
  <si>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</si>
  <si>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</si>
  <si>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</si>
  <si>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</si>
  <si>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</si>
  <si>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</si>
  <si>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</si>
  <si>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</si>
  <si>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</si>
  <si>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</si>
  <si>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</si>
  <si>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</si>
  <si>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</si>
  <si>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</si>
  <si>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</si>
  <si>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</si>
  <si>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</si>
  <si>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</si>
  <si>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</si>
  <si>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</si>
  <si>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</si>
  <si>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</si>
  <si>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</si>
  <si>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</si>
  <si>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</si>
  <si>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</si>
  <si>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</si>
  <si>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</si>
  <si>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</si>
  <si>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</si>
  <si>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</si>
  <si>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</si>
  <si>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</si>
  <si>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</si>
  <si>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</si>
  <si>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</si>
  <si>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</si>
  <si>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</si>
  <si>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</si>
  <si>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</si>
  <si>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</si>
  <si>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</si>
  <si>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</si>
  <si>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</si>
  <si>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</si>
  <si>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</si>
  <si>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</si>
  <si>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</si>
  <si>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</si>
  <si>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</si>
  <si>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</si>
  <si>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</si>
  <si>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</si>
  <si>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</si>
  <si>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</si>
  <si>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</si>
  <si>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</si>
  <si>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</si>
  <si>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</si>
  <si>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</si>
  <si>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</si>
  <si>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</si>
  <si>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</si>
  <si>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</si>
  <si>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</si>
  <si>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</si>
  <si>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</si>
  <si>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</si>
  <si>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</si>
  <si>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</si>
  <si>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</si>
  <si>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</si>
  <si>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</si>
  <si>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</si>
  <si>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</si>
  <si>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</si>
  <si>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</si>
  <si>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</si>
  <si>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</si>
  <si>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</si>
  <si>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</si>
  <si>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</si>
  <si>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</si>
  <si>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</si>
  <si>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</si>
  <si>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</si>
  <si>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</si>
  <si>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</si>
  <si>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</si>
  <si>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</si>
  <si>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</si>
  <si>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</si>
  <si>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</si>
  <si>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</si>
  <si>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</si>
  <si>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</si>
  <si>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</si>
  <si>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</si>
  <si>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</si>
  <si>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</si>
  <si>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</si>
  <si>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</si>
  <si>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</si>
  <si>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</si>
  <si>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</si>
  <si>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</si>
  <si>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</si>
  <si>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</si>
  <si>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</si>
  <si>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</si>
  <si>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</si>
  <si>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</si>
  <si>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</si>
  <si>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</si>
  <si>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</si>
  <si>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</si>
  <si>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</si>
  <si>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</si>
  <si>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</si>
  <si>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</si>
  <si>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</si>
  <si>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</si>
  <si>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</si>
  <si>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</si>
  <si>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</si>
  <si>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</si>
  <si>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</si>
  <si>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</si>
  <si>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</si>
  <si>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</si>
  <si>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</si>
  <si>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</si>
  <si>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</si>
  <si>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</si>
  <si>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</si>
  <si>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</si>
  <si>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</si>
  <si>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</si>
  <si>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</si>
  <si>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</si>
  <si>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</si>
  <si>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</si>
  <si>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</si>
  <si>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</si>
  <si>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</si>
  <si>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</si>
  <si>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</si>
  <si>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</si>
  <si>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</si>
  <si>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</si>
  <si>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</si>
  <si>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</si>
  <si>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</si>
  <si>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</si>
  <si>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</si>
  <si>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</si>
  <si>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</si>
  <si>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</si>
  <si>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</si>
  <si>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</si>
  <si>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</si>
  <si>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</si>
  <si>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</si>
  <si>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</si>
  <si>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</si>
  <si>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</si>
  <si>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</si>
  <si>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</si>
  <si>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</si>
  <si>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</si>
  <si>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</si>
  <si>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</si>
  <si>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</si>
  <si>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</si>
  <si>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</si>
  <si>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</si>
  <si>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</si>
  <si>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</si>
  <si>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</si>
  <si>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</si>
  <si>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</si>
  <si>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</si>
  <si>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</si>
  <si>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</si>
  <si>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</si>
  <si>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</si>
  <si>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</si>
  <si>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</si>
  <si>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</si>
  <si>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</si>
  <si>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</si>
  <si>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</si>
  <si>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</si>
  <si>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</si>
  <si>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</si>
  <si>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</si>
  <si>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</si>
  <si>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</si>
  <si>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</si>
  <si>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</si>
  <si>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</si>
  <si>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</si>
  <si>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</si>
  <si>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</si>
  <si>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</si>
  <si>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</si>
  <si>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</si>
  <si>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</si>
  <si>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</si>
  <si>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</si>
  <si>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</si>
  <si>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</si>
  <si>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</si>
  <si>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</si>
  <si>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</si>
  <si>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</si>
  <si>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</si>
  <si>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</si>
  <si>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</si>
  <si>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</si>
  <si>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</si>
  <si>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</si>
  <si>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</si>
  <si>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</si>
  <si>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</si>
  <si>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</si>
  <si>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</si>
  <si>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</si>
  <si>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</si>
  <si>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</si>
  <si>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</si>
  <si>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</si>
  <si>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</si>
  <si>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</si>
  <si>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</si>
  <si>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</si>
  <si>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</si>
  <si>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</si>
  <si>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</si>
  <si>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</si>
  <si>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</si>
  <si>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</si>
  <si>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</si>
  <si>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</si>
  <si>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</si>
  <si>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</si>
  <si>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</si>
  <si>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</si>
  <si>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</si>
  <si>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</si>
  <si>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</si>
  <si>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</si>
  <si>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</si>
  <si>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</si>
  <si>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</si>
  <si>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</si>
  <si>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</si>
  <si>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</si>
  <si>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</si>
  <si>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</si>
  <si>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</si>
  <si>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</si>
  <si>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</si>
  <si>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</si>
  <si>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</si>
  <si>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</si>
  <si>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</si>
  <si>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</si>
  <si>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</si>
  <si>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</si>
  <si>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</si>
  <si>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</si>
  <si>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</si>
  <si>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</si>
  <si>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</si>
  <si>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</si>
  <si>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</si>
  <si>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</si>
  <si>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</si>
  <si>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</si>
  <si>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</si>
  <si>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</si>
  <si>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</si>
  <si>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</si>
  <si>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</si>
  <si>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</si>
  <si>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</si>
  <si>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</si>
  <si>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</si>
  <si>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</si>
  <si>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</si>
  <si>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</si>
  <si>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</si>
  <si>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</si>
  <si>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</si>
  <si>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</si>
  <si>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</si>
  <si>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</si>
  <si>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</si>
  <si>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</si>
  <si>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</si>
  <si>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</si>
  <si>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</si>
  <si>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</si>
  <si>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</si>
  <si>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</si>
  <si>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</si>
  <si>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</si>
  <si>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</si>
  <si>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</si>
  <si>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</si>
  <si>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</si>
  <si>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</si>
  <si>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</si>
  <si>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</si>
  <si>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</si>
  <si>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</si>
  <si>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</si>
  <si>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</si>
  <si>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</si>
  <si>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</si>
  <si>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</si>
  <si>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</si>
  <si>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</si>
  <si>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</si>
  <si>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</si>
  <si>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</si>
  <si>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</si>
  <si>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</si>
  <si>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</si>
  <si>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</si>
  <si>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</si>
  <si>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</si>
  <si>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</si>
  <si>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</si>
  <si>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</si>
  <si>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</si>
  <si>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</si>
  <si>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</si>
  <si>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</si>
  <si>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</si>
  <si>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</si>
  <si>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</si>
  <si>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</si>
  <si>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</si>
  <si>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</si>
  <si>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</si>
  <si>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</si>
  <si>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</si>
  <si>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</si>
  <si>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</si>
  <si>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</si>
  <si>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</si>
  <si>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</si>
  <si>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</si>
  <si>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</si>
  <si>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</si>
  <si>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</si>
  <si>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</si>
  <si>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</si>
  <si>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</si>
  <si>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</si>
  <si>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</si>
  <si>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</si>
  <si>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</si>
  <si>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</si>
  <si>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</si>
  <si>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</si>
  <si>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</si>
  <si>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</si>
  <si>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</si>
  <si>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</si>
  <si>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</si>
  <si>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</si>
  <si>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</si>
  <si>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</si>
  <si>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</si>
  <si>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</si>
  <si>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</si>
  <si>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</si>
  <si>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</si>
  <si>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</si>
  <si>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</si>
  <si>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</si>
  <si>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</si>
  <si>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</si>
  <si>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</si>
  <si>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</si>
  <si>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</si>
  <si>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</si>
  <si>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</si>
  <si>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</si>
  <si>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</si>
  <si>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</si>
  <si>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</si>
  <si>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</si>
  <si>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</si>
  <si>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</si>
  <si>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</si>
  <si>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</si>
  <si>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</si>
  <si>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</si>
  <si>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</si>
  <si>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</si>
  <si>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</si>
  <si>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</si>
  <si>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</si>
  <si>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</si>
  <si>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</si>
  <si>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</si>
  <si>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</si>
  <si>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</si>
  <si>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</si>
  <si>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</si>
  <si>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</si>
  <si>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</si>
  <si>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</si>
  <si>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</si>
  <si>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</si>
  <si>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</si>
  <si>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</si>
  <si>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</si>
  <si>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</si>
  <si>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</si>
  <si>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</si>
  <si>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</si>
  <si>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</si>
  <si>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</si>
  <si>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</si>
  <si>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</si>
  <si>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</si>
  <si>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</si>
  <si>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</si>
  <si>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</si>
  <si>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</si>
  <si>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</si>
  <si>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</si>
  <si>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</si>
  <si>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</si>
  <si>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</si>
  <si>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</si>
  <si>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</si>
  <si>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</si>
  <si>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</si>
  <si>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</si>
  <si>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</si>
  <si>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</si>
  <si>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</si>
  <si>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</si>
  <si>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</si>
  <si>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</si>
  <si>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</si>
  <si>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</si>
  <si>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</si>
  <si>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</si>
  <si>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</si>
  <si>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</si>
  <si>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</si>
  <si>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</si>
  <si>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</si>
  <si>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</si>
  <si>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</si>
  <si>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</si>
  <si>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</si>
  <si>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</si>
  <si>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</si>
  <si>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</si>
  <si>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</si>
  <si>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</si>
  <si>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</si>
  <si>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</si>
  <si>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</si>
  <si>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</si>
  <si>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</si>
  <si>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</si>
  <si>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</si>
  <si>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</si>
  <si>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</si>
  <si>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</si>
  <si>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</si>
  <si>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</si>
  <si>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</si>
  <si>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</si>
  <si>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</si>
  <si>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</si>
  <si>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</si>
  <si>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</si>
  <si>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</si>
  <si>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</si>
  <si>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</si>
  <si>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</si>
  <si>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</si>
  <si>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</si>
  <si>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</si>
  <si>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</si>
  <si>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</si>
  <si>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</si>
  <si>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</si>
  <si>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</si>
  <si>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</si>
  <si>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</si>
  <si>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</si>
  <si>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</si>
  <si>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</si>
  <si>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</si>
  <si>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</si>
  <si>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</si>
  <si>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</si>
  <si>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</si>
  <si>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</si>
  <si>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</si>
  <si>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</si>
  <si>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</si>
  <si>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</si>
  <si>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</si>
  <si>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</si>
  <si>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</si>
  <si>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</si>
  <si>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</si>
  <si>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</si>
  <si>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</si>
  <si>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</si>
  <si>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</si>
  <si>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</si>
  <si>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</si>
  <si>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</si>
  <si>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</si>
  <si>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</si>
  <si>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</si>
  <si>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</si>
  <si>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</si>
  <si>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</si>
  <si>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</si>
  <si>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</si>
  <si>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</si>
  <si>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</si>
  <si>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</si>
  <si>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</si>
  <si>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</si>
  <si>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</si>
  <si>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</si>
  <si>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</si>
  <si>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</si>
  <si>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</si>
  <si>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</si>
  <si>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</si>
  <si>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</si>
  <si>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</si>
  <si>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</si>
  <si>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</si>
  <si>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</si>
  <si>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</si>
  <si>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</si>
  <si>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</si>
  <si>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</si>
  <si>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</si>
  <si>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</si>
  <si>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</si>
  <si>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</si>
  <si>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</si>
  <si>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</si>
  <si>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</si>
  <si>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</si>
  <si>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</si>
  <si>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</si>
  <si>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</si>
  <si>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</si>
  <si>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</si>
  <si>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</si>
  <si>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</si>
  <si>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</si>
  <si>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</si>
  <si>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</si>
  <si>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</si>
  <si>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</si>
  <si>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</si>
  <si>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</si>
  <si>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</si>
  <si>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</si>
  <si>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</si>
  <si>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</si>
  <si>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</si>
  <si>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</si>
  <si>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</si>
  <si>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</si>
  <si>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</si>
  <si>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</si>
  <si>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</si>
  <si>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</si>
  <si>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</si>
  <si>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</si>
  <si>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</si>
  <si>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</si>
  <si>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</si>
  <si>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</si>
  <si>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</si>
  <si>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</si>
  <si>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</si>
  <si>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</si>
  <si>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</si>
  <si>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</si>
  <si>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</si>
  <si>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</si>
  <si>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</si>
  <si>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</si>
  <si>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</si>
  <si>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</si>
  <si>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</si>
  <si>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</si>
  <si>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</si>
  <si>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</si>
  <si>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</si>
  <si>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</si>
  <si>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</si>
  <si>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</si>
  <si>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</si>
  <si>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</si>
  <si>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</si>
  <si>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</si>
  <si>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</si>
  <si>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</si>
  <si>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</si>
  <si>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</si>
  <si>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</si>
  <si>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</si>
  <si>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</si>
  <si>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</si>
  <si>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</si>
  <si>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</si>
  <si>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</si>
  <si>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</si>
  <si>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</si>
  <si>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</si>
  <si>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</si>
  <si>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</si>
  <si>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</si>
  <si>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</si>
  <si>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</si>
  <si>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</si>
  <si>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</si>
  <si>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</si>
  <si>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</si>
  <si>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</si>
  <si>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</si>
  <si>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</si>
  <si>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</si>
  <si>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</si>
  <si>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</si>
  <si>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</si>
  <si>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</si>
  <si>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</si>
  <si>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</si>
  <si>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</si>
  <si>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</si>
  <si>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</si>
  <si>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</si>
  <si>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</si>
  <si>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</si>
  <si>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</si>
  <si>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</si>
  <si>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</si>
  <si>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</si>
  <si>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</si>
  <si>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</si>
  <si>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</si>
  <si>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</si>
  <si>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</si>
  <si>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</si>
  <si>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</si>
  <si>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</si>
  <si>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</si>
  <si>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</si>
  <si>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</si>
  <si>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</si>
  <si>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</si>
  <si>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</si>
  <si>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</si>
  <si>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</si>
  <si>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</si>
  <si>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</si>
  <si>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</si>
  <si>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</si>
  <si>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</si>
  <si>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</si>
  <si>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</si>
  <si>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</si>
  <si>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</si>
  <si>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</si>
  <si>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</si>
  <si>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</si>
  <si>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</si>
  <si>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</si>
  <si>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</si>
  <si>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</si>
  <si>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</si>
  <si>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</si>
  <si>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</si>
  <si>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</si>
  <si>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</si>
  <si>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</si>
  <si>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</si>
  <si>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</si>
  <si>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</si>
  <si>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</si>
  <si>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</si>
  <si>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</si>
  <si>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</si>
  <si>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</si>
  <si>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</si>
  <si>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</si>
  <si>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</si>
  <si>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</si>
  <si>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</si>
  <si>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</si>
  <si>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</si>
  <si>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</si>
  <si>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</si>
  <si>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</si>
  <si>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</si>
  <si>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</si>
  <si>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</si>
  <si>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</si>
  <si>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</si>
  <si>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</si>
  <si>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</si>
  <si>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</si>
  <si>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</si>
  <si>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</si>
  <si>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</si>
  <si>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</si>
  <si>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</si>
  <si>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</si>
  <si>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</si>
  <si>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</si>
  <si>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</si>
  <si>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</si>
  <si>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</si>
  <si>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</si>
  <si>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</si>
  <si>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</si>
  <si>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</si>
  <si>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</si>
  <si>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</si>
  <si>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</si>
  <si>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</si>
  <si>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</si>
  <si>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</si>
  <si>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</si>
  <si>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</si>
  <si>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</si>
  <si>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</si>
  <si>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</si>
  <si>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</si>
  <si>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</si>
  <si>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</si>
  <si>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</si>
  <si>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</si>
  <si>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</si>
  <si>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</si>
  <si>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</si>
  <si>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</si>
  <si>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</si>
  <si>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</si>
  <si>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</si>
  <si>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</si>
  <si>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</si>
  <si>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</si>
  <si>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</si>
  <si>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</si>
  <si>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</si>
  <si>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</si>
  <si>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</si>
  <si>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</si>
  <si>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</si>
  <si>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</si>
  <si>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</si>
  <si>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</si>
  <si>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</si>
  <si>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</si>
  <si>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</si>
  <si>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</si>
  <si>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</si>
  <si>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</si>
  <si>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</si>
  <si>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</si>
  <si>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</si>
  <si>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</si>
  <si>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</si>
  <si>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</si>
  <si>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</si>
  <si>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</si>
  <si>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</si>
  <si>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</si>
  <si>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</si>
  <si>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</si>
  <si>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</si>
  <si>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</si>
  <si>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</si>
  <si>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</si>
  <si>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</si>
  <si>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</si>
  <si>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</si>
  <si>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</si>
  <si>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</si>
  <si>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</si>
  <si>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</si>
  <si>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</si>
  <si>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</si>
  <si>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</si>
  <si>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</si>
  <si>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</si>
  <si>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</si>
  <si>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</si>
  <si>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</si>
  <si>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</si>
  <si>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</si>
  <si>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</si>
  <si>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</si>
  <si>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</si>
  <si>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</si>
  <si>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</si>
  <si>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</si>
  <si>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</si>
  <si>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</si>
  <si>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</si>
  <si>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</si>
  <si>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</si>
  <si>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</si>
  <si>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</si>
  <si>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</si>
  <si>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</si>
  <si>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</si>
  <si>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</si>
  <si>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</si>
  <si>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</si>
  <si>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</si>
  <si>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</si>
  <si>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</si>
  <si>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</si>
  <si>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</si>
  <si>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</si>
  <si>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</si>
  <si>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</si>
  <si>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</si>
  <si>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</si>
  <si>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</si>
  <si>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</si>
  <si>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</si>
  <si>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</si>
  <si>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</si>
  <si>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</si>
  <si>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</si>
  <si>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</si>
  <si>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</si>
  <si>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</si>
  <si>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</si>
  <si>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</si>
  <si>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</si>
  <si>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</si>
  <si>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</si>
  <si>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</si>
  <si>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</si>
  <si>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</si>
  <si>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</si>
  <si>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</si>
  <si>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</si>
  <si>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</si>
  <si>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</si>
  <si>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</si>
  <si>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</si>
  <si>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</si>
  <si>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</si>
  <si>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</si>
  <si>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</si>
  <si>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</si>
  <si>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</si>
  <si>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</si>
  <si>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</si>
  <si>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</si>
  <si>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</si>
  <si>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</si>
  <si>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</si>
  <si>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</si>
  <si>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</si>
  <si>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</si>
  <si>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</si>
  <si>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</si>
  <si>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</si>
  <si>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</si>
  <si>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</si>
  <si>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</si>
  <si>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</si>
  <si>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</si>
  <si>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</si>
  <si>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</si>
  <si>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</si>
  <si>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</si>
  <si>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</si>
  <si>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</si>
  <si>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</si>
  <si>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</si>
  <si>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</si>
  <si>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</si>
  <si>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</si>
  <si>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</si>
  <si>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</si>
  <si>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</si>
  <si>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</si>
  <si>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</si>
  <si>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</si>
  <si>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</si>
  <si>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</si>
  <si>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</si>
  <si>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</si>
  <si>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</si>
  <si>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</si>
  <si>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</si>
  <si>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</si>
  <si>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</si>
  <si>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</si>
  <si>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</si>
  <si>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</si>
  <si>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</si>
  <si>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</si>
  <si>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</si>
  <si>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</si>
  <si>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</si>
  <si>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</si>
  <si>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</si>
  <si>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</si>
  <si>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</si>
  <si>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</si>
  <si>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</si>
  <si>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</si>
  <si>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</si>
  <si>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</si>
  <si>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</si>
  <si>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</si>
  <si>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</si>
  <si>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</si>
  <si>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</si>
  <si>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</si>
  <si>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</si>
  <si>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</si>
  <si>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</si>
  <si>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</si>
  <si>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</si>
  <si>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</si>
  <si>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</si>
  <si>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</si>
  <si>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</si>
  <si>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</si>
  <si>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</si>
  <si>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</si>
  <si>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</si>
  <si>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</si>
  <si>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</si>
  <si>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</si>
  <si>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</si>
  <si>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</si>
  <si>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</si>
  <si>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</si>
  <si>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</si>
  <si>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</si>
  <si>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</si>
  <si>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</si>
  <si>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</si>
  <si>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</si>
  <si>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</si>
  <si>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</si>
  <si>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</si>
  <si>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</si>
  <si>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</si>
  <si>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</si>
  <si>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</si>
  <si>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</si>
  <si>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</si>
  <si>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</si>
  <si>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</si>
  <si>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</si>
  <si>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</si>
  <si>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</si>
  <si>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</si>
  <si>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</si>
  <si>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</si>
  <si>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</si>
  <si>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</si>
  <si>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</si>
  <si>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</si>
  <si>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</si>
  <si>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</si>
  <si>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</si>
  <si>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</si>
  <si>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</si>
  <si>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</si>
  <si>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</si>
  <si>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</si>
  <si>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</si>
  <si>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</si>
  <si>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</si>
  <si>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</si>
  <si>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</si>
  <si>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</si>
  <si>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</si>
  <si>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</si>
  <si>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</si>
  <si>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</si>
  <si>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</si>
  <si>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</si>
  <si>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</si>
  <si>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</si>
  <si>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</si>
  <si>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</si>
  <si>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</si>
  <si>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</si>
  <si>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</si>
  <si>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</si>
  <si>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</si>
  <si>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</si>
  <si>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</si>
  <si>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</si>
  <si>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</si>
  <si>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</si>
  <si>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</si>
  <si>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</si>
  <si>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</si>
  <si>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</si>
  <si>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</si>
  <si>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</si>
  <si>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</si>
  <si>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</si>
  <si>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</si>
  <si>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</si>
  <si>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</si>
  <si>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</si>
  <si>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</si>
  <si>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</si>
  <si>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</si>
  <si>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</si>
  <si>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</si>
  <si>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</si>
  <si>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</si>
  <si>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</si>
  <si>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</si>
  <si>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</si>
  <si>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</si>
  <si>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</si>
  <si>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</si>
  <si>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</si>
  <si>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</si>
  <si>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</si>
  <si>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</si>
  <si>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</si>
  <si>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</si>
  <si>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</si>
  <si>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</si>
  <si>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</si>
  <si>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</si>
  <si>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</si>
  <si>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</si>
  <si>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</si>
  <si>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</si>
  <si>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</si>
  <si>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</si>
  <si>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</si>
  <si>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</si>
  <si>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</si>
  <si>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</si>
  <si>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</si>
  <si>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</si>
  <si>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</si>
  <si>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</si>
  <si>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</si>
  <si>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</si>
  <si>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</si>
  <si>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</si>
  <si>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</si>
  <si>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</si>
  <si>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</si>
  <si>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</si>
  <si>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</si>
  <si>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</si>
  <si>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</si>
  <si>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</si>
  <si>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</si>
  <si>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</si>
  <si>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</si>
  <si>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</si>
  <si>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</si>
  <si>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</si>
  <si>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</si>
  <si>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</si>
  <si>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</si>
  <si>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</si>
  <si>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</si>
  <si>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</si>
  <si>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</si>
  <si>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</si>
  <si>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</si>
  <si>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</si>
  <si>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</si>
  <si>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</si>
  <si>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</si>
  <si>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</si>
  <si>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</si>
  <si>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</si>
  <si>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</si>
  <si>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</si>
  <si>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</si>
  <si>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</si>
  <si>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</si>
  <si>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</si>
  <si>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</si>
  <si>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</si>
  <si>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</si>
  <si>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</si>
  <si>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</si>
  <si>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</si>
  <si>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</si>
  <si>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</si>
  <si>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</si>
  <si>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</si>
  <si>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</si>
  <si>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</si>
  <si>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</si>
  <si>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</si>
  <si>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</si>
  <si>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</si>
  <si>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</si>
  <si>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</si>
  <si>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</si>
  <si>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</si>
  <si>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</si>
  <si>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</si>
  <si>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</si>
  <si>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</si>
  <si>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</si>
  <si>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</si>
  <si>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</si>
  <si>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</si>
  <si>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</si>
  <si>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</si>
  <si>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</si>
  <si>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</si>
  <si>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</si>
  <si>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</si>
  <si>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</si>
  <si>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</si>
  <si>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</si>
  <si>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</si>
  <si>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</si>
  <si>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</si>
  <si>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</si>
  <si>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</si>
  <si>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</si>
  <si>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</si>
  <si>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</si>
  <si>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</si>
  <si>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</si>
  <si>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</si>
  <si>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</si>
  <si>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</si>
  <si>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</si>
  <si>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</si>
  <si>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</si>
  <si>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</si>
  <si>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</si>
  <si>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</si>
  <si>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</si>
  <si>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</si>
  <si>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</si>
  <si>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</si>
  <si>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</si>
  <si>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</si>
  <si>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</si>
  <si>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</si>
  <si>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</si>
  <si>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</si>
  <si>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</si>
  <si>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</si>
  <si>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</si>
  <si>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</si>
  <si>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</si>
  <si>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</si>
  <si>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</si>
  <si>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</si>
  <si>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</si>
  <si>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</si>
  <si>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</si>
  <si>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</si>
  <si>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</si>
  <si>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</si>
  <si>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</si>
  <si>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</si>
  <si>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</si>
  <si>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</si>
  <si>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</si>
  <si>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</si>
  <si>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</si>
  <si>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</si>
  <si>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</si>
  <si>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</si>
  <si>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</si>
  <si>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</si>
  <si>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</si>
  <si>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</si>
  <si>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</si>
  <si>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</si>
  <si>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</si>
  <si>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</si>
  <si>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</si>
  <si>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</si>
  <si>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</si>
  <si>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</si>
  <si>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</si>
  <si>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</si>
  <si>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</si>
  <si>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</si>
  <si>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</si>
  <si>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</si>
  <si>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</si>
  <si>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</si>
  <si>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</si>
  <si>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</si>
  <si>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</si>
  <si>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</si>
  <si>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</si>
  <si>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</si>
  <si>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</si>
  <si>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</si>
  <si>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</si>
  <si>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</si>
  <si>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</si>
  <si>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</si>
  <si>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</si>
  <si>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</si>
  <si>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</si>
  <si>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</si>
  <si>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</si>
  <si>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</si>
  <si>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</si>
  <si>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</si>
  <si>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</si>
  <si>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</si>
  <si>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</si>
  <si>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</si>
  <si>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</si>
  <si>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</si>
  <si>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</si>
  <si>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</si>
  <si>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</si>
  <si>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</si>
  <si>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</si>
  <si>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</si>
  <si>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</si>
  <si>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</si>
  <si>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</si>
  <si>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</si>
  <si>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</si>
  <si>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</si>
  <si>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</si>
  <si>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</si>
  <si>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</si>
  <si>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</si>
  <si>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</si>
  <si>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</si>
  <si>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</si>
  <si>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</si>
  <si>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</si>
  <si>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</si>
  <si>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</si>
  <si>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</si>
  <si>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</si>
  <si>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</si>
  <si>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</si>
  <si>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</si>
  <si>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</si>
  <si>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</si>
  <si>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</si>
  <si>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</si>
  <si>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</si>
  <si>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</si>
  <si>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</si>
  <si>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</si>
  <si>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</si>
  <si>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</si>
  <si>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</si>
  <si>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</si>
  <si>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</si>
  <si>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</si>
  <si>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</si>
  <si>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</si>
  <si>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</si>
  <si>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</si>
  <si>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</si>
  <si>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</si>
  <si>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</si>
  <si>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</si>
  <si>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</si>
  <si>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</si>
  <si>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</si>
  <si>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</si>
  <si>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</si>
  <si>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</si>
  <si>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</si>
  <si>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</si>
  <si>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</si>
  <si>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</si>
  <si>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</si>
  <si>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</si>
  <si>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</si>
  <si>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</si>
  <si>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</si>
  <si>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</si>
  <si>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</si>
  <si>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</si>
  <si>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</si>
  <si>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</si>
  <si>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</si>
  <si>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</si>
  <si>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</si>
  <si>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</si>
  <si>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</si>
  <si>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</si>
  <si>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</si>
  <si>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</si>
  <si>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</si>
  <si>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</si>
  <si>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</si>
  <si>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</si>
  <si>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</si>
  <si>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</si>
  <si>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</si>
  <si>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</si>
  <si>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</si>
  <si>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</si>
  <si>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</si>
  <si>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</si>
  <si>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</si>
  <si>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</si>
  <si>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</si>
  <si>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</si>
  <si>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</si>
  <si>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</si>
  <si>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</si>
  <si>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</si>
  <si>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</si>
  <si>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</si>
  <si>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</si>
  <si>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</si>
  <si>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</si>
  <si>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</si>
  <si>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</si>
  <si>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</si>
  <si>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</si>
  <si>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</si>
  <si>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</si>
  <si>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</si>
  <si>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</si>
  <si>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</si>
  <si>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</si>
  <si>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</si>
  <si>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</si>
  <si>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</si>
  <si>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</si>
  <si>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</si>
  <si>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</si>
  <si>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</si>
  <si>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</si>
  <si>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</si>
  <si>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</si>
  <si>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</si>
  <si>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</si>
  <si>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</si>
  <si>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</si>
  <si>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</si>
  <si>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</si>
  <si>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</si>
  <si>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</si>
  <si>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</si>
  <si>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</si>
  <si>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</si>
  <si>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</si>
  <si>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</si>
  <si>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</si>
  <si>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</si>
  <si>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</si>
  <si>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</si>
  <si>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</si>
  <si>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</si>
  <si>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</si>
  <si>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</si>
  <si>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</si>
  <si>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</si>
  <si>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</si>
  <si>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</si>
  <si>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</si>
  <si>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</si>
  <si>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</si>
  <si>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</si>
  <si>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</si>
  <si>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</si>
  <si>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</si>
  <si>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</si>
  <si>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</si>
  <si>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</si>
  <si>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</si>
  <si>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</si>
  <si>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</si>
  <si>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</si>
  <si>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</si>
  <si>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</si>
  <si>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</si>
  <si>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</si>
  <si>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</si>
  <si>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</si>
  <si>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</si>
  <si>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</si>
  <si>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</si>
  <si>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</si>
  <si>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</si>
  <si>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</si>
  <si>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</si>
  <si>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</si>
  <si>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</si>
  <si>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</si>
  <si>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</si>
  <si>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</si>
  <si>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</si>
  <si>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</si>
  <si>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</si>
  <si>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</si>
  <si>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</si>
  <si>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</si>
  <si>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</si>
  <si>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</si>
  <si>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</si>
  <si>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</si>
  <si>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</si>
  <si>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</si>
  <si>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</si>
  <si>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</si>
  <si>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</si>
  <si>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</si>
  <si>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</si>
  <si>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</si>
  <si>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</si>
  <si>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</si>
  <si>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</si>
  <si>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</si>
  <si>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</si>
  <si>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</si>
  <si>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</si>
  <si>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</si>
  <si>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</si>
  <si>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</si>
  <si>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</si>
  <si>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</si>
  <si>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</si>
  <si>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</si>
  <si>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</si>
  <si>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</si>
  <si>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</si>
  <si>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</si>
  <si>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</si>
  <si>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</si>
  <si>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</si>
  <si>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</si>
  <si>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</si>
  <si>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</si>
  <si>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</si>
  <si>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</si>
  <si>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</si>
  <si>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</si>
  <si>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</si>
  <si>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</si>
  <si>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</si>
  <si>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</si>
  <si>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</si>
  <si>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</si>
  <si>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</si>
  <si>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</si>
  <si>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</si>
  <si>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</si>
  <si>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</si>
  <si>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</si>
  <si>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</si>
  <si>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</si>
  <si>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</si>
  <si>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</si>
  <si>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</si>
  <si>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</si>
  <si>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</si>
  <si>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</si>
  <si>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</si>
  <si>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</si>
  <si>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</si>
  <si>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</si>
  <si>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</si>
  <si>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</si>
  <si>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</si>
  <si>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</si>
  <si>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</si>
  <si>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</si>
  <si>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</si>
  <si>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</si>
  <si>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</si>
  <si>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</si>
  <si>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</si>
  <si>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</si>
  <si>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</si>
  <si>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</si>
  <si>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</si>
  <si>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</si>
  <si>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</si>
  <si>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</si>
  <si>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</si>
  <si>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</si>
  <si>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</si>
  <si>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</si>
  <si>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</si>
  <si>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</si>
  <si>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</si>
  <si>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</si>
  <si>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</si>
  <si>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</si>
  <si>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</si>
  <si>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</si>
  <si>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</si>
  <si>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</si>
  <si>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</si>
  <si>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</si>
  <si>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</si>
  <si>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</si>
  <si>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</si>
  <si>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</si>
  <si>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</si>
  <si>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</si>
  <si>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</si>
  <si>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</si>
  <si>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</si>
  <si>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</si>
  <si>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</si>
  <si>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</si>
  <si>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</si>
  <si>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</si>
  <si>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</si>
  <si>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</si>
  <si>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</si>
  <si>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</si>
  <si>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</si>
  <si>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</si>
  <si>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</si>
  <si>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</si>
  <si>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</si>
  <si>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</si>
  <si>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</si>
  <si>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</si>
  <si>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</si>
  <si>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</si>
  <si>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</si>
  <si>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</si>
  <si>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</si>
  <si>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</si>
  <si>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</si>
  <si>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</si>
  <si>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</si>
  <si>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</si>
  <si>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</si>
  <si>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</si>
  <si>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</si>
  <si>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</si>
  <si>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</si>
  <si>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</si>
  <si>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</si>
  <si>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</si>
  <si>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</si>
  <si>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</si>
  <si>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</si>
  <si>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</si>
  <si>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</si>
  <si>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</si>
  <si>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</si>
  <si>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</si>
  <si>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</si>
  <si>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</si>
  <si>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</si>
  <si>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</si>
  <si>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</si>
  <si>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</si>
  <si>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</si>
  <si>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</si>
  <si>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</si>
  <si>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</si>
  <si>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</si>
  <si>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</si>
  <si>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</si>
  <si>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</si>
  <si>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</si>
  <si>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</si>
  <si>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</si>
  <si>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</si>
  <si>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</si>
  <si>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</si>
  <si>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</si>
  <si>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</si>
  <si>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</si>
  <si>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</si>
  <si>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</si>
  <si>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</si>
  <si>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</si>
  <si>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</si>
  <si>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</si>
  <si>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</si>
  <si>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</si>
  <si>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</si>
  <si>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</si>
  <si>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</si>
  <si>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</si>
  <si>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</si>
  <si>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</si>
  <si>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</si>
  <si>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</si>
  <si>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</si>
  <si>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</si>
  <si>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</si>
  <si>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</si>
  <si>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</si>
  <si>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</si>
  <si>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</si>
  <si>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</si>
  <si>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</si>
  <si>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</si>
  <si>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</si>
  <si>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</si>
  <si>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</si>
  <si>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</si>
  <si>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</si>
  <si>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</si>
  <si>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</si>
  <si>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</si>
  <si>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</si>
  <si>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</si>
  <si>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</si>
  <si>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</si>
  <si>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</si>
  <si>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</si>
  <si>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</si>
  <si>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</si>
  <si>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</si>
  <si>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</si>
  <si>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</si>
  <si>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</si>
  <si>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</si>
  <si>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</si>
  <si>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</si>
  <si>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</si>
  <si>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</si>
  <si>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</si>
  <si>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</si>
  <si>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</si>
  <si>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</si>
  <si>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</si>
  <si>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</si>
  <si>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</si>
  <si>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</si>
  <si>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</si>
  <si>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</si>
  <si>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</si>
  <si>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</si>
  <si>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</si>
  <si>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</si>
  <si>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</si>
  <si>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</si>
  <si>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</si>
  <si>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</si>
  <si>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</si>
  <si>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</si>
  <si>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</si>
  <si>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</si>
  <si>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</si>
  <si>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</si>
  <si>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</si>
  <si>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</si>
  <si>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</si>
  <si>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</si>
  <si>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</si>
  <si>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</si>
  <si>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</si>
  <si>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</si>
  <si>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</si>
  <si>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</si>
  <si>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</si>
  <si>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</si>
  <si>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</si>
  <si>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</si>
  <si>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</si>
  <si>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</si>
  <si>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</si>
  <si>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</si>
  <si>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</si>
  <si>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</si>
  <si>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</si>
  <si>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</si>
  <si>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</si>
  <si>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</si>
  <si>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</si>
  <si>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</si>
  <si>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</si>
  <si>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</si>
  <si>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</si>
  <si>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</si>
  <si>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</si>
  <si>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</si>
  <si>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</si>
  <si>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</si>
  <si>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</si>
  <si>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</si>
  <si>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</si>
  <si>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</si>
  <si>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</si>
  <si>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</si>
  <si>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</si>
  <si>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</si>
  <si>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</si>
  <si>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</si>
  <si>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</si>
  <si>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</si>
  <si>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</si>
  <si>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</si>
  <si>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</si>
  <si>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</si>
  <si>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</si>
  <si>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</si>
  <si>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</si>
  <si>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</si>
  <si>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</si>
  <si>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</si>
  <si>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</si>
  <si>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</si>
  <si>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</si>
  <si>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</si>
  <si>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</si>
  <si>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</si>
  <si>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</si>
  <si>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</si>
  <si>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</si>
  <si>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</si>
  <si>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</si>
  <si>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</si>
  <si>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</si>
  <si>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</si>
  <si>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</si>
  <si>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</si>
  <si>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</si>
  <si>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</si>
  <si>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</si>
  <si>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</si>
  <si>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</si>
  <si>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</si>
  <si>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</si>
  <si>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</si>
  <si>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</si>
  <si>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</si>
  <si>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</si>
  <si>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</si>
  <si>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</si>
  <si>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</si>
  <si>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</si>
  <si>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</si>
  <si>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</si>
  <si>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</si>
  <si>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</si>
  <si>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</si>
  <si>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</si>
  <si>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</si>
  <si>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</si>
  <si>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</si>
  <si>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</si>
  <si>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</si>
  <si>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</si>
  <si>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</si>
  <si>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</si>
  <si>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</si>
  <si>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</si>
  <si>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</si>
  <si>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</si>
  <si>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</si>
  <si>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</si>
  <si>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</si>
  <si>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</si>
  <si>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</si>
  <si>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</si>
  <si>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</si>
  <si>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</si>
  <si>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</si>
  <si>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</si>
  <si>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</si>
  <si>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</si>
  <si>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</si>
  <si>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</si>
  <si>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</si>
  <si>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</si>
  <si>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</si>
  <si>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</si>
  <si>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</si>
  <si>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</si>
  <si>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</si>
  <si>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</si>
  <si>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</si>
  <si>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</si>
  <si>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</si>
  <si>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</si>
  <si>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</si>
  <si>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</si>
  <si>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</si>
  <si>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</si>
  <si>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</si>
  <si>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</si>
  <si>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</si>
  <si>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</si>
  <si>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</si>
  <si>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</si>
  <si>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</si>
  <si>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</si>
  <si>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</si>
  <si>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</si>
  <si>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</si>
  <si>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</si>
  <si>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</si>
  <si>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</si>
  <si>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</si>
  <si>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</si>
  <si>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</si>
  <si>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</si>
  <si>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</si>
  <si>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</si>
  <si>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</si>
  <si>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</si>
  <si>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</si>
  <si>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</si>
  <si>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</si>
  <si>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</si>
  <si>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</si>
  <si>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</si>
  <si>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</si>
  <si>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</si>
  <si>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</si>
  <si>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</si>
  <si>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</si>
  <si>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</si>
  <si>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</si>
  <si>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</si>
  <si>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</si>
  <si>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</si>
  <si>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</si>
  <si>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</si>
  <si>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</si>
  <si>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</si>
  <si>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</si>
  <si>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</si>
  <si>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</si>
  <si>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</si>
  <si>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</si>
  <si>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</si>
  <si>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</si>
  <si>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</si>
  <si>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</si>
  <si>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</si>
  <si>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</si>
  <si>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</si>
  <si>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</si>
  <si>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</si>
  <si>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</si>
  <si>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</si>
  <si>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</si>
  <si>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</si>
  <si>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</si>
  <si>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</si>
  <si>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</si>
  <si>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</si>
  <si>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</si>
  <si>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</si>
  <si>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</si>
  <si>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</si>
  <si>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</si>
  <si>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</si>
  <si>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</si>
  <si>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</si>
  <si>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</si>
  <si>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</si>
  <si>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</si>
  <si>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</si>
  <si>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</si>
  <si>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</si>
  <si>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</si>
  <si>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</si>
  <si>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</si>
  <si>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</si>
  <si>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</si>
  <si>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</si>
  <si>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</si>
  <si>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</si>
  <si>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</si>
  <si>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</si>
  <si>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</si>
  <si>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</si>
  <si>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</si>
  <si>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</si>
  <si>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</si>
  <si>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</si>
  <si>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</si>
  <si>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</si>
  <si>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</si>
  <si>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</si>
  <si>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</si>
  <si>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</si>
  <si>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</si>
  <si>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</si>
  <si>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</si>
  <si>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</si>
  <si>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</si>
  <si>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</si>
  <si>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</si>
  <si>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</si>
  <si>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</si>
  <si>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</si>
  <si>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</si>
  <si>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</si>
  <si>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</si>
  <si>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</si>
  <si>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</si>
  <si>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</si>
  <si>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</si>
  <si>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</si>
  <si>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</si>
  <si>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</si>
  <si>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</si>
  <si>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</si>
  <si>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</si>
  <si>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</si>
  <si>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</si>
  <si>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</si>
  <si>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</si>
  <si>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</si>
  <si>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</si>
  <si>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</si>
  <si>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</si>
  <si>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</si>
  <si>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</si>
  <si>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</si>
  <si>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</si>
  <si>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</si>
  <si>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</si>
  <si>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</si>
  <si>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</si>
  <si>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</si>
  <si>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</si>
  <si>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</si>
  <si>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</si>
  <si>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</si>
  <si>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</si>
  <si>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</si>
  <si>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</si>
  <si>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</si>
  <si>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</si>
  <si>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</si>
  <si>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</si>
  <si>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</si>
  <si>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</si>
  <si>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</si>
  <si>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</si>
  <si>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</si>
  <si>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</si>
  <si>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</si>
  <si>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</si>
  <si>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</si>
  <si>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</si>
  <si>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</si>
  <si>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</si>
  <si>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</si>
  <si>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</si>
  <si>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</si>
  <si>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</si>
  <si>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</si>
  <si>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</si>
  <si>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</si>
  <si>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</si>
  <si>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</si>
  <si>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</si>
  <si>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</si>
  <si>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</si>
  <si>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</si>
  <si>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</si>
  <si>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</si>
  <si>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</si>
  <si>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</si>
  <si>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</si>
  <si>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</si>
  <si>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</si>
  <si>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</si>
  <si>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</si>
  <si>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</si>
  <si>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</si>
  <si>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</si>
  <si>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</si>
  <si>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</si>
  <si>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</si>
  <si>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</si>
  <si>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</si>
  <si>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</si>
  <si>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</si>
  <si>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</si>
  <si>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</si>
  <si>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</si>
  <si>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</si>
  <si>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</si>
  <si>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</si>
  <si>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</si>
  <si>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</si>
  <si>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</si>
  <si>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</si>
  <si>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</si>
  <si>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</si>
  <si>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</si>
  <si>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</si>
  <si>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</si>
  <si>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</si>
  <si>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</si>
  <si>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</si>
  <si>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</si>
  <si>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</si>
  <si>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</si>
  <si>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</si>
  <si>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</si>
  <si>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</si>
  <si>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</si>
  <si>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</si>
  <si>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</si>
  <si>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</si>
  <si>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</si>
  <si>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</si>
  <si>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</si>
  <si>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</si>
  <si>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</si>
  <si>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</si>
  <si>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</si>
  <si>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</si>
  <si>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</si>
  <si>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</si>
  <si>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</si>
  <si>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</si>
  <si>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</si>
  <si>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</si>
  <si>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</si>
  <si>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</si>
  <si>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</si>
  <si>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</si>
  <si>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</si>
  <si>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</si>
  <si>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</si>
  <si>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</si>
  <si>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</si>
  <si>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</si>
  <si>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</si>
  <si>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</si>
  <si>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</si>
  <si>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</si>
  <si>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</si>
  <si>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</si>
  <si>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</si>
  <si>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</si>
  <si>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</si>
  <si>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</si>
  <si>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</si>
  <si>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</si>
  <si>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</si>
  <si>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</si>
  <si>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</si>
  <si>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</si>
  <si>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</si>
  <si>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</si>
  <si>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</si>
  <si>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</si>
  <si>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</si>
  <si>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</si>
  <si>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</si>
  <si>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</si>
  <si>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</si>
  <si>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</si>
  <si>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</si>
  <si>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</si>
  <si>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</si>
  <si>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</si>
  <si>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</si>
  <si>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</si>
  <si>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</si>
  <si>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</si>
  <si>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</si>
  <si>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</si>
  <si>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</si>
  <si>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</si>
  <si>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</si>
  <si>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</si>
  <si>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</si>
  <si>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</si>
  <si>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</si>
  <si>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</si>
  <si>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</si>
  <si>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</si>
  <si>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</si>
  <si>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</si>
  <si>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</si>
  <si>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</si>
  <si>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</si>
  <si>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</si>
  <si>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</si>
  <si>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</si>
  <si>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</si>
  <si>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</si>
  <si>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</si>
  <si>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</si>
  <si>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</si>
  <si>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</si>
  <si>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</si>
  <si>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</si>
  <si>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</si>
  <si>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</si>
  <si>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</si>
  <si>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</si>
  <si>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</si>
  <si>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</si>
  <si>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</si>
  <si>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</si>
  <si>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</si>
  <si>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</si>
  <si>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</si>
  <si>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</si>
  <si>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</si>
  <si>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</si>
  <si>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</si>
  <si>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</si>
  <si>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</si>
  <si>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</si>
  <si>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</si>
  <si>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</si>
  <si>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</si>
  <si>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</si>
  <si>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</si>
  <si>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</si>
  <si>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</si>
  <si>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</si>
  <si>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</si>
  <si>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</si>
  <si>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</si>
  <si>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</si>
  <si>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</si>
  <si>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</si>
  <si>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</si>
  <si>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</si>
  <si>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</si>
  <si>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</si>
  <si>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</si>
  <si>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</si>
  <si>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</si>
  <si>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</si>
  <si>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</si>
  <si>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</si>
  <si>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</si>
  <si>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</si>
  <si>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</si>
  <si>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</si>
  <si>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</si>
  <si>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</si>
  <si>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</si>
  <si>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</si>
  <si>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</si>
  <si>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</si>
  <si>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</si>
  <si>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</si>
  <si>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</si>
  <si>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</si>
  <si>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</si>
  <si>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</si>
  <si>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</si>
  <si>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</si>
  <si>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</si>
  <si>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</si>
  <si>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</si>
  <si>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</si>
  <si>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</si>
  <si>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</si>
  <si>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</si>
  <si>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</si>
  <si>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</si>
  <si>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</si>
  <si>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</si>
  <si>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</si>
  <si>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</si>
  <si>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</si>
  <si>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</si>
  <si>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</si>
  <si>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</si>
  <si>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</si>
  <si>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</si>
  <si>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</si>
  <si>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</si>
  <si>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</si>
  <si>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</si>
  <si>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</si>
  <si>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</si>
  <si>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</si>
  <si>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</si>
  <si>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</si>
  <si>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</si>
  <si>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</si>
  <si>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</si>
  <si>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</si>
  <si>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</si>
  <si>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</si>
  <si>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</si>
  <si>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</si>
  <si>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</si>
  <si>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</si>
  <si>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</si>
  <si>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</si>
  <si>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</si>
  <si>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</si>
  <si>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</si>
  <si>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</si>
  <si>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</si>
  <si>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</si>
  <si>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</si>
  <si>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</si>
  <si>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</si>
  <si>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</si>
  <si>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</si>
  <si>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</si>
  <si>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</si>
  <si>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</si>
  <si>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</si>
  <si>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</si>
  <si>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</si>
  <si>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</si>
  <si>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</si>
  <si>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</si>
  <si>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</si>
  <si>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</si>
  <si>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</si>
  <si>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</si>
  <si>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</si>
  <si>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</si>
  <si>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</si>
  <si>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</si>
  <si>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</si>
  <si>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</si>
  <si>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</si>
  <si>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</si>
  <si>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</si>
  <si>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</si>
  <si>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</si>
  <si>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</si>
  <si>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</si>
  <si>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</si>
  <si>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</si>
  <si>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</si>
  <si>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</si>
  <si>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</si>
  <si>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</si>
  <si>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</si>
  <si>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</si>
  <si>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</si>
  <si>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</si>
  <si>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</si>
  <si>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</si>
  <si>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</si>
  <si>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</si>
  <si>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</si>
  <si>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</si>
  <si>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</si>
  <si>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</si>
  <si>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</si>
  <si>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</si>
  <si>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</si>
  <si>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</si>
  <si>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</si>
  <si>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</si>
  <si>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</si>
  <si>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</si>
  <si>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</si>
  <si>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</si>
  <si>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</si>
  <si>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</si>
  <si>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</si>
  <si>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</si>
  <si>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</si>
  <si>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</si>
  <si>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</si>
  <si>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</si>
  <si>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</si>
  <si>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</si>
  <si>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</si>
  <si>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</si>
  <si>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</si>
  <si>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</si>
  <si>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</si>
  <si>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</si>
  <si>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</si>
  <si>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</si>
  <si>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</si>
  <si>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</si>
  <si>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</si>
  <si>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</si>
  <si>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</si>
  <si>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</si>
  <si>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</si>
  <si>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</si>
  <si>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</si>
  <si>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</si>
  <si>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</si>
  <si>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</si>
  <si>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</si>
  <si>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</si>
  <si>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</si>
  <si>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</si>
  <si>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</si>
  <si>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</si>
  <si>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</si>
  <si>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</si>
  <si>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</si>
  <si>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</si>
  <si>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</si>
  <si>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</si>
  <si>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</si>
  <si>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</si>
  <si>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</si>
  <si>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</si>
  <si>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</si>
  <si>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</si>
  <si>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</si>
  <si>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</si>
  <si>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</si>
  <si>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</si>
  <si>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</si>
  <si>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</si>
  <si>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</si>
  <si>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</si>
  <si>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</si>
  <si>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</si>
  <si>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</si>
  <si>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</si>
  <si>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</si>
  <si>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</si>
  <si>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</si>
  <si>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</si>
  <si>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</si>
  <si>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</si>
  <si>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</si>
  <si>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</si>
  <si>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</si>
  <si>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</si>
  <si>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</si>
  <si>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</si>
  <si>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</si>
  <si>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</si>
  <si>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</si>
  <si>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</si>
  <si>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</si>
  <si>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</si>
  <si>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</si>
  <si>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</si>
  <si>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</si>
  <si>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</si>
  <si>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</si>
  <si>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</si>
  <si>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</si>
  <si>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</si>
  <si>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</si>
  <si>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</si>
  <si>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</si>
  <si>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</si>
  <si>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</si>
  <si>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</si>
  <si>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</si>
  <si>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</si>
  <si>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</si>
  <si>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</si>
  <si>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</si>
  <si>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</si>
  <si>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</si>
  <si>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</si>
  <si>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</si>
  <si>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</si>
  <si>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</si>
  <si>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</si>
  <si>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</si>
  <si>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</si>
  <si>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</si>
  <si>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</si>
  <si>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</si>
  <si>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</si>
  <si>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</si>
  <si>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</si>
  <si>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</si>
  <si>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</si>
  <si>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</si>
  <si>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</si>
  <si>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</si>
  <si>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</si>
  <si>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</si>
  <si>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</si>
  <si>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</si>
  <si>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</si>
  <si>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</si>
  <si>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</si>
  <si>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</si>
  <si>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</si>
  <si>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</si>
  <si>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</si>
  <si>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</si>
  <si>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</si>
  <si>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</si>
  <si>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</si>
  <si>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</si>
  <si>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</si>
  <si>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</si>
  <si>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</si>
  <si>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</si>
  <si>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</si>
  <si>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</si>
  <si>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</si>
  <si>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</si>
  <si>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</si>
  <si>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</si>
  <si>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</si>
  <si>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</si>
  <si>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</si>
  <si>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</si>
  <si>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</si>
  <si>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</si>
  <si>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</si>
  <si>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</si>
  <si>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</si>
  <si>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</si>
  <si>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</si>
  <si>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</si>
  <si>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</si>
  <si>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</si>
  <si>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</si>
  <si>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</si>
  <si>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</si>
  <si>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</si>
  <si>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</si>
  <si>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</si>
  <si>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</si>
  <si>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</si>
  <si>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</si>
  <si>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</si>
  <si>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</si>
  <si>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</si>
  <si>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</si>
  <si>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</si>
  <si>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</si>
  <si>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</si>
  <si>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</si>
  <si>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</si>
  <si>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</si>
  <si>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</si>
  <si>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</si>
  <si>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</si>
  <si>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</si>
  <si>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</si>
  <si>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</si>
  <si>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</si>
  <si>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</si>
  <si>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</si>
  <si>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</si>
  <si>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</si>
  <si>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</si>
  <si>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</si>
  <si>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</si>
  <si>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</si>
  <si>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</si>
  <si>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</si>
  <si>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</si>
  <si>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</si>
  <si>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</si>
  <si>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</si>
  <si>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</si>
  <si>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</si>
  <si>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</si>
  <si>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</si>
  <si>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</si>
  <si>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</si>
  <si>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</si>
  <si>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</si>
  <si>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</si>
  <si>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</si>
  <si>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</si>
  <si>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</si>
  <si>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</si>
  <si>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</si>
  <si>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</si>
  <si>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</si>
  <si>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</si>
  <si>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</si>
  <si>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</si>
  <si>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</si>
  <si>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</si>
  <si>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</si>
  <si>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</si>
  <si>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</si>
  <si>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</si>
  <si>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</si>
  <si>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</si>
  <si>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</si>
  <si>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</si>
  <si>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</si>
  <si>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</si>
  <si>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</si>
  <si>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</si>
  <si>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</si>
  <si>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</si>
  <si>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</si>
  <si>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</si>
  <si>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</si>
  <si>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</si>
  <si>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</si>
  <si>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</si>
  <si>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</si>
  <si>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</si>
  <si>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</si>
  <si>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</si>
  <si>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</si>
  <si>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</si>
  <si>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</si>
  <si>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</si>
  <si>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</si>
  <si>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</si>
  <si>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</si>
  <si>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</si>
  <si>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</si>
  <si>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</si>
  <si>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</si>
  <si>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</si>
  <si>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</si>
  <si>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</si>
  <si>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</si>
  <si>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</si>
  <si>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</si>
  <si>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</si>
  <si>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</si>
  <si>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</si>
  <si>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</si>
  <si>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</si>
  <si>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</si>
  <si>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</si>
  <si>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</si>
  <si>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</si>
  <si>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</si>
  <si>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</si>
  <si>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</si>
  <si>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</si>
  <si>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</si>
  <si>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</si>
  <si>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</si>
  <si>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</si>
  <si>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</si>
  <si>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</si>
  <si>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</si>
  <si>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</si>
  <si>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</si>
  <si>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</si>
  <si>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</si>
  <si>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</si>
  <si>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</si>
  <si>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</si>
  <si>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</si>
  <si>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</si>
  <si>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</si>
  <si>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</si>
  <si>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</si>
  <si>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</si>
  <si>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</si>
  <si>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</si>
  <si>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</si>
  <si>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</si>
  <si>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</si>
  <si>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</si>
  <si>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</si>
  <si>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</si>
  <si>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</si>
  <si>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</si>
  <si>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</si>
  <si>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</si>
  <si>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</si>
  <si>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</si>
  <si>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</si>
  <si>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</si>
  <si>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</si>
  <si>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</si>
  <si>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</si>
  <si>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</si>
  <si>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</si>
  <si>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</si>
  <si>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</si>
  <si>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</si>
  <si>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</si>
  <si>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</si>
  <si>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</si>
  <si>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</si>
  <si>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</si>
  <si>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</si>
  <si>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</si>
  <si>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</si>
  <si>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</si>
  <si>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</si>
  <si>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</si>
  <si>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</si>
  <si>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</si>
  <si>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</si>
  <si>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</si>
  <si>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</si>
  <si>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</si>
  <si>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</si>
  <si>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</si>
  <si>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</si>
  <si>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</si>
  <si>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</si>
  <si>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</si>
  <si>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</si>
  <si>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</si>
  <si>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</si>
  <si>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</si>
  <si>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</si>
  <si>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</si>
  <si>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</si>
  <si>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</si>
  <si>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</si>
  <si>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</si>
  <si>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</si>
  <si>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</si>
  <si>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</si>
  <si>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</si>
  <si>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</si>
  <si>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</si>
  <si>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</si>
  <si>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</si>
  <si>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</si>
  <si>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</si>
  <si>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</si>
  <si>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</si>
  <si>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</si>
  <si>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</si>
  <si>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</si>
  <si>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</si>
  <si>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</si>
  <si>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</si>
  <si>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</si>
  <si>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</si>
  <si>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</si>
  <si>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</si>
  <si>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</si>
  <si>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</si>
  <si>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</si>
  <si>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</si>
  <si>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</si>
  <si>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</si>
  <si>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</si>
  <si>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</si>
  <si>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</si>
  <si>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</si>
  <si>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</si>
  <si>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</si>
  <si>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</si>
  <si>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</si>
  <si>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</si>
  <si>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</si>
  <si>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</si>
  <si>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</si>
  <si>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</si>
  <si>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</si>
  <si>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</si>
  <si>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</si>
  <si>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</si>
  <si>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</si>
  <si>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</si>
  <si>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</si>
  <si>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</si>
  <si>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</si>
  <si>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</si>
  <si>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</si>
  <si>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</si>
  <si>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</si>
  <si>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</si>
  <si>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</si>
  <si>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</si>
  <si>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</si>
  <si>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</si>
  <si>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</si>
  <si>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</si>
  <si>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</si>
  <si>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</si>
  <si>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</si>
  <si>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</si>
  <si>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</si>
  <si>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</si>
  <si>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</si>
  <si>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</si>
  <si>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</si>
  <si>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</si>
  <si>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</si>
  <si>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</si>
  <si>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</si>
  <si>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</si>
  <si>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</si>
  <si>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</si>
  <si>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</si>
  <si>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</si>
  <si>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</si>
  <si>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</si>
  <si>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</si>
  <si>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</si>
  <si>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</si>
  <si>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</si>
  <si>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</si>
  <si>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</si>
  <si>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</si>
  <si>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</si>
  <si>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</si>
  <si>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</si>
  <si>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</si>
  <si>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</si>
  <si>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</si>
  <si>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</si>
  <si>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</si>
  <si>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</si>
  <si>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</si>
  <si>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</si>
  <si>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</si>
  <si>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</si>
  <si>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</si>
  <si>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</si>
  <si>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</si>
  <si>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</si>
  <si>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</si>
  <si>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</si>
  <si>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</si>
  <si>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</si>
  <si>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</si>
  <si>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</si>
  <si>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</si>
  <si>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</si>
  <si>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</si>
  <si>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</si>
  <si>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</si>
  <si>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</si>
  <si>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</si>
  <si>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</si>
  <si>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</si>
  <si>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</si>
  <si>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</si>
  <si>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</si>
  <si>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</si>
  <si>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</si>
  <si>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</si>
  <si>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</si>
  <si>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</si>
  <si>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</si>
  <si>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</si>
  <si>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</si>
  <si>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</si>
  <si>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</si>
  <si>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</si>
  <si>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</si>
  <si>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</si>
  <si>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</si>
  <si>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</si>
  <si>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</si>
  <si>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</si>
  <si>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</si>
  <si>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</si>
  <si>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</si>
  <si>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</si>
  <si>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</si>
  <si>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</si>
  <si>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</si>
  <si>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</si>
  <si>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</si>
  <si>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</si>
  <si>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</si>
  <si>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</si>
  <si>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</si>
  <si>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</si>
  <si>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</si>
  <si>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</si>
  <si>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</si>
  <si>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</si>
  <si>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</si>
  <si>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</si>
  <si>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</si>
  <si>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</si>
  <si>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</si>
  <si>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</si>
  <si>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</si>
  <si>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</si>
  <si>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</si>
  <si>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</si>
  <si>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</si>
  <si>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</si>
  <si>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</si>
  <si>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</si>
  <si>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</si>
  <si>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</si>
  <si>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</si>
  <si>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</si>
  <si>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</si>
  <si>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</si>
  <si>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</si>
  <si>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</si>
  <si>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</si>
  <si>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</si>
  <si>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</si>
  <si>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</si>
  <si>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</si>
  <si>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</si>
  <si>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</si>
  <si>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</si>
  <si>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</si>
  <si>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</si>
  <si>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</si>
  <si>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</si>
  <si>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</si>
  <si>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</si>
  <si>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</si>
  <si>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</si>
  <si>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</si>
  <si>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</si>
  <si>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</si>
  <si>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</si>
  <si>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</si>
  <si>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</si>
  <si>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Founded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</si>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</sst>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/>
      <top style="thick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3" fillId="0" borderId="4" xfId="0" applyFont="1" applyBorder="1"/>
    <xf numFmtId="0" fontId="1" fillId="0" borderId="4" xfId="0" applyFont="1" applyBorder="1"/>
    <xf numFmtId="2" fontId="4" fillId="0" borderId="0" xfId="1" applyNumberFormat="1"/>
  </cellXfs>
  <cellStyles count="2">
    <cellStyle name="Hyperlink" xfId="1" builtinId="8"/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Laura De Morneau.xlsx]Outcome vs Category!PivotTable14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0-420D-A7C5-5A1C84D7AFF9}"/>
            </c:ext>
          </c:extLst>
        </c:ser>
        <c:ser>
          <c:idx val="1"/>
          <c:order val="1"/>
          <c:tx>
            <c:strRef>
              <c:f>'Outcome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D0-420D-A7C5-5A1C84D7AFF9}"/>
            </c:ext>
          </c:extLst>
        </c:ser>
        <c:ser>
          <c:idx val="2"/>
          <c:order val="2"/>
          <c:tx>
            <c:strRef>
              <c:f>'Outcome vs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D0-420D-A7C5-5A1C84D7AFF9}"/>
            </c:ext>
          </c:extLst>
        </c:ser>
        <c:ser>
          <c:idx val="3"/>
          <c:order val="3"/>
          <c:tx>
            <c:strRef>
              <c:f>'Outcome vs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D0-420D-A7C5-5A1C84D7A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550648"/>
        <c:axId val="974552568"/>
      </c:barChart>
      <c:catAx>
        <c:axId val="974550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52568"/>
        <c:crosses val="autoZero"/>
        <c:auto val="1"/>
        <c:lblAlgn val="ctr"/>
        <c:lblOffset val="100"/>
        <c:noMultiLvlLbl val="0"/>
      </c:catAx>
      <c:valAx>
        <c:axId val="97455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5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Laura De Morneau.xlsx]Outcome vs Subcaterogy!PivotTable15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Subcaterogy'!$B$3:$B$4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vs Subcaterogy'!$A$5:$A$46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Subcaterogy'!$B$5:$B$46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2-4D35-9C7E-F6DCAED8F6CD}"/>
            </c:ext>
          </c:extLst>
        </c:ser>
        <c:ser>
          <c:idx val="1"/>
          <c:order val="1"/>
          <c:tx>
            <c:strRef>
              <c:f>'Outcome vs Subcaterogy'!$C$3:$C$4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vs Subcaterogy'!$A$5:$A$46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Subcaterogy'!$C$5:$C$46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2-4D35-9C7E-F6DCAED8F6CD}"/>
            </c:ext>
          </c:extLst>
        </c:ser>
        <c:ser>
          <c:idx val="2"/>
          <c:order val="2"/>
          <c:tx>
            <c:strRef>
              <c:f>'Outcome vs Subcaterogy'!$D$3:$D$4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vs Subcaterogy'!$A$5:$A$46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Subcaterogy'!$D$5:$D$46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2-4D35-9C7E-F6DCAED8F6CD}"/>
            </c:ext>
          </c:extLst>
        </c:ser>
        <c:ser>
          <c:idx val="3"/>
          <c:order val="3"/>
          <c:tx>
            <c:strRef>
              <c:f>'Outcome vs Subcaterogy'!$E$3:$E$4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vs Subcaterogy'!$A$5:$A$46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Subcaterogy'!$E$5:$E$46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92-4D35-9C7E-F6DCAED8F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544568"/>
        <c:axId val="974544888"/>
      </c:barChart>
      <c:catAx>
        <c:axId val="974544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44888"/>
        <c:crosses val="autoZero"/>
        <c:auto val="1"/>
        <c:lblAlgn val="ctr"/>
        <c:lblOffset val="100"/>
        <c:noMultiLvlLbl val="0"/>
      </c:catAx>
      <c:valAx>
        <c:axId val="97454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4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by Laura De Morneau.xlsx]Outcome vs Date Created Convers!PivotTable16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Date Created Convers'!$B$4:$B$5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vs Date Created Convers'!$A$6:$A$19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vs Date Created Convers'!$B$6:$B$19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1-43D1-838C-2E15B41B2058}"/>
            </c:ext>
          </c:extLst>
        </c:ser>
        <c:ser>
          <c:idx val="1"/>
          <c:order val="1"/>
          <c:tx>
            <c:strRef>
              <c:f>'Outcome vs Date Created Convers'!$C$4:$C$5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vs Date Created Convers'!$A$6:$A$19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vs Date Created Convers'!$C$6:$C$19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1-43D1-838C-2E15B41B2058}"/>
            </c:ext>
          </c:extLst>
        </c:ser>
        <c:ser>
          <c:idx val="2"/>
          <c:order val="2"/>
          <c:tx>
            <c:strRef>
              <c:f>'Outcome vs Date Created Convers'!$D$4:$D$5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vs Date Created Convers'!$A$6:$A$19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vs Date Created Convers'!$D$6:$D$19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1-43D1-838C-2E15B41B2058}"/>
            </c:ext>
          </c:extLst>
        </c:ser>
        <c:ser>
          <c:idx val="3"/>
          <c:order val="3"/>
          <c:tx>
            <c:strRef>
              <c:f>'Outcome vs Date Created Convers'!$E$4:$E$5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vs Date Created Convers'!$A$6:$A$19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vs Date Created Convers'!$E$6:$E$19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1-43D1-838C-2E15B41B2058}"/>
            </c:ext>
          </c:extLst>
        </c:ser>
        <c:ser>
          <c:idx val="4"/>
          <c:order val="4"/>
          <c:tx>
            <c:strRef>
              <c:f>'Outcome vs Date Created Convers'!$F$4:$F$5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vs Date Created Convers'!$A$6:$A$19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vs Date Created Convers'!$F$6:$F$19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A1-43D1-838C-2E15B41B2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637944"/>
        <c:axId val="886639864"/>
      </c:lineChart>
      <c:catAx>
        <c:axId val="88663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39864"/>
        <c:crosses val="autoZero"/>
        <c:auto val="1"/>
        <c:lblAlgn val="ctr"/>
        <c:lblOffset val="100"/>
        <c:noMultiLvlLbl val="0"/>
      </c:catAx>
      <c:valAx>
        <c:axId val="88663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3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Bonus!$B$2:$B$15</c:f>
              <c:numCache>
                <c:formatCode>General</c:formatCode>
                <c:ptCount val="13"/>
                <c:pt idx="0">
                  <c:v>438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6</c:v>
                </c:pt>
                <c:pt idx="11">
                  <c:v>86</c:v>
                </c:pt>
                <c:pt idx="12">
                  <c:v>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1-4ED2-80D4-1ED62324789D}"/>
            </c:ext>
          </c:extLst>
        </c:ser>
        <c:ser>
          <c:idx val="3"/>
          <c:order val="1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Bonus!$E$2:$E$15</c:f>
              <c:numCache>
                <c:formatCode>General</c:formatCode>
                <c:ptCount val="13"/>
                <c:pt idx="0">
                  <c:v>569</c:v>
                </c:pt>
                <c:pt idx="1">
                  <c:v>1359</c:v>
                </c:pt>
                <c:pt idx="2">
                  <c:v>567</c:v>
                </c:pt>
                <c:pt idx="3">
                  <c:v>239</c:v>
                </c:pt>
                <c:pt idx="4">
                  <c:v>130</c:v>
                </c:pt>
                <c:pt idx="5">
                  <c:v>79</c:v>
                </c:pt>
                <c:pt idx="6">
                  <c:v>71</c:v>
                </c:pt>
                <c:pt idx="7">
                  <c:v>39</c:v>
                </c:pt>
                <c:pt idx="8">
                  <c:v>36</c:v>
                </c:pt>
                <c:pt idx="9">
                  <c:v>29</c:v>
                </c:pt>
                <c:pt idx="10">
                  <c:v>8</c:v>
                </c:pt>
                <c:pt idx="11">
                  <c:v>367</c:v>
                </c:pt>
                <c:pt idx="12">
                  <c:v>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1-4ED2-80D4-1ED62324789D}"/>
            </c:ext>
          </c:extLst>
        </c:ser>
        <c:ser>
          <c:idx val="4"/>
          <c:order val="2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Bonus!$F$2:$F$15</c:f>
              <c:numCache>
                <c:formatCode>0%</c:formatCode>
                <c:ptCount val="13"/>
                <c:pt idx="0">
                  <c:v>0.76977152899824253</c:v>
                </c:pt>
                <c:pt idx="1">
                  <c:v>0.68506254598969829</c:v>
                </c:pt>
                <c:pt idx="2">
                  <c:v>0.67019400352733682</c:v>
                </c:pt>
                <c:pt idx="3">
                  <c:v>0.70292887029288698</c:v>
                </c:pt>
                <c:pt idx="4">
                  <c:v>0.72307692307692306</c:v>
                </c:pt>
                <c:pt idx="5">
                  <c:v>0.78481012658227844</c:v>
                </c:pt>
                <c:pt idx="6">
                  <c:v>0.77464788732394363</c:v>
                </c:pt>
                <c:pt idx="7">
                  <c:v>0.82051282051282048</c:v>
                </c:pt>
                <c:pt idx="8">
                  <c:v>0.72222222222222221</c:v>
                </c:pt>
                <c:pt idx="9">
                  <c:v>0.89655172413793105</c:v>
                </c:pt>
                <c:pt idx="10">
                  <c:v>0.75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1-4ED2-80D4-1ED62324789D}"/>
            </c:ext>
          </c:extLst>
        </c:ser>
        <c:ser>
          <c:idx val="5"/>
          <c:order val="3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Bonus!$G$2:$G$15</c:f>
              <c:numCache>
                <c:formatCode>0%</c:formatCode>
                <c:ptCount val="13"/>
                <c:pt idx="0">
                  <c:v>0.19859402460456943</c:v>
                </c:pt>
                <c:pt idx="1">
                  <c:v>0.26269315673289184</c:v>
                </c:pt>
                <c:pt idx="2">
                  <c:v>0.2821869488536155</c:v>
                </c:pt>
                <c:pt idx="3">
                  <c:v>0.24686192468619247</c:v>
                </c:pt>
                <c:pt idx="4">
                  <c:v>0.24615384615384617</c:v>
                </c:pt>
                <c:pt idx="5">
                  <c:v>0.20253164556962025</c:v>
                </c:pt>
                <c:pt idx="6">
                  <c:v>0.21126760563380281</c:v>
                </c:pt>
                <c:pt idx="7">
                  <c:v>0.15384615384615385</c:v>
                </c:pt>
                <c:pt idx="8">
                  <c:v>0.22222222222222221</c:v>
                </c:pt>
                <c:pt idx="9">
                  <c:v>0.10344827586206896</c:v>
                </c:pt>
                <c:pt idx="10">
                  <c:v>0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E1-4ED2-80D4-1ED62324789D}"/>
            </c:ext>
          </c:extLst>
        </c:ser>
        <c:ser>
          <c:idx val="6"/>
          <c:order val="4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  <c:pt idx="12">
                  <c:v>Grand Total</c:v>
                </c:pt>
              </c:strCache>
            </c:strRef>
          </c:cat>
          <c:val>
            <c:numRef>
              <c:f>Bonus!$H$2:$H$15</c:f>
              <c:numCache>
                <c:formatCode>0%</c:formatCode>
                <c:ptCount val="13"/>
                <c:pt idx="0">
                  <c:v>3.163444639718805E-2</c:v>
                </c:pt>
                <c:pt idx="1">
                  <c:v>5.2244297277409861E-2</c:v>
                </c:pt>
                <c:pt idx="2">
                  <c:v>4.7619047619047616E-2</c:v>
                </c:pt>
                <c:pt idx="3">
                  <c:v>5.0209205020920501E-2</c:v>
                </c:pt>
                <c:pt idx="4">
                  <c:v>3.0769230769230771E-2</c:v>
                </c:pt>
                <c:pt idx="5">
                  <c:v>1.2658227848101266E-2</c:v>
                </c:pt>
                <c:pt idx="6">
                  <c:v>1.4084507042253521E-2</c:v>
                </c:pt>
                <c:pt idx="7">
                  <c:v>2.564102564102564E-2</c:v>
                </c:pt>
                <c:pt idx="8">
                  <c:v>5.5555555555555552E-2</c:v>
                </c:pt>
                <c:pt idx="9">
                  <c:v>0</c:v>
                </c:pt>
                <c:pt idx="10">
                  <c:v>0.25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E1-4ED2-80D4-1ED623247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645944"/>
        <c:axId val="886641784"/>
      </c:lineChart>
      <c:catAx>
        <c:axId val="886645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41784"/>
        <c:crosses val="autoZero"/>
        <c:auto val="1"/>
        <c:lblAlgn val="ctr"/>
        <c:lblOffset val="100"/>
        <c:noMultiLvlLbl val="0"/>
      </c:catAx>
      <c:valAx>
        <c:axId val="8866417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4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431800</xdr:colOff>
          <xdr:row>0</xdr:row>
          <xdr:rowOff>0</xdr:rowOff>
        </xdr:from>
        <xdr:to>
          <xdr:col>13</xdr:col>
          <xdr:colOff>266700</xdr:colOff>
          <xdr:row>44</xdr:row>
          <xdr:rowOff>152400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23CC5637-3E8C-4373-B385-BF17C905F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136524</xdr:colOff>
      <xdr:row>0</xdr:row>
      <xdr:rowOff>174624</xdr:rowOff>
    </xdr:from>
    <xdr:to>
      <xdr:col>16</xdr:col>
      <xdr:colOff>253999</xdr:colOff>
      <xdr:row>18</xdr:row>
      <xdr:rowOff>146049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4364F-E3AE-414B-B3DB-946328DCB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60324</xdr:colOff>
      <xdr:row>2</xdr:row>
      <xdr:rowOff>3174</xdr:rowOff>
    </xdr:from>
    <xdr:to>
      <xdr:col>18</xdr:col>
      <xdr:colOff>317499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D488D-3768-4A0D-BBC4-B30C98773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111124</xdr:colOff>
      <xdr:row>2</xdr:row>
      <xdr:rowOff>79374</xdr:rowOff>
    </xdr:from>
    <xdr:to>
      <xdr:col>14</xdr:col>
      <xdr:colOff>584199</xdr:colOff>
      <xdr:row>19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89C47-11D0-494F-8D66-238F38968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110737</xdr:colOff>
      <xdr:row>0</xdr:row>
      <xdr:rowOff>153949</xdr:rowOff>
    </xdr:from>
    <xdr:to>
      <xdr:col>24</xdr:col>
      <xdr:colOff>92927</xdr:colOff>
      <xdr:row>19</xdr:row>
      <xdr:rowOff>170366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2957F-0EEA-4AD5-B669-F18CBE8F2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laura\Documents\PREWORK_LD\Module-1\Kickstarter%20Campaing%20Report%20By%20L.%20De%20Morneau.doc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Word.Document.12">
    <oleItems>
      <oleItem name="'" advise="1" preferPic="1"/>
    </oleItems>
  </oleLin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De Morneau" refreshedDate="43515.471148726851" createdVersion="6" refreshedVersion="6" minRefreshableVersion="3" recordCount="4152" xr:uid="{63B5960A-6430-48B2-BF4E-E0241F4556E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ercent Fo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De Morneau" refreshedDate="43517.764736689816" createdVersion="6" refreshedVersion="6" minRefreshableVersion="3" recordCount="4114" xr:uid="{B6295DE4-0E86-4296-B93A-97229EF4EEF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5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59.82456140350877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0EDDF-311E-4CA6-8C89-1CEC36EFE7C9}" name="PivotTable14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54B29-6ACE-4C30-802A-51357C21A0CA}" name="PivotTable15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2E8AF-A683-4870-A3E5-F742CD239311}" name="PivotTable16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1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1" format="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NU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7477-F1BF-42C2-92A1-CEEC02B9B612}">
  <dimension ref="A1"/>
  <sheetViews>
    <sheetView topLeftCell="A2" workbookViewId="0">
      <selection activeCell="L13" sqref="L13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link="[1]!''''" oleUpdate="OLEUPDATE_ALWAYS" shapeId="7169">
          <objectPr defaultSize="0" dde="1" r:id="rId4">
            <anchor moveWithCells="1">
              <from>
                <xdr:col>3</xdr:col>
                <xdr:colOff>431800</xdr:colOff>
                <xdr:row>0</xdr:row>
                <xdr:rowOff>0</xdr:rowOff>
              </from>
              <to>
                <xdr:col>13</xdr:col>
                <xdr:colOff>266700</xdr:colOff>
                <xdr:row>44</xdr:row>
                <xdr:rowOff>152400</xdr:rowOff>
              </to>
            </anchor>
          </objectPr>
        </oleObject>
      </mc:Choice>
      <mc:Fallback>
        <oleObject progId="Word.Document.12" link="[1]!''''" oleUpdate="OLEUPDATE_ALWAYS" shapeId="716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CA34-EEF4-4414-A9E2-4AEF2EAED98F}">
  <dimension ref="A1:F14"/>
  <sheetViews>
    <sheetView topLeftCell="B1" workbookViewId="0">
      <selection activeCell="A5" sqref="A5:A13"/>
      <pivotSelection pane="bottomRight" showHeader="1" activeRow="13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8323</v>
      </c>
      <c r="B3" s="7" t="s">
        <v>8312</v>
      </c>
    </row>
    <row r="4" spans="1:6" x14ac:dyDescent="0.3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6E890-D591-4658-90A8-D5CF07BECF70}">
  <dimension ref="A1:F46"/>
  <sheetViews>
    <sheetView topLeftCell="A30" workbookViewId="0">
      <selection activeCell="E45" sqref="E4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8365</v>
      </c>
      <c r="B3" s="7" t="s">
        <v>8312</v>
      </c>
    </row>
    <row r="4" spans="1:6" x14ac:dyDescent="0.3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7B2F-0BD3-4290-B9A1-AAD9DC05C90A}">
  <dimension ref="A1:G19"/>
  <sheetViews>
    <sheetView workbookViewId="0">
      <selection activeCell="A9" sqref="A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8307</v>
      </c>
      <c r="B1" t="s">
        <v>8322</v>
      </c>
    </row>
    <row r="2" spans="1:7" x14ac:dyDescent="0.35">
      <c r="A2" s="7" t="s">
        <v>8401</v>
      </c>
      <c r="B2" t="s">
        <v>8322</v>
      </c>
    </row>
    <row r="4" spans="1:7" x14ac:dyDescent="0.35">
      <c r="A4" s="7" t="s">
        <v>8323</v>
      </c>
      <c r="B4" s="7" t="s">
        <v>8312</v>
      </c>
    </row>
    <row r="5" spans="1:7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35">
      <c r="A6" s="8" t="s">
        <v>8310</v>
      </c>
      <c r="B6" s="9"/>
      <c r="C6" s="9"/>
      <c r="D6" s="9"/>
      <c r="E6" s="9"/>
      <c r="F6" s="9"/>
      <c r="G6" s="9"/>
    </row>
    <row r="7" spans="1:7" x14ac:dyDescent="0.35">
      <c r="A7" s="8" t="s">
        <v>8374</v>
      </c>
      <c r="B7" s="9">
        <v>34</v>
      </c>
      <c r="C7" s="9">
        <v>149</v>
      </c>
      <c r="D7" s="9">
        <v>2</v>
      </c>
      <c r="E7" s="9">
        <v>183</v>
      </c>
      <c r="F7" s="9"/>
      <c r="G7" s="9">
        <v>368</v>
      </c>
    </row>
    <row r="8" spans="1:7" x14ac:dyDescent="0.35">
      <c r="A8" s="8" t="s">
        <v>8375</v>
      </c>
      <c r="B8" s="9">
        <v>27</v>
      </c>
      <c r="C8" s="9">
        <v>105</v>
      </c>
      <c r="D8" s="9">
        <v>18</v>
      </c>
      <c r="E8" s="9">
        <v>202</v>
      </c>
      <c r="F8" s="9"/>
      <c r="G8" s="9">
        <v>352</v>
      </c>
    </row>
    <row r="9" spans="1:7" x14ac:dyDescent="0.35">
      <c r="A9" s="8" t="s">
        <v>8376</v>
      </c>
      <c r="B9" s="9">
        <v>28</v>
      </c>
      <c r="C9" s="9">
        <v>108</v>
      </c>
      <c r="D9" s="9">
        <v>30</v>
      </c>
      <c r="E9" s="9">
        <v>179</v>
      </c>
      <c r="F9" s="9"/>
      <c r="G9" s="9">
        <v>345</v>
      </c>
    </row>
    <row r="10" spans="1:7" x14ac:dyDescent="0.35">
      <c r="A10" s="8" t="s">
        <v>8377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35">
      <c r="A11" s="8" t="s">
        <v>8368</v>
      </c>
      <c r="B11" s="9">
        <v>26</v>
      </c>
      <c r="C11" s="9">
        <v>126</v>
      </c>
      <c r="D11" s="9"/>
      <c r="E11" s="9">
        <v>233</v>
      </c>
      <c r="F11" s="9"/>
      <c r="G11" s="9">
        <v>385</v>
      </c>
    </row>
    <row r="12" spans="1:7" x14ac:dyDescent="0.35">
      <c r="A12" s="8" t="s">
        <v>8378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35">
      <c r="A13" s="8" t="s">
        <v>8369</v>
      </c>
      <c r="B13" s="9">
        <v>44</v>
      </c>
      <c r="C13" s="9">
        <v>148</v>
      </c>
      <c r="D13" s="9"/>
      <c r="E13" s="9">
        <v>192</v>
      </c>
      <c r="F13" s="9"/>
      <c r="G13" s="9">
        <v>384</v>
      </c>
    </row>
    <row r="14" spans="1:7" x14ac:dyDescent="0.35">
      <c r="A14" s="8" t="s">
        <v>8370</v>
      </c>
      <c r="B14" s="9">
        <v>32</v>
      </c>
      <c r="C14" s="9">
        <v>134</v>
      </c>
      <c r="D14" s="9"/>
      <c r="E14" s="9">
        <v>167</v>
      </c>
      <c r="F14" s="9"/>
      <c r="G14" s="9">
        <v>333</v>
      </c>
    </row>
    <row r="15" spans="1:7" x14ac:dyDescent="0.35">
      <c r="A15" s="8" t="s">
        <v>8371</v>
      </c>
      <c r="B15" s="9">
        <v>24</v>
      </c>
      <c r="C15" s="9">
        <v>127</v>
      </c>
      <c r="D15" s="9"/>
      <c r="E15" s="9">
        <v>148</v>
      </c>
      <c r="F15" s="9"/>
      <c r="G15" s="9">
        <v>299</v>
      </c>
    </row>
    <row r="16" spans="1:7" x14ac:dyDescent="0.35">
      <c r="A16" s="8" t="s">
        <v>8372</v>
      </c>
      <c r="B16" s="9">
        <v>20</v>
      </c>
      <c r="C16" s="9">
        <v>150</v>
      </c>
      <c r="D16" s="9"/>
      <c r="E16" s="9">
        <v>184</v>
      </c>
      <c r="F16" s="9"/>
      <c r="G16" s="9">
        <v>354</v>
      </c>
    </row>
    <row r="17" spans="1:7" x14ac:dyDescent="0.35">
      <c r="A17" s="8" t="s">
        <v>8373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35">
      <c r="A18" s="8" t="s">
        <v>8379</v>
      </c>
      <c r="B18" s="9">
        <v>23</v>
      </c>
      <c r="C18" s="9">
        <v>119</v>
      </c>
      <c r="D18" s="9"/>
      <c r="E18" s="9">
        <v>111</v>
      </c>
      <c r="F18" s="9"/>
      <c r="G18" s="9">
        <v>253</v>
      </c>
    </row>
    <row r="19" spans="1:7" x14ac:dyDescent="0.35">
      <c r="A19" s="8" t="s">
        <v>8311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0D93C-9F46-41F3-8668-DB43F43E00E2}">
  <dimension ref="A1:H15"/>
  <sheetViews>
    <sheetView tabSelected="1" zoomScale="82" workbookViewId="0">
      <selection activeCell="B4" sqref="B4"/>
    </sheetView>
  </sheetViews>
  <sheetFormatPr defaultRowHeight="18.5" x14ac:dyDescent="0.45"/>
  <cols>
    <col min="1" max="1" width="33.54296875" style="11" bestFit="1" customWidth="1"/>
    <col min="2" max="2" width="21" bestFit="1" customWidth="1"/>
    <col min="3" max="3" width="16.26953125" bestFit="1" customWidth="1"/>
    <col min="4" max="4" width="20.26953125" bestFit="1" customWidth="1"/>
    <col min="5" max="5" width="15.1796875" bestFit="1" customWidth="1"/>
    <col min="6" max="6" width="24.1796875" bestFit="1" customWidth="1"/>
    <col min="7" max="7" width="19.453125" bestFit="1" customWidth="1"/>
    <col min="8" max="8" width="23.453125" bestFit="1" customWidth="1"/>
  </cols>
  <sheetData>
    <row r="1" spans="1:8" s="11" customFormat="1" ht="19" thickBot="1" x14ac:dyDescent="0.5">
      <c r="A1" s="13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ht="19" hidden="1" thickTop="1" x14ac:dyDescent="0.45">
      <c r="A2" s="14" t="s">
        <v>8388</v>
      </c>
      <c r="B2">
        <f>SUMIF(Sheet1!D1:D4115,"&lt;1000")</f>
        <v>222897</v>
      </c>
    </row>
    <row r="3" spans="1:8" ht="19" thickTop="1" x14ac:dyDescent="0.45">
      <c r="A3" s="14" t="s">
        <v>8388</v>
      </c>
      <c r="B3">
        <f>COUNTIFS(Sheet1!D2:D4115,"&lt;=1000",Sheet1!F2:F4115,"successful")</f>
        <v>438</v>
      </c>
      <c r="C3">
        <f>COUNTIFS(Sheet1!D1:D4115,"&lt;1000",Sheet1!F1:F4115,"failed")</f>
        <v>113</v>
      </c>
      <c r="D3">
        <f>COUNTIFS(Sheet1!D2:D4115,"&lt;1000",Sheet1!F2:F4115,"canceled")</f>
        <v>18</v>
      </c>
      <c r="E3">
        <f>SUM(B3:D3)</f>
        <v>569</v>
      </c>
      <c r="F3" s="5">
        <f>B3/E3</f>
        <v>0.76977152899824253</v>
      </c>
      <c r="G3" s="5">
        <f>C3/E3</f>
        <v>0.19859402460456943</v>
      </c>
      <c r="H3" s="5">
        <f>D3/E3</f>
        <v>3.163444639718805E-2</v>
      </c>
    </row>
    <row r="4" spans="1:8" x14ac:dyDescent="0.45">
      <c r="A4" s="14" t="s">
        <v>8389</v>
      </c>
      <c r="B4">
        <f>COUNTIFS(Sheet1!D2:D4115,"&gt;=1000",Sheet1!D2:D4115,"&lt;4999",Sheet1!F2:F4115,"successful")</f>
        <v>931</v>
      </c>
      <c r="C4">
        <f>COUNTIFS(Sheet1!D2:D4116,"&gt;1000",Sheet1!D2:D4116,"&lt;4999",Sheet1!F2:F4116,"failed")</f>
        <v>357</v>
      </c>
      <c r="D4">
        <f>COUNTIFS(Sheet1!D3:D4116,"&gt;1000",Sheet1!D2:D4115,"&lt;4999",Sheet1!F3:F4116,"canceled")</f>
        <v>71</v>
      </c>
      <c r="E4">
        <f t="shared" ref="E4:E14" si="0">SUM(B4:D4)</f>
        <v>1359</v>
      </c>
      <c r="F4" s="5">
        <f t="shared" ref="F4:F14" si="1">B4/E4</f>
        <v>0.68506254598969829</v>
      </c>
      <c r="G4" s="5">
        <f t="shared" ref="G4:G14" si="2">C4/E4</f>
        <v>0.26269315673289184</v>
      </c>
      <c r="H4" s="5">
        <f t="shared" ref="H4:H14" si="3">D4/E4</f>
        <v>5.2244297277409861E-2</v>
      </c>
    </row>
    <row r="5" spans="1:8" x14ac:dyDescent="0.45">
      <c r="A5" s="14" t="s">
        <v>8390</v>
      </c>
      <c r="B5">
        <f>COUNTIFS(Sheet1!D2:D4115,"&gt;=5000",Sheet1!D2:D4115,"&lt;9999",Sheet1!F2:F4115,"successful")</f>
        <v>380</v>
      </c>
      <c r="C5">
        <f>COUNTIFS(Sheet1!D3:D4117,"&gt;5000",Sheet1!D3:D4117,"&lt;9999",Sheet1!F3:F4117,"failed")</f>
        <v>160</v>
      </c>
      <c r="D5">
        <f>COUNTIFS(Sheet1!D2:D4115,"&gt;5000",Sheet1!D2:D4115,"&lt;9999",Sheet1!F2:F4115,"canceled")</f>
        <v>27</v>
      </c>
      <c r="E5">
        <f t="shared" si="0"/>
        <v>567</v>
      </c>
      <c r="F5" s="5">
        <f t="shared" si="1"/>
        <v>0.67019400352733682</v>
      </c>
      <c r="G5" s="5">
        <f t="shared" si="2"/>
        <v>0.2821869488536155</v>
      </c>
      <c r="H5" s="5">
        <f t="shared" si="3"/>
        <v>4.7619047619047616E-2</v>
      </c>
    </row>
    <row r="6" spans="1:8" x14ac:dyDescent="0.45">
      <c r="A6" s="14" t="s">
        <v>8391</v>
      </c>
      <c r="B6">
        <f>COUNTIFS(Sheet1!D2:D4115,"&gt;=10000",Sheet1!D2:D4115,"&lt;14999",Sheet1!F2:F4115,"successful")</f>
        <v>168</v>
      </c>
      <c r="C6">
        <f>COUNTIFS(Sheet1!D4:D4118,"&gt;10000",Sheet1!D4:D4118,"&lt;14999",Sheet1!F4:F4118,"failed")</f>
        <v>59</v>
      </c>
      <c r="D6">
        <f>COUNTIFS(Sheet1!D2:D4115,"&gt;10000",Sheet1!D2:D4115,"&lt;14999",Sheet1!F2:F4115,"canceled")</f>
        <v>12</v>
      </c>
      <c r="E6">
        <f t="shared" si="0"/>
        <v>239</v>
      </c>
      <c r="F6" s="5">
        <f t="shared" si="1"/>
        <v>0.70292887029288698</v>
      </c>
      <c r="G6" s="5">
        <f t="shared" si="2"/>
        <v>0.24686192468619247</v>
      </c>
      <c r="H6" s="5">
        <f t="shared" si="3"/>
        <v>5.0209205020920501E-2</v>
      </c>
    </row>
    <row r="7" spans="1:8" x14ac:dyDescent="0.45">
      <c r="A7" s="14" t="s">
        <v>8392</v>
      </c>
      <c r="B7">
        <f>COUNTIFS(Sheet1!D2:D4115,"&gt;=15000",Sheet1!D2:D4115,"&lt;19999",Sheet1!F2:F4115,"successful")</f>
        <v>94</v>
      </c>
      <c r="C7">
        <f>COUNTIFS(Sheet1!D5:D4119,"&gt;15000",Sheet1!D5:D4119,"&lt;19999",Sheet1!F5:F4119,"failed")</f>
        <v>32</v>
      </c>
      <c r="D7">
        <f>COUNTIFS(Sheet1!D2:D4115,"&gt;15000",Sheet1!D2:D4115,"&lt;19999",Sheet1!F2:F4115,"canceled")</f>
        <v>4</v>
      </c>
      <c r="E7">
        <f t="shared" si="0"/>
        <v>130</v>
      </c>
      <c r="F7" s="5">
        <f t="shared" si="1"/>
        <v>0.72307692307692306</v>
      </c>
      <c r="G7" s="5">
        <f t="shared" si="2"/>
        <v>0.24615384615384617</v>
      </c>
      <c r="H7" s="5">
        <f t="shared" si="3"/>
        <v>3.0769230769230771E-2</v>
      </c>
    </row>
    <row r="8" spans="1:8" x14ac:dyDescent="0.45">
      <c r="A8" s="14" t="s">
        <v>8393</v>
      </c>
      <c r="B8">
        <f>COUNTIFS(Sheet1!D2:D4115,"&gt;=20000",Sheet1!D2:D4115,"&lt;24999",Sheet1!F2:F4115,"successful")</f>
        <v>62</v>
      </c>
      <c r="C8">
        <f>COUNTIFS(Sheet1!D6:D4120,"&gt;20000",Sheet1!D6:D4120,"&lt;24999",Sheet1!F6:F4120,"failed")</f>
        <v>16</v>
      </c>
      <c r="D8">
        <f>COUNTIFS(Sheet1!D2:D4115,"&gt;20000",Sheet1!D2:D4115,"&lt;24999",Sheet1!F2:F4115,"canceled")</f>
        <v>1</v>
      </c>
      <c r="E8">
        <f t="shared" si="0"/>
        <v>79</v>
      </c>
      <c r="F8" s="5">
        <f t="shared" si="1"/>
        <v>0.78481012658227844</v>
      </c>
      <c r="G8" s="5">
        <f t="shared" si="2"/>
        <v>0.20253164556962025</v>
      </c>
      <c r="H8" s="5">
        <f t="shared" si="3"/>
        <v>1.2658227848101266E-2</v>
      </c>
    </row>
    <row r="9" spans="1:8" x14ac:dyDescent="0.45">
      <c r="A9" s="14" t="s">
        <v>8394</v>
      </c>
      <c r="B9">
        <f>COUNTIFS(Sheet1!D2:D4115,"&gt;=25000",Sheet1!D2:D4115,"&lt;29999",Sheet1!F2:F4115,"successful")</f>
        <v>55</v>
      </c>
      <c r="C9">
        <f>COUNTIFS(Sheet1!D7:D4121,"&gt;25000",Sheet1!D7:D4121,"&lt;29999",Sheet1!F7:F4121,"failed")</f>
        <v>15</v>
      </c>
      <c r="D9">
        <f>COUNTIFS(Sheet1!D2:D4115,"&gt;25000",Sheet1!D2:D4115,"&lt;29999",Sheet1!F2:F4115,"canceled")</f>
        <v>1</v>
      </c>
      <c r="E9">
        <f t="shared" si="0"/>
        <v>71</v>
      </c>
      <c r="F9" s="5">
        <f t="shared" si="1"/>
        <v>0.77464788732394363</v>
      </c>
      <c r="G9" s="5">
        <f t="shared" si="2"/>
        <v>0.21126760563380281</v>
      </c>
      <c r="H9" s="5">
        <f t="shared" si="3"/>
        <v>1.4084507042253521E-2</v>
      </c>
    </row>
    <row r="10" spans="1:8" x14ac:dyDescent="0.45">
      <c r="A10" s="14" t="s">
        <v>8395</v>
      </c>
      <c r="B10">
        <f>COUNTIFS(Sheet1!D2:D4115,"&gt;=30000",Sheet1!D2:D4115,"&lt;34999",Sheet1!F2:F4115,"successful")</f>
        <v>32</v>
      </c>
      <c r="C10">
        <f>COUNTIFS(Sheet1!D8:D4122,"&gt;30000",Sheet1!D8:D4122,"&lt;34999",Sheet1!F8:F4122,"failed")</f>
        <v>6</v>
      </c>
      <c r="D10">
        <f>COUNTIFS(Sheet1!D2:D4115,"&gt;30000",Sheet1!D2:D4115,"&lt;34999",Sheet1!F2:F4115,"canceled")</f>
        <v>1</v>
      </c>
      <c r="E10">
        <f t="shared" si="0"/>
        <v>39</v>
      </c>
      <c r="F10" s="5">
        <f t="shared" si="1"/>
        <v>0.82051282051282048</v>
      </c>
      <c r="G10" s="5">
        <f t="shared" si="2"/>
        <v>0.15384615384615385</v>
      </c>
      <c r="H10" s="5">
        <f t="shared" si="3"/>
        <v>2.564102564102564E-2</v>
      </c>
    </row>
    <row r="11" spans="1:8" x14ac:dyDescent="0.45">
      <c r="A11" s="14" t="s">
        <v>8396</v>
      </c>
      <c r="B11">
        <f>COUNTIFS(Sheet1!D2:D4115,"&gt;=35000",Sheet1!D2:D4115,"&lt;39999",Sheet1!F2:F4115,"successful")</f>
        <v>26</v>
      </c>
      <c r="C11">
        <f>COUNTIFS(Sheet1!D9:D4123,"&gt;35000",Sheet1!D9:D4123,"&lt;39999",Sheet1!F9:F4123,"failed")</f>
        <v>8</v>
      </c>
      <c r="D11">
        <f>COUNTIFS(Sheet1!D2:D4115,"&gt;35000",Sheet1!D2:D4115,"&lt;39999",Sheet1!F2:F4115,"canceled")</f>
        <v>2</v>
      </c>
      <c r="E11">
        <f t="shared" si="0"/>
        <v>36</v>
      </c>
      <c r="F11" s="5">
        <f t="shared" si="1"/>
        <v>0.72222222222222221</v>
      </c>
      <c r="G11" s="5">
        <f t="shared" si="2"/>
        <v>0.22222222222222221</v>
      </c>
      <c r="H11" s="5">
        <f t="shared" si="3"/>
        <v>5.5555555555555552E-2</v>
      </c>
    </row>
    <row r="12" spans="1:8" x14ac:dyDescent="0.45">
      <c r="A12" s="14" t="s">
        <v>8397</v>
      </c>
      <c r="B12">
        <f>COUNTIFS(Sheet1!D2:D4115,"&gt;=35000",Sheet1!D2:D4115,"&lt;39999",Sheet1!F2:F4115,"successful")</f>
        <v>26</v>
      </c>
      <c r="C12">
        <f>COUNTIFS(Sheet1!D10:D4124,"&gt;40000",Sheet1!D10:D4124,"&lt;44999",Sheet1!F10:F4124,"failed")</f>
        <v>3</v>
      </c>
      <c r="D12">
        <f>COUNTIFS(Sheet1!D2:D4115,"&gt;40000",Sheet1!D2:D4115,"&lt;44999",Sheet1!F2:F4115,"canceled")</f>
        <v>0</v>
      </c>
      <c r="E12">
        <f t="shared" si="0"/>
        <v>29</v>
      </c>
      <c r="F12" s="5">
        <f t="shared" si="1"/>
        <v>0.89655172413793105</v>
      </c>
      <c r="G12" s="5">
        <f t="shared" si="2"/>
        <v>0.10344827586206896</v>
      </c>
      <c r="H12" s="5">
        <f t="shared" si="3"/>
        <v>0</v>
      </c>
    </row>
    <row r="13" spans="1:8" x14ac:dyDescent="0.45">
      <c r="A13" s="14" t="s">
        <v>8398</v>
      </c>
      <c r="B13">
        <f>COUNTIFS(Sheet1!D2:D4115,"&gt;=45000",Sheet1!D2:D4115,"&lt;49999",Sheet1!F2:F4115,"successful")</f>
        <v>6</v>
      </c>
      <c r="C13">
        <f>COUNTIFS(Sheet1!D11:D4125,"&gt;50000",Sheet1!D11:D4125,"&lt;49999",Sheet1!F11:F4125,"failed")</f>
        <v>0</v>
      </c>
      <c r="D13">
        <f>COUNTIFS(Sheet1!D2:D4115,"&gt;45000",Sheet1!D2:D4115,"&lt;49999",Sheet1!F2:F4115,"canceled")</f>
        <v>2</v>
      </c>
      <c r="E13">
        <f t="shared" si="0"/>
        <v>8</v>
      </c>
      <c r="F13" s="5">
        <f t="shared" si="1"/>
        <v>0.75</v>
      </c>
      <c r="G13" s="5">
        <f t="shared" si="2"/>
        <v>0</v>
      </c>
      <c r="H13" s="5">
        <f t="shared" si="3"/>
        <v>0.25</v>
      </c>
    </row>
    <row r="14" spans="1:8" ht="19" thickBot="1" x14ac:dyDescent="0.5">
      <c r="A14" s="14" t="s">
        <v>8399</v>
      </c>
      <c r="B14">
        <f>COUNTIFS(Sheet1!D2:D4115,"&gt;=50000",Sheet1!F2:F4115,"successful")</f>
        <v>86</v>
      </c>
      <c r="C14">
        <f>COUNTIFS(Sheet1!D12:D4126,"&gt;50000",Sheet1!F12:F4126,"failed")</f>
        <v>198</v>
      </c>
      <c r="D14">
        <f>COUNTIFS(Sheet1!D2:D4115,"&gt;50000",Sheet1!F2:F4115,"canceled")</f>
        <v>83</v>
      </c>
      <c r="E14">
        <f t="shared" si="0"/>
        <v>367</v>
      </c>
      <c r="F14" s="5">
        <f t="shared" si="1"/>
        <v>0.23433242506811988</v>
      </c>
      <c r="G14" s="5">
        <f t="shared" si="2"/>
        <v>0.53950953678474112</v>
      </c>
      <c r="H14" s="5">
        <f t="shared" si="3"/>
        <v>0.22615803814713897</v>
      </c>
    </row>
    <row r="15" spans="1:8" ht="19" thickTop="1" x14ac:dyDescent="0.45">
      <c r="A15" s="15" t="s">
        <v>8311</v>
      </c>
      <c r="B15" s="16">
        <f>SUM(B3:B14)</f>
        <v>2304</v>
      </c>
      <c r="C15" s="16">
        <f t="shared" ref="C15:E15" si="4">SUM(C3:C14)</f>
        <v>967</v>
      </c>
      <c r="D15" s="16">
        <f t="shared" si="4"/>
        <v>222</v>
      </c>
      <c r="E15" s="16">
        <f t="shared" si="4"/>
        <v>3493</v>
      </c>
    </row>
  </sheetData>
  <pageMargins left="0.7" right="0.7" top="0.75" bottom="0.75" header="0.3" footer="0.3"/>
  <pageSetup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2"/>
  <sheetViews>
    <sheetView topLeftCell="O4110" zoomScale="119" zoomScaleNormal="50" workbookViewId="0">
      <selection activeCell="S4122" sqref="S4122"/>
    </sheetView>
  </sheetViews>
  <sheetFormatPr defaultRowHeight="14.5" x14ac:dyDescent="0.35"/>
  <cols>
    <col min="1" max="1" width="8.81640625" bestFit="1" customWidth="1"/>
    <col min="2" max="2" width="38.453125" style="3" customWidth="1"/>
    <col min="3" max="3" width="40.26953125" style="3" customWidth="1"/>
    <col min="4" max="4" width="16.7265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" bestFit="1" customWidth="1"/>
    <col min="16" max="16" width="21.54296875" bestFit="1" customWidth="1"/>
    <col min="17" max="17" width="14" customWidth="1"/>
    <col min="18" max="18" width="18.6328125" bestFit="1" customWidth="1"/>
    <col min="19" max="19" width="31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8400</v>
      </c>
      <c r="P1" s="1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7">
        <f>IF(L2&gt;0,E2/L2,0)</f>
        <v>63.917582417582416</v>
      </c>
      <c r="Q2" t="str">
        <f>LEFT(N2,FIND("/",N2,1)-1)</f>
        <v>film &amp; video</v>
      </c>
      <c r="R2" t="str">
        <f>RIGHT(N2,LEN(N2)-(FIND("/",N2,1)))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 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RIGHT(N3,LEN(N3)-(FIND("/",N3,1)))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>IF(L15&gt;0, P9)</f>
        <v>159.82456140350877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 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RIGHT(N67,LEN(N67)-(FIND("/",N67,1)))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IF(L131&gt;0, E131/L131,0)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RIGHT(N131,LEN(N131)-(FIND("/",N131,1)))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IF(L195&gt;0, E195/L195,0)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RIGHT(N195,LEN(N195)-(FIND("/",N195,1)))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IF(L259&gt;0, 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RIGHT(N259,LEN(N259)-(FIND("/",N259,1)))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IF(L323&gt;0, 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RIGHT(N323,LEN(N323)-(FIND("/",N323,1)))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IF(L387&gt;0, 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RIGHT(N387,LEN(N387)-(FIND("/",N387,1)))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IF(L451&gt;0, E451/L451,0)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RIGHT(N451,LEN(N451)-(FIND("/",N451,1)))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IF(L515&gt;0, 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RIGHT(N515,LEN(N515)-(FIND("/",N515,1)))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IF(L579&gt;0, E579/L579,0)</f>
        <v>10</v>
      </c>
      <c r="Q579" t="str">
        <f t="shared" ref="Q579:Q642" si="56">LEFT(N579,FIND("/",N579,1)-1)</f>
        <v>technology</v>
      </c>
      <c r="R579" t="str">
        <f t="shared" ref="R579:R642" si="57">RIGHT(N579,LEN(N579)-(FIND("/",N579,1)))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IF(L643&gt;0, 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RIGHT(N643,LEN(N643)-(FIND("/",N643,1)))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IF(L707&gt;0, E707/L707,0)</f>
        <v>195.4</v>
      </c>
      <c r="Q707" t="str">
        <f t="shared" ref="Q707:Q770" si="68">LEFT(N707,FIND("/",N707,1)-1)</f>
        <v>technology</v>
      </c>
      <c r="R707" t="str">
        <f t="shared" ref="R707:R770" si="69">RIGHT(N707,LEN(N707)-(FIND("/",N707,1)))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IF(L771&gt;0, 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RIGHT(N771,LEN(N771)-(FIND("/",N771,1)))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IF(L835&gt;0, 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RIGHT(N835,LEN(N835)-(FIND("/",N835,1)))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IF(L899&gt;0, E899/L899,0)</f>
        <v>0</v>
      </c>
      <c r="Q899" t="str">
        <f t="shared" ref="Q899:Q962" si="86">LEFT(N899,FIND("/",N899,1)-1)</f>
        <v>music</v>
      </c>
      <c r="R899" t="str">
        <f t="shared" ref="R899:R962" si="87">RIGHT(N899,LEN(N899)-(FIND("/",N899,1)))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IF(L963&gt;0, 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RIGHT(N963,LEN(N963)-(FIND("/",N963,1)))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IF(L1027&gt;0, 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RIGHT(N1027,LEN(N1027)-(FIND("/",N1027,1)))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IF(L1091&gt;0, 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RIGHT(N1091,LEN(N1091)-(FIND("/",N1091,1)))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IF(L1155&gt;0, 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RIGHT(N1155,LEN(N1155)-(FIND("/",N1155,1)))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IF(L1219&gt;0, 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RIGHT(N1219,LEN(N1219)-(FIND("/",N1219,1)))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IF(L1283&gt;0, 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RIGHT(N1283,LEN(N1283)-(FIND("/",N1283,1)))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IF(L1347&gt;0, 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RIGHT(N1347,LEN(N1347)-(FIND("/",N1347,1)))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IF(L1411&gt;0, 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RIGHT(N1411,LEN(N1411)-(FIND("/",N1411,1)))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IF(L1475&gt;0, 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RIGHT(N1475,LEN(N1475)-(FIND("/",N1475,1)))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IF(L1539&gt;0, 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RIGHT(N1539,LEN(N1539)-(FIND("/",N1539,1)))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IF(L1603&gt;0, 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RIGHT(N1603,LEN(N1603)-(FIND("/",N1603,1)))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IF(L1667&gt;0, 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RIGHT(N1667,LEN(N1667)-(FIND("/",N1667,1)))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IF(L1731&gt;0, 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RIGHT(N1731,LEN(N1731)-(FIND("/",N1731,1)))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IF(L1795&gt;0, 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RIGHT(N1795,LEN(N1795)-(FIND("/",N1795,1)))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IF(L1859&gt;0, 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RIGHT(N1859,LEN(N1859)-(FIND("/",N1859,1)))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IF(L1923&gt;0, 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RIGHT(N1923,LEN(N1923)-(FIND("/",N1923,1)))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IF(L1987&gt;0, 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RIGHT(N1987,LEN(N1987)-(FIND("/",N1987,1)))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IF(L2051&gt;0, 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RIGHT(N2051,LEN(N2051)-(FIND("/",N2051,1)))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IF(L2115&gt;0, 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RIGHT(N2115,LEN(N2115)-(FIND("/",N2115,1)))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IF(L2179&gt;0, 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RIGHT(N2179,LEN(N2179)-(FIND("/",N2179,1)))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IF(L2243&gt;0, 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RIGHT(N2243,LEN(N2243)-(FIND("/",N2243,1)))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IF(L2307&gt;0, 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RIGHT(N2307,LEN(N2307)-(FIND("/",N2307,1)))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IF(L2371&gt;0, 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RIGHT(N2371,LEN(N2371)-(FIND("/",N2371,1)))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IF(L2435&gt;0, 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RIGHT(N2435,LEN(N2435)-(FIND("/",N2435,1)))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IF(L2499&gt;0, 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RIGHT(N2499,LEN(N2499)-(FIND("/",N2499,1)))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IF(L2563&gt;0, 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RIGHT(N2563,LEN(N2563)-(FIND("/",N2563,1)))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IF(L2627&gt;0, 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RIGHT(N2627,LEN(N2627)-(FIND("/",N2627,1)))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IF(L2691&gt;0, 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RIGHT(N2691,LEN(N2691)-(FIND("/",N2691,1)))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IF(L2755&gt;0, 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RIGHT(N2755,LEN(N2755)-(FIND("/",N2755,1)))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IF(L2819&gt;0, 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RIGHT(N2819,LEN(N2819)-(FIND("/",N2819,1)))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IF(L2883&gt;0, 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RIGHT(N2883,LEN(N2883)-(FIND("/",N2883,1)))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IF(L2947&gt;0, 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RIGHT(N2947,LEN(N2947)-(FIND("/",N2947,1)))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IF(L3011&gt;0, 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RIGHT(N3011,LEN(N3011)-(FIND("/",N3011,1)))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IF(L3075&gt;0, 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RIGHT(N3075,LEN(N3075)-(FIND("/",N3075,1)))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IF(L3139&gt;0, 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RIGHT(N3139,LEN(N3139)-(FIND("/",N3139,1)))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IF(L3203&gt;0, 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RIGHT(N3203,LEN(N3203)-(FIND("/",N3203,1)))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IF(L3267&gt;0, 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RIGHT(N3267,LEN(N3267)-(FIND("/",N3267,1)))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IF(L3331&gt;0, 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RIGHT(N3331,LEN(N3331)-(FIND("/",N3331,1)))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IF(L3395&gt;0, 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RIGHT(N3395,LEN(N3395)-(FIND("/",N3395,1)))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IF(L3459&gt;0, 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RIGHT(N3459,LEN(N3459)-(FIND("/",N3459,1)))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IF(L3523&gt;0, 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RIGHT(N3523,LEN(N3523)-(FIND("/",N3523,1)))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IF(L3587&gt;0, 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RIGHT(N3587,LEN(N3587)-(FIND("/",N3587,1)))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IF(L3651&gt;0, 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RIGHT(N3651,LEN(N3651)-(FIND("/",N3651,1)))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IF(L3715&gt;0, 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RIGHT(N3715,LEN(N3715)-(FIND("/",N3715,1)))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IF(L3779&gt;0, 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RIGHT(N3779,LEN(N3779)-(FIND("/",N3779,1)))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IF(L3843&gt;0, 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RIGHT(N3843,LEN(N3843)-(FIND("/",N3843,1)))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IF(L3907&gt;0, 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RIGHT(N3907,LEN(N3907)-(FIND("/",N3907,1)))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IF(L3971&gt;0, 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RIGHT(N3971,LEN(N3971)-(FIND("/",N3971,1)))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IF(L4035&gt;0, 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RIGHT(N4035,LEN(N4035)-(FIND("/",N4035,1)))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52" si="384">E4099/D4099</f>
        <v>0</v>
      </c>
      <c r="P4099" s="6">
        <f t="shared" ref="P4099:P4115" si="385">IF(L4099&gt;0, E4099/L4099,0)</f>
        <v>0</v>
      </c>
      <c r="Q4099" t="str">
        <f t="shared" ref="Q4099:Q4115" si="386">LEFT(N4099,FIND("/",N4099,1)-1)</f>
        <v>theater</v>
      </c>
      <c r="R4099" t="str">
        <f t="shared" ref="R4099:R4122" si="387">RIGHT(N4099,LEN(N4099)-(FIND("/",N4099,1)))</f>
        <v>plays</v>
      </c>
      <c r="S4099" s="10">
        <f t="shared" ref="S4099:S4119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  <row r="4116" spans="1:20" x14ac:dyDescent="0.35">
      <c r="O4116" s="5"/>
      <c r="S4116" s="10"/>
    </row>
    <row r="4117" spans="1:20" x14ac:dyDescent="0.35">
      <c r="O4117" s="5"/>
      <c r="S4117" s="10"/>
    </row>
    <row r="4118" spans="1:20" x14ac:dyDescent="0.35">
      <c r="O4118" s="5"/>
      <c r="S4118" s="10"/>
    </row>
    <row r="4119" spans="1:20" x14ac:dyDescent="0.35">
      <c r="O4119" s="5"/>
      <c r="S4119" s="10"/>
    </row>
    <row r="4120" spans="1:20" x14ac:dyDescent="0.35">
      <c r="O4120" s="5"/>
    </row>
    <row r="4121" spans="1:20" x14ac:dyDescent="0.35">
      <c r="O4121" s="5"/>
    </row>
    <row r="4122" spans="1:20" x14ac:dyDescent="0.35">
      <c r="O4122" s="5"/>
    </row>
    <row r="4123" spans="1:20" x14ac:dyDescent="0.35">
      <c r="O4123" s="5"/>
    </row>
    <row r="4124" spans="1:20" x14ac:dyDescent="0.35">
      <c r="O4124" s="5"/>
    </row>
    <row r="4125" spans="1:20" x14ac:dyDescent="0.35">
      <c r="O4125" s="5"/>
    </row>
    <row r="4126" spans="1:20" x14ac:dyDescent="0.35">
      <c r="O4126" s="5"/>
    </row>
    <row r="4127" spans="1:20" x14ac:dyDescent="0.35">
      <c r="O4127" s="5"/>
    </row>
    <row r="4128" spans="1:20" x14ac:dyDescent="0.35">
      <c r="O4128" s="5"/>
    </row>
    <row r="4129" spans="15:15" x14ac:dyDescent="0.35">
      <c r="O4129" s="5"/>
    </row>
    <row r="4130" spans="15:15" x14ac:dyDescent="0.35">
      <c r="O4130" s="5"/>
    </row>
    <row r="4131" spans="15:15" x14ac:dyDescent="0.35">
      <c r="O4131" s="5"/>
    </row>
    <row r="4132" spans="15:15" x14ac:dyDescent="0.35">
      <c r="O4132" s="5"/>
    </row>
    <row r="4133" spans="15:15" x14ac:dyDescent="0.35">
      <c r="O4133" s="5"/>
    </row>
    <row r="4134" spans="15:15" x14ac:dyDescent="0.35">
      <c r="O4134" s="5"/>
    </row>
    <row r="4135" spans="15:15" x14ac:dyDescent="0.35">
      <c r="O4135" s="5"/>
    </row>
    <row r="4136" spans="15:15" x14ac:dyDescent="0.35">
      <c r="O4136" s="5"/>
    </row>
    <row r="4137" spans="15:15" x14ac:dyDescent="0.35">
      <c r="O4137" s="5"/>
    </row>
    <row r="4138" spans="15:15" x14ac:dyDescent="0.35">
      <c r="O4138" s="5"/>
    </row>
    <row r="4139" spans="15:15" x14ac:dyDescent="0.35">
      <c r="O4139" s="5"/>
    </row>
    <row r="4140" spans="15:15" x14ac:dyDescent="0.35">
      <c r="O4140" s="5"/>
    </row>
    <row r="4141" spans="15:15" x14ac:dyDescent="0.35">
      <c r="O4141" s="5"/>
    </row>
    <row r="4142" spans="15:15" x14ac:dyDescent="0.35">
      <c r="O4142" s="5"/>
    </row>
    <row r="4143" spans="15:15" x14ac:dyDescent="0.35">
      <c r="O4143" s="5"/>
    </row>
    <row r="4144" spans="15:15" x14ac:dyDescent="0.35">
      <c r="O4144" s="5"/>
    </row>
    <row r="4145" spans="15:15" x14ac:dyDescent="0.35">
      <c r="O4145" s="5"/>
    </row>
    <row r="4146" spans="15:15" x14ac:dyDescent="0.35">
      <c r="O4146" s="5"/>
    </row>
    <row r="4147" spans="15:15" x14ac:dyDescent="0.35">
      <c r="O4147" s="5"/>
    </row>
    <row r="4148" spans="15:15" x14ac:dyDescent="0.35">
      <c r="O4148" s="5"/>
    </row>
    <row r="4149" spans="15:15" x14ac:dyDescent="0.35">
      <c r="O4149" s="5"/>
    </row>
    <row r="4150" spans="15:15" x14ac:dyDescent="0.35">
      <c r="O4150" s="5"/>
    </row>
    <row r="4151" spans="15:15" x14ac:dyDescent="0.35">
      <c r="O4151" s="5"/>
    </row>
    <row r="4152" spans="15:15" x14ac:dyDescent="0.35">
      <c r="O4152" s="5"/>
    </row>
  </sheetData>
  <conditionalFormatting sqref="F1:F1048576">
    <cfRule type="beginsWith" dxfId="3" priority="5" operator="beginsWith" text="l">
      <formula>LEFT(F1,LEN("l"))="l"</formula>
    </cfRule>
    <cfRule type="beginsWith" dxfId="2" priority="6" operator="beginsWith" text="c">
      <formula>LEFT(F1,LEN("c"))="c"</formula>
    </cfRule>
    <cfRule type="beginsWith" dxfId="1" priority="7" operator="beginsWith" text="s">
      <formula>LEFT(F1,LEN("s"))="s"</formula>
    </cfRule>
    <cfRule type="beginsWith" dxfId="0" priority="8" operator="beginsWith" text="f">
      <formula>LEFT(F1,LEN("f"))="f"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hyperlinks>
    <hyperlink ref="P2" r:id="rId1" display="\\\" xr:uid="{3D5B7BC2-C24E-404F-B0EB-BCD725AA07C2}"/>
  </hyperlinks>
  <pageMargins left="0.7" right="0.7" top="0.75" bottom="0.75" header="0.3" footer="0.3"/>
  <pageSetup orientation="portrait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 Book Report</vt:lpstr>
      <vt:lpstr>Outcome vs Category</vt:lpstr>
      <vt:lpstr>Outcome vs Subcaterogy</vt:lpstr>
      <vt:lpstr>Outcome vs Date Created Convers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De Morneau</cp:lastModifiedBy>
  <cp:lastPrinted>2019-02-21T21:57:38Z</cp:lastPrinted>
  <dcterms:created xsi:type="dcterms:W3CDTF">2017-04-20T15:17:24Z</dcterms:created>
  <dcterms:modified xsi:type="dcterms:W3CDTF">2019-02-22T03:21:08Z</dcterms:modified>
</cp:coreProperties>
</file>