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0" windowWidth="35760" windowHeight="13620" tabRatio="460"/>
  </bookViews>
  <sheets>
    <sheet name="Импорт ПС" sheetId="1" r:id="rId1"/>
    <sheet name="Справочники" sheetId="2" r:id="rId2"/>
    <sheet name="ТУ" sheetId="3" r:id="rId3"/>
    <sheet name="УСПД" sheetId="4" r:id="rId4"/>
    <sheet name="Tel" sheetId="5" r:id="rId5"/>
    <sheet name="Adr" sheetId="6" r:id="rId6"/>
    <sheet name="естьАЦ" sheetId="7" r:id="rId7"/>
  </sheets>
  <definedNames>
    <definedName name="_xlnm._FilterDatabase" localSheetId="5" hidden="1">Adr!$A$1:$B$1</definedName>
    <definedName name="_xlnm._FilterDatabase" localSheetId="4" hidden="1">Tel!$A$1:$D$4</definedName>
    <definedName name="_xlnm._FilterDatabase" localSheetId="6" hidden="1">естьАЦ!$A$1:$B$4</definedName>
    <definedName name="_xlnm._FilterDatabase" localSheetId="0" hidden="1">'Импорт ПС'!$A$3:$BF$3</definedName>
    <definedName name="_xlnm._FilterDatabase" localSheetId="2" hidden="1">ТУ!$A$3:$CP$10</definedName>
    <definedName name="_xlnm._FilterDatabase" localSheetId="3" hidden="1">УСПД!$A$2:$M$10</definedName>
    <definedName name="DLMS">Справочники!$J$2:$J$28</definedName>
    <definedName name="NAPR">Справочники!$M$2:$M$8</definedName>
    <definedName name="код">Справочники!$C$2:$C$79</definedName>
    <definedName name="кодDLMS">Справочники!$I$2:$I$28</definedName>
    <definedName name="КодПУ">Справочники!$G$2:$G$55</definedName>
    <definedName name="кодУСПД">Справочники!$K$2:$K$26</definedName>
    <definedName name="КТН1">Справочники!$N$2:$N$8</definedName>
    <definedName name="КТН2">Справочники!$O$2:$O$8</definedName>
    <definedName name="ПЭС">Справочники!$A$2:$A$79</definedName>
    <definedName name="РЭС">Справочники!$B$2:$B$79</definedName>
    <definedName name="ТипПУ">Справочники!$H$2:$H$55</definedName>
    <definedName name="ТипЭУ">Справочники!$D$2:$D$10</definedName>
    <definedName name="УСПД">Справочники!$L$2:$L$26</definedName>
  </definedNames>
  <calcPr calcId="144525"/>
</workbook>
</file>

<file path=xl/calcChain.xml><?xml version="1.0" encoding="utf-8"?>
<calcChain xmlns="http://schemas.openxmlformats.org/spreadsheetml/2006/main">
  <c r="AU4" i="1" l="1"/>
  <c r="AG4" i="1"/>
  <c r="K4" i="1"/>
  <c r="B4" i="7" l="1"/>
  <c r="B3" i="7"/>
  <c r="B2" i="7"/>
  <c r="C3" i="6"/>
  <c r="C2" i="6"/>
  <c r="N10" i="4"/>
  <c r="N9" i="4"/>
  <c r="N8" i="4"/>
  <c r="N7" i="4"/>
  <c r="N6" i="4"/>
  <c r="N5" i="4"/>
  <c r="N4" i="4"/>
  <c r="N3" i="4"/>
  <c r="CP10" i="3"/>
  <c r="CP9" i="3"/>
  <c r="CP8" i="3"/>
  <c r="CP7" i="3"/>
  <c r="CP6" i="3"/>
  <c r="CP5" i="3"/>
  <c r="CP4" i="3"/>
  <c r="BF4" i="1" l="1"/>
  <c r="AB4" i="1"/>
  <c r="X4" i="1" s="1"/>
  <c r="B4" i="1"/>
  <c r="AW4" i="1" s="1"/>
  <c r="F4" i="1" s="1"/>
  <c r="AH4" i="1" s="1"/>
  <c r="AN4" i="1"/>
  <c r="AZ4" i="1" s="1"/>
  <c r="AO4" i="1" s="1"/>
  <c r="BD4" i="1"/>
  <c r="AP4" i="1"/>
  <c r="AF4" i="1"/>
  <c r="V4" i="1"/>
  <c r="J4" i="1"/>
  <c r="BA4" i="1" s="1"/>
  <c r="AE4" i="1"/>
  <c r="BC4" i="1"/>
  <c r="AD4" i="1"/>
  <c r="P4" i="1"/>
  <c r="C4" i="1"/>
  <c r="BE4" i="1"/>
  <c r="AS4" i="1"/>
  <c r="W4" i="1"/>
  <c r="Q4" i="1"/>
  <c r="D4" i="1"/>
  <c r="L4" i="1"/>
  <c r="A4" i="1"/>
  <c r="Z4" i="1" l="1"/>
  <c r="AY4" i="1" s="1"/>
  <c r="AA4" i="1" s="1"/>
  <c r="S4" i="1"/>
  <c r="AQ4" i="1"/>
  <c r="AR4" i="1"/>
  <c r="AK4" i="1"/>
  <c r="BB4" i="1"/>
  <c r="AJ4" i="1" s="1"/>
  <c r="AM4" i="1" s="1"/>
  <c r="E4" i="1"/>
  <c r="H4" i="1"/>
  <c r="T4" i="1"/>
  <c r="AX4" i="1"/>
  <c r="Y4" i="1" s="1"/>
  <c r="R4" i="1"/>
  <c r="G4" i="1"/>
  <c r="I4" i="1" s="1"/>
  <c r="AI4" i="1" l="1"/>
  <c r="M4" i="1"/>
  <c r="O4" i="1" s="1"/>
</calcChain>
</file>

<file path=xl/comments1.xml><?xml version="1.0" encoding="utf-8"?>
<comments xmlns="http://schemas.openxmlformats.org/spreadsheetml/2006/main">
  <authors>
    <author>Scherbatkin, Dmitry D.</author>
  </authors>
  <commentList>
    <comment ref="BJ3" authorId="0">
      <text>
        <r>
          <rPr>
            <sz val="9"/>
            <color indexed="81"/>
            <rFont val="Tahoma"/>
            <family val="2"/>
            <charset val="204"/>
          </rPr>
          <t xml:space="preserve">Данное поле может отсутствовать в опросном листе, поскольку содержится в Пирамида-Сети в паспорте как атрибут Типа прибора (заводится при создании Типа ПУ)
</t>
        </r>
      </text>
    </comment>
    <comment ref="BK3" authorId="0">
      <text>
        <r>
          <rPr>
            <sz val="9"/>
            <color indexed="81"/>
            <rFont val="Tahoma"/>
            <family val="2"/>
            <charset val="204"/>
          </rPr>
          <t>Данное поле может отсутствовать в опросном листе, поскольку является расчетной величиной на основании указанной даты последней поверке и значения межповерочного интервала, который содержится в Пирамида-Сети, являясь атрибутом Типа ПУ</t>
        </r>
      </text>
    </comment>
  </commentList>
</comments>
</file>

<file path=xl/sharedStrings.xml><?xml version="1.0" encoding="utf-8"?>
<sst xmlns="http://schemas.openxmlformats.org/spreadsheetml/2006/main" count="599" uniqueCount="422">
  <si>
    <t>Субьект рынка</t>
  </si>
  <si>
    <t>Потребитель</t>
  </si>
  <si>
    <t>Р</t>
  </si>
  <si>
    <t>РиМ-384</t>
  </si>
  <si>
    <t>Красногорский</t>
  </si>
  <si>
    <t>РЭС</t>
  </si>
  <si>
    <t>ТП</t>
  </si>
  <si>
    <t>Дмитровский</t>
  </si>
  <si>
    <t>Код РЭС</t>
  </si>
  <si>
    <t>Район Электрических Сетей</t>
  </si>
  <si>
    <t>Сетевой филиал</t>
  </si>
  <si>
    <t>Воскресенский</t>
  </si>
  <si>
    <t>Зарайский</t>
  </si>
  <si>
    <t>Коломенский</t>
  </si>
  <si>
    <t>Луховицкий</t>
  </si>
  <si>
    <t>Озерский</t>
  </si>
  <si>
    <t>Балашихинский</t>
  </si>
  <si>
    <t>Ногинский</t>
  </si>
  <si>
    <t>Орехово-Зуевский</t>
  </si>
  <si>
    <t>Павлово-Посадский</t>
  </si>
  <si>
    <t>Егорьевский</t>
  </si>
  <si>
    <t>Шатурский</t>
  </si>
  <si>
    <t>Волоколамский</t>
  </si>
  <si>
    <t>Лотошинский</t>
  </si>
  <si>
    <t>Шаховской</t>
  </si>
  <si>
    <t>Истринский</t>
  </si>
  <si>
    <t>Одинцовский</t>
  </si>
  <si>
    <t>Можайский</t>
  </si>
  <si>
    <t>Наро-Фоминский</t>
  </si>
  <si>
    <t>Рузский</t>
  </si>
  <si>
    <t>Талдомский</t>
  </si>
  <si>
    <t>Клинский</t>
  </si>
  <si>
    <t>Химкинский</t>
  </si>
  <si>
    <t>Солнечногорский</t>
  </si>
  <si>
    <t>Мытищинский</t>
  </si>
  <si>
    <t>Пушкинский</t>
  </si>
  <si>
    <t>Сергиево-Посадский</t>
  </si>
  <si>
    <t>Каширский</t>
  </si>
  <si>
    <t>Серебряно-Прудский</t>
  </si>
  <si>
    <t>Ступинский</t>
  </si>
  <si>
    <t>Домодедовский</t>
  </si>
  <si>
    <t>Ленинский</t>
  </si>
  <si>
    <t>Подольский</t>
  </si>
  <si>
    <t>Раменский</t>
  </si>
  <si>
    <t>Серпуховской</t>
  </si>
  <si>
    <t>Чеховский</t>
  </si>
  <si>
    <t>Московский</t>
  </si>
  <si>
    <t>Новая Москва</t>
  </si>
  <si>
    <t>Троицкий</t>
  </si>
  <si>
    <t>Успенский</t>
  </si>
  <si>
    <t>Жуковский</t>
  </si>
  <si>
    <t>Тип электроустановки</t>
  </si>
  <si>
    <t>ПС</t>
  </si>
  <si>
    <t>РП</t>
  </si>
  <si>
    <t>ПКУ</t>
  </si>
  <si>
    <t>Тип учета</t>
  </si>
  <si>
    <t>расчетный</t>
  </si>
  <si>
    <t>контрольный</t>
  </si>
  <si>
    <t>технический</t>
  </si>
  <si>
    <t>связной адрес</t>
  </si>
  <si>
    <t>№
секции</t>
  </si>
  <si>
    <t>№ фидера
(ИИК)</t>
  </si>
  <si>
    <t>№ ячейки (5 цифр)</t>
  </si>
  <si>
    <t>пароль</t>
  </si>
  <si>
    <t>тип</t>
  </si>
  <si>
    <t>наименование</t>
  </si>
  <si>
    <t>Альфа</t>
  </si>
  <si>
    <t>ЕвроАльфа 1.1</t>
  </si>
  <si>
    <t>ЕвроАльфа 1.0</t>
  </si>
  <si>
    <t>Альфа+</t>
  </si>
  <si>
    <t>A1700</t>
  </si>
  <si>
    <t>ПСЧ-4ТМ.05</t>
  </si>
  <si>
    <t>СЭТ-4ТМ</t>
  </si>
  <si>
    <t>A3</t>
  </si>
  <si>
    <t>СC-300</t>
  </si>
  <si>
    <t>A1800</t>
  </si>
  <si>
    <t>A1140</t>
  </si>
  <si>
    <t>SL7000/761</t>
  </si>
  <si>
    <t>Энергомера</t>
  </si>
  <si>
    <t>EPQS</t>
  </si>
  <si>
    <t>Меркурий-23X</t>
  </si>
  <si>
    <t>LZQM</t>
  </si>
  <si>
    <t>Меркурий 203.2Т</t>
  </si>
  <si>
    <t>ZMD</t>
  </si>
  <si>
    <t>EMH LZQJ-XC</t>
  </si>
  <si>
    <t>ZMG</t>
  </si>
  <si>
    <t>Гамма 3/2</t>
  </si>
  <si>
    <t>DTSD546</t>
  </si>
  <si>
    <t>НИК2303</t>
  </si>
  <si>
    <t>AS3500/1440</t>
  </si>
  <si>
    <t>ПСЧ-3АР/CЭБ-2A</t>
  </si>
  <si>
    <t>ЦЕ-2727</t>
  </si>
  <si>
    <t>Маяк-302 АРТ</t>
  </si>
  <si>
    <t>AS220</t>
  </si>
  <si>
    <t>СТЭМ-3А</t>
  </si>
  <si>
    <t>Стэм-3B</t>
  </si>
  <si>
    <t>Сэм-1B</t>
  </si>
  <si>
    <t>DLMS счетчик</t>
  </si>
  <si>
    <t>МИР C-03/01</t>
  </si>
  <si>
    <t>МИР C-07/04</t>
  </si>
  <si>
    <t>CE-308 DLP</t>
  </si>
  <si>
    <t>CE-308/208 СПОДЭС</t>
  </si>
  <si>
    <t>CE-208 DLP</t>
  </si>
  <si>
    <t>Фобос</t>
  </si>
  <si>
    <t>СКВТ-Ф-МАРСЕН</t>
  </si>
  <si>
    <t>SMT Тесмек Рус</t>
  </si>
  <si>
    <t>Меркурий-23X СПОДЭС</t>
  </si>
  <si>
    <t>РиМ СПОДЭС</t>
  </si>
  <si>
    <t>Рокип СПОДЭС</t>
  </si>
  <si>
    <t>Нева СПОДЭС</t>
  </si>
  <si>
    <t>неизвестный</t>
  </si>
  <si>
    <t>виртуальный</t>
  </si>
  <si>
    <t>Северные ЭС</t>
  </si>
  <si>
    <t>Западные ЭС</t>
  </si>
  <si>
    <t>Восточные ЭС</t>
  </si>
  <si>
    <t>Южные ЭС</t>
  </si>
  <si>
    <t>МКС</t>
  </si>
  <si>
    <t>позиция
РЭС</t>
  </si>
  <si>
    <t>позиция
тип ПУ</t>
  </si>
  <si>
    <t>СТЭМ-300</t>
  </si>
  <si>
    <t>Waviot</t>
  </si>
  <si>
    <t>Миртек СПОДЭС</t>
  </si>
  <si>
    <t>тип DLMS</t>
  </si>
  <si>
    <t>код DLMS</t>
  </si>
  <si>
    <t>позиция
DLMS</t>
  </si>
  <si>
    <t>Папка каталога</t>
  </si>
  <si>
    <t>Точка опроса</t>
  </si>
  <si>
    <t>IP адрес</t>
  </si>
  <si>
    <t>Номер телефона</t>
  </si>
  <si>
    <t>tcp порт</t>
  </si>
  <si>
    <t>Порт модема</t>
  </si>
  <si>
    <t>Название объекта</t>
  </si>
  <si>
    <t>Класс напряжения, 
кВ</t>
  </si>
  <si>
    <t>Название секции
(необязательно)</t>
  </si>
  <si>
    <t>Дата установки</t>
  </si>
  <si>
    <t xml:space="preserve">Дата поверки </t>
  </si>
  <si>
    <t>Тип ПУ</t>
  </si>
  <si>
    <t>Тип ПУ
в БД</t>
  </si>
  <si>
    <t>Тип
DLMS</t>
  </si>
  <si>
    <t>Подтип DLMS</t>
  </si>
  <si>
    <t>Модель прибора учёта
(30 символов)</t>
  </si>
  <si>
    <t>Тип учёта
(К/Р/Т)</t>
  </si>
  <si>
    <t>Код объекта</t>
  </si>
  <si>
    <t>РТП</t>
  </si>
  <si>
    <t>КТП</t>
  </si>
  <si>
    <t>ВРУ</t>
  </si>
  <si>
    <t>Код ЭУ</t>
  </si>
  <si>
    <t>Тип ЭУ</t>
  </si>
  <si>
    <t>Номер ЭУ</t>
  </si>
  <si>
    <t>КРН</t>
  </si>
  <si>
    <t>ЗТП</t>
  </si>
  <si>
    <t>KTТ
1</t>
  </si>
  <si>
    <t>KTТ
2</t>
  </si>
  <si>
    <t>KТН
1</t>
  </si>
  <si>
    <t>КТН
2</t>
  </si>
  <si>
    <t>сер № ПУ</t>
  </si>
  <si>
    <t>01 р-н МКС (ЦОРУПЭ)</t>
  </si>
  <si>
    <t>10 р-н МКС (ЦОРУПЭ)</t>
  </si>
  <si>
    <t>02 р-н МКС (ЦОРУПЭ)</t>
  </si>
  <si>
    <t>03 р-н МКС (ЦОРУПЭ)</t>
  </si>
  <si>
    <t>04 р-н МКС (ЮОРУПЭ)</t>
  </si>
  <si>
    <t>05 р-н МКС (СВОРУПЭ)</t>
  </si>
  <si>
    <t>06 р-н МКС (ЦОРУПЭ)</t>
  </si>
  <si>
    <t>07 р-н МКС (ЮВОРУПЭ)</t>
  </si>
  <si>
    <t>08 р-н МКС (СЗОРУПЭ)</t>
  </si>
  <si>
    <t>09 р-н МКС (СВОРУПЭ)</t>
  </si>
  <si>
    <t>11 р-н МКС (ЮЗОРУПЭ)</t>
  </si>
  <si>
    <t>12 р-н МКС (СОРУПЭ)</t>
  </si>
  <si>
    <t>13 р-н МКС (СВОРУПЭ)</t>
  </si>
  <si>
    <t>14 р-н МКС (ВОРУПЭ)</t>
  </si>
  <si>
    <t>15 р-н МКС (ЮВОРУПЭ)</t>
  </si>
  <si>
    <t>16 р-н МКС (ЮОРУПЭ)</t>
  </si>
  <si>
    <t>17 р-н МКС (ЗОРУПЭ)</t>
  </si>
  <si>
    <t>18 р-н МКС (ВОРУПЭ)</t>
  </si>
  <si>
    <t>19 р-н МКС (СЗОРУПЭ)</t>
  </si>
  <si>
    <t>20 р-н МКС (ЗОРУПЭ)</t>
  </si>
  <si>
    <t>21 р-н МКС (СОРУПЭ)</t>
  </si>
  <si>
    <t>22 р-н МКС (ЮЗОРУПЭ)</t>
  </si>
  <si>
    <t>23 р-н МКС (ВОРУПЭ)</t>
  </si>
  <si>
    <t>24 р-н МКС (ЮОРУПЭ)</t>
  </si>
  <si>
    <t>25 р-н МКС (ЗОРУПЭ)</t>
  </si>
  <si>
    <t>39 р-н МКС (ЗелОРУПЭ)</t>
  </si>
  <si>
    <t>Дисп. наим. 
(100 символов)</t>
  </si>
  <si>
    <t>Краткое название фидера
(20 символов)</t>
  </si>
  <si>
    <t>Уровень доступа
0 - полный
1 - комм. чтение
2 -  чтение</t>
  </si>
  <si>
    <t>тип УСПД</t>
  </si>
  <si>
    <t>УСПД</t>
  </si>
  <si>
    <t>Smart RTU</t>
  </si>
  <si>
    <t>RTU-325</t>
  </si>
  <si>
    <t>СЭМ</t>
  </si>
  <si>
    <t>AC AMR Server</t>
  </si>
  <si>
    <t>Мегадата</t>
  </si>
  <si>
    <t>RTU-327</t>
  </si>
  <si>
    <t>Сикон С10 v2</t>
  </si>
  <si>
    <t>ЕК-260 газ</t>
  </si>
  <si>
    <t>ЭКОМ-3000</t>
  </si>
  <si>
    <t>Список МЭК-101/104</t>
  </si>
  <si>
    <t>Файлы Космотроника</t>
  </si>
  <si>
    <t>Файлы AMet</t>
  </si>
  <si>
    <t>ВЭП-01</t>
  </si>
  <si>
    <t>AC AMR Тепло</t>
  </si>
  <si>
    <t>Логика СПГ-761</t>
  </si>
  <si>
    <t>Меркурий-225</t>
  </si>
  <si>
    <t>УСПД 164-01М</t>
  </si>
  <si>
    <t>УППД Передача</t>
  </si>
  <si>
    <t>AC AMR Инет</t>
  </si>
  <si>
    <t>МК-01</t>
  </si>
  <si>
    <t>СЕ805М</t>
  </si>
  <si>
    <t>Вавиот</t>
  </si>
  <si>
    <t>SM160</t>
  </si>
  <si>
    <t>РиМ-099.03</t>
  </si>
  <si>
    <t>позиция
УСПД</t>
  </si>
  <si>
    <t>код УСПД</t>
  </si>
  <si>
    <t>сер. №</t>
  </si>
  <si>
    <t>login</t>
  </si>
  <si>
    <t>модель УСПД</t>
  </si>
  <si>
    <t>10 кВ</t>
  </si>
  <si>
    <t>класс напр.</t>
  </si>
  <si>
    <t>6 кВ</t>
  </si>
  <si>
    <t>20 кВ</t>
  </si>
  <si>
    <t>35 кВ</t>
  </si>
  <si>
    <t>110 кВ</t>
  </si>
  <si>
    <t>220 кВ</t>
  </si>
  <si>
    <t>0.4 кВ</t>
  </si>
  <si>
    <t>КТН1</t>
  </si>
  <si>
    <t>КТН2</t>
  </si>
  <si>
    <t>позиция напр.</t>
  </si>
  <si>
    <t>Субъект рынка: всегда = 3
Количество точек учёта вычисляется по первой пустой строке.
Жёлтые ячейки: вычисляются по формуле, не рекомендуется исправлять руками!
Оранжевые ячейки: выбор значений из выпадающего списка</t>
  </si>
  <si>
    <t>Меркурий 234</t>
  </si>
  <si>
    <t>Пульсар 1фз</t>
  </si>
  <si>
    <t>CE-318 BY</t>
  </si>
  <si>
    <t>Милур СПОДЭС</t>
  </si>
  <si>
    <t>Инкотекс ..2080</t>
  </si>
  <si>
    <t>Квант ST</t>
  </si>
  <si>
    <t>Нартис-300</t>
  </si>
  <si>
    <t>Нартис-300 пр, 30мин</t>
  </si>
  <si>
    <t>М234 без месячных показаний</t>
  </si>
  <si>
    <t>Квант ST ..2080</t>
  </si>
  <si>
    <t>М234 без авточтений</t>
  </si>
  <si>
    <t>Инкотекс X2 ..2080</t>
  </si>
  <si>
    <t>Инкотекс X2 ..2222</t>
  </si>
  <si>
    <t>СПОДЭС (общий)</t>
  </si>
  <si>
    <t>СТЭМ-300 2</t>
  </si>
  <si>
    <t>СТЭМ-300 универсальный</t>
  </si>
  <si>
    <t>Милур 107S</t>
  </si>
  <si>
    <t>Милур 307S</t>
  </si>
  <si>
    <t>Милур общий</t>
  </si>
  <si>
    <t>МИР С-04</t>
  </si>
  <si>
    <t>МИР С-05</t>
  </si>
  <si>
    <t>МИР С-07</t>
  </si>
  <si>
    <t>Щёлковский</t>
  </si>
  <si>
    <t>ЦК</t>
  </si>
  <si>
    <t>Инкотекс 2222</t>
  </si>
  <si>
    <t>Инкотекс 2080</t>
  </si>
  <si>
    <t>Нартис-И300 2080</t>
  </si>
  <si>
    <t>Нартис-И300 стд</t>
  </si>
  <si>
    <t>Инкотекс 2</t>
  </si>
  <si>
    <t>К</t>
  </si>
  <si>
    <t>Т</t>
  </si>
  <si>
    <t>Модем</t>
  </si>
  <si>
    <t>МВС</t>
  </si>
  <si>
    <t>ОВЭС САО</t>
  </si>
  <si>
    <t>ОВЭС СЗАО</t>
  </si>
  <si>
    <t>ОВЭС ЗАО</t>
  </si>
  <si>
    <t>ОВЭС ЮЗАО</t>
  </si>
  <si>
    <t>ОВЭС ВАО</t>
  </si>
  <si>
    <t>ОВЭС ЮАО</t>
  </si>
  <si>
    <t>ОВЭС ЮВАО</t>
  </si>
  <si>
    <t>ОВЭС СВАО</t>
  </si>
  <si>
    <t>ОВЭС ЦАО</t>
  </si>
  <si>
    <t>ОВЭС Зеленоградский АО</t>
  </si>
  <si>
    <t>Версия шаблона импорта от 09.04.2024</t>
  </si>
  <si>
    <t>№ п/п</t>
  </si>
  <si>
    <t>ПЭС v.1.18</t>
  </si>
  <si>
    <t>Опора</t>
  </si>
  <si>
    <t>Адрес</t>
  </si>
  <si>
    <t>ПУ</t>
  </si>
  <si>
    <t>Трансформаторы</t>
  </si>
  <si>
    <t>Связь с ПУ</t>
  </si>
  <si>
    <t>Абонент</t>
  </si>
  <si>
    <t>Область видимости</t>
  </si>
  <si>
    <t>Тариф</t>
  </si>
  <si>
    <r>
      <t>К</t>
    </r>
    <r>
      <rPr>
        <b/>
        <sz val="11"/>
        <color theme="1"/>
        <rFont val="Calibri"/>
        <family val="2"/>
        <charset val="204"/>
      </rPr>
      <t>омментарии</t>
    </r>
  </si>
  <si>
    <t>Высокая сторона</t>
  </si>
  <si>
    <t>Низкая сторона</t>
  </si>
  <si>
    <t>Код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</si>
  <si>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</si>
  <si>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</si>
  <si>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</si>
  <si>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</si>
  <si>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</si>
  <si>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</si>
  <si>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</si>
  <si>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</si>
  <si>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Номер</t>
  </si>
  <si>
    <t>Широта</t>
  </si>
  <si>
    <t>Долгота</t>
  </si>
  <si>
    <t>Адрес ФИАС</t>
  </si>
  <si>
    <t>Квартира</t>
  </si>
  <si>
    <t>Тип ТУ</t>
  </si>
  <si>
    <t>Серийный номер</t>
  </si>
  <si>
    <t>Дата выпуска</t>
  </si>
  <si>
    <t>Дата последней поверки</t>
  </si>
  <si>
    <t>Межповерочный интервал</t>
  </si>
  <si>
    <t>Дата следующей поверки (расчетное)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</si>
  <si>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</si>
  <si>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</si>
  <si>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</si>
  <si>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</si>
  <si>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</si>
  <si>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</si>
  <si>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</si>
  <si>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</si>
  <si>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</si>
  <si>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</si>
  <si>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</si>
  <si>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</si>
  <si>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</si>
  <si>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</si>
  <si>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№*1</t>
  </si>
  <si>
    <t>Москва</t>
  </si>
  <si>
    <t>СШ-1</t>
  </si>
  <si>
    <t>Ячейка присоединения</t>
  </si>
  <si>
    <t>Высокий уровень доступа (HLS)</t>
  </si>
  <si>
    <t>Т1</t>
  </si>
  <si>
    <t>СШ-2</t>
  </si>
  <si>
    <t>Место установки</t>
  </si>
  <si>
    <t>Связь с УСПД</t>
  </si>
  <si>
    <t>Тип УСПД</t>
  </si>
  <si>
    <t>Идентификатор (ICC ID)</t>
  </si>
  <si>
    <t>Старый IP-адрес или Точка доступа (APN)</t>
  </si>
  <si>
    <t>IP-адрес</t>
  </si>
  <si>
    <t>Физический адрес</t>
  </si>
  <si>
    <t>*1</t>
  </si>
  <si>
    <t>18100109</t>
  </si>
  <si>
    <t>18300064</t>
  </si>
  <si>
    <t>№ ПУ</t>
  </si>
  <si>
    <t>2-3 (E)</t>
  </si>
  <si>
    <t>2-2 (AF)</t>
  </si>
  <si>
    <t>2-1 (AF)</t>
  </si>
  <si>
    <t>2-8 (BO)</t>
  </si>
  <si>
    <t>(AO)</t>
  </si>
  <si>
    <t>2-4 (BN)</t>
  </si>
  <si>
    <t>1-1 (BF)</t>
  </si>
  <si>
    <t>2-5 (BH)</t>
  </si>
  <si>
    <t>2-6 (BI)</t>
  </si>
  <si>
    <t>ручн</t>
  </si>
  <si>
    <t>1-2 (BD)</t>
  </si>
  <si>
    <t>(CI)</t>
  </si>
  <si>
    <t>1-3 (CB)</t>
  </si>
  <si>
    <t>1-4 (CD)</t>
  </si>
  <si>
    <t>1-5 (CE)</t>
  </si>
  <si>
    <t>1-6 (CE)</t>
  </si>
  <si>
    <t>2-7 (CE)</t>
  </si>
  <si>
    <t>исх</t>
  </si>
  <si>
    <t>1-7 (CG)</t>
  </si>
  <si>
    <t>TELEOFIS WRX708-L4</t>
  </si>
  <si>
    <t>УКС г.Зеленоград</t>
  </si>
  <si>
    <t>ищем IP по ПУ или УСПД
 (со слешами могут)</t>
  </si>
  <si>
    <t>ЭУ</t>
  </si>
  <si>
    <t>ЭУ РП</t>
  </si>
  <si>
    <t>Коммент</t>
  </si>
  <si>
    <t>Основание для импорта</t>
  </si>
  <si>
    <t>3-6 ЦК</t>
  </si>
  <si>
    <t>Приказ 9/1140</t>
  </si>
  <si>
    <t>Приказ 1132</t>
  </si>
  <si>
    <t>Прибор учета 6-20кВ</t>
  </si>
  <si>
    <t>Доп. услуги</t>
  </si>
  <si>
    <t>Программа установки</t>
  </si>
  <si>
    <t>Автоматизация</t>
  </si>
  <si>
    <t>Автоматизация 2024</t>
  </si>
  <si>
    <t>ИПР</t>
  </si>
  <si>
    <t>ИПР 2024</t>
  </si>
  <si>
    <t>ПКУ 2024</t>
  </si>
  <si>
    <t>ТОиР</t>
  </si>
  <si>
    <t>ТОиР 2021</t>
  </si>
  <si>
    <t>ТОиР 2022</t>
  </si>
  <si>
    <t>ТОиР 2023</t>
  </si>
  <si>
    <t>ТОиР 2024</t>
  </si>
  <si>
    <t>ТП 2021</t>
  </si>
  <si>
    <t>ТП 2022</t>
  </si>
  <si>
    <t>ТП 2023</t>
  </si>
  <si>
    <t>ТП 2024</t>
  </si>
  <si>
    <t>ФЗ 522</t>
  </si>
  <si>
    <t>ФЗ 522 2020</t>
  </si>
  <si>
    <t>ФЗ 522 2021</t>
  </si>
  <si>
    <t>ФЗ 522 2022</t>
  </si>
  <si>
    <t>ФЗ 522 2023</t>
  </si>
  <si>
    <t>ФЗ 522 2024</t>
  </si>
  <si>
    <t>Хозспособ</t>
  </si>
  <si>
    <t>Хозспособ 2022</t>
  </si>
  <si>
    <t>Хозспособ 2023</t>
  </si>
  <si>
    <t>Хозспособ 2024</t>
  </si>
  <si>
    <t>Цифровой РЭС</t>
  </si>
  <si>
    <t>Цифровой РЭС 2024</t>
  </si>
  <si>
    <t>(АЦ!) проверка</t>
  </si>
  <si>
    <t>10.0.0.3</t>
  </si>
  <si>
    <t>1</t>
  </si>
  <si>
    <t>ПС-111</t>
  </si>
  <si>
    <t>ТП-11111</t>
  </si>
  <si>
    <t/>
  </si>
  <si>
    <t>Ввод-1</t>
  </si>
  <si>
    <t>Ввод-1 0,4кВ</t>
  </si>
  <si>
    <t>Ячейка нижней обмотки силового трансформатора</t>
  </si>
  <si>
    <t>Техническая</t>
  </si>
  <si>
    <t>Приборы с поддержкой протокола СПОДЭС - Меркурий 234 (СПОДЭС)</t>
  </si>
  <si>
    <t>30.08.2023</t>
  </si>
  <si>
    <t>01.01.2022</t>
  </si>
  <si>
    <t>16</t>
  </si>
  <si>
    <t>01.01.2038</t>
  </si>
  <si>
    <t>3</t>
  </si>
  <si>
    <t>2222222222222222</t>
  </si>
  <si>
    <t>Megafon, 79261234568, 10.0.0.3:6001</t>
  </si>
  <si>
    <t>2400012345 (ТОПАЗ - ТОПАЗ УСПД)|Класс=Маршрут через промежуточное оборудование|Приоритет (числовой, начиная с 0 -  высшего значения)=0|Категория=Комбинированный|Класс=Маршрут через промежуточное оборудование|Отключен=False</t>
  </si>
  <si>
    <t>12.01.2025</t>
  </si>
  <si>
    <t>ТОПАЗ - ТОПАЗ УСПД</t>
  </si>
  <si>
    <t>29.08.2023</t>
  </si>
  <si>
    <t>1234</t>
  </si>
  <si>
    <t>Megafon, 79261234568, 10.0.0.3:7001</t>
  </si>
  <si>
    <t>41123456</t>
  </si>
  <si>
    <t>41123457</t>
  </si>
  <si>
    <t>41123458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</si>
</sst>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sz val="10"/>
      <name val="Arial Cyr"/>
      <charset val="204"/>
    </font>
    <font>
      <sz val="9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9"/>
      <color theme="0" tint="-0.499984740745262"/>
      <name val="Tahoma"/>
      <family val="2"/>
      <charset val="204"/>
    </font>
    <font>
      <sz val="10"/>
      <color theme="0" tint="-0.499984740745262"/>
      <name val="Tahoma"/>
      <family val="2"/>
      <charset val="204"/>
    </font>
    <font>
      <b/>
      <sz val="10"/>
      <color theme="0" tint="-0.499984740745262"/>
      <name val="Tahoma"/>
      <family val="2"/>
      <charset val="204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  <charset val="204"/>
    </font>
    <font>
      <sz val="9"/>
      <color rgb="FF000000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10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9" fillId="0" borderId="0"/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0" fillId="0" borderId="0"/>
  </cellStyleXfs>
  <cellXfs count="174">
    <xf numFmtId="0" fontId="0" fillId="0" borderId="0" xfId="0"/>
    <xf numFmtId="0" fontId="8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4" applyFont="1" applyBorder="1" applyAlignment="1">
      <alignment horizontal="center"/>
    </xf>
    <xf numFmtId="0" fontId="8" fillId="0" borderId="0" xfId="4" applyFont="1" applyBorder="1"/>
    <xf numFmtId="0" fontId="13" fillId="0" borderId="0" xfId="0" applyFont="1" applyAlignment="1">
      <alignment horizontal="center" vertical="top" wrapText="1"/>
    </xf>
    <xf numFmtId="0" fontId="13" fillId="0" borderId="0" xfId="4" applyFont="1" applyBorder="1" applyAlignment="1">
      <alignment horizontal="center"/>
    </xf>
    <xf numFmtId="0" fontId="13" fillId="0" borderId="0" xfId="4" applyFont="1" applyBorder="1"/>
    <xf numFmtId="0" fontId="14" fillId="0" borderId="0" xfId="0" applyFont="1"/>
    <xf numFmtId="0" fontId="8" fillId="0" borderId="0" xfId="0" applyFont="1" applyFill="1"/>
    <xf numFmtId="0" fontId="12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5" fillId="0" borderId="0" xfId="0" applyFont="1"/>
    <xf numFmtId="0" fontId="13" fillId="0" borderId="0" xfId="0" applyFont="1" applyAlignment="1">
      <alignment horizontal="center"/>
    </xf>
    <xf numFmtId="0" fontId="16" fillId="2" borderId="1" xfId="1" applyFont="1" applyFill="1" applyBorder="1" applyAlignment="1">
      <alignment horizontal="center" vertical="center" wrapText="1"/>
    </xf>
    <xf numFmtId="0" fontId="17" fillId="2" borderId="1" xfId="1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4" fillId="0" borderId="0" xfId="0" applyFont="1"/>
    <xf numFmtId="3" fontId="8" fillId="0" borderId="0" xfId="0" applyNumberFormat="1" applyFont="1"/>
    <xf numFmtId="0" fontId="2" fillId="0" borderId="0" xfId="8" applyFont="1" applyBorder="1" applyAlignment="1">
      <alignment horizontal="center"/>
    </xf>
    <xf numFmtId="0" fontId="2" fillId="0" borderId="0" xfId="8" applyFont="1" applyBorder="1"/>
    <xf numFmtId="0" fontId="1" fillId="0" borderId="0" xfId="4" applyFont="1" applyBorder="1"/>
    <xf numFmtId="0" fontId="1" fillId="0" borderId="0" xfId="0" applyFont="1"/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1" fillId="0" borderId="1" xfId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/>
    <xf numFmtId="49" fontId="1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top" wrapText="1"/>
    </xf>
    <xf numFmtId="0" fontId="17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8" fillId="4" borderId="1" xfId="0" applyFont="1" applyFill="1" applyBorder="1" applyAlignment="1">
      <alignment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vertical="center" wrapText="1"/>
    </xf>
    <xf numFmtId="0" fontId="28" fillId="4" borderId="4" xfId="0" applyFont="1" applyFill="1" applyBorder="1" applyAlignment="1">
      <alignment vertical="center" wrapText="1"/>
    </xf>
    <xf numFmtId="0" fontId="28" fillId="4" borderId="5" xfId="0" applyFont="1" applyFill="1" applyBorder="1" applyAlignment="1">
      <alignment vertical="center" wrapText="1"/>
    </xf>
    <xf numFmtId="0" fontId="28" fillId="4" borderId="7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vertical="center" wrapText="1"/>
    </xf>
    <xf numFmtId="0" fontId="28" fillId="4" borderId="7" xfId="0" applyFont="1" applyFill="1" applyBorder="1" applyAlignment="1">
      <alignment vertical="center" wrapText="1"/>
    </xf>
    <xf numFmtId="0" fontId="28" fillId="4" borderId="9" xfId="0" applyFont="1" applyFill="1" applyBorder="1" applyAlignment="1">
      <alignment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vertical="center" wrapText="1"/>
    </xf>
    <xf numFmtId="0" fontId="0" fillId="4" borderId="11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19" fillId="4" borderId="0" xfId="10" applyFont="1" applyFill="1" applyAlignment="1">
      <alignment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vertical="center" wrapText="1"/>
    </xf>
    <xf numFmtId="0" fontId="28" fillId="4" borderId="13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14" xfId="0" applyFont="1" applyFill="1" applyBorder="1" applyAlignment="1">
      <alignment horizontal="center" vertical="center" wrapText="1"/>
    </xf>
    <xf numFmtId="0" fontId="28" fillId="4" borderId="15" xfId="0" applyFont="1" applyFill="1" applyBorder="1" applyAlignment="1">
      <alignment vertical="center" wrapText="1"/>
    </xf>
    <xf numFmtId="0" fontId="28" fillId="4" borderId="15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9" fillId="5" borderId="10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vertical="center" wrapText="1"/>
    </xf>
    <xf numFmtId="0" fontId="0" fillId="4" borderId="8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1" xfId="0" applyFont="1" applyBorder="1"/>
    <xf numFmtId="0" fontId="0" fillId="0" borderId="12" xfId="0" applyFont="1" applyBorder="1"/>
    <xf numFmtId="0" fontId="0" fillId="0" borderId="12" xfId="0" applyFont="1" applyFill="1" applyBorder="1" applyAlignment="1">
      <alignment horizontal="left"/>
    </xf>
    <xf numFmtId="4" fontId="0" fillId="6" borderId="1" xfId="0" applyNumberFormat="1" applyFont="1" applyFill="1" applyBorder="1"/>
    <xf numFmtId="0" fontId="19" fillId="6" borderId="1" xfId="10" applyFont="1" applyFill="1" applyBorder="1"/>
    <xf numFmtId="0" fontId="19" fillId="0" borderId="0" xfId="10" applyFont="1"/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Fill="1" applyBorder="1" applyAlignment="1">
      <alignment horizontal="left"/>
    </xf>
    <xf numFmtId="0" fontId="19" fillId="0" borderId="0" xfId="10" applyFont="1" applyFill="1" applyAlignment="1">
      <alignment horizontal="left"/>
    </xf>
    <xf numFmtId="0" fontId="28" fillId="4" borderId="1" xfId="10" applyFont="1" applyFill="1" applyBorder="1" applyAlignment="1">
      <alignment vertical="center" wrapText="1"/>
    </xf>
    <xf numFmtId="0" fontId="28" fillId="4" borderId="10" xfId="10" applyFont="1" applyFill="1" applyBorder="1" applyAlignment="1">
      <alignment vertical="center" wrapText="1"/>
    </xf>
    <xf numFmtId="0" fontId="28" fillId="4" borderId="6" xfId="10" applyFont="1" applyFill="1" applyBorder="1" applyAlignment="1">
      <alignment vertical="center" wrapText="1"/>
    </xf>
    <xf numFmtId="0" fontId="28" fillId="4" borderId="4" xfId="10" applyFont="1" applyFill="1" applyBorder="1" applyAlignment="1">
      <alignment vertical="center" wrapText="1"/>
    </xf>
    <xf numFmtId="49" fontId="28" fillId="4" borderId="4" xfId="10" applyNumberFormat="1" applyFont="1" applyFill="1" applyBorder="1" applyAlignment="1">
      <alignment vertical="center" wrapText="1"/>
    </xf>
    <xf numFmtId="0" fontId="28" fillId="4" borderId="4" xfId="10" applyFont="1" applyFill="1" applyBorder="1" applyAlignment="1">
      <alignment horizontal="center" vertical="center" wrapText="1"/>
    </xf>
    <xf numFmtId="0" fontId="28" fillId="4" borderId="5" xfId="10" applyFont="1" applyFill="1" applyBorder="1" applyAlignment="1">
      <alignment vertical="center" wrapText="1"/>
    </xf>
    <xf numFmtId="0" fontId="19" fillId="4" borderId="0" xfId="10" applyFill="1" applyAlignment="1">
      <alignment vertical="center" wrapText="1"/>
    </xf>
    <xf numFmtId="0" fontId="28" fillId="4" borderId="15" xfId="10" applyFont="1" applyFill="1" applyBorder="1" applyAlignment="1">
      <alignment vertical="center" wrapText="1"/>
    </xf>
    <xf numFmtId="0" fontId="28" fillId="4" borderId="10" xfId="10" applyFont="1" applyFill="1" applyBorder="1" applyAlignment="1">
      <alignment horizontal="center" vertical="center" wrapText="1"/>
    </xf>
    <xf numFmtId="0" fontId="29" fillId="5" borderId="10" xfId="10" applyFont="1" applyFill="1" applyBorder="1" applyAlignment="1">
      <alignment horizontal="center" vertical="center" wrapText="1"/>
    </xf>
    <xf numFmtId="49" fontId="28" fillId="4" borderId="10" xfId="1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Border="1"/>
    <xf numFmtId="49" fontId="19" fillId="0" borderId="0" xfId="10" applyNumberFormat="1"/>
    <xf numFmtId="0" fontId="19" fillId="0" borderId="0" xfId="10"/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0" fontId="0" fillId="0" borderId="12" xfId="0" applyNumberFormat="1" applyBorder="1"/>
    <xf numFmtId="0" fontId="19" fillId="0" borderId="0" xfId="10" applyFill="1"/>
    <xf numFmtId="0" fontId="31" fillId="0" borderId="1" xfId="11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0" fontId="31" fillId="0" borderId="0" xfId="11" applyFont="1" applyAlignment="1">
      <alignment horizontal="center" vertical="top" wrapText="1"/>
    </xf>
    <xf numFmtId="0" fontId="31" fillId="0" borderId="0" xfId="11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32" fillId="0" borderId="1" xfId="0" applyNumberFormat="1" applyFont="1" applyBorder="1"/>
    <xf numFmtId="0" fontId="0" fillId="0" borderId="1" xfId="0" applyBorder="1"/>
    <xf numFmtId="0" fontId="1" fillId="3" borderId="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/>
    <xf numFmtId="0" fontId="1" fillId="7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49" fontId="1" fillId="9" borderId="2" xfId="0" applyNumberFormat="1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49" fontId="1" fillId="10" borderId="2" xfId="0" applyNumberFormat="1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horizontal="left" vertical="top" wrapText="1"/>
    </xf>
    <xf numFmtId="0" fontId="1" fillId="9" borderId="0" xfId="0" applyFont="1" applyFill="1"/>
    <xf numFmtId="0" fontId="1" fillId="5" borderId="0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 wrapText="1"/>
    </xf>
    <xf numFmtId="0" fontId="8" fillId="5" borderId="0" xfId="0" applyFont="1" applyFill="1"/>
    <xf numFmtId="0" fontId="8" fillId="8" borderId="0" xfId="0" applyFont="1" applyFill="1"/>
    <xf numFmtId="0" fontId="1" fillId="8" borderId="0" xfId="0" applyFont="1" applyFill="1"/>
    <xf numFmtId="0" fontId="12" fillId="8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1" fillId="5" borderId="0" xfId="0" applyFont="1" applyFill="1"/>
    <xf numFmtId="0" fontId="8" fillId="11" borderId="0" xfId="0" applyFont="1" applyFill="1"/>
    <xf numFmtId="0" fontId="1" fillId="11" borderId="0" xfId="0" applyFont="1" applyFill="1"/>
    <xf numFmtId="0" fontId="13" fillId="0" borderId="1" xfId="0" applyFont="1" applyBorder="1"/>
    <xf numFmtId="0" fontId="12" fillId="0" borderId="1" xfId="6" applyFont="1" applyBorder="1"/>
    <xf numFmtId="49" fontId="1" fillId="9" borderId="0" xfId="0" applyNumberFormat="1" applyFont="1" applyFill="1"/>
    <xf numFmtId="49" fontId="1" fillId="0" borderId="20" xfId="0" applyNumberFormat="1" applyFont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top" wrapText="1"/>
    </xf>
    <xf numFmtId="0" fontId="33" fillId="3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8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</cellXfs>
  <cellStyles count="28">
    <cellStyle name="Normal" xfId="25"/>
    <cellStyle name="Гиперссылка" xfId="20" builtinId="8" customBuiltin="1"/>
    <cellStyle name="Гиперссылка 2" xfId="24"/>
    <cellStyle name="Обычный" xfId="0" builtinId="0"/>
    <cellStyle name="Обычный 10" xfId="19"/>
    <cellStyle name="Обычный 11" xfId="23"/>
    <cellStyle name="Обычный 2" xfId="2"/>
    <cellStyle name="Обычный 2 2" xfId="26"/>
    <cellStyle name="Обычный 2 8" xfId="21"/>
    <cellStyle name="Обычный 3" xfId="3"/>
    <cellStyle name="Обычный 3 2" xfId="27"/>
    <cellStyle name="Обычный 4" xfId="1"/>
    <cellStyle name="Обычный 4 2" xfId="5"/>
    <cellStyle name="Обычный 4 2 2" xfId="9"/>
    <cellStyle name="Обычный 4 2 2 2" xfId="18"/>
    <cellStyle name="Обычный 4 2 3" xfId="15"/>
    <cellStyle name="Обычный 4 3" xfId="7"/>
    <cellStyle name="Обычный 4 3 2" xfId="16"/>
    <cellStyle name="Обычный 4 4" xfId="13"/>
    <cellStyle name="Обычный 5" xfId="4"/>
    <cellStyle name="Обычный 5 2" xfId="8"/>
    <cellStyle name="Обычный 5 2 2" xfId="17"/>
    <cellStyle name="Обычный 5 3" xfId="14"/>
    <cellStyle name="Обычный 6" xfId="6"/>
    <cellStyle name="Обычный 7" xfId="10"/>
    <cellStyle name="Обычный 71" xfId="22"/>
    <cellStyle name="Обычный 8" xfId="11"/>
    <cellStyle name="Обычный 9" xfId="1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F4"/>
  <sheetViews>
    <sheetView tabSelected="1" workbookViewId="0">
      <pane ySplit="3" topLeftCell="A4" activePane="bottomLeft" state="frozen"/>
      <selection pane="bottomLeft" activeCell="C8" sqref="C8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10.85546875" style="13" customWidth="1"/>
    <col min="4" max="4" width="10.7109375" style="13" customWidth="1"/>
    <col min="5" max="5" width="12.85546875" style="1" customWidth="1"/>
    <col min="6" max="6" width="9" style="1" customWidth="1"/>
    <col min="7" max="7" width="7.140625" style="1" customWidth="1"/>
    <col min="8" max="8" width="10.28515625" style="1" customWidth="1"/>
    <col min="9" max="9" width="10.7109375" style="1" customWidth="1"/>
    <col min="10" max="10" width="12.5703125" style="1" customWidth="1"/>
    <col min="11" max="11" width="11.28515625" style="1" customWidth="1"/>
    <col min="12" max="12" width="15.42578125" style="1" customWidth="1"/>
    <col min="13" max="13" width="9.7109375" style="1" customWidth="1"/>
    <col min="14" max="14" width="8.7109375" style="1" customWidth="1"/>
    <col min="15" max="15" width="16" style="1" customWidth="1"/>
    <col min="16" max="16" width="18.5703125" style="1" customWidth="1"/>
    <col min="17" max="20" width="8.7109375" style="1" customWidth="1"/>
    <col min="21" max="21" width="17.28515625" style="48" customWidth="1"/>
    <col min="22" max="23" width="11.7109375" style="1" customWidth="1"/>
    <col min="24" max="24" width="22" style="1" customWidth="1"/>
    <col min="25" max="25" width="8.7109375" style="1" customWidth="1"/>
    <col min="26" max="26" width="19.28515625" style="1" customWidth="1"/>
    <col min="27" max="27" width="8.7109375" style="1" customWidth="1"/>
    <col min="28" max="28" width="43.85546875" style="1" customWidth="1"/>
    <col min="29" max="29" width="9.140625" style="1" customWidth="1"/>
    <col min="30" max="30" width="15.7109375" style="1" customWidth="1"/>
    <col min="31" max="31" width="9.140625" style="1" customWidth="1"/>
    <col min="32" max="32" width="18.85546875" style="1" customWidth="1"/>
    <col min="33" max="33" width="13.42578125" style="1" customWidth="1"/>
    <col min="34" max="37" width="13.5703125" style="1" customWidth="1"/>
    <col min="38" max="38" width="7.7109375" style="1" customWidth="1"/>
    <col min="39" max="40" width="11.7109375" style="1" customWidth="1"/>
    <col min="41" max="41" width="9.85546875" style="1" customWidth="1"/>
    <col min="42" max="42" width="37.140625" style="1" customWidth="1"/>
    <col min="43" max="44" width="11.7109375" style="1" customWidth="1"/>
    <col min="45" max="47" width="16.140625" style="1" customWidth="1"/>
    <col min="48" max="48" width="11.7109375" style="13" customWidth="1"/>
    <col min="49" max="50" width="7.7109375" style="154" customWidth="1"/>
    <col min="51" max="53" width="8.7109375" style="154" customWidth="1"/>
    <col min="54" max="54" width="13.28515625" style="153" customWidth="1"/>
    <col min="55" max="55" width="10" style="161" bestFit="1" customWidth="1"/>
    <col min="56" max="57" width="9.140625" style="161"/>
    <col min="58" max="58" width="13.28515625" style="153" customWidth="1"/>
    <col min="59" max="16384" width="9.140625" style="1"/>
  </cols>
  <sheetData>
    <row r="1" spans="1:58" ht="56.25" customHeight="1" x14ac:dyDescent="0.2">
      <c r="A1" s="172" t="s">
        <v>227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8"/>
      <c r="AO1" s="18"/>
      <c r="AP1" s="44" t="s">
        <v>356</v>
      </c>
      <c r="AQ1" s="18"/>
      <c r="AR1" s="18"/>
      <c r="AS1" s="18"/>
      <c r="AT1" s="18"/>
      <c r="AU1" s="54"/>
      <c r="AV1" s="18"/>
    </row>
    <row r="2" spans="1:58" s="33" customFormat="1" x14ac:dyDescent="0.2">
      <c r="A2" s="34"/>
      <c r="B2" s="140" t="s">
        <v>337</v>
      </c>
      <c r="C2" s="35" t="s">
        <v>338</v>
      </c>
      <c r="D2" s="141" t="s">
        <v>339</v>
      </c>
      <c r="E2" s="142"/>
      <c r="F2" s="143"/>
      <c r="G2" s="143"/>
      <c r="H2" s="36"/>
      <c r="I2" s="144"/>
      <c r="J2" s="140" t="s">
        <v>340</v>
      </c>
      <c r="K2" s="145"/>
      <c r="L2" s="36"/>
      <c r="M2" s="144"/>
      <c r="N2" s="36"/>
      <c r="O2" s="140"/>
      <c r="P2" s="36" t="s">
        <v>341</v>
      </c>
      <c r="Q2" s="36" t="s">
        <v>342</v>
      </c>
      <c r="R2" s="36"/>
      <c r="S2" s="36"/>
      <c r="T2" s="36"/>
      <c r="U2" s="146" t="s">
        <v>343</v>
      </c>
      <c r="V2" s="37" t="s">
        <v>344</v>
      </c>
      <c r="W2" s="37" t="s">
        <v>345</v>
      </c>
      <c r="X2" s="147" t="s">
        <v>346</v>
      </c>
      <c r="Y2" s="36"/>
      <c r="Z2" s="147" t="s">
        <v>346</v>
      </c>
      <c r="AA2" s="36"/>
      <c r="AB2" s="147" t="s">
        <v>347</v>
      </c>
      <c r="AC2" s="36" t="s">
        <v>346</v>
      </c>
      <c r="AD2" s="36" t="s">
        <v>348</v>
      </c>
      <c r="AE2" s="37" t="s">
        <v>349</v>
      </c>
      <c r="AF2" s="148" t="s">
        <v>350</v>
      </c>
      <c r="AG2" s="36" t="s">
        <v>346</v>
      </c>
      <c r="AH2" s="36"/>
      <c r="AI2" s="144"/>
      <c r="AJ2" s="37" t="s">
        <v>351</v>
      </c>
      <c r="AK2" s="37" t="s">
        <v>352</v>
      </c>
      <c r="AL2" s="36"/>
      <c r="AM2" s="38" t="s">
        <v>353</v>
      </c>
      <c r="AN2" s="149" t="s">
        <v>346</v>
      </c>
      <c r="AO2" s="39"/>
      <c r="AP2" s="149" t="s">
        <v>354</v>
      </c>
      <c r="AQ2" s="39" t="s">
        <v>354</v>
      </c>
      <c r="AR2" s="149" t="s">
        <v>354</v>
      </c>
      <c r="AS2" s="39" t="s">
        <v>355</v>
      </c>
      <c r="AT2" s="167" t="s">
        <v>346</v>
      </c>
      <c r="AU2" s="167" t="s">
        <v>346</v>
      </c>
      <c r="AV2" s="167" t="s">
        <v>346</v>
      </c>
      <c r="AW2" s="155"/>
      <c r="AX2" s="155"/>
      <c r="AY2" s="155"/>
      <c r="AZ2" s="155"/>
      <c r="BA2" s="155"/>
      <c r="BB2" s="160"/>
      <c r="BC2" s="162"/>
      <c r="BD2" s="162"/>
      <c r="BE2" s="162"/>
      <c r="BF2" s="151"/>
    </row>
    <row r="3" spans="1:58" s="3" customFormat="1" ht="67.5" x14ac:dyDescent="0.25">
      <c r="A3" s="19" t="s">
        <v>0</v>
      </c>
      <c r="B3" s="14" t="s">
        <v>5</v>
      </c>
      <c r="C3" s="14" t="s">
        <v>147</v>
      </c>
      <c r="D3" s="2" t="s">
        <v>148</v>
      </c>
      <c r="E3" s="19" t="s">
        <v>10</v>
      </c>
      <c r="F3" s="19" t="s">
        <v>8</v>
      </c>
      <c r="G3" s="19" t="s">
        <v>146</v>
      </c>
      <c r="H3" s="19" t="s">
        <v>131</v>
      </c>
      <c r="I3" s="19" t="s">
        <v>142</v>
      </c>
      <c r="J3" s="14" t="s">
        <v>132</v>
      </c>
      <c r="K3" s="2" t="s">
        <v>60</v>
      </c>
      <c r="L3" s="19" t="s">
        <v>133</v>
      </c>
      <c r="M3" s="19" t="s">
        <v>61</v>
      </c>
      <c r="N3" s="2" t="s">
        <v>62</v>
      </c>
      <c r="O3" s="2" t="s">
        <v>183</v>
      </c>
      <c r="P3" s="2" t="s">
        <v>182</v>
      </c>
      <c r="Q3" s="2" t="s">
        <v>151</v>
      </c>
      <c r="R3" s="19" t="s">
        <v>152</v>
      </c>
      <c r="S3" s="19" t="s">
        <v>153</v>
      </c>
      <c r="T3" s="19" t="s">
        <v>154</v>
      </c>
      <c r="U3" s="49" t="s">
        <v>155</v>
      </c>
      <c r="V3" s="2" t="s">
        <v>134</v>
      </c>
      <c r="W3" s="2" t="s">
        <v>135</v>
      </c>
      <c r="X3" s="14" t="s">
        <v>136</v>
      </c>
      <c r="Y3" s="19" t="s">
        <v>137</v>
      </c>
      <c r="Z3" s="14" t="s">
        <v>138</v>
      </c>
      <c r="AA3" s="19" t="s">
        <v>139</v>
      </c>
      <c r="AB3" s="2" t="s">
        <v>140</v>
      </c>
      <c r="AC3" s="2" t="s">
        <v>141</v>
      </c>
      <c r="AD3" s="2" t="s">
        <v>1</v>
      </c>
      <c r="AE3" s="2" t="s">
        <v>59</v>
      </c>
      <c r="AF3" s="2" t="s">
        <v>63</v>
      </c>
      <c r="AG3" s="2" t="s">
        <v>184</v>
      </c>
      <c r="AH3" s="19" t="s">
        <v>125</v>
      </c>
      <c r="AI3" s="19" t="s">
        <v>126</v>
      </c>
      <c r="AJ3" s="2" t="s">
        <v>127</v>
      </c>
      <c r="AK3" s="2" t="s">
        <v>129</v>
      </c>
      <c r="AL3" s="2" t="s">
        <v>130</v>
      </c>
      <c r="AM3" s="2" t="s">
        <v>128</v>
      </c>
      <c r="AN3" s="14" t="s">
        <v>185</v>
      </c>
      <c r="AO3" s="19" t="s">
        <v>212</v>
      </c>
      <c r="AP3" s="2" t="s">
        <v>215</v>
      </c>
      <c r="AQ3" s="2" t="s">
        <v>214</v>
      </c>
      <c r="AR3" s="2" t="s">
        <v>63</v>
      </c>
      <c r="AS3" s="53" t="s">
        <v>213</v>
      </c>
      <c r="AT3" s="168" t="s">
        <v>362</v>
      </c>
      <c r="AU3" s="14" t="s">
        <v>251</v>
      </c>
      <c r="AV3" s="168" t="s">
        <v>368</v>
      </c>
      <c r="AW3" s="156" t="s">
        <v>117</v>
      </c>
      <c r="AX3" s="156" t="s">
        <v>118</v>
      </c>
      <c r="AY3" s="156" t="s">
        <v>124</v>
      </c>
      <c r="AZ3" s="156" t="s">
        <v>211</v>
      </c>
      <c r="BA3" s="156" t="s">
        <v>226</v>
      </c>
      <c r="BB3" s="157" t="s">
        <v>358</v>
      </c>
      <c r="BC3" s="158" t="s">
        <v>359</v>
      </c>
      <c r="BD3" s="159" t="s">
        <v>360</v>
      </c>
      <c r="BE3" s="158" t="s">
        <v>361</v>
      </c>
      <c r="BF3" s="152" t="s">
        <v>395</v>
      </c>
    </row>
    <row r="4" spans="1:58" ht="31.5" customHeight="1" x14ac:dyDescent="0.2">
      <c r="A4" s="55">
        <f>3</f>
        <v>3</v>
      </c>
      <c r="B4" s="42" t="str">
        <f>IFERROR(IFERROR(INDEX(Справочники!$A$2:$P$79,MATCH(INDEX(ТУ!$E:$E,MATCH($U4*1,ТУ!$CP:$CP,0),1),Справочники!$P$2:$P$79,0),2),INDEX(Справочники!$A$2:$P$79,MATCH((INDEX(ТУ!$E:$E,MATCH($U4*1,ТУ!$CP:$CP,0),1))*1,Справочники!$P$2:$P$79,0),2)),"")</f>
        <v>01 р-н МКС (ЦОРУПЭ)</v>
      </c>
      <c r="C4" s="46" t="str">
        <f>IFERROR(TRIM(LEFT(INDEX(ТУ!$AF:$AF,MATCH($U4*1,ТУ!$CP:$CP,0),1),SEARCH("-",INDEX(ТУ!$AF:$AF,MATCH($U4*1,ТУ!$CP:$CP,0),1))-1)),IFERROR(LEFT(INDEX(ТУ!$X:$X,MATCH($U4*1,ТУ!$CP:$CP,0),1),SEARCH("-",INDEX(ТУ!$X:$X,MATCH($U4*1,ТУ!$CP:$CP,0),1))-1),"ТП"))</f>
        <v>ТП</v>
      </c>
      <c r="D4" s="47" t="str">
        <f>IF(TRIM(IF(ISNUMBER((IFERROR(RIGHT(INDEX(ТУ!$AF:$AF,MATCH($U4*1,ТУ!$CP:$CP,0),1),LEN(INDEX(ТУ!$AF:$AF,MATCH($U4*1,ТУ!$CP:$CP,0),1))-SEARCH("-",INDEX(ТУ!$AF:$AF,MATCH($U4*1,ТУ!$CP:$CP,0),1))),INDEX(ТУ!$AF:$AF,MATCH($U4*1,ТУ!$CP:$CP,0),1)))*1),IFERROR(RIGHT(INDEX(ТУ!$AF:$AF,MATCH($U4*1,ТУ!$CP:$CP,0),1),LEN(INDEX(ТУ!$AF:$AF,MATCH($U4*1,ТУ!$CP:$CP,0),1))-SEARCH("-",INDEX(ТУ!$AF:$AF,MATCH($U4*1,ТУ!$CP:$CP,0),1))),INDEX(ТУ!$AF:$AF,MATCH($U4*1,ТУ!$CP:$CP,0),1)),""))="",TRIM(IF(ISNUMBER((IFERROR(RIGHT(INDEX(ТУ!$X:$X,MATCH($U4*1,ТУ!$CP:$CP,0),1),LEN(INDEX(ТУ!$X:$X,MATCH($U4*1,ТУ!$CP:$CP,0),1))-SEARCH("-",INDEX(ТУ!$X:$X,MATCH($U4*1,ТУ!$CP:$CP,0),1))),INDEX(ТУ!$X:$X,MATCH($U4*1,ТУ!$CP:$CP,0),1)))*1),IFERROR(RIGHT(INDEX(ТУ!$X:$X,MATCH($U4*1,ТУ!$CP:$CP,0),1),LEN(INDEX(ТУ!$X:$X,MATCH($U4*1,ТУ!$CP:$CP,0),1))-SEARCH("-",INDEX(ТУ!$X:$X,MATCH($U4*1,ТУ!$CP:$CP,0),1))),INDEX(ТУ!$X:$X,MATCH($U4*1,ТУ!$CP:$CP,0),1)),"")),TRIM(IF(ISNUMBER((IFERROR(RIGHT(INDEX(ТУ!$AF:$AF,MATCH($U4*1,ТУ!$CP:$CP,0),1),LEN(INDEX(ТУ!$AF:$AF,MATCH($U4*1,ТУ!$CP:$CP,0),1))-SEARCH("-",INDEX(ТУ!$AF:$AF,MATCH($U4*1,ТУ!$CP:$CP,0),1))),INDEX(ТУ!$AF:$AF,MATCH($U4*1,ТУ!$CP:$CP,0),1)))*1),IFERROR(RIGHT(INDEX(ТУ!$AF:$AF,MATCH($U4*1,ТУ!$CP:$CP,0),1),LEN(INDEX(ТУ!$AF:$AF,MATCH($U4*1,ТУ!$CP:$CP,0),1))-SEARCH("-",INDEX(ТУ!$AF:$AF,MATCH($U4*1,ТУ!$CP:$CP,0),1))),INDEX(ТУ!$AF:$AF,MATCH($U4*1,ТУ!$CP:$CP,0),1)),"")))</f>
        <v>11111</v>
      </c>
      <c r="E4" s="25" t="str">
        <f t="shared" ref="E4" si="0">IFERROR(INDEX(ПЭС,AW4),"")</f>
        <v>МКС</v>
      </c>
      <c r="F4" s="20">
        <f t="shared" ref="F4" si="1">IFERROR(INDEX(код,AW4),"")</f>
        <v>75</v>
      </c>
      <c r="G4" s="21">
        <f t="shared" ref="G4" si="2">IFERROR(MATCH(C4,ТипЭУ,0),"")</f>
        <v>5</v>
      </c>
      <c r="H4" s="25" t="str">
        <f t="shared" ref="H4" si="3">CONCATENATE(C4,"-",D4)</f>
        <v>ТП-11111</v>
      </c>
      <c r="I4" s="25" t="str">
        <f t="shared" ref="I4" si="4">CONCATENATE(F4,G4,REPT("0",5-LEN(D4)),D4)</f>
        <v>75511111</v>
      </c>
      <c r="J4" s="42" t="str">
        <f>INDEX(Справочники!$M:$M,MATCH(IF(INDEX(ТУ!$BO:$BO,MATCH($U4*1,ТУ!$CP:$CP,0),1)=1,1,INDEX(ТУ!$BO:$BO,MATCH($U4*1,ТУ!$CP:$CP,0),1)*100),Справочники!$N:$N,0),1)</f>
        <v>0.4 кВ</v>
      </c>
      <c r="K4" s="40">
        <f>1</f>
        <v>1</v>
      </c>
      <c r="L4" s="20" t="str">
        <f t="shared" ref="L4" si="5">"СШ-" &amp; K4</f>
        <v>СШ-1</v>
      </c>
      <c r="M4" s="20">
        <f>IF(I4=I3, VALUE(M3)+1, 1)</f>
        <v>1</v>
      </c>
      <c r="N4" s="40"/>
      <c r="O4" s="56" t="str">
        <f t="shared" ref="O4" si="6">"Ввод-" &amp; K4 &amp; "-" &amp; M4</f>
        <v>Ввод-1-1</v>
      </c>
      <c r="P4" s="57" t="str">
        <f>IFERROR(IF(INDEX(ТУ!$AO:$AO,MATCH($U4*1,ТУ!$CP:$CP,0),1)=0,"",INDEX(ТУ!$AO:$AO,MATCH($U4*1,ТУ!$CP:$CP,0),1)),"")</f>
        <v>Ввод-1 0,4кВ</v>
      </c>
      <c r="Q4" s="40">
        <f>IFERROR(IF(INDEX(ТУ!$BN:$BN,MATCH($U4*1,ТУ!$CP:$CP,0),1)=1,1,INDEX(ТУ!$BN:$BN,MATCH($U4*1,ТУ!$CP:$CP,0),1)*5),"")</f>
        <v>1500</v>
      </c>
      <c r="R4" s="25">
        <f t="shared" ref="R4" si="7">IF(Q4=1, 1, 5)</f>
        <v>5</v>
      </c>
      <c r="S4" s="25">
        <f t="shared" ref="S4" si="8">IF(Q4=1, 1, IFERROR(INDEX(КТН1,BA4), 1))</f>
        <v>1</v>
      </c>
      <c r="T4" s="25">
        <f t="shared" ref="T4" si="9">IF(Q4=1, 1, IFERROR(INDEX(КТН2,BA4), 1))</f>
        <v>1</v>
      </c>
      <c r="U4" s="58">
        <v>47123456</v>
      </c>
      <c r="V4" s="43" t="str">
        <f>IF(INDEX(ТУ!$BH:$BH,MATCH($U4*1,ТУ!$CP:$CP,0),1)=0,"",INDEX(ТУ!$BH:$BH,MATCH($U4*1,ТУ!$CP:$CP,0),1))</f>
        <v>30.08.2023</v>
      </c>
      <c r="W4" s="43" t="str">
        <f>IF(INDEX(ТУ!$BI:$BI,MATCH($U4*1,ТУ!$CP:$CP,0),1)=0,"",INDEX(ТУ!$BI:$BI,MATCH($U4*1,ТУ!$CP:$CP,0),1))</f>
        <v>01.01.2022</v>
      </c>
      <c r="X4" s="59" t="str">
        <f>IF(ISNUMBER(SEARCH("Нартис", AB4)), "DLMS счетчик",
IF(ISNUMBER(SEARCH("Меркурий 234 (СПОДЭС)", AB4)), "Меркурий-23X СПОДЭС",
IF(ISNUMBER(SEARCH("Меркурий 234", AB4)), "Меркурий-23X",
""
)))</f>
        <v>Меркурий-23X СПОДЭС</v>
      </c>
      <c r="Y4" s="25">
        <f t="shared" ref="Y4" si="10">IFERROR(INDEX(КодПУ,AX4), 34)</f>
        <v>46</v>
      </c>
      <c r="Z4" s="42" t="str">
        <f>IF(AND(ISNUMBER(SEARCH("Нартис-И300", AB4)),ISNUMBER(SEARCH("0000000000002080", AF4))), "Нартис-И300 2080",
IF(AND(ISNUMBER(SEARCH("Нартис-И300", AB4)),ISNUMBER(SEARCH("0000000100000001", AF4))), "Нартис-И300 стд",
IF(AND(ISNUMBER(SEARCH("Нартис-300", AB4))), "Нартис-300",
IF(AND(ISNUMBER(SEARCH("Меркурий-23X СПОДЭС", X4)),ISNUMBER(SEARCH("2222222222222222", AF4))), "Инкотекс 2222",
IF(AND(ISNUMBER(SEARCH("Меркурий-23X СПОДЭС", X4)),ISNUMBER(SEARCH("0000000000002080", AF4))), "Инкотекс 2080",
IF(AND(ISNUMBER(SEARCH("Меркурий-23X СПОДЭС", X4))), "Меркурий 234",
""
))))))</f>
        <v>Инкотекс 2222</v>
      </c>
      <c r="AA4" s="25">
        <f t="shared" ref="AA4" si="11">IFERROR(INDEX(кодDLMS,AY4), "")</f>
        <v>21</v>
      </c>
      <c r="AB4" s="40" t="str">
        <f>IF(ISNUMBER(SEARCH("Приборы с поддержкой протокола СПОДЭС - Нартис-И300 (СПОДЭС)",INDEX(ТУ!$BD:$BD,MATCH($U4*1,ТУ!$CP:$CP,0),1))),"Нартис-И300",
IF(ISNUMBER(SEARCH("Приборы с поддержкой протокола СПОДЭС - Универсальный счетчик СПОДЭС 2 однофазный",INDEX(ТУ!$BD:$BD,MATCH($U4*1,ТУ!$CP:$CP,0),1))),"Нартис-И100",
IF(ISNUMBER(SEARCH("Приборы с поддержкой протокола СПОДЭС - Меркурий 234 (СПОДЭС)",INDEX(ТУ!$BD:$BD,MATCH($U4*1,ТУ!$CP:$CP,0),1))),"Меркурий 234 (СПОДЭС)",
IF(ISNUMBER(SEARCH("Приборы с поддержкой протокола СПОДЭС - Нартис-300 (СПОДЭС)",INDEX(ТУ!$BD:$BD,MATCH($U4*1,ТУ!$CP:$CP,0),1))),"Нартис-300",
IF(ISNUMBER(SEARCH("Инкотекс - Меркурий 234",INDEX(ТУ!$BD:$BD,MATCH($U4*1,ТУ!$CP:$CP,0),1))),"Меркурий 234",
IF(ISNUMBER(SEARCH("Приборы с поддержкой протокола СПОДЭС - Универсальный счетчик СПОДЭС 2 трехфазный",INDEX(ТУ!$BD:$BD,MATCH($U4*1,ТУ!$CP:$CP,0),1))),"Нартис-И300",
IF(ISNUMBER(SEARCH("Приборы с поддержкой протокола СПОДЭС - Универсальный счетчик СПОДЭС 2 однофазный",INDEX(ТУ!$BD:$BD,MATCH($U4*1,ТУ!$CP:$CP,0),1))),"Нартис-И100",
INDEX(ТУ!$BD:$BD,MATCH($U4*1,ТУ!$CP:$CP,0),1)
)))))))</f>
        <v>Меркурий 234 (СПОДЭС)</v>
      </c>
      <c r="AC4" s="40" t="s">
        <v>2</v>
      </c>
      <c r="AD4" s="40" t="str">
        <f>IF(ISNUMBER(IFERROR(LEFT(IF(INDEX(ТУ!$CI:$CI,MATCH($U4*1,ТУ!$CP:$CP,0),1)=0,"",INDEX(ТУ!$CI:$CI,MATCH($U4*1,ТУ!$CP:$CP,0),1)),SEARCH(" ",IF(INDEX(ТУ!$CI:$CI,MATCH($U4*1,ТУ!$CP:$CP,0),1)=0,"",INDEX(ТУ!$CI:$CI,MATCH($U4*1,ТУ!$CP:$CP,0),1)),1)-1),"")*1),IFERROR(LEFT(IF(INDEX(ТУ!$CI:$CI,MATCH($U4*1,ТУ!$CP:$CP,0),1)=0,"",INDEX(ТУ!$CI:$CI,MATCH($U4*1,ТУ!$CP:$CP,0),1)),SEARCH(" ",IF(INDEX(ТУ!$CI:$CI,MATCH($U4*1,ТУ!$CP:$CP,0),1)=0,"",INDEX(ТУ!$CI:$CI,MATCH($U4*1,ТУ!$CP:$CP,0),1)),1)-1),""),"")</f>
        <v/>
      </c>
      <c r="AE4" s="40">
        <f>IF(INDEX(ТУ!$CB:$CB,MATCH($U4*1,ТУ!$CP:$CP,0),1)=0,INDEX(Adr!$B:$B,MATCH($U4*1,Adr!$C:$C,0),1),INDEX(ТУ!$CB:$CB,MATCH($U4*1,ТУ!$CP:$CP,0),1))</f>
        <v>56</v>
      </c>
      <c r="AF4" s="45" t="str">
        <f>IF(INDEX(ТУ!$CD:$CD,MATCH($U4*1,ТУ!$CP:$CP,0),1)=0,"",INDEX(ТУ!$CD:$CD,MATCH($U4*1,ТУ!$CP:$CP,0),1))</f>
        <v>2222222222222222</v>
      </c>
      <c r="AG4" s="45">
        <f>0</f>
        <v>0</v>
      </c>
      <c r="AH4" s="26">
        <f t="shared" ref="AH4" si="12">F4</f>
        <v>75</v>
      </c>
      <c r="AI4" s="20" t="str">
        <f>IF(I4=I3, IF(AND(AJ4=AJ3, AK4=AK3), AI3, VALUE(AI3)+1), CONCATENATE(I4,1))</f>
        <v>755111111</v>
      </c>
      <c r="AJ4" s="41" t="str">
        <f>IFERROR(RIGHT($BB4,LEN($BB4)-SEARCH("/",$BB4,1)),$BB4)</f>
        <v>10.0.0.3</v>
      </c>
      <c r="AK4" s="41" t="str">
        <f>IF($AP4="",IFERROR(IFERROR(LEFT(RIGHT(INDEX(ТУ!$CE:$CE,MATCH($U4*1,ТУ!$CP:$CP,0),1),LEN(INDEX(ТУ!$CE:$CE,MATCH($U4*1,ТУ!$CP:$CP,0),1))-SEARCH(":",INDEX(ТУ!$CE:$CE,MATCH($U4*1,ТУ!$CP:$CP,0),1))),SEARCH("/",RIGHT(INDEX(ТУ!$CE:$CE,MATCH($U4*1,ТУ!$CP:$CP,0),1),LEN(INDEX(ТУ!$CE:$CE,MATCH($U4*1,ТУ!$CP:$CP,0),1))-SEARCH(":",INDEX(ТУ!$CE:$CE,MATCH($U4*1,ТУ!$CP:$CP,0),1))))-1), RIGHT(INDEX(ТУ!$CE:$CE,MATCH($U4*1,ТУ!$CP:$CP,0),1),LEN(INDEX(ТУ!$CE:$CE,MATCH($U4*1,ТУ!$CP:$CP,0),1))-SEARCH(":",INDEX(ТУ!$CE:$CE,MATCH($U4*1,ТУ!$CP:$CP,0),1)))), ""),IFERROR(IFERROR(LEFT(RIGHT(INDEX(УСПД!$M:$M,MATCH(IFERROR(1*LEFT(INDEX(ТУ!$CG:$CG,MATCH($U4*1,ТУ!$CP:$CP,0),1),SEARCH("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",INDEX(ТУ!$CG:$CG,MATCH($U4*1,ТУ!$CP:$CP,0),1))-1),""),УСПД!$N:$N,0),1))-SEARCH(":",INDEX(УСПД!$M:$M,MATCH(IFERROR(1*LEFT(INDEX(ТУ!$CG:$CG,MATCH($U4*1,ТУ!$CP:$CP,0),1),SEARCH(" ",INDEX(ТУ!$CG:$CG,MATCH($U4*1,ТУ!$CP:$CP,0),1))-1),""),УСПД!$N:$N,0),1))),SEARCH("/",RIGHT(INDEX(УСПД!$M:$M,MATCH(IFERROR(1*LEFT(INDEX(ТУ!$CG:$CG,MATCH($U4*1,ТУ!$CP:$CP,0),1),SEARCH("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",INDEX(ТУ!$CG:$CG,MATCH($U4*1,ТУ!$CP:$CP,0),1))-1),""),УСПД!$N:$N,0),1))-SEARCH(":",INDEX(УСПД!$M:$M,MATCH(IFERROR(1*LEFT(INDEX(ТУ!$CG:$CG,MATCH($U4*1,ТУ!$CP:$CP,0),1),SEARCH(" ",INDEX(ТУ!$CG:$CG,MATCH($U4*1,ТУ!$CP:$CP,0),1))-1),""),УСПД!$N:$N,0),1))))-1), 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",INDEX(ТУ!$CG:$CG,MATCH($U4*1,ТУ!$CP:$CP,0),1))-1),""),УСПД!$N:$N,0),1))-SEARCH(":",INDEX(УСПД!$M:$M,MATCH(IFERROR(1*LEFT(INDEX(ТУ!$CG:$CG,MATCH($U4*1,ТУ!$CP:$CP,0),1),SEARCH(" ",INDEX(ТУ!$CG:$CG,MATCH($U4*1,ТУ!$CP:$CP,0),1))-1),""),УСПД!$N:$N,0),1)))), ""))</f>
        <v>7001</v>
      </c>
      <c r="AL4" s="41"/>
      <c r="AM4" s="57">
        <f>IFERROR(IFERROR(INDEX(Tel!$A:$A,MATCH($AJ4,Tel!$D:$D,0),1),INDEX(Tel!$A:$A,MATCH($AJ4,Tel!$C:$C,0),1)),"")</f>
        <v>79261234568</v>
      </c>
      <c r="AN4" s="60" t="str">
        <f>IF(ISNUMBER(SEARCH("ТОПАЗ - ТОПАЗ УСПД",IFERROR(RIGHT(LEFT(INDEX(ТУ!$CG:$CG,MATCH($U4*1,ТУ!$CP:$CP,0),1),SEARCH(")",INDEX(ТУ!$CG:$CG,MATCH($U4*1,ТУ!$CP:$CP,0),1))-1),LEN(LEFT(INDEX(ТУ!$CG:$CG,MATCH($U4*1,ТУ!$CP:$CP,0),1),SEARCH(")",INDEX(ТУ!$CG:$CG,MATCH($U4*1,ТУ!$CP:$CP,0),1))-1))-SEARCH("(",INDEX(ТУ!$CG:$CG,MATCH($U4*1,ТУ!$CP:$CP,0),1))),""),1)),"RTU-327","")</f>
        <v>RTU-327</v>
      </c>
      <c r="AO4" s="27">
        <f>IFERROR(INDEX(кодУСПД,AZ4),"")</f>
        <v>7</v>
      </c>
      <c r="AP4" s="57" t="str">
        <f>IF(ISNUMBER(SEARCH("Миландр - Милур GSM/GPRS модем",IFERROR(RIGHT(LEFT(INDEX(ТУ!$CG:$CG,MATCH($U4*1,ТУ!$CP:$CP,0),1),SEARCH(")",INDEX(ТУ!$CG:$CG,MATCH($U4*1,ТУ!$CP:$CP,0),1))-1),LEN(LEFT(INDEX(ТУ!$CG:$CG,MATCH($U4*1,ТУ!$CP:$CP,0),1),SEARCH(")",INDEX(ТУ!$CG:$CG,MATCH($U4*1,ТУ!$CP:$CP,0),1))-1))-SEARCH("(",INDEX(ТУ!$CG:$CG,MATCH($U4*1,ТУ!$CP:$CP,0),1))),""),1)), "TELEOFIS WRX708-L4",IFERROR(RIGHT(LEFT(INDEX(ТУ!$CG:$CG,MATCH($U4*1,ТУ!$CP:$CP,0),1),SEARCH(")",INDEX(ТУ!$CG:$CG,MATCH($U4*1,ТУ!$CP:$CP,0),1))-1),LEN(LEFT(INDEX(ТУ!$CG:$CG,MATCH($U4*1,ТУ!$CP:$CP,0),1),SEARCH(")",INDEX(ТУ!$CG:$CG,MATCH($U4*1,ТУ!$CP:$CP,0),1))-1))-SEARCH("(",INDEX(ТУ!$CG:$CG,MATCH($U4*1,ТУ!$CP:$CP,0),1))),""))</f>
        <v>ТОПАЗ - ТОПАЗ УСПД</v>
      </c>
      <c r="AQ4" s="57" t="str">
        <f>IFERROR(IF(INDEX(УСПД!$K:$K,MATCH($AS4*1,УСПД!$N:$N,0),1)=0,"",INDEX(УСПД!$K:$K,MATCH($AS4*1,УСПД!$N:$N,0),1)),"")</f>
        <v/>
      </c>
      <c r="AR4" s="57" t="str">
        <f>IFERROR(IF(INDEX(УСПД!$L:$L,MATCH($AS4*1,УСПД!$N:$N,0),1)=0,"",INDEX(УСПД!$L:$L,MATCH($AS4*1,УСПД!$N:$N,0),1)),"")</f>
        <v>1234</v>
      </c>
      <c r="AS4" s="61" t="str">
        <f>IFERROR(LEFT(INDEX(ТУ!$CG:$CG,MATCH($U4*1,ТУ!$CP:$CP,0),1),SEARCH(" ",INDEX(ТУ!$CG:$CG,MATCH($U4*1,ТУ!$CP:$CP,0),1))-1),"")</f>
        <v>2400012345</v>
      </c>
      <c r="AT4" s="60" t="s">
        <v>363</v>
      </c>
      <c r="AU4" s="60">
        <f>3</f>
        <v>3</v>
      </c>
      <c r="AV4" s="60" t="s">
        <v>371</v>
      </c>
      <c r="AW4" s="155">
        <f t="shared" ref="AW4" si="13">IFERROR(MATCH(B4,РЭС,0),"")</f>
        <v>53</v>
      </c>
      <c r="AX4" s="155">
        <f t="shared" ref="AX4" si="14">IFERROR(MATCH(X4,ТипПУ,0), 34)</f>
        <v>43</v>
      </c>
      <c r="AY4" s="155">
        <f t="shared" ref="AY4" si="15">IFERROR(MATCH(Z4,DLMS,0), "")</f>
        <v>1</v>
      </c>
      <c r="AZ4" s="155">
        <f t="shared" ref="AZ4" si="16">IFERROR(MATCH(AN4,УСПД,0), "")</f>
        <v>6</v>
      </c>
      <c r="BA4" s="155">
        <f t="shared" ref="BA4" si="17">IFERROR(MATCH(J4,NAPR,0), "")</f>
        <v>1</v>
      </c>
      <c r="BB4" s="160" t="str">
        <f>IF($AP4="",IFERROR(IFERROR(LEFT(RIGHT(INDEX(ТУ!$CE:$CE,MATCH($U4*1,ТУ!$CP:$CP,0),1),LEN(INDEX(ТУ!$CE:$CE,MATCH($U4*1,ТУ!$CP:$CP,0),1))-SEARCH(", ",INDEX(ТУ!$CE:$CE,MATCH($U4*1,ТУ!$CP:$CP,0),1),SEARCH(", ",INDEX(ТУ!$CE:$CE,MATCH($U4*1,ТУ!$CP:$CP,0),1))+1)-1),SEARCH(":",RIGHT(INDEX(ТУ!$CE:$CE,MATCH($U4*1,ТУ!$CP:$CP,0),1),LEN(INDEX(ТУ!$CE:$CE,MATCH($U4*1,ТУ!$CP:$CP,0),1))-SEARCH(", ",INDEX(ТУ!$CE:$CE,MATCH($U4*1,ТУ!$CP:$CP,0),1),SEARCH(", ",INDEX(ТУ!$CE:$CE,MATCH($U4*1,ТУ!$CP:$CP,0),1))+1)-1))-1),LEFT(INDEX(ТУ!$CE:$CE,MATCH($U4*1,ТУ!$CP:$CP,0),1),SEARCH(":",INDEX(ТУ!$CE:$CE,MATCH($U4*1,ТУ!$CP:$CP,0),1))-1)),""),IFERROR(IFERROR(LEFT(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",INDEX(ТУ!$CG:$CG,MATCH($U4*1,ТУ!$CP:$CP,0),1))-1),""),УСПД!$N:$N,0),1))-SEARCH(", ",INDEX(УСПД!$M:$M,MATCH(IFERROR(1*LEFT(INDEX(ТУ!$CG:$CG,MATCH($U4*1,ТУ!$CP:$CP,0),1),SEARCH(" ",INDEX(ТУ!$CG:$CG,MATCH($U4*1,ТУ!$CP:$CP,0),1))-1),""),УСПД!$N:$N,0),1),SEARCH(", ",INDEX(УСПД!$M:$M,MATCH(IFERROR(1*LEFT(INDEX(ТУ!$CG:$CG,MATCH($U4*1,ТУ!$CP:$CP,0),1),SEARCH(" ",INDEX(ТУ!$CG:$CG,MATCH($U4*1,ТУ!$CP:$CP,0),1))-1),""),УСПД!$N:$N,0),1))+1)-1),SEARCH(":",RIGHT(INDEX(УСПД!$M:$M,MATCH(IFERROR(1*LEFT(INDEX(ТУ!$CG:$CG,MATCH($U4*1,ТУ!$CP:$CP,0),1),SEARCH(" ",INDEX(ТУ!$CG:$CG,MATCH($U4*1,ТУ!$CP:$CP,0),1))-1),""),УСПД!$N:$N,0),1),LEN(INDEX(УСПД!$M:$M,MATCH(IFERROR(1*LEFT(INDEX(ТУ!$CG:$CG,MATCH($U4*1,ТУ!$CP:$CP,0),1),SEARCH(" ",INDEX(ТУ!$CG:$CG,MATCH($U4*1,ТУ!$CP:$CP,0),1))-1),""),УСПД!$N:$N,0),1))-SEARCH(", ",INDEX(УСПД!$M:$M,MATCH(IFERROR(1*LEFT(INDEX(ТУ!$CG:$CG,MATCH($U4*1,ТУ!$CP:$CP,0),1),SEARCH(" ",INDEX(ТУ!$CG:$CG,MATCH($U4*1,ТУ!$CP:$CP,0),1))-1),""),УСПД!$N:$N,0),1),SEARCH(", ",INDEX(УСПД!$M:$M,MATCH(IFERROR(1*LEFT(INDEX(ТУ!$CG:$CG,MATCH($U4*1,ТУ!$CP:$CP,0),1),SEARCH(" ",INDEX(ТУ!$CG:$CG,MATCH($U4*1,ТУ!$CP:$CP,0),1))-1),""),УСПД!$N:$N,0),1))+1)-1))-1),LEFT(INDEX(УСПД!$M:$M,MATCH(IFERROR(1*LEFT(INDEX(ТУ!$CG:$CG,MATCH($U4*1,ТУ!$CP:$CP,0),1),SEARCH(" ",INDEX(ТУ!$CG:$CG,MATCH($U4*1,ТУ!$CP:$CP,0),1))-1),""),УСПД!$N:$N,0),1),SEARCH(":",INDEX(УСПД!$M:$M,MATCH(IFERROR(1*LEFT(INDEX(ТУ!$CG:$CG,MATCH($U4*1,ТУ!$CP:$CP,0),1),SEARCH(" ",INDEX(ТУ!$CG:$CG,MATCH($U4*1,ТУ!$CP:$CP,0),1))-1),""),УСПД!$N:$N,0),1))-1)),""))</f>
        <v>10.0.0.3</v>
      </c>
      <c r="BC4" s="161" t="str">
        <f>INDEX(ТУ!$AF:$AF,MATCH($U4*1,ТУ!$CP:$CP,0),1)</f>
        <v>ТП-11111</v>
      </c>
      <c r="BD4" s="161" t="str">
        <f>INDEX(ТУ!$X:$X,MATCH($U4*1,ТУ!$CP:$CP,0),1)</f>
        <v>ТП-11111</v>
      </c>
      <c r="BE4" s="161">
        <f>INDEX(ТУ!$CL:$CL,MATCH($U4*1,ТУ!$CP:$CP,0),1)</f>
        <v>0</v>
      </c>
      <c r="BF4" s="153" t="str">
        <f>IFERROR(INDEX(естьАЦ!$A:$A,MATCH($U4*1,естьАЦ!$B:$B,0),1),"нет в АЦ")</f>
        <v>нет в АЦ</v>
      </c>
    </row>
  </sheetData>
  <autoFilter ref="A3:BF3"/>
  <mergeCells count="1">
    <mergeCell ref="A1:W1"/>
  </mergeCells>
  <dataValidations xWindow="298" yWindow="444" count="5">
    <dataValidation type="list" allowBlank="1" showInputMessage="1" promptTitle="выберите наименование РЭС" prompt="выберите наименование РЭС" sqref="B4">
      <formula1>РЭС</formula1>
    </dataValidation>
    <dataValidation type="list" allowBlank="1" showInputMessage="1" promptTitle="Тип электроустановки" prompt="Выберите Тип электроустановки" sqref="C4">
      <formula1>ТипЭУ</formula1>
    </dataValidation>
    <dataValidation type="list" allowBlank="1" showInputMessage="1" promptTitle="Класс напряжения" prompt="Выберите из списка класс напряжения" sqref="J4">
      <formula1>NAPR</formula1>
    </dataValidation>
    <dataValidation type="list" allowBlank="1" showInputMessage="1" promptTitle="Выберите из списка тип ПУ" prompt="Выберите из списка тип ПУ" sqref="X4">
      <formula1>ТипПУ</formula1>
    </dataValidation>
    <dataValidation type="list" allowBlank="1" showInputMessage="1" promptTitle="Выберите модель ПУ СПОДЭС" prompt="Выберите модель ПУ СПОДЭС (DLMS)" sqref="Z4">
      <formula1>DLMS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98" yWindow="444" count="5">
        <x14:dataValidation type="list" allowBlank="1" showInputMessage="1" showErrorMessage="1">
          <x14:formula1>
            <xm:f>Справочники!$Q$2:$Q$7</xm:f>
          </x14:formula1>
          <xm:sqref>AU4</xm:sqref>
        </x14:dataValidation>
        <x14:dataValidation type="list" allowBlank="1" showInputMessage="1" showErrorMessage="1">
          <x14:formula1>
            <xm:f>Справочники!$E$2:$E$4</xm:f>
          </x14:formula1>
          <xm:sqref>AC4</xm:sqref>
        </x14:dataValidation>
        <x14:dataValidation type="list" allowBlank="1" showInputMessage="1" promptTitle="Выбор типа УСПД" prompt="Выберите УСПД из списка">
          <x14:formula1>
            <xm:f>Справочники!$L$2:$L$26</xm:f>
          </x14:formula1>
          <xm:sqref>AN4</xm:sqref>
        </x14:dataValidation>
        <x14:dataValidation type="list" allowBlank="1" showInputMessage="1" showErrorMessage="1">
          <x14:formula1>
            <xm:f>Справочники!$P$2:$P$6</xm:f>
          </x14:formula1>
          <xm:sqref>AT4</xm:sqref>
        </x14:dataValidation>
        <x14:dataValidation type="list" allowBlank="1" showInputMessage="1" showErrorMessage="1">
          <x14:formula1>
            <xm:f>Справочники!$R$2:$R$29</xm:f>
          </x14:formula1>
          <xm:sqref>AV4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79"/>
  <sheetViews>
    <sheetView topLeftCell="E1" workbookViewId="0">
      <pane ySplit="1" topLeftCell="A2" activePane="bottomLeft" state="frozen"/>
      <selection pane="bottomLeft" activeCell="M31" sqref="M31"/>
    </sheetView>
  </sheetViews>
  <sheetFormatPr defaultColWidth="9.140625" defaultRowHeight="12.75" x14ac:dyDescent="0.2"/>
  <cols>
    <col min="1" max="1" width="30.140625" style="1" bestFit="1" customWidth="1"/>
    <col min="2" max="2" width="27.140625" style="1" bestFit="1" customWidth="1"/>
    <col min="3" max="3" width="9.140625" style="1"/>
    <col min="4" max="5" width="23.85546875" style="1" customWidth="1"/>
    <col min="6" max="6" width="22.5703125" style="1" customWidth="1"/>
    <col min="7" max="7" width="9.140625" style="4"/>
    <col min="8" max="8" width="21" style="1" bestFit="1" customWidth="1"/>
    <col min="9" max="9" width="9.140625" style="1" bestFit="1" customWidth="1"/>
    <col min="10" max="10" width="21.5703125" style="1" bestFit="1" customWidth="1"/>
    <col min="11" max="11" width="9.140625" style="4"/>
    <col min="12" max="12" width="18.7109375" style="1" bestFit="1" customWidth="1"/>
    <col min="13" max="13" width="12.7109375" style="1" customWidth="1"/>
    <col min="14" max="15" width="9.140625" style="1"/>
    <col min="16" max="16" width="21.42578125" style="1" bestFit="1" customWidth="1"/>
    <col min="17" max="17" width="9.140625" style="1"/>
    <col min="18" max="18" width="19.7109375" style="1" bestFit="1" customWidth="1"/>
    <col min="19" max="19" width="30.140625" style="1" customWidth="1"/>
    <col min="20" max="16384" width="9.140625" style="1"/>
  </cols>
  <sheetData>
    <row r="1" spans="1:19" s="12" customFormat="1" ht="10.5" x14ac:dyDescent="0.15">
      <c r="A1" s="9" t="s">
        <v>10</v>
      </c>
      <c r="B1" s="9" t="s">
        <v>9</v>
      </c>
      <c r="C1" s="9" t="s">
        <v>8</v>
      </c>
      <c r="D1" s="9" t="s">
        <v>51</v>
      </c>
      <c r="E1" s="9" t="s">
        <v>55</v>
      </c>
      <c r="F1" s="9" t="s">
        <v>55</v>
      </c>
      <c r="G1" s="10" t="s">
        <v>64</v>
      </c>
      <c r="H1" s="11" t="s">
        <v>65</v>
      </c>
      <c r="I1" s="11" t="s">
        <v>123</v>
      </c>
      <c r="J1" s="11" t="s">
        <v>122</v>
      </c>
      <c r="K1" s="24" t="s">
        <v>185</v>
      </c>
      <c r="L1" s="22" t="s">
        <v>186</v>
      </c>
      <c r="M1" s="22" t="s">
        <v>217</v>
      </c>
      <c r="N1" s="22" t="s">
        <v>224</v>
      </c>
      <c r="O1" s="22" t="s">
        <v>225</v>
      </c>
      <c r="P1" s="51" t="s">
        <v>362</v>
      </c>
      <c r="Q1" s="51" t="s">
        <v>251</v>
      </c>
      <c r="R1" s="163" t="s">
        <v>368</v>
      </c>
      <c r="S1" s="12" t="s">
        <v>271</v>
      </c>
    </row>
    <row r="2" spans="1:19" x14ac:dyDescent="0.2">
      <c r="A2" s="5" t="s">
        <v>114</v>
      </c>
      <c r="B2" s="5" t="s">
        <v>11</v>
      </c>
      <c r="C2" s="6">
        <v>1</v>
      </c>
      <c r="D2" s="1" t="s">
        <v>52</v>
      </c>
      <c r="E2" s="62" t="s">
        <v>257</v>
      </c>
      <c r="F2" s="1" t="s">
        <v>57</v>
      </c>
      <c r="G2" s="7">
        <v>1</v>
      </c>
      <c r="H2" s="8" t="s">
        <v>66</v>
      </c>
      <c r="I2" s="8">
        <v>21</v>
      </c>
      <c r="J2" s="33" t="s">
        <v>252</v>
      </c>
      <c r="K2" s="4">
        <v>1</v>
      </c>
      <c r="L2" s="23" t="s">
        <v>187</v>
      </c>
      <c r="M2" s="28" t="s">
        <v>223</v>
      </c>
      <c r="N2" s="29">
        <v>1</v>
      </c>
      <c r="O2" s="29">
        <v>1</v>
      </c>
      <c r="P2" s="171" t="s">
        <v>363</v>
      </c>
      <c r="Q2" s="52">
        <v>1</v>
      </c>
      <c r="R2" s="164" t="s">
        <v>369</v>
      </c>
    </row>
    <row r="3" spans="1:19" x14ac:dyDescent="0.2">
      <c r="A3" s="5" t="s">
        <v>114</v>
      </c>
      <c r="B3" s="5" t="s">
        <v>12</v>
      </c>
      <c r="C3" s="6">
        <v>2</v>
      </c>
      <c r="D3" s="1" t="s">
        <v>53</v>
      </c>
      <c r="E3" s="62" t="s">
        <v>2</v>
      </c>
      <c r="F3" s="1" t="s">
        <v>56</v>
      </c>
      <c r="G3" s="7">
        <v>2</v>
      </c>
      <c r="H3" s="8" t="s">
        <v>67</v>
      </c>
      <c r="I3" s="1">
        <v>22</v>
      </c>
      <c r="J3" s="33" t="s">
        <v>253</v>
      </c>
      <c r="K3" s="4">
        <v>2</v>
      </c>
      <c r="L3" s="23" t="s">
        <v>188</v>
      </c>
      <c r="M3" s="28" t="s">
        <v>218</v>
      </c>
      <c r="N3" s="29">
        <v>6000</v>
      </c>
      <c r="O3" s="29">
        <v>100</v>
      </c>
      <c r="P3" s="171" t="s">
        <v>364</v>
      </c>
      <c r="Q3" s="52">
        <v>2</v>
      </c>
      <c r="R3" s="164" t="s">
        <v>370</v>
      </c>
    </row>
    <row r="4" spans="1:19" x14ac:dyDescent="0.2">
      <c r="A4" s="5" t="s">
        <v>114</v>
      </c>
      <c r="B4" s="5" t="s">
        <v>13</v>
      </c>
      <c r="C4" s="6">
        <v>3</v>
      </c>
      <c r="D4" s="1" t="s">
        <v>143</v>
      </c>
      <c r="E4" s="62" t="s">
        <v>258</v>
      </c>
      <c r="F4" s="1" t="s">
        <v>58</v>
      </c>
      <c r="G4" s="7">
        <v>3</v>
      </c>
      <c r="H4" s="8" t="s">
        <v>68</v>
      </c>
      <c r="I4" s="1">
        <v>222</v>
      </c>
      <c r="J4" s="33" t="s">
        <v>240</v>
      </c>
      <c r="K4" s="4">
        <v>3</v>
      </c>
      <c r="L4" s="23" t="s">
        <v>189</v>
      </c>
      <c r="M4" s="28" t="s">
        <v>216</v>
      </c>
      <c r="N4" s="29">
        <v>10000</v>
      </c>
      <c r="O4" s="29">
        <v>100</v>
      </c>
      <c r="P4" s="171" t="s">
        <v>365</v>
      </c>
      <c r="Q4" s="52">
        <v>3</v>
      </c>
      <c r="R4" s="164" t="s">
        <v>371</v>
      </c>
    </row>
    <row r="5" spans="1:19" x14ac:dyDescent="0.2">
      <c r="A5" s="5" t="s">
        <v>114</v>
      </c>
      <c r="B5" s="5" t="s">
        <v>14</v>
      </c>
      <c r="C5" s="6">
        <v>4</v>
      </c>
      <c r="D5" s="15" t="s">
        <v>150</v>
      </c>
      <c r="E5" s="15"/>
      <c r="G5" s="7">
        <v>4</v>
      </c>
      <c r="H5" s="8" t="s">
        <v>69</v>
      </c>
      <c r="I5" s="1">
        <v>223</v>
      </c>
      <c r="J5" s="33" t="s">
        <v>239</v>
      </c>
      <c r="K5" s="4">
        <v>4</v>
      </c>
      <c r="L5" s="23" t="s">
        <v>190</v>
      </c>
      <c r="M5" s="28" t="s">
        <v>219</v>
      </c>
      <c r="N5" s="29">
        <v>20000</v>
      </c>
      <c r="O5" s="29">
        <v>100</v>
      </c>
      <c r="P5" s="171" t="s">
        <v>366</v>
      </c>
      <c r="Q5" s="52">
        <v>4</v>
      </c>
      <c r="R5" s="164" t="s">
        <v>372</v>
      </c>
    </row>
    <row r="6" spans="1:19" x14ac:dyDescent="0.2">
      <c r="A6" s="5" t="s">
        <v>114</v>
      </c>
      <c r="B6" s="5" t="s">
        <v>15</v>
      </c>
      <c r="C6" s="6">
        <v>5</v>
      </c>
      <c r="D6" s="1" t="s">
        <v>6</v>
      </c>
      <c r="G6" s="7">
        <v>5</v>
      </c>
      <c r="H6" s="8" t="s">
        <v>70</v>
      </c>
      <c r="I6" s="8">
        <v>61</v>
      </c>
      <c r="J6" s="32" t="s">
        <v>254</v>
      </c>
      <c r="K6" s="4">
        <v>5</v>
      </c>
      <c r="L6" s="23" t="s">
        <v>191</v>
      </c>
      <c r="M6" s="28" t="s">
        <v>220</v>
      </c>
      <c r="N6" s="29">
        <v>35000</v>
      </c>
      <c r="O6" s="29">
        <v>100</v>
      </c>
      <c r="P6" s="171" t="s">
        <v>367</v>
      </c>
      <c r="Q6" s="52">
        <v>5</v>
      </c>
      <c r="R6" s="164" t="s">
        <v>54</v>
      </c>
    </row>
    <row r="7" spans="1:19" x14ac:dyDescent="0.2">
      <c r="A7" s="5" t="s">
        <v>114</v>
      </c>
      <c r="B7" s="5" t="s">
        <v>16</v>
      </c>
      <c r="C7" s="6">
        <v>6</v>
      </c>
      <c r="D7" s="15" t="s">
        <v>144</v>
      </c>
      <c r="E7" s="15"/>
      <c r="G7" s="7">
        <v>6</v>
      </c>
      <c r="H7" s="8" t="s">
        <v>71</v>
      </c>
      <c r="I7" s="1">
        <v>62</v>
      </c>
      <c r="J7" s="1" t="s">
        <v>255</v>
      </c>
      <c r="K7" s="4">
        <v>7</v>
      </c>
      <c r="L7" s="23" t="s">
        <v>192</v>
      </c>
      <c r="M7" s="28" t="s">
        <v>221</v>
      </c>
      <c r="N7" s="29">
        <v>110000</v>
      </c>
      <c r="O7" s="29">
        <v>100</v>
      </c>
      <c r="P7" s="150"/>
      <c r="Q7" s="52">
        <v>6</v>
      </c>
      <c r="R7" s="164" t="s">
        <v>373</v>
      </c>
    </row>
    <row r="8" spans="1:19" x14ac:dyDescent="0.2">
      <c r="A8" s="5" t="s">
        <v>114</v>
      </c>
      <c r="B8" s="5" t="s">
        <v>17</v>
      </c>
      <c r="C8" s="6">
        <v>7</v>
      </c>
      <c r="D8" s="15" t="s">
        <v>149</v>
      </c>
      <c r="E8" s="15"/>
      <c r="G8" s="7">
        <v>7</v>
      </c>
      <c r="H8" s="8" t="s">
        <v>72</v>
      </c>
      <c r="I8" s="8">
        <v>64</v>
      </c>
      <c r="J8" s="32" t="s">
        <v>235</v>
      </c>
      <c r="K8" s="4">
        <v>11</v>
      </c>
      <c r="L8" s="23" t="s">
        <v>193</v>
      </c>
      <c r="M8" s="28" t="s">
        <v>222</v>
      </c>
      <c r="N8" s="29">
        <v>220000</v>
      </c>
      <c r="O8" s="29">
        <v>100</v>
      </c>
      <c r="P8" s="150"/>
      <c r="R8" s="164" t="s">
        <v>374</v>
      </c>
    </row>
    <row r="9" spans="1:19" x14ac:dyDescent="0.2">
      <c r="A9" s="5" t="s">
        <v>114</v>
      </c>
      <c r="B9" s="5" t="s">
        <v>18</v>
      </c>
      <c r="C9" s="6">
        <v>8</v>
      </c>
      <c r="D9" s="1" t="s">
        <v>145</v>
      </c>
      <c r="G9" s="7">
        <v>8</v>
      </c>
      <c r="H9" s="8" t="s">
        <v>73</v>
      </c>
      <c r="I9" s="8">
        <v>65</v>
      </c>
      <c r="J9" s="32" t="s">
        <v>234</v>
      </c>
      <c r="K9" s="4">
        <v>12</v>
      </c>
      <c r="L9" s="23" t="s">
        <v>194</v>
      </c>
      <c r="P9" s="150"/>
      <c r="R9" s="164" t="s">
        <v>375</v>
      </c>
    </row>
    <row r="10" spans="1:19" x14ac:dyDescent="0.2">
      <c r="A10" s="5" t="s">
        <v>114</v>
      </c>
      <c r="B10" s="5" t="s">
        <v>19</v>
      </c>
      <c r="C10" s="6">
        <v>9</v>
      </c>
      <c r="D10" s="15" t="s">
        <v>54</v>
      </c>
      <c r="E10" s="15"/>
      <c r="G10" s="7">
        <v>9</v>
      </c>
      <c r="H10" s="8" t="s">
        <v>74</v>
      </c>
      <c r="I10" s="8">
        <v>31</v>
      </c>
      <c r="J10" s="8" t="s">
        <v>121</v>
      </c>
      <c r="K10" s="4">
        <v>14</v>
      </c>
      <c r="L10" s="23" t="s">
        <v>195</v>
      </c>
      <c r="P10" s="150"/>
      <c r="R10" s="164" t="s">
        <v>376</v>
      </c>
    </row>
    <row r="11" spans="1:19" x14ac:dyDescent="0.2">
      <c r="A11" s="5" t="s">
        <v>114</v>
      </c>
      <c r="B11" s="50" t="s">
        <v>250</v>
      </c>
      <c r="C11" s="6">
        <v>10</v>
      </c>
      <c r="G11" s="7">
        <v>10</v>
      </c>
      <c r="H11" s="8" t="s">
        <v>75</v>
      </c>
      <c r="I11" s="8">
        <v>160</v>
      </c>
      <c r="J11" s="32" t="s">
        <v>233</v>
      </c>
      <c r="K11" s="4">
        <v>16</v>
      </c>
      <c r="L11" s="23" t="s">
        <v>196</v>
      </c>
      <c r="P11" s="150"/>
      <c r="R11" s="164" t="s">
        <v>377</v>
      </c>
    </row>
    <row r="12" spans="1:19" x14ac:dyDescent="0.2">
      <c r="A12" s="5" t="s">
        <v>114</v>
      </c>
      <c r="B12" s="5" t="s">
        <v>20</v>
      </c>
      <c r="C12" s="6">
        <v>11</v>
      </c>
      <c r="G12" s="7">
        <v>11</v>
      </c>
      <c r="H12" s="8" t="s">
        <v>76</v>
      </c>
      <c r="I12" s="8">
        <v>161</v>
      </c>
      <c r="J12" s="32" t="s">
        <v>237</v>
      </c>
      <c r="K12" s="4">
        <v>21</v>
      </c>
      <c r="L12" s="23" t="s">
        <v>198</v>
      </c>
      <c r="P12" s="150"/>
      <c r="R12" s="164" t="s">
        <v>378</v>
      </c>
    </row>
    <row r="13" spans="1:19" x14ac:dyDescent="0.2">
      <c r="A13" s="5" t="s">
        <v>114</v>
      </c>
      <c r="B13" s="5" t="s">
        <v>21</v>
      </c>
      <c r="C13" s="6">
        <v>12</v>
      </c>
      <c r="G13" s="7">
        <v>12</v>
      </c>
      <c r="H13" s="8" t="s">
        <v>77</v>
      </c>
      <c r="I13" s="8">
        <v>130</v>
      </c>
      <c r="J13" s="8" t="s">
        <v>119</v>
      </c>
      <c r="K13" s="4">
        <v>22</v>
      </c>
      <c r="L13" s="23" t="s">
        <v>197</v>
      </c>
      <c r="P13" s="150"/>
      <c r="R13" s="164" t="s">
        <v>6</v>
      </c>
    </row>
    <row r="14" spans="1:19" x14ac:dyDescent="0.2">
      <c r="A14" s="5" t="s">
        <v>113</v>
      </c>
      <c r="B14" s="5" t="s">
        <v>22</v>
      </c>
      <c r="C14" s="6">
        <v>13</v>
      </c>
      <c r="G14" s="7">
        <v>13</v>
      </c>
      <c r="H14" s="8" t="s">
        <v>78</v>
      </c>
      <c r="I14" s="8">
        <v>131</v>
      </c>
      <c r="J14" s="8" t="s">
        <v>242</v>
      </c>
      <c r="K14" s="4">
        <v>23</v>
      </c>
      <c r="L14" s="23" t="s">
        <v>199</v>
      </c>
      <c r="P14" s="150"/>
      <c r="R14" s="164" t="s">
        <v>379</v>
      </c>
    </row>
    <row r="15" spans="1:19" x14ac:dyDescent="0.2">
      <c r="A15" s="5" t="s">
        <v>113</v>
      </c>
      <c r="B15" s="5" t="s">
        <v>23</v>
      </c>
      <c r="C15" s="6">
        <v>14</v>
      </c>
      <c r="G15" s="7">
        <v>14</v>
      </c>
      <c r="H15" s="8" t="s">
        <v>79</v>
      </c>
      <c r="I15" s="8">
        <v>132</v>
      </c>
      <c r="J15" s="8" t="s">
        <v>243</v>
      </c>
      <c r="K15" s="4">
        <v>24</v>
      </c>
      <c r="L15" s="23" t="s">
        <v>200</v>
      </c>
      <c r="P15" s="150"/>
      <c r="R15" s="164" t="s">
        <v>380</v>
      </c>
    </row>
    <row r="16" spans="1:19" x14ac:dyDescent="0.2">
      <c r="A16" s="5" t="s">
        <v>113</v>
      </c>
      <c r="B16" s="5" t="s">
        <v>24</v>
      </c>
      <c r="C16" s="6">
        <v>15</v>
      </c>
      <c r="G16" s="7">
        <v>15</v>
      </c>
      <c r="H16" s="8" t="s">
        <v>80</v>
      </c>
      <c r="I16" s="8">
        <v>162</v>
      </c>
      <c r="J16" s="32" t="s">
        <v>244</v>
      </c>
      <c r="K16" s="4">
        <v>26</v>
      </c>
      <c r="L16" s="23" t="s">
        <v>201</v>
      </c>
      <c r="P16" s="150"/>
      <c r="R16" s="164" t="s">
        <v>381</v>
      </c>
    </row>
    <row r="17" spans="1:18" x14ac:dyDescent="0.2">
      <c r="A17" s="5" t="s">
        <v>113</v>
      </c>
      <c r="B17" s="5" t="s">
        <v>25</v>
      </c>
      <c r="C17" s="6">
        <v>16</v>
      </c>
      <c r="G17" s="7">
        <v>16</v>
      </c>
      <c r="H17" s="8" t="s">
        <v>81</v>
      </c>
      <c r="I17" s="8">
        <v>163</v>
      </c>
      <c r="J17" s="32" t="s">
        <v>245</v>
      </c>
      <c r="K17" s="4">
        <v>33</v>
      </c>
      <c r="L17" s="23" t="s">
        <v>202</v>
      </c>
      <c r="P17" s="150"/>
      <c r="R17" s="164" t="s">
        <v>382</v>
      </c>
    </row>
    <row r="18" spans="1:18" x14ac:dyDescent="0.2">
      <c r="A18" s="5" t="s">
        <v>113</v>
      </c>
      <c r="B18" s="5" t="s">
        <v>26</v>
      </c>
      <c r="C18" s="6">
        <v>17</v>
      </c>
      <c r="G18" s="7">
        <v>17</v>
      </c>
      <c r="H18" s="8" t="s">
        <v>82</v>
      </c>
      <c r="I18" s="8">
        <v>164</v>
      </c>
      <c r="J18" s="32" t="s">
        <v>246</v>
      </c>
      <c r="K18" s="4">
        <v>34</v>
      </c>
      <c r="L18" s="23" t="s">
        <v>203</v>
      </c>
      <c r="P18" s="150"/>
      <c r="R18" s="164" t="s">
        <v>383</v>
      </c>
    </row>
    <row r="19" spans="1:18" x14ac:dyDescent="0.2">
      <c r="A19" s="5" t="s">
        <v>113</v>
      </c>
      <c r="B19" s="5" t="s">
        <v>27</v>
      </c>
      <c r="C19" s="6">
        <v>18</v>
      </c>
      <c r="G19" s="7">
        <v>18</v>
      </c>
      <c r="H19" s="8" t="s">
        <v>83</v>
      </c>
      <c r="I19" s="8">
        <v>4</v>
      </c>
      <c r="J19" s="32" t="s">
        <v>120</v>
      </c>
      <c r="K19" s="4">
        <v>35</v>
      </c>
      <c r="L19" s="23" t="s">
        <v>204</v>
      </c>
      <c r="P19" s="150"/>
      <c r="R19" s="164" t="s">
        <v>384</v>
      </c>
    </row>
    <row r="20" spans="1:18" x14ac:dyDescent="0.2">
      <c r="A20" s="5" t="s">
        <v>113</v>
      </c>
      <c r="B20" s="5" t="s">
        <v>28</v>
      </c>
      <c r="C20" s="6">
        <v>19</v>
      </c>
      <c r="G20" s="7">
        <v>19</v>
      </c>
      <c r="H20" s="8" t="s">
        <v>84</v>
      </c>
      <c r="I20" s="8">
        <v>11</v>
      </c>
      <c r="J20" s="32" t="s">
        <v>241</v>
      </c>
      <c r="K20" s="4">
        <v>37</v>
      </c>
      <c r="L20" s="23" t="s">
        <v>205</v>
      </c>
      <c r="P20" s="150"/>
      <c r="R20" s="164" t="s">
        <v>385</v>
      </c>
    </row>
    <row r="21" spans="1:18" x14ac:dyDescent="0.2">
      <c r="A21" s="5" t="s">
        <v>113</v>
      </c>
      <c r="B21" s="5" t="s">
        <v>29</v>
      </c>
      <c r="C21" s="6">
        <v>20</v>
      </c>
      <c r="G21" s="7">
        <v>20</v>
      </c>
      <c r="H21" s="8" t="s">
        <v>85</v>
      </c>
      <c r="I21" s="1">
        <v>121</v>
      </c>
      <c r="J21" s="33" t="s">
        <v>236</v>
      </c>
      <c r="K21" s="4">
        <v>38</v>
      </c>
      <c r="L21" s="23" t="s">
        <v>206</v>
      </c>
      <c r="P21" s="150"/>
      <c r="R21" s="164" t="s">
        <v>386</v>
      </c>
    </row>
    <row r="22" spans="1:18" x14ac:dyDescent="0.2">
      <c r="A22" s="5" t="s">
        <v>112</v>
      </c>
      <c r="B22" s="5" t="s">
        <v>7</v>
      </c>
      <c r="C22" s="6">
        <v>21</v>
      </c>
      <c r="G22" s="4">
        <v>21</v>
      </c>
      <c r="I22" s="8">
        <v>220</v>
      </c>
      <c r="J22" s="8" t="s">
        <v>238</v>
      </c>
      <c r="K22" s="4">
        <v>40</v>
      </c>
      <c r="L22" s="23" t="s">
        <v>207</v>
      </c>
      <c r="P22" s="150"/>
      <c r="R22" s="164" t="s">
        <v>387</v>
      </c>
    </row>
    <row r="23" spans="1:18" x14ac:dyDescent="0.2">
      <c r="A23" s="5" t="s">
        <v>112</v>
      </c>
      <c r="B23" s="5" t="s">
        <v>30</v>
      </c>
      <c r="C23" s="6">
        <v>22</v>
      </c>
      <c r="G23" s="7">
        <v>22</v>
      </c>
      <c r="H23" s="8" t="s">
        <v>86</v>
      </c>
      <c r="I23" s="1">
        <v>221</v>
      </c>
      <c r="J23" s="1" t="s">
        <v>228</v>
      </c>
      <c r="K23" s="4">
        <v>41</v>
      </c>
      <c r="L23" s="23" t="s">
        <v>208</v>
      </c>
      <c r="P23" s="150"/>
      <c r="R23" s="164" t="s">
        <v>388</v>
      </c>
    </row>
    <row r="24" spans="1:18" x14ac:dyDescent="0.2">
      <c r="A24" s="5" t="s">
        <v>112</v>
      </c>
      <c r="B24" s="5" t="s">
        <v>31</v>
      </c>
      <c r="C24" s="6">
        <v>23</v>
      </c>
      <c r="G24" s="7">
        <v>23</v>
      </c>
      <c r="H24" s="8" t="s">
        <v>87</v>
      </c>
      <c r="I24" s="1">
        <v>24</v>
      </c>
      <c r="J24" s="169" t="s">
        <v>256</v>
      </c>
      <c r="K24" s="170">
        <v>42</v>
      </c>
      <c r="L24" s="23" t="s">
        <v>209</v>
      </c>
      <c r="P24" s="150"/>
      <c r="R24" s="164" t="s">
        <v>389</v>
      </c>
    </row>
    <row r="25" spans="1:18" x14ac:dyDescent="0.2">
      <c r="A25" s="5" t="s">
        <v>112</v>
      </c>
      <c r="B25" s="5" t="s">
        <v>4</v>
      </c>
      <c r="C25" s="6">
        <v>24</v>
      </c>
      <c r="G25" s="7">
        <v>24</v>
      </c>
      <c r="H25" s="8" t="s">
        <v>88</v>
      </c>
      <c r="I25" s="8">
        <v>122</v>
      </c>
      <c r="J25" s="169" t="s">
        <v>232</v>
      </c>
      <c r="K25" s="170">
        <v>43</v>
      </c>
      <c r="L25" s="23" t="s">
        <v>210</v>
      </c>
      <c r="P25" s="150"/>
      <c r="R25" s="164" t="s">
        <v>390</v>
      </c>
    </row>
    <row r="26" spans="1:18" x14ac:dyDescent="0.2">
      <c r="A26" s="5" t="s">
        <v>112</v>
      </c>
      <c r="B26" s="5" t="s">
        <v>32</v>
      </c>
      <c r="C26" s="6">
        <v>25</v>
      </c>
      <c r="G26" s="7">
        <v>26</v>
      </c>
      <c r="H26" s="8" t="s">
        <v>89</v>
      </c>
      <c r="I26" s="1">
        <v>170</v>
      </c>
      <c r="J26" s="169" t="s">
        <v>247</v>
      </c>
      <c r="K26" s="170">
        <v>0</v>
      </c>
      <c r="L26" s="33" t="s">
        <v>259</v>
      </c>
      <c r="P26" s="150"/>
      <c r="R26" s="164" t="s">
        <v>391</v>
      </c>
    </row>
    <row r="27" spans="1:18" x14ac:dyDescent="0.2">
      <c r="A27" s="5" t="s">
        <v>112</v>
      </c>
      <c r="B27" s="5" t="s">
        <v>33</v>
      </c>
      <c r="C27" s="6">
        <v>26</v>
      </c>
      <c r="G27" s="7">
        <v>27</v>
      </c>
      <c r="H27" s="8" t="s">
        <v>90</v>
      </c>
      <c r="I27" s="1">
        <v>171</v>
      </c>
      <c r="J27" s="33" t="s">
        <v>248</v>
      </c>
      <c r="P27" s="150"/>
      <c r="R27" s="164" t="s">
        <v>392</v>
      </c>
    </row>
    <row r="28" spans="1:18" x14ac:dyDescent="0.2">
      <c r="A28" s="5" t="s">
        <v>112</v>
      </c>
      <c r="B28" s="5" t="s">
        <v>34</v>
      </c>
      <c r="C28" s="6">
        <v>27</v>
      </c>
      <c r="G28" s="7">
        <v>28</v>
      </c>
      <c r="H28" s="8" t="s">
        <v>91</v>
      </c>
      <c r="I28" s="1">
        <v>172</v>
      </c>
      <c r="J28" s="33" t="s">
        <v>249</v>
      </c>
      <c r="P28" s="150"/>
      <c r="R28" s="164" t="s">
        <v>393</v>
      </c>
    </row>
    <row r="29" spans="1:18" x14ac:dyDescent="0.2">
      <c r="A29" s="5" t="s">
        <v>112</v>
      </c>
      <c r="B29" s="5" t="s">
        <v>35</v>
      </c>
      <c r="C29" s="6">
        <v>28</v>
      </c>
      <c r="G29" s="7">
        <v>29</v>
      </c>
      <c r="H29" s="8" t="s">
        <v>92</v>
      </c>
      <c r="I29" s="8"/>
      <c r="J29" s="32"/>
      <c r="P29" s="150"/>
      <c r="R29" s="164" t="s">
        <v>394</v>
      </c>
    </row>
    <row r="30" spans="1:18" x14ac:dyDescent="0.2">
      <c r="A30" s="5" t="s">
        <v>112</v>
      </c>
      <c r="B30" s="5" t="s">
        <v>36</v>
      </c>
      <c r="C30" s="6">
        <v>29</v>
      </c>
      <c r="G30" s="7">
        <v>30</v>
      </c>
      <c r="H30" s="8" t="s">
        <v>93</v>
      </c>
      <c r="I30" s="8"/>
      <c r="J30" s="32"/>
      <c r="P30" s="150"/>
    </row>
    <row r="31" spans="1:18" x14ac:dyDescent="0.2">
      <c r="A31" s="5" t="s">
        <v>115</v>
      </c>
      <c r="B31" s="5" t="s">
        <v>37</v>
      </c>
      <c r="C31" s="6">
        <v>30</v>
      </c>
      <c r="G31" s="7">
        <v>31</v>
      </c>
      <c r="H31" s="8" t="s">
        <v>94</v>
      </c>
      <c r="I31" s="8"/>
      <c r="J31" s="8"/>
      <c r="P31" s="150"/>
    </row>
    <row r="32" spans="1:18" x14ac:dyDescent="0.2">
      <c r="A32" s="5" t="s">
        <v>115</v>
      </c>
      <c r="B32" s="5" t="s">
        <v>38</v>
      </c>
      <c r="C32" s="6">
        <v>31</v>
      </c>
      <c r="G32" s="7">
        <v>32</v>
      </c>
      <c r="H32" s="8" t="s">
        <v>95</v>
      </c>
      <c r="I32" s="8"/>
      <c r="J32" s="32"/>
      <c r="P32" s="150"/>
    </row>
    <row r="33" spans="1:16" x14ac:dyDescent="0.2">
      <c r="A33" s="5" t="s">
        <v>115</v>
      </c>
      <c r="B33" s="5" t="s">
        <v>39</v>
      </c>
      <c r="C33" s="6">
        <v>32</v>
      </c>
      <c r="G33" s="7">
        <v>33</v>
      </c>
      <c r="H33" s="8" t="s">
        <v>96</v>
      </c>
      <c r="I33" s="8"/>
      <c r="J33" s="32"/>
      <c r="P33" s="150"/>
    </row>
    <row r="34" spans="1:16" x14ac:dyDescent="0.2">
      <c r="A34" s="5" t="s">
        <v>115</v>
      </c>
      <c r="B34" s="5" t="s">
        <v>40</v>
      </c>
      <c r="C34" s="6">
        <v>33</v>
      </c>
      <c r="G34" s="7">
        <v>34</v>
      </c>
      <c r="H34" s="8" t="s">
        <v>97</v>
      </c>
      <c r="I34" s="8"/>
      <c r="J34" s="8"/>
      <c r="P34" s="150"/>
    </row>
    <row r="35" spans="1:16" x14ac:dyDescent="0.2">
      <c r="A35" s="5" t="s">
        <v>115</v>
      </c>
      <c r="B35" s="5" t="s">
        <v>41</v>
      </c>
      <c r="C35" s="6">
        <v>34</v>
      </c>
      <c r="G35" s="7">
        <v>35</v>
      </c>
      <c r="H35" s="8" t="s">
        <v>98</v>
      </c>
      <c r="I35" s="8"/>
      <c r="J35" s="8"/>
      <c r="P35" s="150"/>
    </row>
    <row r="36" spans="1:16" x14ac:dyDescent="0.2">
      <c r="A36" s="5" t="s">
        <v>115</v>
      </c>
      <c r="B36" s="5" t="s">
        <v>42</v>
      </c>
      <c r="C36" s="6">
        <v>36</v>
      </c>
      <c r="G36" s="7">
        <v>36</v>
      </c>
      <c r="H36" s="8" t="s">
        <v>99</v>
      </c>
      <c r="I36" s="8"/>
      <c r="J36" s="8"/>
      <c r="P36" s="150"/>
    </row>
    <row r="37" spans="1:16" x14ac:dyDescent="0.2">
      <c r="A37" s="5" t="s">
        <v>115</v>
      </c>
      <c r="B37" s="5" t="s">
        <v>43</v>
      </c>
      <c r="C37" s="6">
        <v>37</v>
      </c>
      <c r="G37" s="7">
        <v>37</v>
      </c>
      <c r="H37" s="8" t="s">
        <v>3</v>
      </c>
      <c r="I37" s="8"/>
      <c r="J37" s="32"/>
      <c r="P37" s="150"/>
    </row>
    <row r="38" spans="1:16" x14ac:dyDescent="0.2">
      <c r="A38" s="5" t="s">
        <v>115</v>
      </c>
      <c r="B38" s="5" t="s">
        <v>44</v>
      </c>
      <c r="C38" s="6">
        <v>38</v>
      </c>
      <c r="G38" s="7">
        <v>38</v>
      </c>
      <c r="H38" s="8" t="s">
        <v>100</v>
      </c>
      <c r="I38" s="8"/>
      <c r="J38" s="32"/>
      <c r="P38" s="150"/>
    </row>
    <row r="39" spans="1:16" x14ac:dyDescent="0.2">
      <c r="A39" s="5" t="s">
        <v>115</v>
      </c>
      <c r="B39" s="5" t="s">
        <v>45</v>
      </c>
      <c r="C39" s="6">
        <v>40</v>
      </c>
      <c r="G39" s="7">
        <v>39</v>
      </c>
      <c r="H39" s="8" t="s">
        <v>101</v>
      </c>
      <c r="I39" s="8"/>
      <c r="J39" s="32"/>
      <c r="P39" s="150"/>
    </row>
    <row r="40" spans="1:16" x14ac:dyDescent="0.2">
      <c r="A40" s="5" t="s">
        <v>47</v>
      </c>
      <c r="B40" s="5" t="s">
        <v>46</v>
      </c>
      <c r="C40" s="6">
        <v>71</v>
      </c>
      <c r="G40" s="7">
        <v>40</v>
      </c>
      <c r="H40" s="8" t="s">
        <v>102</v>
      </c>
      <c r="I40" s="8"/>
      <c r="J40" s="32"/>
      <c r="P40" s="150"/>
    </row>
    <row r="41" spans="1:16" x14ac:dyDescent="0.2">
      <c r="A41" s="5" t="s">
        <v>47</v>
      </c>
      <c r="B41" s="5" t="s">
        <v>48</v>
      </c>
      <c r="C41" s="6">
        <v>72</v>
      </c>
      <c r="G41" s="7">
        <v>43</v>
      </c>
      <c r="H41" s="8" t="s">
        <v>103</v>
      </c>
      <c r="I41" s="8"/>
      <c r="J41" s="32"/>
      <c r="P41" s="150"/>
    </row>
    <row r="42" spans="1:16" x14ac:dyDescent="0.2">
      <c r="A42" s="5" t="s">
        <v>113</v>
      </c>
      <c r="B42" s="5" t="s">
        <v>49</v>
      </c>
      <c r="C42" s="6">
        <v>73</v>
      </c>
      <c r="G42" s="7">
        <v>44</v>
      </c>
      <c r="H42" s="8" t="s">
        <v>104</v>
      </c>
      <c r="J42" s="33"/>
      <c r="P42" s="150"/>
    </row>
    <row r="43" spans="1:16" x14ac:dyDescent="0.2">
      <c r="A43" s="5" t="s">
        <v>115</v>
      </c>
      <c r="B43" s="5" t="s">
        <v>50</v>
      </c>
      <c r="C43" s="6">
        <v>74</v>
      </c>
      <c r="G43" s="7">
        <v>45</v>
      </c>
      <c r="H43" s="8" t="s">
        <v>105</v>
      </c>
      <c r="J43" s="33"/>
      <c r="P43" s="150"/>
    </row>
    <row r="44" spans="1:16" x14ac:dyDescent="0.2">
      <c r="A44" s="5" t="s">
        <v>260</v>
      </c>
      <c r="B44" s="5" t="s">
        <v>261</v>
      </c>
      <c r="C44" s="6">
        <v>41</v>
      </c>
      <c r="G44" s="7">
        <v>46</v>
      </c>
      <c r="H44" s="8" t="s">
        <v>106</v>
      </c>
      <c r="I44" s="8"/>
      <c r="J44" s="8"/>
      <c r="P44" s="150"/>
    </row>
    <row r="45" spans="1:16" x14ac:dyDescent="0.2">
      <c r="A45" s="5" t="s">
        <v>260</v>
      </c>
      <c r="B45" s="5" t="s">
        <v>262</v>
      </c>
      <c r="C45" s="6">
        <v>42</v>
      </c>
      <c r="G45" s="7">
        <v>47</v>
      </c>
      <c r="H45" s="8" t="s">
        <v>107</v>
      </c>
      <c r="I45" s="8"/>
      <c r="J45" s="8"/>
      <c r="P45" s="150"/>
    </row>
    <row r="46" spans="1:16" x14ac:dyDescent="0.2">
      <c r="A46" s="5" t="s">
        <v>260</v>
      </c>
      <c r="B46" s="5" t="s">
        <v>263</v>
      </c>
      <c r="C46" s="6">
        <v>43</v>
      </c>
      <c r="G46" s="7">
        <v>48</v>
      </c>
      <c r="H46" s="8" t="s">
        <v>108</v>
      </c>
      <c r="I46" s="8"/>
      <c r="J46" s="8"/>
      <c r="P46" s="150"/>
    </row>
    <row r="47" spans="1:16" x14ac:dyDescent="0.2">
      <c r="A47" s="5" t="s">
        <v>260</v>
      </c>
      <c r="B47" s="5" t="s">
        <v>264</v>
      </c>
      <c r="C47" s="6">
        <v>44</v>
      </c>
      <c r="G47" s="7">
        <v>49</v>
      </c>
      <c r="H47" s="8" t="s">
        <v>109</v>
      </c>
      <c r="I47" s="8"/>
      <c r="J47" s="8"/>
      <c r="P47" s="150"/>
    </row>
    <row r="48" spans="1:16" x14ac:dyDescent="0.2">
      <c r="A48" s="5" t="s">
        <v>260</v>
      </c>
      <c r="B48" s="5" t="s">
        <v>265</v>
      </c>
      <c r="C48" s="6">
        <v>45</v>
      </c>
      <c r="G48" s="7">
        <v>50</v>
      </c>
      <c r="H48" s="8" t="s">
        <v>229</v>
      </c>
      <c r="I48" s="8"/>
      <c r="J48" s="8"/>
      <c r="P48" s="150"/>
    </row>
    <row r="49" spans="1:17" x14ac:dyDescent="0.2">
      <c r="A49" s="5" t="s">
        <v>260</v>
      </c>
      <c r="B49" s="5" t="s">
        <v>266</v>
      </c>
      <c r="C49" s="6">
        <v>46</v>
      </c>
      <c r="G49" s="7">
        <v>51</v>
      </c>
      <c r="H49" s="8" t="s">
        <v>230</v>
      </c>
      <c r="I49" s="8"/>
      <c r="J49" s="8"/>
      <c r="P49" s="150"/>
    </row>
    <row r="50" spans="1:17" x14ac:dyDescent="0.2">
      <c r="A50" s="5" t="s">
        <v>260</v>
      </c>
      <c r="B50" s="5" t="s">
        <v>267</v>
      </c>
      <c r="C50" s="6">
        <v>47</v>
      </c>
      <c r="G50" s="7">
        <v>52</v>
      </c>
      <c r="H50" s="8" t="s">
        <v>231</v>
      </c>
      <c r="P50" s="150"/>
    </row>
    <row r="51" spans="1:17" x14ac:dyDescent="0.2">
      <c r="A51" s="5" t="s">
        <v>260</v>
      </c>
      <c r="B51" s="5" t="s">
        <v>268</v>
      </c>
      <c r="C51" s="6">
        <v>48</v>
      </c>
      <c r="G51" s="30">
        <v>53</v>
      </c>
      <c r="H51" s="31" t="s">
        <v>110</v>
      </c>
      <c r="P51" s="150"/>
    </row>
    <row r="52" spans="1:17" x14ac:dyDescent="0.2">
      <c r="A52" s="5" t="s">
        <v>260</v>
      </c>
      <c r="B52" s="5" t="s">
        <v>269</v>
      </c>
      <c r="C52" s="6">
        <v>49</v>
      </c>
      <c r="G52" s="30">
        <v>54</v>
      </c>
      <c r="H52" s="31" t="s">
        <v>110</v>
      </c>
      <c r="P52" s="150"/>
    </row>
    <row r="53" spans="1:17" x14ac:dyDescent="0.2">
      <c r="A53" s="5" t="s">
        <v>260</v>
      </c>
      <c r="B53" s="5" t="s">
        <v>270</v>
      </c>
      <c r="C53" s="6">
        <v>50</v>
      </c>
      <c r="G53" s="30">
        <v>55</v>
      </c>
      <c r="H53" s="31" t="s">
        <v>110</v>
      </c>
      <c r="P53" s="150"/>
    </row>
    <row r="54" spans="1:17" x14ac:dyDescent="0.2">
      <c r="A54" s="5" t="s">
        <v>116</v>
      </c>
      <c r="B54" s="16" t="s">
        <v>156</v>
      </c>
      <c r="C54" s="6">
        <v>75</v>
      </c>
      <c r="G54" s="30">
        <v>100</v>
      </c>
      <c r="H54" s="31" t="s">
        <v>110</v>
      </c>
      <c r="P54" s="165">
        <v>1</v>
      </c>
      <c r="Q54" s="48"/>
    </row>
    <row r="55" spans="1:17" x14ac:dyDescent="0.2">
      <c r="A55" s="5" t="s">
        <v>116</v>
      </c>
      <c r="B55" s="16" t="s">
        <v>158</v>
      </c>
      <c r="C55" s="6">
        <v>76</v>
      </c>
      <c r="G55" s="30">
        <v>101</v>
      </c>
      <c r="H55" s="31" t="s">
        <v>111</v>
      </c>
      <c r="P55" s="165">
        <v>2</v>
      </c>
      <c r="Q55" s="48"/>
    </row>
    <row r="56" spans="1:17" x14ac:dyDescent="0.2">
      <c r="A56" s="5" t="s">
        <v>116</v>
      </c>
      <c r="B56" s="16" t="s">
        <v>159</v>
      </c>
      <c r="C56" s="6">
        <v>77</v>
      </c>
      <c r="P56" s="165">
        <v>3</v>
      </c>
      <c r="Q56" s="48"/>
    </row>
    <row r="57" spans="1:17" x14ac:dyDescent="0.2">
      <c r="A57" s="5" t="s">
        <v>116</v>
      </c>
      <c r="B57" s="16" t="s">
        <v>160</v>
      </c>
      <c r="C57" s="6">
        <v>78</v>
      </c>
      <c r="P57" s="165">
        <v>4</v>
      </c>
      <c r="Q57" s="48"/>
    </row>
    <row r="58" spans="1:17" x14ac:dyDescent="0.2">
      <c r="A58" s="5" t="s">
        <v>116</v>
      </c>
      <c r="B58" s="16" t="s">
        <v>161</v>
      </c>
      <c r="C58" s="6">
        <v>79</v>
      </c>
      <c r="P58" s="165">
        <v>5</v>
      </c>
      <c r="Q58" s="48"/>
    </row>
    <row r="59" spans="1:17" x14ac:dyDescent="0.2">
      <c r="A59" s="5" t="s">
        <v>116</v>
      </c>
      <c r="B59" s="16" t="s">
        <v>162</v>
      </c>
      <c r="C59" s="6">
        <v>80</v>
      </c>
      <c r="P59" s="165">
        <v>6</v>
      </c>
      <c r="Q59" s="48"/>
    </row>
    <row r="60" spans="1:17" x14ac:dyDescent="0.2">
      <c r="A60" s="5" t="s">
        <v>116</v>
      </c>
      <c r="B60" s="16" t="s">
        <v>163</v>
      </c>
      <c r="C60" s="6">
        <v>81</v>
      </c>
      <c r="P60" s="165">
        <v>7</v>
      </c>
      <c r="Q60" s="48"/>
    </row>
    <row r="61" spans="1:17" x14ac:dyDescent="0.2">
      <c r="A61" s="5" t="s">
        <v>116</v>
      </c>
      <c r="B61" s="16" t="s">
        <v>164</v>
      </c>
      <c r="C61" s="6">
        <v>82</v>
      </c>
      <c r="P61" s="165">
        <v>8</v>
      </c>
      <c r="Q61" s="48"/>
    </row>
    <row r="62" spans="1:17" x14ac:dyDescent="0.2">
      <c r="A62" s="5" t="s">
        <v>116</v>
      </c>
      <c r="B62" s="16" t="s">
        <v>165</v>
      </c>
      <c r="C62" s="6">
        <v>83</v>
      </c>
      <c r="P62" s="165">
        <v>9</v>
      </c>
      <c r="Q62" s="48"/>
    </row>
    <row r="63" spans="1:17" x14ac:dyDescent="0.2">
      <c r="A63" s="5" t="s">
        <v>116</v>
      </c>
      <c r="B63" s="16" t="s">
        <v>157</v>
      </c>
      <c r="C63" s="6">
        <v>84</v>
      </c>
      <c r="P63" s="165">
        <v>10</v>
      </c>
      <c r="Q63" s="48"/>
    </row>
    <row r="64" spans="1:17" x14ac:dyDescent="0.2">
      <c r="A64" s="5" t="s">
        <v>116</v>
      </c>
      <c r="B64" s="16" t="s">
        <v>166</v>
      </c>
      <c r="C64" s="6">
        <v>85</v>
      </c>
      <c r="P64" s="165">
        <v>11</v>
      </c>
      <c r="Q64" s="48"/>
    </row>
    <row r="65" spans="1:17" x14ac:dyDescent="0.2">
      <c r="A65" s="5" t="s">
        <v>116</v>
      </c>
      <c r="B65" s="16" t="s">
        <v>167</v>
      </c>
      <c r="C65" s="6">
        <v>86</v>
      </c>
      <c r="P65" s="165">
        <v>12</v>
      </c>
      <c r="Q65" s="48"/>
    </row>
    <row r="66" spans="1:17" x14ac:dyDescent="0.2">
      <c r="A66" s="5" t="s">
        <v>116</v>
      </c>
      <c r="B66" s="16" t="s">
        <v>168</v>
      </c>
      <c r="C66" s="6">
        <v>87</v>
      </c>
      <c r="P66" s="165">
        <v>13</v>
      </c>
      <c r="Q66" s="48"/>
    </row>
    <row r="67" spans="1:17" x14ac:dyDescent="0.2">
      <c r="A67" s="5" t="s">
        <v>116</v>
      </c>
      <c r="B67" s="16" t="s">
        <v>169</v>
      </c>
      <c r="C67" s="6">
        <v>88</v>
      </c>
      <c r="P67" s="165">
        <v>14</v>
      </c>
      <c r="Q67" s="48"/>
    </row>
    <row r="68" spans="1:17" x14ac:dyDescent="0.2">
      <c r="A68" s="5" t="s">
        <v>116</v>
      </c>
      <c r="B68" s="16" t="s">
        <v>170</v>
      </c>
      <c r="C68" s="6">
        <v>89</v>
      </c>
      <c r="P68" s="165">
        <v>15</v>
      </c>
      <c r="Q68" s="48"/>
    </row>
    <row r="69" spans="1:17" x14ac:dyDescent="0.2">
      <c r="A69" s="5" t="s">
        <v>116</v>
      </c>
      <c r="B69" s="16" t="s">
        <v>171</v>
      </c>
      <c r="C69" s="6">
        <v>90</v>
      </c>
      <c r="P69" s="165">
        <v>16</v>
      </c>
      <c r="Q69" s="48"/>
    </row>
    <row r="70" spans="1:17" x14ac:dyDescent="0.2">
      <c r="A70" s="5" t="s">
        <v>116</v>
      </c>
      <c r="B70" s="16" t="s">
        <v>172</v>
      </c>
      <c r="C70" s="6">
        <v>91</v>
      </c>
      <c r="P70" s="165">
        <v>17</v>
      </c>
      <c r="Q70" s="48"/>
    </row>
    <row r="71" spans="1:17" x14ac:dyDescent="0.2">
      <c r="A71" s="5" t="s">
        <v>116</v>
      </c>
      <c r="B71" s="16" t="s">
        <v>173</v>
      </c>
      <c r="C71" s="6">
        <v>92</v>
      </c>
      <c r="P71" s="165">
        <v>18</v>
      </c>
      <c r="Q71" s="48"/>
    </row>
    <row r="72" spans="1:17" x14ac:dyDescent="0.2">
      <c r="A72" s="5" t="s">
        <v>116</v>
      </c>
      <c r="B72" s="16" t="s">
        <v>174</v>
      </c>
      <c r="C72" s="6">
        <v>93</v>
      </c>
      <c r="P72" s="165">
        <v>19</v>
      </c>
      <c r="Q72" s="48"/>
    </row>
    <row r="73" spans="1:17" x14ac:dyDescent="0.2">
      <c r="A73" s="5" t="s">
        <v>116</v>
      </c>
      <c r="B73" s="16" t="s">
        <v>175</v>
      </c>
      <c r="C73" s="6">
        <v>94</v>
      </c>
      <c r="P73" s="165">
        <v>20</v>
      </c>
      <c r="Q73" s="48"/>
    </row>
    <row r="74" spans="1:17" x14ac:dyDescent="0.2">
      <c r="A74" s="5" t="s">
        <v>116</v>
      </c>
      <c r="B74" s="16" t="s">
        <v>176</v>
      </c>
      <c r="C74" s="6">
        <v>95</v>
      </c>
      <c r="P74" s="165">
        <v>21</v>
      </c>
      <c r="Q74" s="48"/>
    </row>
    <row r="75" spans="1:17" x14ac:dyDescent="0.2">
      <c r="A75" s="5" t="s">
        <v>116</v>
      </c>
      <c r="B75" s="16" t="s">
        <v>177</v>
      </c>
      <c r="C75" s="6">
        <v>96</v>
      </c>
      <c r="P75" s="165">
        <v>22</v>
      </c>
      <c r="Q75" s="48"/>
    </row>
    <row r="76" spans="1:17" x14ac:dyDescent="0.2">
      <c r="A76" s="5" t="s">
        <v>116</v>
      </c>
      <c r="B76" s="16" t="s">
        <v>178</v>
      </c>
      <c r="C76" s="6">
        <v>97</v>
      </c>
      <c r="P76" s="165">
        <v>23</v>
      </c>
      <c r="Q76" s="48"/>
    </row>
    <row r="77" spans="1:17" x14ac:dyDescent="0.2">
      <c r="A77" s="5" t="s">
        <v>116</v>
      </c>
      <c r="B77" s="16" t="s">
        <v>179</v>
      </c>
      <c r="C77" s="6">
        <v>98</v>
      </c>
      <c r="P77" s="165">
        <v>24</v>
      </c>
      <c r="Q77" s="48"/>
    </row>
    <row r="78" spans="1:17" x14ac:dyDescent="0.2">
      <c r="A78" s="5" t="s">
        <v>116</v>
      </c>
      <c r="B78" s="16" t="s">
        <v>180</v>
      </c>
      <c r="C78" s="6">
        <v>99</v>
      </c>
      <c r="P78" s="165">
        <v>25</v>
      </c>
      <c r="Q78" s="48"/>
    </row>
    <row r="79" spans="1:17" x14ac:dyDescent="0.2">
      <c r="A79" s="5" t="s">
        <v>116</v>
      </c>
      <c r="B79" s="16" t="s">
        <v>181</v>
      </c>
      <c r="C79" s="6">
        <v>39</v>
      </c>
      <c r="P79" s="165" t="s">
        <v>357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tabColor theme="7"/>
  </sheetPr>
  <dimension ref="A1:CP10"/>
  <sheetViews>
    <sheetView topLeftCell="CH1" zoomScaleNormal="100" workbookViewId="0">
      <pane ySplit="3" topLeftCell="A971" activePane="bottomLeft" state="frozen"/>
      <selection pane="bottomLeft" activeCell="CL992" sqref="CL992"/>
    </sheetView>
  </sheetViews>
  <sheetFormatPr defaultColWidth="9.140625" defaultRowHeight="15" outlineLevelCol="1" x14ac:dyDescent="0.25"/>
  <cols>
    <col min="1" max="1" width="7.28515625" style="104" customWidth="1"/>
    <col min="2" max="2" width="10.42578125" style="104" customWidth="1"/>
    <col min="3" max="3" width="16.7109375" style="104" customWidth="1"/>
    <col min="4" max="4" width="5.5703125" style="104" customWidth="1"/>
    <col min="5" max="7" width="14.28515625" style="104" customWidth="1"/>
    <col min="8" max="8" width="13.7109375" style="104" customWidth="1"/>
    <col min="9" max="10" width="12.28515625" style="104" customWidth="1" outlineLevel="1"/>
    <col min="11" max="12" width="10" style="104" customWidth="1" outlineLevel="1"/>
    <col min="13" max="14" width="15.42578125" style="104" customWidth="1" outlineLevel="1"/>
    <col min="15" max="16" width="12.28515625" style="104" customWidth="1"/>
    <col min="17" max="18" width="10" style="104" customWidth="1"/>
    <col min="19" max="21" width="15.42578125" style="104" customWidth="1"/>
    <col min="22" max="23" width="14.28515625" style="104" customWidth="1"/>
    <col min="24" max="25" width="14.28515625" style="104" customWidth="1" outlineLevel="1"/>
    <col min="26" max="26" width="10.5703125" style="104" customWidth="1" outlineLevel="1"/>
    <col min="27" max="27" width="15.85546875" style="104" customWidth="1" outlineLevel="1"/>
    <col min="28" max="29" width="15.5703125" style="104" customWidth="1" outlineLevel="1"/>
    <col min="30" max="31" width="14.28515625" style="104" customWidth="1" outlineLevel="1"/>
    <col min="32" max="33" width="14.28515625" style="104" customWidth="1"/>
    <col min="34" max="35" width="10.5703125" style="104" customWidth="1" outlineLevel="1"/>
    <col min="36" max="36" width="15.85546875" style="104" customWidth="1" outlineLevel="1"/>
    <col min="37" max="38" width="17" style="104" customWidth="1" outlineLevel="1"/>
    <col min="39" max="40" width="10.5703125" style="104" customWidth="1"/>
    <col min="41" max="41" width="15.85546875" style="104" customWidth="1"/>
    <col min="42" max="43" width="17" style="104" customWidth="1"/>
    <col min="44" max="49" width="14.28515625" style="104" customWidth="1"/>
    <col min="50" max="50" width="54.140625" style="104" customWidth="1"/>
    <col min="51" max="55" width="14.28515625" style="104" customWidth="1"/>
    <col min="56" max="56" width="35.7109375" style="104" customWidth="1"/>
    <col min="57" max="57" width="7.28515625" style="104" customWidth="1"/>
    <col min="58" max="58" width="12.28515625" style="104" customWidth="1"/>
    <col min="59" max="59" width="10.7109375" style="104" customWidth="1"/>
    <col min="60" max="60" width="12.42578125" style="104" customWidth="1"/>
    <col min="61" max="63" width="18" style="104" customWidth="1"/>
    <col min="64" max="65" width="11" style="104" customWidth="1"/>
    <col min="66" max="66" width="7" style="104" customWidth="1"/>
    <col min="67" max="68" width="6.5703125" style="104" customWidth="1"/>
    <col min="69" max="69" width="11" style="108" customWidth="1" outlineLevel="1"/>
    <col min="70" max="70" width="4.28515625" style="108" customWidth="1" outlineLevel="1"/>
    <col min="71" max="71" width="11" style="108" customWidth="1" outlineLevel="1"/>
    <col min="72" max="72" width="4.28515625" style="108" customWidth="1" outlineLevel="1"/>
    <col min="73" max="73" width="11" style="108" customWidth="1" outlineLevel="1"/>
    <col min="74" max="74" width="4.28515625" style="108" customWidth="1" outlineLevel="1"/>
    <col min="75" max="75" width="11" style="108" customWidth="1" outlineLevel="1"/>
    <col min="76" max="76" width="4.28515625" style="108" customWidth="1" outlineLevel="1"/>
    <col min="77" max="77" width="11" style="108" customWidth="1" outlineLevel="1"/>
    <col min="78" max="78" width="4.28515625" style="108" customWidth="1" outlineLevel="1"/>
    <col min="79" max="79" width="11" style="108" customWidth="1" outlineLevel="1"/>
    <col min="80" max="80" width="11.140625" style="104" customWidth="1"/>
    <col min="81" max="81" width="15.5703125" style="104" customWidth="1"/>
    <col min="82" max="82" width="10" style="104" customWidth="1"/>
    <col min="83" max="84" width="12" style="104" customWidth="1"/>
    <col min="85" max="85" width="162.85546875" style="108" bestFit="1" customWidth="1"/>
    <col min="86" max="86" width="4.28515625" style="108" customWidth="1"/>
    <col min="87" max="87" width="24.28515625" style="108" customWidth="1"/>
    <col min="88" max="88" width="15.5703125" style="104" customWidth="1"/>
    <col min="89" max="89" width="16.5703125" style="104" customWidth="1"/>
    <col min="90" max="90" width="15.85546875" style="104" customWidth="1"/>
    <col min="91" max="91" width="13.7109375" style="104" customWidth="1"/>
    <col min="92" max="92" width="12.7109375" style="104" customWidth="1"/>
    <col min="93" max="93" width="12.5703125" style="104" customWidth="1"/>
    <col min="94" max="94" width="13" style="104" customWidth="1"/>
    <col min="95" max="95" width="12.85546875" style="104" customWidth="1"/>
    <col min="96" max="96" width="12.5703125" style="104" customWidth="1"/>
    <col min="97" max="97" width="9.140625" style="104" customWidth="1"/>
    <col min="98" max="16384" width="9.140625" style="104"/>
  </cols>
  <sheetData>
    <row r="1" spans="1:94" s="79" customFormat="1" ht="15" customHeight="1" x14ac:dyDescent="0.25">
      <c r="A1" s="63" t="s">
        <v>272</v>
      </c>
      <c r="B1" s="64"/>
      <c r="C1" s="63" t="s">
        <v>273</v>
      </c>
      <c r="D1" s="64"/>
      <c r="E1" s="63" t="s">
        <v>5</v>
      </c>
      <c r="F1" s="65"/>
      <c r="G1" s="66" t="s">
        <v>52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69"/>
      <c r="X1" s="70" t="s">
        <v>53</v>
      </c>
      <c r="Y1" s="71"/>
      <c r="Z1" s="71"/>
      <c r="AA1" s="71"/>
      <c r="AB1" s="71"/>
      <c r="AC1" s="71"/>
      <c r="AD1" s="72"/>
      <c r="AE1" s="69"/>
      <c r="AF1" s="66" t="s">
        <v>6</v>
      </c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8"/>
      <c r="AS1" s="70" t="s">
        <v>274</v>
      </c>
      <c r="AT1" s="71"/>
      <c r="AU1" s="71"/>
      <c r="AV1" s="72"/>
      <c r="AW1" s="69"/>
      <c r="AX1" s="70" t="s">
        <v>275</v>
      </c>
      <c r="AY1" s="72"/>
      <c r="AZ1" s="69"/>
      <c r="BA1" s="69"/>
      <c r="BB1" s="69"/>
      <c r="BC1" s="69"/>
      <c r="BD1" s="70" t="s">
        <v>276</v>
      </c>
      <c r="BE1" s="71"/>
      <c r="BF1" s="71"/>
      <c r="BG1" s="71"/>
      <c r="BH1" s="71"/>
      <c r="BI1" s="71"/>
      <c r="BJ1" s="71"/>
      <c r="BK1" s="71"/>
      <c r="BL1" s="71"/>
      <c r="BM1" s="72"/>
      <c r="BN1" s="70" t="s">
        <v>277</v>
      </c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2"/>
      <c r="CB1" s="70" t="s">
        <v>278</v>
      </c>
      <c r="CC1" s="71"/>
      <c r="CD1" s="71"/>
      <c r="CE1" s="72"/>
      <c r="CF1" s="73"/>
      <c r="CG1" s="74" t="s">
        <v>186</v>
      </c>
      <c r="CH1" s="75"/>
      <c r="CI1" s="74" t="s">
        <v>279</v>
      </c>
      <c r="CJ1" s="63" t="s">
        <v>280</v>
      </c>
      <c r="CK1" s="63" t="s">
        <v>281</v>
      </c>
      <c r="CL1" s="76" t="s">
        <v>282</v>
      </c>
      <c r="CM1" s="77"/>
      <c r="CN1" s="78"/>
      <c r="CO1" s="78"/>
    </row>
    <row r="2" spans="1:94" s="79" customFormat="1" ht="15" customHeight="1" x14ac:dyDescent="0.25">
      <c r="A2" s="63"/>
      <c r="B2" s="64"/>
      <c r="C2" s="63"/>
      <c r="D2" s="64"/>
      <c r="E2" s="63"/>
      <c r="F2" s="65"/>
      <c r="G2" s="65"/>
      <c r="H2" s="80"/>
      <c r="I2" s="63" t="s">
        <v>283</v>
      </c>
      <c r="J2" s="63"/>
      <c r="K2" s="63"/>
      <c r="L2" s="63"/>
      <c r="M2" s="63"/>
      <c r="N2" s="63"/>
      <c r="O2" s="63" t="s">
        <v>284</v>
      </c>
      <c r="P2" s="63"/>
      <c r="Q2" s="63"/>
      <c r="R2" s="63"/>
      <c r="S2" s="63"/>
      <c r="T2" s="63"/>
      <c r="U2" s="63"/>
      <c r="V2" s="63"/>
      <c r="W2" s="81"/>
      <c r="X2" s="82"/>
      <c r="Y2" s="83"/>
      <c r="Z2" s="83"/>
      <c r="AA2" s="83"/>
      <c r="AB2" s="83"/>
      <c r="AC2" s="83"/>
      <c r="AD2" s="84"/>
      <c r="AE2" s="85"/>
      <c r="AF2" s="65"/>
      <c r="AG2" s="65"/>
      <c r="AH2" s="66" t="s">
        <v>283</v>
      </c>
      <c r="AI2" s="67"/>
      <c r="AJ2" s="67"/>
      <c r="AK2" s="67"/>
      <c r="AL2" s="80"/>
      <c r="AM2" s="63" t="s">
        <v>284</v>
      </c>
      <c r="AN2" s="63"/>
      <c r="AO2" s="63"/>
      <c r="AP2" s="63"/>
      <c r="AQ2" s="63"/>
      <c r="AR2" s="63"/>
      <c r="AS2" s="82"/>
      <c r="AT2" s="83"/>
      <c r="AU2" s="83"/>
      <c r="AV2" s="84"/>
      <c r="AW2" s="81"/>
      <c r="AX2" s="82"/>
      <c r="AY2" s="84"/>
      <c r="AZ2" s="85"/>
      <c r="BA2" s="85"/>
      <c r="BB2" s="85"/>
      <c r="BC2" s="85"/>
      <c r="BD2" s="82"/>
      <c r="BE2" s="83"/>
      <c r="BF2" s="83"/>
      <c r="BG2" s="83"/>
      <c r="BH2" s="83"/>
      <c r="BI2" s="83"/>
      <c r="BJ2" s="83"/>
      <c r="BK2" s="83"/>
      <c r="BL2" s="83"/>
      <c r="BM2" s="84"/>
      <c r="BN2" s="82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4"/>
      <c r="CB2" s="82"/>
      <c r="CC2" s="83"/>
      <c r="CD2" s="83"/>
      <c r="CE2" s="84"/>
      <c r="CF2" s="86"/>
      <c r="CG2" s="87"/>
      <c r="CH2" s="88"/>
      <c r="CI2" s="87"/>
      <c r="CJ2" s="89"/>
      <c r="CK2" s="89"/>
      <c r="CL2" s="76"/>
      <c r="CM2" s="90"/>
      <c r="CN2" s="91"/>
      <c r="CO2" s="91"/>
    </row>
    <row r="3" spans="1:94" s="79" customFormat="1" ht="45" x14ac:dyDescent="0.25">
      <c r="A3" s="74"/>
      <c r="B3" s="92" t="s">
        <v>285</v>
      </c>
      <c r="C3" s="74"/>
      <c r="D3" s="92" t="s">
        <v>285</v>
      </c>
      <c r="E3" s="74"/>
      <c r="F3" s="92" t="s">
        <v>285</v>
      </c>
      <c r="G3" s="75" t="s">
        <v>52</v>
      </c>
      <c r="H3" s="75" t="s">
        <v>286</v>
      </c>
      <c r="I3" s="75" t="s">
        <v>287</v>
      </c>
      <c r="J3" s="92" t="s">
        <v>285</v>
      </c>
      <c r="K3" s="75" t="s">
        <v>288</v>
      </c>
      <c r="L3" s="92" t="s">
        <v>285</v>
      </c>
      <c r="M3" s="75" t="s">
        <v>289</v>
      </c>
      <c r="N3" s="75" t="s">
        <v>290</v>
      </c>
      <c r="O3" s="75" t="s">
        <v>287</v>
      </c>
      <c r="P3" s="92" t="s">
        <v>285</v>
      </c>
      <c r="Q3" s="75" t="s">
        <v>288</v>
      </c>
      <c r="R3" s="92" t="s">
        <v>285</v>
      </c>
      <c r="S3" s="75" t="s">
        <v>289</v>
      </c>
      <c r="T3" s="75" t="s">
        <v>290</v>
      </c>
      <c r="U3" s="92" t="s">
        <v>285</v>
      </c>
      <c r="V3" s="75" t="s">
        <v>291</v>
      </c>
      <c r="W3" s="92" t="s">
        <v>285</v>
      </c>
      <c r="X3" s="75" t="s">
        <v>53</v>
      </c>
      <c r="Y3" s="92" t="s">
        <v>285</v>
      </c>
      <c r="Z3" s="75" t="s">
        <v>288</v>
      </c>
      <c r="AA3" s="75" t="s">
        <v>292</v>
      </c>
      <c r="AB3" s="75" t="s">
        <v>293</v>
      </c>
      <c r="AC3" s="75"/>
      <c r="AD3" s="75" t="s">
        <v>291</v>
      </c>
      <c r="AE3" s="92" t="s">
        <v>285</v>
      </c>
      <c r="AF3" s="75" t="s">
        <v>6</v>
      </c>
      <c r="AG3" s="92" t="s">
        <v>285</v>
      </c>
      <c r="AH3" s="75" t="s">
        <v>288</v>
      </c>
      <c r="AI3" s="92" t="s">
        <v>285</v>
      </c>
      <c r="AJ3" s="75" t="s">
        <v>289</v>
      </c>
      <c r="AK3" s="75" t="s">
        <v>290</v>
      </c>
      <c r="AL3" s="92" t="s">
        <v>285</v>
      </c>
      <c r="AM3" s="75" t="s">
        <v>288</v>
      </c>
      <c r="AN3" s="92" t="s">
        <v>285</v>
      </c>
      <c r="AO3" s="75" t="s">
        <v>289</v>
      </c>
      <c r="AP3" s="75" t="s">
        <v>290</v>
      </c>
      <c r="AQ3" s="92" t="s">
        <v>285</v>
      </c>
      <c r="AR3" s="75" t="s">
        <v>291</v>
      </c>
      <c r="AS3" s="92" t="s">
        <v>285</v>
      </c>
      <c r="AT3" s="92" t="s">
        <v>294</v>
      </c>
      <c r="AU3" s="92" t="s">
        <v>295</v>
      </c>
      <c r="AV3" s="92" t="s">
        <v>296</v>
      </c>
      <c r="AW3" s="92" t="s">
        <v>285</v>
      </c>
      <c r="AX3" s="75" t="s">
        <v>297</v>
      </c>
      <c r="AY3" s="75" t="s">
        <v>298</v>
      </c>
      <c r="AZ3" s="93" t="s">
        <v>295</v>
      </c>
      <c r="BA3" s="93" t="s">
        <v>296</v>
      </c>
      <c r="BB3" s="92" t="s">
        <v>285</v>
      </c>
      <c r="BC3" s="92" t="s">
        <v>299</v>
      </c>
      <c r="BD3" s="75" t="s">
        <v>136</v>
      </c>
      <c r="BE3" s="92" t="s">
        <v>285</v>
      </c>
      <c r="BF3" s="75" t="s">
        <v>300</v>
      </c>
      <c r="BG3" s="75" t="s">
        <v>301</v>
      </c>
      <c r="BH3" s="75" t="s">
        <v>134</v>
      </c>
      <c r="BI3" s="75" t="s">
        <v>302</v>
      </c>
      <c r="BJ3" s="93" t="s">
        <v>303</v>
      </c>
      <c r="BK3" s="93" t="s">
        <v>304</v>
      </c>
      <c r="BL3" s="75" t="s">
        <v>305</v>
      </c>
      <c r="BM3" s="75" t="s">
        <v>306</v>
      </c>
      <c r="BN3" s="75" t="s">
        <v>307</v>
      </c>
      <c r="BO3" s="75" t="s">
        <v>308</v>
      </c>
      <c r="BP3" s="94" t="s">
        <v>285</v>
      </c>
      <c r="BQ3" s="75" t="s">
        <v>309</v>
      </c>
      <c r="BR3" s="94" t="s">
        <v>285</v>
      </c>
      <c r="BS3" s="75" t="s">
        <v>310</v>
      </c>
      <c r="BT3" s="94" t="s">
        <v>285</v>
      </c>
      <c r="BU3" s="75" t="s">
        <v>311</v>
      </c>
      <c r="BV3" s="94" t="s">
        <v>285</v>
      </c>
      <c r="BW3" s="75" t="s">
        <v>312</v>
      </c>
      <c r="BX3" s="94" t="s">
        <v>285</v>
      </c>
      <c r="BY3" s="75" t="s">
        <v>313</v>
      </c>
      <c r="BZ3" s="94" t="s">
        <v>285</v>
      </c>
      <c r="CA3" s="75" t="s">
        <v>314</v>
      </c>
      <c r="CB3" s="75" t="s">
        <v>315</v>
      </c>
      <c r="CC3" s="75" t="s">
        <v>316</v>
      </c>
      <c r="CD3" s="75" t="s">
        <v>317</v>
      </c>
      <c r="CE3" s="75" t="s">
        <v>318</v>
      </c>
      <c r="CF3" s="94" t="s">
        <v>285</v>
      </c>
      <c r="CG3" s="87"/>
      <c r="CH3" s="94" t="s">
        <v>285</v>
      </c>
      <c r="CI3" s="87"/>
      <c r="CJ3" s="95"/>
      <c r="CK3" s="95"/>
      <c r="CL3" s="96"/>
      <c r="CM3" s="97"/>
      <c r="CN3" s="98"/>
      <c r="CO3" s="98"/>
      <c r="CP3" s="79" t="s">
        <v>319</v>
      </c>
    </row>
    <row r="4" spans="1:94" x14ac:dyDescent="0.25">
      <c r="A4" s="99" t="s">
        <v>397</v>
      </c>
      <c r="B4" s="100"/>
      <c r="C4" s="100" t="s">
        <v>320</v>
      </c>
      <c r="D4" s="100"/>
      <c r="E4" s="100">
        <v>1</v>
      </c>
      <c r="F4" s="100"/>
      <c r="G4" s="100" t="s">
        <v>398</v>
      </c>
      <c r="H4" s="100" t="s">
        <v>221</v>
      </c>
      <c r="I4" s="100" t="s">
        <v>221</v>
      </c>
      <c r="J4" s="100"/>
      <c r="K4" s="100" t="s">
        <v>321</v>
      </c>
      <c r="L4" s="100"/>
      <c r="M4" s="100" t="s">
        <v>397</v>
      </c>
      <c r="N4" s="100"/>
      <c r="O4" s="100" t="s">
        <v>216</v>
      </c>
      <c r="P4" s="100"/>
      <c r="Q4" s="100" t="s">
        <v>325</v>
      </c>
      <c r="R4" s="100"/>
      <c r="S4" s="100">
        <v>11111</v>
      </c>
      <c r="T4" s="100" t="s">
        <v>322</v>
      </c>
      <c r="U4" s="100"/>
      <c r="V4" s="100">
        <v>11111</v>
      </c>
      <c r="W4" s="100"/>
      <c r="X4" s="100" t="s">
        <v>399</v>
      </c>
      <c r="Y4" s="100"/>
      <c r="Z4" s="100" t="s">
        <v>321</v>
      </c>
      <c r="AA4" s="100">
        <v>11111</v>
      </c>
      <c r="AB4" s="100">
        <v>11111</v>
      </c>
      <c r="AC4" s="100" t="s">
        <v>400</v>
      </c>
      <c r="AD4" s="100" t="s">
        <v>399</v>
      </c>
      <c r="AE4" s="100"/>
      <c r="AF4" s="100" t="s">
        <v>399</v>
      </c>
      <c r="AG4" s="100"/>
      <c r="AH4" s="100" t="s">
        <v>321</v>
      </c>
      <c r="AI4" s="100"/>
      <c r="AJ4" s="100" t="s">
        <v>401</v>
      </c>
      <c r="AK4" s="100"/>
      <c r="AL4" s="100"/>
      <c r="AM4" s="100" t="s">
        <v>321</v>
      </c>
      <c r="AN4" s="100"/>
      <c r="AO4" s="100" t="s">
        <v>402</v>
      </c>
      <c r="AP4" s="100" t="s">
        <v>403</v>
      </c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 t="s">
        <v>404</v>
      </c>
      <c r="BD4" s="100" t="s">
        <v>405</v>
      </c>
      <c r="BE4" s="100"/>
      <c r="BF4" s="100">
        <v>47123456</v>
      </c>
      <c r="BG4" s="100"/>
      <c r="BH4" s="100" t="s">
        <v>406</v>
      </c>
      <c r="BI4" s="100" t="s">
        <v>407</v>
      </c>
      <c r="BJ4" s="100" t="s">
        <v>408</v>
      </c>
      <c r="BK4" s="100" t="s">
        <v>409</v>
      </c>
      <c r="BL4" s="100"/>
      <c r="BM4" s="100" t="s">
        <v>410</v>
      </c>
      <c r="BN4" s="100">
        <v>300</v>
      </c>
      <c r="BO4" s="100">
        <v>1</v>
      </c>
      <c r="BP4" s="100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0">
        <v>56</v>
      </c>
      <c r="CC4" s="100" t="s">
        <v>323</v>
      </c>
      <c r="CD4" s="100" t="s">
        <v>411</v>
      </c>
      <c r="CE4" s="100" t="s">
        <v>412</v>
      </c>
      <c r="CF4" s="100"/>
      <c r="CG4" s="101" t="s">
        <v>413</v>
      </c>
      <c r="CH4" s="101" t="s">
        <v>400</v>
      </c>
      <c r="CI4" s="101"/>
      <c r="CJ4" s="100"/>
      <c r="CK4" s="100" t="s">
        <v>324</v>
      </c>
      <c r="CL4" s="100"/>
      <c r="CM4" s="102" t="s">
        <v>414</v>
      </c>
      <c r="CN4" s="102">
        <v>0.65420899999999993</v>
      </c>
      <c r="CO4" s="103"/>
      <c r="CP4" s="104">
        <f>BF4*1</f>
        <v>47123456</v>
      </c>
    </row>
    <row r="5" spans="1:94" x14ac:dyDescent="0.25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6"/>
      <c r="CC5" s="106"/>
      <c r="CD5" s="106"/>
      <c r="CE5" s="106"/>
      <c r="CF5" s="106"/>
      <c r="CG5" s="107"/>
      <c r="CH5" s="107"/>
      <c r="CI5" s="107"/>
      <c r="CJ5" s="106"/>
      <c r="CK5" s="106"/>
      <c r="CL5" s="106"/>
      <c r="CM5" s="102"/>
      <c r="CN5" s="102"/>
      <c r="CO5" s="103"/>
      <c r="CP5" s="104">
        <f t="shared" ref="CP5:CP10" si="0">BF5*1</f>
        <v>0</v>
      </c>
    </row>
    <row r="6" spans="1:94" x14ac:dyDescent="0.25">
      <c r="A6" s="105"/>
      <c r="B6" s="106"/>
      <c r="C6" s="106"/>
      <c r="D6" s="106"/>
      <c r="E6" s="100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6"/>
      <c r="CC6" s="106"/>
      <c r="CD6" s="106"/>
      <c r="CE6" s="106"/>
      <c r="CF6" s="106"/>
      <c r="CG6" s="107"/>
      <c r="CH6" s="107"/>
      <c r="CI6" s="107"/>
      <c r="CJ6" s="106"/>
      <c r="CK6" s="106"/>
      <c r="CL6" s="106"/>
      <c r="CM6" s="102"/>
      <c r="CN6" s="102"/>
      <c r="CO6" s="103"/>
      <c r="CP6" s="104">
        <f t="shared" si="0"/>
        <v>0</v>
      </c>
    </row>
    <row r="7" spans="1:94" x14ac:dyDescent="0.25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6"/>
      <c r="CC7" s="106"/>
      <c r="CD7" s="106"/>
      <c r="CE7" s="106"/>
      <c r="CF7" s="106"/>
      <c r="CG7" s="107"/>
      <c r="CH7" s="107"/>
      <c r="CI7" s="107"/>
      <c r="CJ7" s="106"/>
      <c r="CK7" s="106"/>
      <c r="CL7" s="106"/>
      <c r="CM7" s="102"/>
      <c r="CN7" s="102"/>
      <c r="CO7" s="103"/>
      <c r="CP7" s="104">
        <f t="shared" si="0"/>
        <v>0</v>
      </c>
    </row>
    <row r="8" spans="1:94" x14ac:dyDescent="0.25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6"/>
      <c r="CC8" s="106"/>
      <c r="CD8" s="106"/>
      <c r="CE8" s="106"/>
      <c r="CF8" s="106"/>
      <c r="CG8" s="107"/>
      <c r="CH8" s="107"/>
      <c r="CI8" s="107"/>
      <c r="CJ8" s="106"/>
      <c r="CK8" s="106"/>
      <c r="CL8" s="106"/>
      <c r="CM8" s="102"/>
      <c r="CN8" s="102"/>
      <c r="CO8" s="103"/>
      <c r="CP8" s="104">
        <f t="shared" si="0"/>
        <v>0</v>
      </c>
    </row>
    <row r="9" spans="1:94" x14ac:dyDescent="0.25">
      <c r="A9" s="105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6"/>
      <c r="CC9" s="106"/>
      <c r="CD9" s="106"/>
      <c r="CE9" s="106"/>
      <c r="CF9" s="106"/>
      <c r="CG9" s="107"/>
      <c r="CH9" s="107"/>
      <c r="CI9" s="107"/>
      <c r="CJ9" s="106"/>
      <c r="CK9" s="106"/>
      <c r="CL9" s="106"/>
      <c r="CM9" s="102"/>
      <c r="CN9" s="102"/>
      <c r="CO9" s="103"/>
      <c r="CP9" s="104">
        <f t="shared" si="0"/>
        <v>0</v>
      </c>
    </row>
    <row r="10" spans="1:94" x14ac:dyDescent="0.25">
      <c r="A10" s="105"/>
      <c r="B10" s="106"/>
      <c r="C10" s="106"/>
      <c r="D10" s="106"/>
      <c r="E10" s="100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6"/>
      <c r="CC10" s="106"/>
      <c r="CD10" s="106"/>
      <c r="CE10" s="106"/>
      <c r="CF10" s="106"/>
      <c r="CG10" s="107"/>
      <c r="CH10" s="107"/>
      <c r="CI10" s="107"/>
      <c r="CJ10" s="106"/>
      <c r="CK10" s="106"/>
      <c r="CL10" s="106"/>
      <c r="CM10" s="102"/>
      <c r="CN10" s="102"/>
      <c r="CO10" s="103"/>
      <c r="CP10" s="104">
        <f t="shared" si="0"/>
        <v>0</v>
      </c>
    </row>
  </sheetData>
  <autoFilter ref="A3:CP10"/>
  <dataValidations count="3">
    <dataValidation type="list" allowBlank="1" showInputMessage="1" showErrorMessage="1" sqref="U1:U2 AL1:AL2 AQ1:AQ2 AP1:AP3 AK1:AK3 T1:T3 N1:N1048576 AP4:AQ1048576 AK4:AL1048576 T4:U1048576">
      <formula1>#REF!</formula1>
    </dataValidation>
    <dataValidation type="list" allowBlank="1" showInputMessage="1" sqref="L1:L2 R1:R2 AI1:AI2 AN1:AN2 P1:P2 J1:J2 H1:I3 O1:O3 K1:K3 Q1:Q3 AH1:AH3 AM1:AM3 BM3:BM1048576 BD4:BE1048576 H4:L1048576 O4:R1048576 Z1:Z1048576 AH4:AI1048576 AM4:AN1048576">
      <formula1>#REF!</formula1>
    </dataValidation>
    <dataValidation showInputMessage="1" sqref="BD3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7"/>
  </sheetPr>
  <dimension ref="A1:N10"/>
  <sheetViews>
    <sheetView zoomScaleNormal="100" workbookViewId="0">
      <pane ySplit="2" topLeftCell="A3" activePane="bottomLeft" state="frozen"/>
      <selection activeCell="O9" sqref="O9"/>
      <selection pane="bottomLeft" activeCell="C16" sqref="C16"/>
    </sheetView>
  </sheetViews>
  <sheetFormatPr defaultRowHeight="15" x14ac:dyDescent="0.25"/>
  <cols>
    <col min="1" max="1" width="7.28515625" style="126" customWidth="1"/>
    <col min="2" max="2" width="25.85546875" style="131" customWidth="1"/>
    <col min="3" max="3" width="42.28515625" style="126" customWidth="1"/>
    <col min="4" max="4" width="7.42578125" style="126" customWidth="1"/>
    <col min="5" max="5" width="21.42578125" style="125" customWidth="1"/>
    <col min="6" max="6" width="12.140625" style="126" customWidth="1"/>
    <col min="7" max="7" width="14" style="126" customWidth="1"/>
    <col min="8" max="9" width="18" style="126" customWidth="1"/>
    <col min="10" max="10" width="12.7109375" style="126" customWidth="1"/>
    <col min="11" max="11" width="16.5703125" style="126" customWidth="1"/>
    <col min="12" max="12" width="11" style="126" customWidth="1"/>
    <col min="13" max="13" width="16.7109375" style="126" customWidth="1"/>
    <col min="14" max="14" width="15.5703125" style="126" customWidth="1"/>
    <col min="15" max="15" width="16.5703125" style="126" customWidth="1"/>
    <col min="16" max="17" width="9.140625" style="126"/>
    <col min="18" max="18" width="12.7109375" style="126" customWidth="1"/>
    <col min="19" max="19" width="12.5703125" style="126" customWidth="1"/>
    <col min="20" max="20" width="13" style="126" customWidth="1"/>
    <col min="21" max="21" width="12.85546875" style="126" customWidth="1"/>
    <col min="22" max="22" width="12.5703125" style="126" customWidth="1"/>
    <col min="23" max="16384" width="9.140625" style="126"/>
  </cols>
  <sheetData>
    <row r="1" spans="1:14" s="116" customFormat="1" ht="15" customHeight="1" x14ac:dyDescent="0.25">
      <c r="A1" s="109" t="s">
        <v>272</v>
      </c>
      <c r="B1" s="110" t="s">
        <v>326</v>
      </c>
      <c r="C1" s="111" t="s">
        <v>186</v>
      </c>
      <c r="D1" s="112"/>
      <c r="E1" s="113"/>
      <c r="F1" s="112"/>
      <c r="G1" s="112"/>
      <c r="H1" s="112"/>
      <c r="I1" s="114"/>
      <c r="J1" s="111" t="s">
        <v>327</v>
      </c>
      <c r="K1" s="112"/>
      <c r="L1" s="112"/>
      <c r="M1" s="115"/>
    </row>
    <row r="2" spans="1:14" s="116" customFormat="1" ht="30" x14ac:dyDescent="0.25">
      <c r="A2" s="110"/>
      <c r="B2" s="117"/>
      <c r="C2" s="118" t="s">
        <v>328</v>
      </c>
      <c r="D2" s="119" t="s">
        <v>285</v>
      </c>
      <c r="E2" s="120" t="s">
        <v>300</v>
      </c>
      <c r="F2" s="118" t="s">
        <v>301</v>
      </c>
      <c r="G2" s="118" t="s">
        <v>134</v>
      </c>
      <c r="H2" s="118" t="s">
        <v>302</v>
      </c>
      <c r="I2" s="118" t="s">
        <v>306</v>
      </c>
      <c r="J2" s="118" t="s">
        <v>315</v>
      </c>
      <c r="K2" s="118" t="s">
        <v>316</v>
      </c>
      <c r="L2" s="118" t="s">
        <v>317</v>
      </c>
      <c r="M2" s="118" t="s">
        <v>318</v>
      </c>
    </row>
    <row r="3" spans="1:14" x14ac:dyDescent="0.25">
      <c r="A3" s="121" t="s">
        <v>397</v>
      </c>
      <c r="B3" s="122"/>
      <c r="C3" s="123" t="s">
        <v>415</v>
      </c>
      <c r="D3" s="123"/>
      <c r="E3" s="124">
        <v>2400012345</v>
      </c>
      <c r="F3" s="123"/>
      <c r="G3" s="123" t="s">
        <v>416</v>
      </c>
      <c r="H3" s="123"/>
      <c r="I3" s="123" t="s">
        <v>410</v>
      </c>
      <c r="J3" s="123"/>
      <c r="K3" s="123"/>
      <c r="L3" s="123" t="s">
        <v>417</v>
      </c>
      <c r="M3" s="123" t="s">
        <v>418</v>
      </c>
      <c r="N3" s="125">
        <f>E3*1</f>
        <v>2400012345</v>
      </c>
    </row>
    <row r="4" spans="1:14" x14ac:dyDescent="0.25">
      <c r="A4" s="127"/>
      <c r="B4" s="128"/>
      <c r="C4" s="129"/>
      <c r="D4" s="129"/>
      <c r="E4" s="130"/>
      <c r="F4" s="129"/>
      <c r="G4" s="129"/>
      <c r="H4" s="129"/>
      <c r="I4" s="129"/>
      <c r="J4" s="129"/>
      <c r="K4" s="129"/>
      <c r="L4" s="129"/>
      <c r="M4" s="129"/>
      <c r="N4" s="125">
        <f t="shared" ref="N4:N10" si="0">E4*1</f>
        <v>0</v>
      </c>
    </row>
    <row r="5" spans="1:14" x14ac:dyDescent="0.25">
      <c r="A5" s="127"/>
      <c r="B5" s="128"/>
      <c r="C5" s="129"/>
      <c r="D5" s="129"/>
      <c r="E5" s="124"/>
      <c r="F5" s="129"/>
      <c r="G5" s="129"/>
      <c r="H5" s="129"/>
      <c r="I5" s="129"/>
      <c r="J5" s="129"/>
      <c r="K5" s="129"/>
      <c r="L5" s="129"/>
      <c r="M5" s="129"/>
      <c r="N5" s="125">
        <f t="shared" si="0"/>
        <v>0</v>
      </c>
    </row>
    <row r="6" spans="1:14" x14ac:dyDescent="0.25">
      <c r="A6" s="127"/>
      <c r="B6" s="128"/>
      <c r="C6" s="129"/>
      <c r="D6" s="129"/>
      <c r="E6" s="124"/>
      <c r="F6" s="129"/>
      <c r="G6" s="129"/>
      <c r="H6" s="129"/>
      <c r="I6" s="129"/>
      <c r="J6" s="129"/>
      <c r="K6" s="129"/>
      <c r="L6" s="129"/>
      <c r="M6" s="129"/>
      <c r="N6" s="125">
        <f t="shared" si="0"/>
        <v>0</v>
      </c>
    </row>
    <row r="7" spans="1:14" x14ac:dyDescent="0.25">
      <c r="A7" s="127"/>
      <c r="B7" s="128"/>
      <c r="C7" s="129"/>
      <c r="D7" s="129"/>
      <c r="E7" s="124"/>
      <c r="F7" s="129"/>
      <c r="G7" s="129"/>
      <c r="H7" s="129"/>
      <c r="I7" s="129"/>
      <c r="J7" s="129"/>
      <c r="K7" s="129"/>
      <c r="L7" s="129"/>
      <c r="M7" s="129"/>
      <c r="N7" s="125">
        <f t="shared" si="0"/>
        <v>0</v>
      </c>
    </row>
    <row r="8" spans="1:14" x14ac:dyDescent="0.25">
      <c r="A8" s="127"/>
      <c r="B8" s="128"/>
      <c r="C8" s="129"/>
      <c r="D8" s="129"/>
      <c r="E8" s="124"/>
      <c r="F8" s="129"/>
      <c r="G8" s="129"/>
      <c r="H8" s="129"/>
      <c r="I8" s="129"/>
      <c r="J8" s="129"/>
      <c r="K8" s="129"/>
      <c r="L8" s="129"/>
      <c r="M8" s="129"/>
      <c r="N8" s="125">
        <f t="shared" si="0"/>
        <v>0</v>
      </c>
    </row>
    <row r="9" spans="1:14" x14ac:dyDescent="0.25">
      <c r="A9" s="127"/>
      <c r="B9" s="128"/>
      <c r="C9" s="129"/>
      <c r="D9" s="129"/>
      <c r="E9" s="124"/>
      <c r="F9" s="129"/>
      <c r="G9" s="129"/>
      <c r="H9" s="129"/>
      <c r="I9" s="129"/>
      <c r="J9" s="129"/>
      <c r="K9" s="129"/>
      <c r="L9" s="129"/>
      <c r="M9" s="129"/>
      <c r="N9" s="125">
        <f t="shared" si="0"/>
        <v>0</v>
      </c>
    </row>
    <row r="10" spans="1:14" x14ac:dyDescent="0.25">
      <c r="A10" s="127"/>
      <c r="B10" s="128"/>
      <c r="C10" s="129"/>
      <c r="D10" s="129"/>
      <c r="E10" s="124"/>
      <c r="F10" s="129"/>
      <c r="G10" s="129"/>
      <c r="H10" s="129"/>
      <c r="I10" s="129"/>
      <c r="J10" s="129"/>
      <c r="K10" s="129"/>
      <c r="L10" s="129"/>
      <c r="M10" s="129"/>
      <c r="N10" s="125">
        <f t="shared" si="0"/>
        <v>0</v>
      </c>
    </row>
  </sheetData>
  <autoFilter ref="A2:M10"/>
  <dataValidations count="2">
    <dataValidation showInputMessage="1" sqref="C1:H1 C2"/>
    <dataValidation type="list" allowBlank="1" showInputMessage="1" sqref="I1:I1048576 C3:D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8"/>
  </sheetPr>
  <dimension ref="A1:D10"/>
  <sheetViews>
    <sheetView workbookViewId="0">
      <pane ySplit="1" topLeftCell="A2" activePane="bottomLeft" state="frozen"/>
      <selection activeCell="O9" sqref="O9"/>
      <selection pane="bottomLeft" activeCell="B7" sqref="B7"/>
    </sheetView>
  </sheetViews>
  <sheetFormatPr defaultRowHeight="15" x14ac:dyDescent="0.25"/>
  <cols>
    <col min="1" max="1" width="21.42578125" style="135" bestFit="1" customWidth="1"/>
    <col min="2" max="2" width="23.140625" style="135" bestFit="1" customWidth="1"/>
    <col min="3" max="3" width="23.5703125" style="135" customWidth="1"/>
    <col min="4" max="4" width="18.42578125" style="135" bestFit="1" customWidth="1"/>
    <col min="5" max="16384" width="9.140625" style="134"/>
  </cols>
  <sheetData>
    <row r="1" spans="1:4" ht="30.75" customHeight="1" x14ac:dyDescent="0.25">
      <c r="A1" s="132" t="s">
        <v>128</v>
      </c>
      <c r="B1" s="133" t="s">
        <v>329</v>
      </c>
      <c r="C1" s="133" t="s">
        <v>330</v>
      </c>
      <c r="D1" s="132" t="s">
        <v>331</v>
      </c>
    </row>
    <row r="2" spans="1:4" x14ac:dyDescent="0.25">
      <c r="A2" s="123">
        <v>79261234568</v>
      </c>
      <c r="B2" s="123"/>
      <c r="C2" s="123"/>
      <c r="D2" s="123" t="s">
        <v>396</v>
      </c>
    </row>
    <row r="3" spans="1:4" x14ac:dyDescent="0.25">
      <c r="A3"/>
      <c r="B3"/>
      <c r="C3"/>
      <c r="D3"/>
    </row>
    <row r="4" spans="1:4" x14ac:dyDescent="0.25">
      <c r="A4"/>
      <c r="B4"/>
      <c r="C4"/>
      <c r="D4"/>
    </row>
    <row r="5" spans="1:4" x14ac:dyDescent="0.25">
      <c r="A5"/>
      <c r="B5"/>
      <c r="C5"/>
      <c r="D5"/>
    </row>
    <row r="6" spans="1:4" x14ac:dyDescent="0.25">
      <c r="A6"/>
      <c r="B6"/>
      <c r="C6"/>
      <c r="D6"/>
    </row>
    <row r="7" spans="1:4" x14ac:dyDescent="0.25">
      <c r="A7"/>
      <c r="B7"/>
      <c r="C7"/>
      <c r="D7"/>
    </row>
    <row r="8" spans="1:4" x14ac:dyDescent="0.25">
      <c r="A8"/>
      <c r="B8"/>
      <c r="C8"/>
      <c r="D8"/>
    </row>
    <row r="9" spans="1:4" x14ac:dyDescent="0.25">
      <c r="A9"/>
      <c r="B9"/>
      <c r="C9"/>
      <c r="D9"/>
    </row>
    <row r="10" spans="1:4" x14ac:dyDescent="0.25">
      <c r="A10"/>
      <c r="B10"/>
      <c r="C10"/>
      <c r="D10"/>
    </row>
  </sheetData>
  <autoFilter ref="A1:D4"/>
  <conditionalFormatting sqref="A1">
    <cfRule type="duplicateValues" dxfId="2" priority="11"/>
  </conditionalFormatting>
  <conditionalFormatting sqref="A2:A4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C000"/>
  </sheetPr>
  <dimension ref="A1:C3"/>
  <sheetViews>
    <sheetView workbookViewId="0">
      <pane ySplit="1" topLeftCell="A2" activePane="bottomLeft" state="frozen"/>
      <selection activeCell="O9" sqref="O9"/>
      <selection pane="bottomLeft" activeCell="A6" sqref="A6"/>
    </sheetView>
  </sheetViews>
  <sheetFormatPr defaultRowHeight="15" x14ac:dyDescent="0.25"/>
  <cols>
    <col min="1" max="1" width="22" style="134" bestFit="1" customWidth="1"/>
    <col min="2" max="2" width="16.5703125" style="134" customWidth="1"/>
    <col min="3" max="16384" width="9.140625" style="134"/>
  </cols>
  <sheetData>
    <row r="1" spans="1:3" ht="30" x14ac:dyDescent="0.25">
      <c r="A1" s="134" t="s">
        <v>300</v>
      </c>
      <c r="B1" s="134" t="s">
        <v>332</v>
      </c>
      <c r="C1" s="134" t="s">
        <v>333</v>
      </c>
    </row>
    <row r="2" spans="1:3" x14ac:dyDescent="0.25">
      <c r="A2" s="136" t="s">
        <v>334</v>
      </c>
      <c r="B2" s="137">
        <v>16</v>
      </c>
      <c r="C2" s="134">
        <f>A2*1</f>
        <v>18100109</v>
      </c>
    </row>
    <row r="3" spans="1:3" x14ac:dyDescent="0.25">
      <c r="A3" s="136" t="s">
        <v>335</v>
      </c>
      <c r="B3" s="137">
        <v>1</v>
      </c>
      <c r="C3" s="134">
        <f t="shared" ref="C3" si="0">A3*1</f>
        <v>18300064</v>
      </c>
    </row>
  </sheetData>
  <autoFilter ref="A1:B1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8"/>
  </sheetPr>
  <dimension ref="A1:B4"/>
  <sheetViews>
    <sheetView workbookViewId="0">
      <selection activeCell="B8" sqref="B8"/>
    </sheetView>
  </sheetViews>
  <sheetFormatPr defaultRowHeight="15" x14ac:dyDescent="0.25"/>
  <cols>
    <col min="1" max="1" width="16.140625" bestFit="1" customWidth="1"/>
    <col min="2" max="2" width="12" bestFit="1" customWidth="1"/>
  </cols>
  <sheetData>
    <row r="1" spans="1:2" x14ac:dyDescent="0.25">
      <c r="A1" s="138" t="s">
        <v>336</v>
      </c>
      <c r="B1" s="139" t="s">
        <v>333</v>
      </c>
    </row>
    <row r="2" spans="1:2" x14ac:dyDescent="0.25">
      <c r="A2" s="166" t="s">
        <v>419</v>
      </c>
      <c r="B2" s="139">
        <f t="shared" ref="B2:B4" si="0">A2*1</f>
        <v>41123456</v>
      </c>
    </row>
    <row r="3" spans="1:2" x14ac:dyDescent="0.25">
      <c r="A3" s="166" t="s">
        <v>420</v>
      </c>
      <c r="B3" s="139">
        <f t="shared" si="0"/>
        <v>41123457</v>
      </c>
    </row>
    <row r="4" spans="1:2" x14ac:dyDescent="0.25">
      <c r="A4" s="166" t="s">
        <v>421</v>
      </c>
      <c r="B4" s="139">
        <f t="shared" si="0"/>
        <v>41123458</v>
      </c>
    </row>
  </sheetData>
  <autoFilter ref="A1:B4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13</vt:i4>
      </vt:variant>
    </vt:vector>
  </HeadingPairs>
  <TitlesOfParts>
    <vt:vector size="20" baseType="lpstr">
      <vt:lpstr>Импорт ПС</vt:lpstr>
      <vt:lpstr>Справочники</vt:lpstr>
      <vt:lpstr>ТУ</vt:lpstr>
      <vt:lpstr>УСПД</vt:lpstr>
      <vt:lpstr>Tel</vt:lpstr>
      <vt:lpstr>Adr</vt:lpstr>
      <vt:lpstr>естьАЦ</vt:lpstr>
      <vt:lpstr>DLMS</vt:lpstr>
      <vt:lpstr>NAPR</vt:lpstr>
      <vt:lpstr>код</vt:lpstr>
      <vt:lpstr>кодDLMS</vt:lpstr>
      <vt:lpstr>КодПУ</vt:lpstr>
      <vt:lpstr>кодУСПД</vt:lpstr>
      <vt:lpstr>КТН1</vt:lpstr>
      <vt:lpstr>КТН2</vt:lpstr>
      <vt:lpstr>ПЭС</vt:lpstr>
      <vt:lpstr>РЭС</vt:lpstr>
      <vt:lpstr>ТипПУ</vt:lpstr>
      <vt:lpstr>ТипЭУ</vt:lpstr>
      <vt:lpstr>УСПД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Нерюпов Денис Хонгорович</cp:lastModifiedBy>
  <cp:lastPrinted>2023-04-25T10:42:34Z</cp:lastPrinted>
  <dcterms:created xsi:type="dcterms:W3CDTF">2022-07-03T10:44:01Z</dcterms:created>
  <dcterms:modified xsi:type="dcterms:W3CDTF">2025-01-15T13:30:59Z</dcterms:modified>
</cp:coreProperties>
</file>