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eryupovDH\Desktop\DENIS\VBA\nsi_alpha_center\"/>
    </mc:Choice>
  </mc:AlternateContent>
  <bookViews>
    <workbookView xWindow="0" yWindow="0" windowWidth="35760" windowHeight="13620" tabRatio="460"/>
  </bookViews>
  <sheets>
    <sheet name="Импорт ПС" sheetId="1" r:id="rId1"/>
    <sheet name="Справочники" sheetId="2" r:id="rId2"/>
    <sheet name="ТУ" sheetId="3" r:id="rId3"/>
    <sheet name="УСПД" sheetId="4" r:id="rId4"/>
    <sheet name="Tel" sheetId="5" r:id="rId5"/>
    <sheet name="Adr" sheetId="6" r:id="rId6"/>
    <sheet name="естьАЦ" sheetId="7" r:id="rId7"/>
  </sheets>
  <definedNames>
    <definedName name="_xlnm._FilterDatabase" localSheetId="5" hidden="1">Adr!$A$1:$B$1</definedName>
    <definedName name="_xlnm._FilterDatabase" localSheetId="4" hidden="1">Tel!$B$1:$E$2</definedName>
    <definedName name="_xlnm._FilterDatabase" localSheetId="6" hidden="1">естьАЦ!$A$1:$A$5</definedName>
    <definedName name="_xlnm._FilterDatabase" localSheetId="0" hidden="1">'Импорт ПС'!$A$3:$BF$6</definedName>
    <definedName name="_xlnm._FilterDatabase" localSheetId="2" hidden="1">ТУ!$A$3:$CP$70</definedName>
    <definedName name="_xlnm._FilterDatabase" localSheetId="3" hidden="1">УСПД!$A$2:$M$18</definedName>
    <definedName name="DLMS">Справочники!$J$2:$J$28</definedName>
    <definedName name="NAPR">Справочники!$M$2:$M$8</definedName>
    <definedName name="код">Справочники!$C$2:$C$79</definedName>
    <definedName name="кодDLMS">Справочники!$I$2:$I$28</definedName>
    <definedName name="КодПУ">Справочники!$G$2:$G$55</definedName>
    <definedName name="кодУСПД">Справочники!$K$2:$K$26</definedName>
    <definedName name="КТН1">Справочники!$N$2:$N$8</definedName>
    <definedName name="КТН2">Справочники!$O$2:$O$8</definedName>
    <definedName name="ПЭС">Справочники!$A$2:$A$79</definedName>
    <definedName name="РЭС">Справочники!$B$2:$B$79</definedName>
    <definedName name="ТипПУ">Справочники!$H$2:$H$55</definedName>
    <definedName name="ТипЭУ">Справочники!$D$2:$D$10</definedName>
    <definedName name="УСПД">Справочники!$L$2:$L$26</definedName>
  </definedNames>
  <calcPr calcId="162913"/>
</workbook>
</file>

<file path=xl/calcChain.xml><?xml version="1.0" encoding="utf-8"?>
<calcChain xmlns="http://schemas.openxmlformats.org/spreadsheetml/2006/main">
  <c r="V7" i="1" l="1"/>
  <c r="W7" i="1"/>
  <c r="AB7" i="1"/>
  <c r="Z7" i="1" s="1"/>
  <c r="AD7" i="1"/>
  <c r="AE7" i="1"/>
  <c r="AF7" i="1"/>
  <c r="AG7" i="1"/>
  <c r="AP7" i="1"/>
  <c r="AN7" i="1" s="1"/>
  <c r="AZ7" i="1" s="1"/>
  <c r="AO7" i="1" s="1"/>
  <c r="AS7" i="1"/>
  <c r="AR7" i="1" s="1"/>
  <c r="AU7" i="1"/>
  <c r="AW7" i="1"/>
  <c r="AY7" i="1"/>
  <c r="AA7" i="1" s="1"/>
  <c r="BA7" i="1"/>
  <c r="BC7" i="1"/>
  <c r="BD7" i="1"/>
  <c r="BE7" i="1"/>
  <c r="BF7" i="1"/>
  <c r="V8" i="1"/>
  <c r="W8" i="1"/>
  <c r="Z8" i="1"/>
  <c r="AY8" i="1" s="1"/>
  <c r="AA8" i="1" s="1"/>
  <c r="AB8" i="1"/>
  <c r="X8" i="1" s="1"/>
  <c r="AD8" i="1"/>
  <c r="AE8" i="1"/>
  <c r="AF8" i="1"/>
  <c r="AG8" i="1"/>
  <c r="AN8" i="1"/>
  <c r="AZ8" i="1" s="1"/>
  <c r="AO8" i="1" s="1"/>
  <c r="AP8" i="1"/>
  <c r="AK8" i="1" s="1"/>
  <c r="AR8" i="1"/>
  <c r="AS8" i="1"/>
  <c r="AQ8" i="1" s="1"/>
  <c r="AU8" i="1"/>
  <c r="AW8" i="1"/>
  <c r="AX8" i="1"/>
  <c r="Y8" i="1" s="1"/>
  <c r="BA8" i="1"/>
  <c r="BB8" i="1"/>
  <c r="AJ8" i="1" s="1"/>
  <c r="AM8" i="1" s="1"/>
  <c r="BC8" i="1"/>
  <c r="BD8" i="1"/>
  <c r="BE8" i="1"/>
  <c r="BF8" i="1"/>
  <c r="V9" i="1"/>
  <c r="W9" i="1"/>
  <c r="Y9" i="1"/>
  <c r="AB9" i="1"/>
  <c r="X9" i="1" s="1"/>
  <c r="AX9" i="1" s="1"/>
  <c r="AD9" i="1"/>
  <c r="AE9" i="1"/>
  <c r="AF9" i="1"/>
  <c r="AG9" i="1"/>
  <c r="AP9" i="1"/>
  <c r="AK9" i="1" s="1"/>
  <c r="AQ9" i="1"/>
  <c r="AR9" i="1"/>
  <c r="AS9" i="1"/>
  <c r="AU9" i="1"/>
  <c r="AW9" i="1"/>
  <c r="BA9" i="1"/>
  <c r="BC9" i="1"/>
  <c r="BD9" i="1"/>
  <c r="BE9" i="1"/>
  <c r="BF9" i="1"/>
  <c r="V10" i="1"/>
  <c r="W10" i="1"/>
  <c r="AB10" i="1"/>
  <c r="AD10" i="1"/>
  <c r="AE10" i="1"/>
  <c r="AF10" i="1"/>
  <c r="AG10" i="1"/>
  <c r="AP10" i="1"/>
  <c r="AR10" i="1"/>
  <c r="AS10" i="1"/>
  <c r="AQ10" i="1" s="1"/>
  <c r="AU10" i="1"/>
  <c r="AW10" i="1"/>
  <c r="BA10" i="1"/>
  <c r="BC10" i="1"/>
  <c r="BD10" i="1"/>
  <c r="BE10" i="1"/>
  <c r="BF10" i="1"/>
  <c r="V11" i="1"/>
  <c r="W11" i="1"/>
  <c r="AB11" i="1"/>
  <c r="AD11" i="1"/>
  <c r="AE11" i="1"/>
  <c r="AF11" i="1"/>
  <c r="AG11" i="1"/>
  <c r="AO11" i="1"/>
  <c r="AP11" i="1"/>
  <c r="AN11" i="1" s="1"/>
  <c r="AZ11" i="1" s="1"/>
  <c r="AS11" i="1"/>
  <c r="AU11" i="1"/>
  <c r="AW11" i="1"/>
  <c r="BA11" i="1"/>
  <c r="BC11" i="1"/>
  <c r="BD11" i="1"/>
  <c r="BE11" i="1"/>
  <c r="BF11" i="1"/>
  <c r="V12" i="1"/>
  <c r="W12" i="1"/>
  <c r="AB12" i="1"/>
  <c r="X12" i="1" s="1"/>
  <c r="Z12" i="1" s="1"/>
  <c r="AY12" i="1" s="1"/>
  <c r="AA12" i="1" s="1"/>
  <c r="AD12" i="1"/>
  <c r="AE12" i="1"/>
  <c r="AF12" i="1"/>
  <c r="AG12" i="1"/>
  <c r="AN12" i="1"/>
  <c r="AZ12" i="1" s="1"/>
  <c r="AO12" i="1" s="1"/>
  <c r="AP12" i="1"/>
  <c r="AK12" i="1" s="1"/>
  <c r="AR12" i="1"/>
  <c r="AS12" i="1"/>
  <c r="AQ12" i="1" s="1"/>
  <c r="AU12" i="1"/>
  <c r="AW12" i="1"/>
  <c r="AX12" i="1"/>
  <c r="Y12" i="1" s="1"/>
  <c r="BA12" i="1"/>
  <c r="BB12" i="1"/>
  <c r="AJ12" i="1" s="1"/>
  <c r="AM12" i="1" s="1"/>
  <c r="BC12" i="1"/>
  <c r="BD12" i="1"/>
  <c r="BE12" i="1"/>
  <c r="BF12" i="1"/>
  <c r="V13" i="1"/>
  <c r="W13" i="1"/>
  <c r="AB13" i="1"/>
  <c r="X13" i="1" s="1"/>
  <c r="AX13" i="1" s="1"/>
  <c r="Y13" i="1" s="1"/>
  <c r="AD13" i="1"/>
  <c r="AE13" i="1"/>
  <c r="AF13" i="1"/>
  <c r="AG13" i="1"/>
  <c r="AJ13" i="1"/>
  <c r="AM13" i="1"/>
  <c r="AN13" i="1"/>
  <c r="AZ13" i="1" s="1"/>
  <c r="AO13" i="1" s="1"/>
  <c r="AP13" i="1"/>
  <c r="AK13" i="1" s="1"/>
  <c r="AQ13" i="1"/>
  <c r="AS13" i="1"/>
  <c r="AR13" i="1" s="1"/>
  <c r="AU13" i="1"/>
  <c r="AW13" i="1"/>
  <c r="BA13" i="1"/>
  <c r="BB13" i="1"/>
  <c r="BC13" i="1"/>
  <c r="BD13" i="1"/>
  <c r="BE13" i="1"/>
  <c r="BF13" i="1"/>
  <c r="V14" i="1"/>
  <c r="W14" i="1"/>
  <c r="AB14" i="1"/>
  <c r="X14" i="1" s="1"/>
  <c r="AX14" i="1" s="1"/>
  <c r="Y14" i="1" s="1"/>
  <c r="AD14" i="1"/>
  <c r="AE14" i="1"/>
  <c r="AF14" i="1"/>
  <c r="AG14" i="1"/>
  <c r="AK14" i="1"/>
  <c r="AP14" i="1"/>
  <c r="AQ14" i="1"/>
  <c r="AR14" i="1"/>
  <c r="AS14" i="1"/>
  <c r="AU14" i="1"/>
  <c r="AW14" i="1"/>
  <c r="BA14" i="1"/>
  <c r="BC14" i="1"/>
  <c r="BD14" i="1"/>
  <c r="BE14" i="1"/>
  <c r="BF14" i="1"/>
  <c r="V15" i="1"/>
  <c r="W15" i="1"/>
  <c r="AB15" i="1"/>
  <c r="AD15" i="1"/>
  <c r="AE15" i="1"/>
  <c r="AF15" i="1"/>
  <c r="AG15" i="1"/>
  <c r="AP15" i="1"/>
  <c r="AN15" i="1" s="1"/>
  <c r="AZ15" i="1" s="1"/>
  <c r="AO15" i="1" s="1"/>
  <c r="AS15" i="1"/>
  <c r="AU15" i="1"/>
  <c r="AW15" i="1"/>
  <c r="BA15" i="1"/>
  <c r="BC15" i="1"/>
  <c r="BD15" i="1"/>
  <c r="BE15" i="1"/>
  <c r="BF15" i="1"/>
  <c r="V16" i="1"/>
  <c r="W16" i="1"/>
  <c r="AB16" i="1"/>
  <c r="X16" i="1" s="1"/>
  <c r="AD16" i="1"/>
  <c r="AE16" i="1"/>
  <c r="AF16" i="1"/>
  <c r="AG16" i="1"/>
  <c r="AP16" i="1"/>
  <c r="AR16" i="1"/>
  <c r="AS16" i="1"/>
  <c r="AQ16" i="1" s="1"/>
  <c r="AU16" i="1"/>
  <c r="AW16" i="1"/>
  <c r="BA16" i="1"/>
  <c r="BB16" i="1"/>
  <c r="AJ16" i="1" s="1"/>
  <c r="AM16" i="1" s="1"/>
  <c r="BC16" i="1"/>
  <c r="BD16" i="1"/>
  <c r="BE16" i="1"/>
  <c r="BF16" i="1"/>
  <c r="V17" i="1"/>
  <c r="W17" i="1"/>
  <c r="Y17" i="1"/>
  <c r="AB17" i="1"/>
  <c r="X17" i="1" s="1"/>
  <c r="AX17" i="1" s="1"/>
  <c r="AD17" i="1"/>
  <c r="AE17" i="1"/>
  <c r="AF17" i="1"/>
  <c r="Z17" i="1" s="1"/>
  <c r="AY17" i="1" s="1"/>
  <c r="AA17" i="1" s="1"/>
  <c r="AG17" i="1"/>
  <c r="AJ17" i="1"/>
  <c r="AM17" i="1"/>
  <c r="AN17" i="1"/>
  <c r="AZ17" i="1" s="1"/>
  <c r="AO17" i="1" s="1"/>
  <c r="AP17" i="1"/>
  <c r="AK17" i="1" s="1"/>
  <c r="AQ17" i="1"/>
  <c r="AS17" i="1"/>
  <c r="AR17" i="1" s="1"/>
  <c r="AU17" i="1"/>
  <c r="AW17" i="1"/>
  <c r="BA17" i="1"/>
  <c r="BB17" i="1"/>
  <c r="BC17" i="1"/>
  <c r="BD17" i="1"/>
  <c r="BE17" i="1"/>
  <c r="BF17" i="1"/>
  <c r="V18" i="1"/>
  <c r="W18" i="1"/>
  <c r="AB18" i="1"/>
  <c r="X18" i="1" s="1"/>
  <c r="AX18" i="1" s="1"/>
  <c r="Y18" i="1" s="1"/>
  <c r="AD18" i="1"/>
  <c r="AE18" i="1"/>
  <c r="AF18" i="1"/>
  <c r="AG18" i="1"/>
  <c r="AP18" i="1"/>
  <c r="AK18" i="1" s="1"/>
  <c r="AQ18" i="1"/>
  <c r="AR18" i="1"/>
  <c r="AS18" i="1"/>
  <c r="AU18" i="1"/>
  <c r="AW18" i="1"/>
  <c r="BA18" i="1"/>
  <c r="BB18" i="1"/>
  <c r="AJ18" i="1" s="1"/>
  <c r="AM18" i="1" s="1"/>
  <c r="BC18" i="1"/>
  <c r="BD18" i="1"/>
  <c r="BE18" i="1"/>
  <c r="BF18" i="1"/>
  <c r="V19" i="1"/>
  <c r="W19" i="1"/>
  <c r="AB19" i="1"/>
  <c r="AD19" i="1"/>
  <c r="AE19" i="1"/>
  <c r="AF19" i="1"/>
  <c r="AG19" i="1"/>
  <c r="AK19" i="1"/>
  <c r="AP19" i="1"/>
  <c r="AQ19" i="1"/>
  <c r="AS19" i="1"/>
  <c r="AR19" i="1" s="1"/>
  <c r="AU19" i="1"/>
  <c r="AW19" i="1"/>
  <c r="BA19" i="1"/>
  <c r="BC19" i="1"/>
  <c r="BD19" i="1"/>
  <c r="BE19" i="1"/>
  <c r="BF19" i="1"/>
  <c r="V20" i="1"/>
  <c r="W20" i="1"/>
  <c r="AB20" i="1"/>
  <c r="AD20" i="1"/>
  <c r="AE20" i="1"/>
  <c r="AF20" i="1"/>
  <c r="AG20" i="1"/>
  <c r="AK20" i="1"/>
  <c r="AN20" i="1"/>
  <c r="AZ20" i="1" s="1"/>
  <c r="AO20" i="1" s="1"/>
  <c r="AP20" i="1"/>
  <c r="AS20" i="1"/>
  <c r="AU20" i="1"/>
  <c r="AW20" i="1"/>
  <c r="BA20" i="1"/>
  <c r="BB20" i="1"/>
  <c r="AJ20" i="1" s="1"/>
  <c r="AM20" i="1" s="1"/>
  <c r="BC20" i="1"/>
  <c r="BD20" i="1"/>
  <c r="BE20" i="1"/>
  <c r="BF20" i="1"/>
  <c r="V21" i="1"/>
  <c r="W21" i="1"/>
  <c r="AB21" i="1"/>
  <c r="X21" i="1" s="1"/>
  <c r="AX21" i="1" s="1"/>
  <c r="Y21" i="1" s="1"/>
  <c r="AD21" i="1"/>
  <c r="AE21" i="1"/>
  <c r="AF21" i="1"/>
  <c r="Z21" i="1" s="1"/>
  <c r="AY21" i="1" s="1"/>
  <c r="AA21" i="1" s="1"/>
  <c r="AG21" i="1"/>
  <c r="AJ21" i="1"/>
  <c r="AM21" i="1" s="1"/>
  <c r="AN21" i="1"/>
  <c r="AZ21" i="1" s="1"/>
  <c r="AO21" i="1"/>
  <c r="AP21" i="1"/>
  <c r="AK21" i="1" s="1"/>
  <c r="AS21" i="1"/>
  <c r="AQ21" i="1" s="1"/>
  <c r="AU21" i="1"/>
  <c r="AW21" i="1"/>
  <c r="BA21" i="1"/>
  <c r="BB21" i="1"/>
  <c r="BC21" i="1"/>
  <c r="BD21" i="1"/>
  <c r="BE21" i="1"/>
  <c r="BF21" i="1"/>
  <c r="V22" i="1"/>
  <c r="W22" i="1"/>
  <c r="X22" i="1"/>
  <c r="AX22" i="1" s="1"/>
  <c r="Y22" i="1" s="1"/>
  <c r="AB22" i="1"/>
  <c r="Z22" i="1" s="1"/>
  <c r="AY22" i="1" s="1"/>
  <c r="AA22" i="1" s="1"/>
  <c r="AD22" i="1"/>
  <c r="AE22" i="1"/>
  <c r="AF22" i="1"/>
  <c r="AG22" i="1"/>
  <c r="AN22" i="1"/>
  <c r="AZ22" i="1" s="1"/>
  <c r="AO22" i="1" s="1"/>
  <c r="AP22" i="1"/>
  <c r="AK22" i="1" s="1"/>
  <c r="AQ22" i="1"/>
  <c r="AR22" i="1"/>
  <c r="AS22" i="1"/>
  <c r="AU22" i="1"/>
  <c r="AW22" i="1"/>
  <c r="BA22" i="1"/>
  <c r="BC22" i="1"/>
  <c r="BD22" i="1"/>
  <c r="BE22" i="1"/>
  <c r="BF22" i="1"/>
  <c r="V23" i="1"/>
  <c r="W23" i="1"/>
  <c r="AB23" i="1"/>
  <c r="AD23" i="1"/>
  <c r="AE23" i="1"/>
  <c r="AF23" i="1"/>
  <c r="AG23" i="1"/>
  <c r="AK23" i="1"/>
  <c r="AP23" i="1"/>
  <c r="AS23" i="1"/>
  <c r="AU23" i="1"/>
  <c r="AW23" i="1"/>
  <c r="BA23" i="1"/>
  <c r="BC23" i="1"/>
  <c r="BD23" i="1"/>
  <c r="BE23" i="1"/>
  <c r="BF23" i="1"/>
  <c r="V24" i="1"/>
  <c r="W24" i="1"/>
  <c r="X24" i="1"/>
  <c r="AX24" i="1" s="1"/>
  <c r="Y24" i="1" s="1"/>
  <c r="AB24" i="1"/>
  <c r="AD24" i="1"/>
  <c r="AE24" i="1"/>
  <c r="AF24" i="1"/>
  <c r="AG24" i="1"/>
  <c r="AN24" i="1"/>
  <c r="AO24" i="1"/>
  <c r="AP24" i="1"/>
  <c r="AK24" i="1" s="1"/>
  <c r="AS24" i="1"/>
  <c r="AQ24" i="1" s="1"/>
  <c r="AU24" i="1"/>
  <c r="AW24" i="1"/>
  <c r="AZ24" i="1"/>
  <c r="BA24" i="1"/>
  <c r="BC24" i="1"/>
  <c r="BD24" i="1"/>
  <c r="BE24" i="1"/>
  <c r="BF24" i="1"/>
  <c r="V25" i="1"/>
  <c r="W25" i="1"/>
  <c r="AB25" i="1"/>
  <c r="X25" i="1" s="1"/>
  <c r="AX25" i="1" s="1"/>
  <c r="Y25" i="1" s="1"/>
  <c r="AD25" i="1"/>
  <c r="AE25" i="1"/>
  <c r="AF25" i="1"/>
  <c r="Z25" i="1" s="1"/>
  <c r="AY25" i="1" s="1"/>
  <c r="AA25" i="1" s="1"/>
  <c r="AG25" i="1"/>
  <c r="AN25" i="1"/>
  <c r="AZ25" i="1" s="1"/>
  <c r="AO25" i="1" s="1"/>
  <c r="AP25" i="1"/>
  <c r="AK25" i="1" s="1"/>
  <c r="AQ25" i="1"/>
  <c r="AR25" i="1"/>
  <c r="AS25" i="1"/>
  <c r="AU25" i="1"/>
  <c r="AW25" i="1"/>
  <c r="BA25" i="1"/>
  <c r="BB25" i="1"/>
  <c r="AJ25" i="1" s="1"/>
  <c r="AM25" i="1" s="1"/>
  <c r="BC25" i="1"/>
  <c r="BD25" i="1"/>
  <c r="BE25" i="1"/>
  <c r="BF25" i="1"/>
  <c r="V26" i="1"/>
  <c r="W26" i="1"/>
  <c r="X26" i="1"/>
  <c r="Z26" i="1" s="1"/>
  <c r="AY26" i="1" s="1"/>
  <c r="AA26" i="1" s="1"/>
  <c r="AB26" i="1"/>
  <c r="AD26" i="1"/>
  <c r="AE26" i="1"/>
  <c r="AF26" i="1"/>
  <c r="AG26" i="1"/>
  <c r="AP26" i="1"/>
  <c r="AQ26" i="1"/>
  <c r="AR26" i="1"/>
  <c r="AS26" i="1"/>
  <c r="AU26" i="1"/>
  <c r="AW26" i="1"/>
  <c r="BA26" i="1"/>
  <c r="BC26" i="1"/>
  <c r="BD26" i="1"/>
  <c r="BE26" i="1"/>
  <c r="BF26" i="1"/>
  <c r="V27" i="1"/>
  <c r="W27" i="1"/>
  <c r="AB27" i="1"/>
  <c r="AD27" i="1"/>
  <c r="AE27" i="1"/>
  <c r="AF27" i="1"/>
  <c r="AG27" i="1"/>
  <c r="AP27" i="1"/>
  <c r="AS27" i="1"/>
  <c r="AQ27" i="1" s="1"/>
  <c r="AU27" i="1"/>
  <c r="AW27" i="1"/>
  <c r="BA27" i="1"/>
  <c r="BC27" i="1"/>
  <c r="BD27" i="1"/>
  <c r="BE27" i="1"/>
  <c r="BF27" i="1"/>
  <c r="V28" i="1"/>
  <c r="W28" i="1"/>
  <c r="AB28" i="1"/>
  <c r="X28" i="1" s="1"/>
  <c r="AX28" i="1" s="1"/>
  <c r="Y28" i="1" s="1"/>
  <c r="AD28" i="1"/>
  <c r="AE28" i="1"/>
  <c r="AF28" i="1"/>
  <c r="AG28" i="1"/>
  <c r="AJ28" i="1"/>
  <c r="AM28" i="1" s="1"/>
  <c r="AN28" i="1"/>
  <c r="AZ28" i="1" s="1"/>
  <c r="AO28" i="1"/>
  <c r="AP28" i="1"/>
  <c r="AK28" i="1" s="1"/>
  <c r="AS28" i="1"/>
  <c r="AU28" i="1"/>
  <c r="AW28" i="1"/>
  <c r="BA28" i="1"/>
  <c r="BB28" i="1"/>
  <c r="BC28" i="1"/>
  <c r="BD28" i="1"/>
  <c r="BE28" i="1"/>
  <c r="BF28" i="1"/>
  <c r="V29" i="1"/>
  <c r="W29" i="1"/>
  <c r="Z29" i="1"/>
  <c r="AY29" i="1" s="1"/>
  <c r="AA29" i="1" s="1"/>
  <c r="AB29" i="1"/>
  <c r="X29" i="1" s="1"/>
  <c r="AD29" i="1"/>
  <c r="AE29" i="1"/>
  <c r="AF29" i="1"/>
  <c r="AG29" i="1"/>
  <c r="AN29" i="1"/>
  <c r="AZ29" i="1" s="1"/>
  <c r="AO29" i="1" s="1"/>
  <c r="AP29" i="1"/>
  <c r="AK29" i="1" s="1"/>
  <c r="AQ29" i="1"/>
  <c r="AR29" i="1"/>
  <c r="AS29" i="1"/>
  <c r="AU29" i="1"/>
  <c r="AW29" i="1"/>
  <c r="AX29" i="1"/>
  <c r="Y29" i="1" s="1"/>
  <c r="BA29" i="1"/>
  <c r="BB29" i="1"/>
  <c r="AJ29" i="1" s="1"/>
  <c r="AM29" i="1" s="1"/>
  <c r="BC29" i="1"/>
  <c r="BD29" i="1"/>
  <c r="BE29" i="1"/>
  <c r="BF29" i="1"/>
  <c r="V30" i="1"/>
  <c r="W30" i="1"/>
  <c r="AB30" i="1"/>
  <c r="X30" i="1" s="1"/>
  <c r="AX30" i="1" s="1"/>
  <c r="Y30" i="1" s="1"/>
  <c r="AD30" i="1"/>
  <c r="AE30" i="1"/>
  <c r="AF30" i="1"/>
  <c r="AG30" i="1"/>
  <c r="AP30" i="1"/>
  <c r="AK30" i="1" s="1"/>
  <c r="AQ30" i="1"/>
  <c r="AR30" i="1"/>
  <c r="AS30" i="1"/>
  <c r="AU30" i="1"/>
  <c r="AW30" i="1"/>
  <c r="BA30" i="1"/>
  <c r="BC30" i="1"/>
  <c r="BD30" i="1"/>
  <c r="BE30" i="1"/>
  <c r="BF30" i="1"/>
  <c r="V31" i="1"/>
  <c r="W31" i="1"/>
  <c r="X31" i="1"/>
  <c r="AX31" i="1" s="1"/>
  <c r="Y31" i="1" s="1"/>
  <c r="AB31" i="1"/>
  <c r="AD31" i="1"/>
  <c r="AE31" i="1"/>
  <c r="AF31" i="1"/>
  <c r="AG31" i="1"/>
  <c r="AP31" i="1"/>
  <c r="AK31" i="1" s="1"/>
  <c r="AS31" i="1"/>
  <c r="AQ31" i="1" s="1"/>
  <c r="AU31" i="1"/>
  <c r="AW31" i="1"/>
  <c r="BA31" i="1"/>
  <c r="BC31" i="1"/>
  <c r="BD31" i="1"/>
  <c r="BE31" i="1"/>
  <c r="BF31" i="1"/>
  <c r="V32" i="1"/>
  <c r="W32" i="1"/>
  <c r="AB32" i="1"/>
  <c r="AD32" i="1"/>
  <c r="AE32" i="1"/>
  <c r="AF32" i="1"/>
  <c r="AG32" i="1"/>
  <c r="AP32" i="1"/>
  <c r="AN32" i="1" s="1"/>
  <c r="AZ32" i="1" s="1"/>
  <c r="AO32" i="1" s="1"/>
  <c r="AS32" i="1"/>
  <c r="AU32" i="1"/>
  <c r="AW32" i="1"/>
  <c r="BA32" i="1"/>
  <c r="BC32" i="1"/>
  <c r="BD32" i="1"/>
  <c r="BE32" i="1"/>
  <c r="BF32" i="1"/>
  <c r="V33" i="1"/>
  <c r="W33" i="1"/>
  <c r="AB33" i="1"/>
  <c r="X33" i="1" s="1"/>
  <c r="Z33" i="1" s="1"/>
  <c r="AY33" i="1" s="1"/>
  <c r="AA33" i="1" s="1"/>
  <c r="AD33" i="1"/>
  <c r="AE33" i="1"/>
  <c r="AF33" i="1"/>
  <c r="AG33" i="1"/>
  <c r="AP33" i="1"/>
  <c r="AN33" i="1" s="1"/>
  <c r="AZ33" i="1" s="1"/>
  <c r="AO33" i="1" s="1"/>
  <c r="AR33" i="1"/>
  <c r="AS33" i="1"/>
  <c r="AQ33" i="1" s="1"/>
  <c r="AU33" i="1"/>
  <c r="AW33" i="1"/>
  <c r="BA33" i="1"/>
  <c r="BB33" i="1"/>
  <c r="AJ33" i="1" s="1"/>
  <c r="AM33" i="1" s="1"/>
  <c r="BC33" i="1"/>
  <c r="BD33" i="1"/>
  <c r="BE33" i="1"/>
  <c r="BF33" i="1"/>
  <c r="V34" i="1"/>
  <c r="W34" i="1"/>
  <c r="Y34" i="1"/>
  <c r="AB34" i="1"/>
  <c r="X34" i="1" s="1"/>
  <c r="AX34" i="1" s="1"/>
  <c r="AD34" i="1"/>
  <c r="AE34" i="1"/>
  <c r="AF34" i="1"/>
  <c r="Z34" i="1" s="1"/>
  <c r="AG34" i="1"/>
  <c r="AJ34" i="1"/>
  <c r="AM34" i="1"/>
  <c r="AN34" i="1"/>
  <c r="AZ34" i="1" s="1"/>
  <c r="AO34" i="1"/>
  <c r="AP34" i="1"/>
  <c r="AK34" i="1" s="1"/>
  <c r="AQ34" i="1"/>
  <c r="AS34" i="1"/>
  <c r="AR34" i="1" s="1"/>
  <c r="AU34" i="1"/>
  <c r="AW34" i="1"/>
  <c r="AY34" i="1"/>
  <c r="AA34" i="1" s="1"/>
  <c r="BA34" i="1"/>
  <c r="BB34" i="1"/>
  <c r="BC34" i="1"/>
  <c r="BD34" i="1"/>
  <c r="BE34" i="1"/>
  <c r="BF34" i="1"/>
  <c r="V35" i="1"/>
  <c r="W35" i="1"/>
  <c r="AB35" i="1"/>
  <c r="X35" i="1" s="1"/>
  <c r="AX35" i="1" s="1"/>
  <c r="Y35" i="1" s="1"/>
  <c r="AD35" i="1"/>
  <c r="AE35" i="1"/>
  <c r="AF35" i="1"/>
  <c r="AG35" i="1"/>
  <c r="AP35" i="1"/>
  <c r="BB35" i="1" s="1"/>
  <c r="AJ35" i="1" s="1"/>
  <c r="AM35" i="1" s="1"/>
  <c r="AQ35" i="1"/>
  <c r="AR35" i="1"/>
  <c r="AS35" i="1"/>
  <c r="AU35" i="1"/>
  <c r="AW35" i="1"/>
  <c r="BA35" i="1"/>
  <c r="BC35" i="1"/>
  <c r="BD35" i="1"/>
  <c r="BE35" i="1"/>
  <c r="BF35" i="1"/>
  <c r="V36" i="1"/>
  <c r="W36" i="1"/>
  <c r="AB36" i="1"/>
  <c r="AD36" i="1"/>
  <c r="AE36" i="1"/>
  <c r="AF36" i="1"/>
  <c r="AG36" i="1"/>
  <c r="AP36" i="1"/>
  <c r="AN36" i="1" s="1"/>
  <c r="AZ36" i="1" s="1"/>
  <c r="AO36" i="1" s="1"/>
  <c r="AQ36" i="1"/>
  <c r="AS36" i="1"/>
  <c r="AR36" i="1" s="1"/>
  <c r="AU36" i="1"/>
  <c r="AW36" i="1"/>
  <c r="BA36" i="1"/>
  <c r="BC36" i="1"/>
  <c r="BD36" i="1"/>
  <c r="BE36" i="1"/>
  <c r="BF36" i="1"/>
  <c r="V37" i="1"/>
  <c r="W37" i="1"/>
  <c r="X37" i="1"/>
  <c r="Z37" i="1" s="1"/>
  <c r="AY37" i="1" s="1"/>
  <c r="AA37" i="1" s="1"/>
  <c r="AB37" i="1"/>
  <c r="AD37" i="1"/>
  <c r="AE37" i="1"/>
  <c r="AF37" i="1"/>
  <c r="AG37" i="1"/>
  <c r="AK37" i="1"/>
  <c r="AN37" i="1"/>
  <c r="AP37" i="1"/>
  <c r="AR37" i="1"/>
  <c r="AS37" i="1"/>
  <c r="AQ37" i="1" s="1"/>
  <c r="AU37" i="1"/>
  <c r="AW37" i="1"/>
  <c r="AX37" i="1"/>
  <c r="Y37" i="1" s="1"/>
  <c r="AZ37" i="1"/>
  <c r="AO37" i="1" s="1"/>
  <c r="BA37" i="1"/>
  <c r="BB37" i="1"/>
  <c r="AJ37" i="1" s="1"/>
  <c r="AM37" i="1" s="1"/>
  <c r="BC37" i="1"/>
  <c r="BD37" i="1"/>
  <c r="BE37" i="1"/>
  <c r="BF37" i="1"/>
  <c r="V38" i="1"/>
  <c r="W38" i="1"/>
  <c r="AB38" i="1"/>
  <c r="X38" i="1" s="1"/>
  <c r="AX38" i="1" s="1"/>
  <c r="Y38" i="1" s="1"/>
  <c r="AD38" i="1"/>
  <c r="AE38" i="1"/>
  <c r="AF38" i="1"/>
  <c r="AG38" i="1"/>
  <c r="AJ38" i="1"/>
  <c r="AM38" i="1" s="1"/>
  <c r="AN38" i="1"/>
  <c r="AZ38" i="1" s="1"/>
  <c r="AO38" i="1" s="1"/>
  <c r="AP38" i="1"/>
  <c r="AK38" i="1" s="1"/>
  <c r="AS38" i="1"/>
  <c r="AR38" i="1" s="1"/>
  <c r="AU38" i="1"/>
  <c r="AW38" i="1"/>
  <c r="BA38" i="1"/>
  <c r="BB38" i="1"/>
  <c r="BC38" i="1"/>
  <c r="BD38" i="1"/>
  <c r="BE38" i="1"/>
  <c r="BF38" i="1"/>
  <c r="V39" i="1"/>
  <c r="W39" i="1"/>
  <c r="X39" i="1"/>
  <c r="AX39" i="1" s="1"/>
  <c r="Y39" i="1" s="1"/>
  <c r="AB39" i="1"/>
  <c r="Z39" i="1" s="1"/>
  <c r="AY39" i="1" s="1"/>
  <c r="AA39" i="1" s="1"/>
  <c r="AD39" i="1"/>
  <c r="AE39" i="1"/>
  <c r="AF39" i="1"/>
  <c r="AG39" i="1"/>
  <c r="AK39" i="1"/>
  <c r="AP39" i="1"/>
  <c r="AN39" i="1" s="1"/>
  <c r="AZ39" i="1" s="1"/>
  <c r="AO39" i="1" s="1"/>
  <c r="AQ39" i="1"/>
  <c r="AR39" i="1"/>
  <c r="AS39" i="1"/>
  <c r="AU39" i="1"/>
  <c r="AW39" i="1"/>
  <c r="BA39" i="1"/>
  <c r="BC39" i="1"/>
  <c r="BD39" i="1"/>
  <c r="BE39" i="1"/>
  <c r="BF39" i="1"/>
  <c r="V40" i="1"/>
  <c r="W40" i="1"/>
  <c r="AB40" i="1"/>
  <c r="AD40" i="1"/>
  <c r="AE40" i="1"/>
  <c r="AF40" i="1"/>
  <c r="AG40" i="1"/>
  <c r="AO40" i="1"/>
  <c r="AP40" i="1"/>
  <c r="AN40" i="1" s="1"/>
  <c r="AZ40" i="1" s="1"/>
  <c r="AQ40" i="1"/>
  <c r="AS40" i="1"/>
  <c r="AR40" i="1" s="1"/>
  <c r="AU40" i="1"/>
  <c r="AW40" i="1"/>
  <c r="BA40" i="1"/>
  <c r="BC40" i="1"/>
  <c r="BD40" i="1"/>
  <c r="BE40" i="1"/>
  <c r="BF40" i="1"/>
  <c r="V41" i="1"/>
  <c r="W41" i="1"/>
  <c r="X41" i="1"/>
  <c r="AB41" i="1"/>
  <c r="AD41" i="1"/>
  <c r="AE41" i="1"/>
  <c r="AF41" i="1"/>
  <c r="AG41" i="1"/>
  <c r="AK41" i="1"/>
  <c r="AN41" i="1"/>
  <c r="AP41" i="1"/>
  <c r="AR41" i="1"/>
  <c r="AS41" i="1"/>
  <c r="AQ41" i="1" s="1"/>
  <c r="AU41" i="1"/>
  <c r="AW41" i="1"/>
  <c r="AX41" i="1"/>
  <c r="Y41" i="1" s="1"/>
  <c r="AZ41" i="1"/>
  <c r="AO41" i="1" s="1"/>
  <c r="BA41" i="1"/>
  <c r="BB41" i="1"/>
  <c r="AJ41" i="1" s="1"/>
  <c r="AM41" i="1" s="1"/>
  <c r="BC41" i="1"/>
  <c r="BD41" i="1"/>
  <c r="BE41" i="1"/>
  <c r="BF41" i="1"/>
  <c r="V42" i="1"/>
  <c r="W42" i="1"/>
  <c r="Z42" i="1"/>
  <c r="AY42" i="1" s="1"/>
  <c r="AA42" i="1" s="1"/>
  <c r="AB42" i="1"/>
  <c r="X42" i="1" s="1"/>
  <c r="AX42" i="1" s="1"/>
  <c r="Y42" i="1" s="1"/>
  <c r="AD42" i="1"/>
  <c r="AE42" i="1"/>
  <c r="AF42" i="1"/>
  <c r="AG42" i="1"/>
  <c r="AN42" i="1"/>
  <c r="AZ42" i="1" s="1"/>
  <c r="AO42" i="1"/>
  <c r="AP42" i="1"/>
  <c r="AK42" i="1" s="1"/>
  <c r="AS42" i="1"/>
  <c r="AU42" i="1"/>
  <c r="AW42" i="1"/>
  <c r="BA42" i="1"/>
  <c r="BB42" i="1"/>
  <c r="AJ42" i="1" s="1"/>
  <c r="AM42" i="1" s="1"/>
  <c r="BC42" i="1"/>
  <c r="BD42" i="1"/>
  <c r="BE42" i="1"/>
  <c r="BF42" i="1"/>
  <c r="V43" i="1"/>
  <c r="W43" i="1"/>
  <c r="AB43" i="1"/>
  <c r="AD43" i="1"/>
  <c r="AE43" i="1"/>
  <c r="AF43" i="1"/>
  <c r="AG43" i="1"/>
  <c r="AP43" i="1"/>
  <c r="AN43" i="1" s="1"/>
  <c r="AZ43" i="1" s="1"/>
  <c r="AO43" i="1" s="1"/>
  <c r="AQ43" i="1"/>
  <c r="AR43" i="1"/>
  <c r="AS43" i="1"/>
  <c r="AU43" i="1"/>
  <c r="AW43" i="1"/>
  <c r="BA43" i="1"/>
  <c r="BC43" i="1"/>
  <c r="BD43" i="1"/>
  <c r="BE43" i="1"/>
  <c r="BF43" i="1"/>
  <c r="V44" i="1"/>
  <c r="W44" i="1"/>
  <c r="X44" i="1"/>
  <c r="AX44" i="1" s="1"/>
  <c r="Y44" i="1" s="1"/>
  <c r="AB44" i="1"/>
  <c r="AD44" i="1"/>
  <c r="AE44" i="1"/>
  <c r="AF44" i="1"/>
  <c r="AG44" i="1"/>
  <c r="AK44" i="1"/>
  <c r="AP44" i="1"/>
  <c r="AQ44" i="1"/>
  <c r="AS44" i="1"/>
  <c r="AR44" i="1" s="1"/>
  <c r="AU44" i="1"/>
  <c r="AW44" i="1"/>
  <c r="BA44" i="1"/>
  <c r="BC44" i="1"/>
  <c r="BD44" i="1"/>
  <c r="BE44" i="1"/>
  <c r="BF44" i="1"/>
  <c r="V45" i="1"/>
  <c r="W45" i="1"/>
  <c r="AB45" i="1"/>
  <c r="AD45" i="1"/>
  <c r="AE45" i="1"/>
  <c r="AF45" i="1"/>
  <c r="AG45" i="1"/>
  <c r="AN45" i="1"/>
  <c r="AZ45" i="1" s="1"/>
  <c r="AO45" i="1" s="1"/>
  <c r="AP45" i="1"/>
  <c r="AK45" i="1" s="1"/>
  <c r="AS45" i="1"/>
  <c r="AU45" i="1"/>
  <c r="AW45" i="1"/>
  <c r="BA45" i="1"/>
  <c r="BC45" i="1"/>
  <c r="BD45" i="1"/>
  <c r="BE45" i="1"/>
  <c r="BF45" i="1"/>
  <c r="V46" i="1"/>
  <c r="W46" i="1"/>
  <c r="AB46" i="1"/>
  <c r="X46" i="1" s="1"/>
  <c r="AX46" i="1" s="1"/>
  <c r="Y46" i="1" s="1"/>
  <c r="AD46" i="1"/>
  <c r="AE46" i="1"/>
  <c r="AF46" i="1"/>
  <c r="Z46" i="1" s="1"/>
  <c r="AG46" i="1"/>
  <c r="AP46" i="1"/>
  <c r="AK46" i="1" s="1"/>
  <c r="AS46" i="1"/>
  <c r="AU46" i="1"/>
  <c r="AW46" i="1"/>
  <c r="AY46" i="1"/>
  <c r="AA46" i="1" s="1"/>
  <c r="BA46" i="1"/>
  <c r="BC46" i="1"/>
  <c r="BD46" i="1"/>
  <c r="BE46" i="1"/>
  <c r="BF46" i="1"/>
  <c r="V47" i="1"/>
  <c r="W47" i="1"/>
  <c r="AB47" i="1"/>
  <c r="X47" i="1" s="1"/>
  <c r="Z47" i="1" s="1"/>
  <c r="AY47" i="1" s="1"/>
  <c r="AA47" i="1" s="1"/>
  <c r="AD47" i="1"/>
  <c r="AE47" i="1"/>
  <c r="AF47" i="1"/>
  <c r="AG47" i="1"/>
  <c r="AN47" i="1"/>
  <c r="AZ47" i="1" s="1"/>
  <c r="AO47" i="1" s="1"/>
  <c r="AP47" i="1"/>
  <c r="AK47" i="1" s="1"/>
  <c r="AR47" i="1"/>
  <c r="AS47" i="1"/>
  <c r="AQ47" i="1" s="1"/>
  <c r="AU47" i="1"/>
  <c r="AW47" i="1"/>
  <c r="AX47" i="1"/>
  <c r="Y47" i="1" s="1"/>
  <c r="BA47" i="1"/>
  <c r="BB47" i="1"/>
  <c r="AJ47" i="1" s="1"/>
  <c r="AM47" i="1" s="1"/>
  <c r="BC47" i="1"/>
  <c r="BD47" i="1"/>
  <c r="BE47" i="1"/>
  <c r="BF47" i="1"/>
  <c r="V48" i="1"/>
  <c r="W48" i="1"/>
  <c r="Y48" i="1"/>
  <c r="AB48" i="1"/>
  <c r="X48" i="1" s="1"/>
  <c r="AX48" i="1" s="1"/>
  <c r="AD48" i="1"/>
  <c r="AE48" i="1"/>
  <c r="AF48" i="1"/>
  <c r="Z48" i="1" s="1"/>
  <c r="AY48" i="1" s="1"/>
  <c r="AA48" i="1" s="1"/>
  <c r="AG48" i="1"/>
  <c r="AJ48" i="1"/>
  <c r="AM48" i="1"/>
  <c r="AN48" i="1"/>
  <c r="AZ48" i="1" s="1"/>
  <c r="AO48" i="1" s="1"/>
  <c r="AP48" i="1"/>
  <c r="AK48" i="1" s="1"/>
  <c r="AQ48" i="1"/>
  <c r="AS48" i="1"/>
  <c r="AR48" i="1" s="1"/>
  <c r="AU48" i="1"/>
  <c r="AW48" i="1"/>
  <c r="E48" i="1" s="1"/>
  <c r="BA48" i="1"/>
  <c r="BB48" i="1"/>
  <c r="BC48" i="1"/>
  <c r="BD48" i="1"/>
  <c r="BE48" i="1"/>
  <c r="BF48" i="1"/>
  <c r="V49" i="1"/>
  <c r="W49" i="1"/>
  <c r="AB49" i="1"/>
  <c r="AD49" i="1"/>
  <c r="AE49" i="1"/>
  <c r="AF49" i="1"/>
  <c r="AG49" i="1"/>
  <c r="AK49" i="1"/>
  <c r="AP49" i="1"/>
  <c r="AQ49" i="1"/>
  <c r="AR49" i="1"/>
  <c r="AS49" i="1"/>
  <c r="AU49" i="1"/>
  <c r="AW49" i="1"/>
  <c r="BA49" i="1"/>
  <c r="BC49" i="1"/>
  <c r="BD49" i="1"/>
  <c r="BE49" i="1"/>
  <c r="BF49" i="1"/>
  <c r="V50" i="1"/>
  <c r="W50" i="1"/>
  <c r="AB50" i="1"/>
  <c r="X50" i="1" s="1"/>
  <c r="AX50" i="1" s="1"/>
  <c r="Y50" i="1" s="1"/>
  <c r="AD50" i="1"/>
  <c r="AE50" i="1"/>
  <c r="AF50" i="1"/>
  <c r="AG50" i="1"/>
  <c r="AP50" i="1"/>
  <c r="AK50" i="1" s="1"/>
  <c r="AS50" i="1"/>
  <c r="AU50" i="1"/>
  <c r="AW50" i="1"/>
  <c r="BA50" i="1"/>
  <c r="BC50" i="1"/>
  <c r="BD50" i="1"/>
  <c r="BE50" i="1"/>
  <c r="BF50" i="1"/>
  <c r="V51" i="1"/>
  <c r="W51" i="1"/>
  <c r="Z51" i="1"/>
  <c r="AY51" i="1" s="1"/>
  <c r="AA51" i="1" s="1"/>
  <c r="AB51" i="1"/>
  <c r="X51" i="1" s="1"/>
  <c r="AD51" i="1"/>
  <c r="AE51" i="1"/>
  <c r="AF51" i="1"/>
  <c r="AG51" i="1"/>
  <c r="AN51" i="1"/>
  <c r="AZ51" i="1" s="1"/>
  <c r="AO51" i="1" s="1"/>
  <c r="AP51" i="1"/>
  <c r="AK51" i="1" s="1"/>
  <c r="AR51" i="1"/>
  <c r="AS51" i="1"/>
  <c r="AQ51" i="1" s="1"/>
  <c r="AU51" i="1"/>
  <c r="AW51" i="1"/>
  <c r="AX51" i="1"/>
  <c r="Y51" i="1" s="1"/>
  <c r="BA51" i="1"/>
  <c r="BB51" i="1"/>
  <c r="AJ51" i="1" s="1"/>
  <c r="AM51" i="1" s="1"/>
  <c r="BC51" i="1"/>
  <c r="BD51" i="1"/>
  <c r="BE51" i="1"/>
  <c r="BF51" i="1"/>
  <c r="V52" i="1"/>
  <c r="W52" i="1"/>
  <c r="AB52" i="1"/>
  <c r="X52" i="1" s="1"/>
  <c r="AX52" i="1" s="1"/>
  <c r="Y52" i="1" s="1"/>
  <c r="AD52" i="1"/>
  <c r="AE52" i="1"/>
  <c r="AF52" i="1"/>
  <c r="AG52" i="1"/>
  <c r="AJ52" i="1"/>
  <c r="AM52" i="1"/>
  <c r="AN52" i="1"/>
  <c r="AZ52" i="1" s="1"/>
  <c r="AO52" i="1" s="1"/>
  <c r="AP52" i="1"/>
  <c r="AK52" i="1" s="1"/>
  <c r="AQ52" i="1"/>
  <c r="AS52" i="1"/>
  <c r="AR52" i="1" s="1"/>
  <c r="AU52" i="1"/>
  <c r="AW52" i="1"/>
  <c r="F52" i="1" s="1"/>
  <c r="AH52" i="1" s="1"/>
  <c r="BA52" i="1"/>
  <c r="BB52" i="1"/>
  <c r="BC52" i="1"/>
  <c r="BD52" i="1"/>
  <c r="BE52" i="1"/>
  <c r="BF52" i="1"/>
  <c r="V53" i="1"/>
  <c r="W53" i="1"/>
  <c r="X53" i="1"/>
  <c r="AX53" i="1" s="1"/>
  <c r="Y53" i="1" s="1"/>
  <c r="AB53" i="1"/>
  <c r="AD53" i="1"/>
  <c r="AE53" i="1"/>
  <c r="AF53" i="1"/>
  <c r="AG53" i="1"/>
  <c r="AP53" i="1"/>
  <c r="AQ53" i="1"/>
  <c r="AR53" i="1"/>
  <c r="AS53" i="1"/>
  <c r="AU53" i="1"/>
  <c r="AW53" i="1"/>
  <c r="BA53" i="1"/>
  <c r="BC53" i="1"/>
  <c r="BD53" i="1"/>
  <c r="BE53" i="1"/>
  <c r="BF53" i="1"/>
  <c r="V54" i="1"/>
  <c r="W54" i="1"/>
  <c r="AB54" i="1"/>
  <c r="X54" i="1" s="1"/>
  <c r="AX54" i="1" s="1"/>
  <c r="Y54" i="1" s="1"/>
  <c r="AD54" i="1"/>
  <c r="AE54" i="1"/>
  <c r="AF54" i="1"/>
  <c r="AG54" i="1"/>
  <c r="AN54" i="1"/>
  <c r="AO54" i="1"/>
  <c r="AP54" i="1"/>
  <c r="AK54" i="1" s="1"/>
  <c r="AS54" i="1"/>
  <c r="AU54" i="1"/>
  <c r="AW54" i="1"/>
  <c r="AZ54" i="1"/>
  <c r="BA54" i="1"/>
  <c r="BC54" i="1"/>
  <c r="BD54" i="1"/>
  <c r="BE54" i="1"/>
  <c r="BF54" i="1"/>
  <c r="V55" i="1"/>
  <c r="W55" i="1"/>
  <c r="Z55" i="1"/>
  <c r="AY55" i="1" s="1"/>
  <c r="AA55" i="1" s="1"/>
  <c r="AB55" i="1"/>
  <c r="X55" i="1" s="1"/>
  <c r="AX55" i="1" s="1"/>
  <c r="Y55" i="1" s="1"/>
  <c r="AD55" i="1"/>
  <c r="AE55" i="1"/>
  <c r="AF55" i="1"/>
  <c r="AG55" i="1"/>
  <c r="AN55" i="1"/>
  <c r="AZ55" i="1" s="1"/>
  <c r="AO55" i="1" s="1"/>
  <c r="AP55" i="1"/>
  <c r="AK55" i="1" s="1"/>
  <c r="AR55" i="1"/>
  <c r="AS55" i="1"/>
  <c r="AQ55" i="1" s="1"/>
  <c r="AU55" i="1"/>
  <c r="AW55" i="1"/>
  <c r="BA55" i="1"/>
  <c r="BB55" i="1"/>
  <c r="AJ55" i="1" s="1"/>
  <c r="AM55" i="1" s="1"/>
  <c r="BC55" i="1"/>
  <c r="BD55" i="1"/>
  <c r="BE55" i="1"/>
  <c r="BF55" i="1"/>
  <c r="V56" i="1"/>
  <c r="W56" i="1"/>
  <c r="Y56" i="1"/>
  <c r="AB56" i="1"/>
  <c r="X56" i="1" s="1"/>
  <c r="AX56" i="1" s="1"/>
  <c r="AD56" i="1"/>
  <c r="AE56" i="1"/>
  <c r="AF56" i="1"/>
  <c r="Z56" i="1" s="1"/>
  <c r="AG56" i="1"/>
  <c r="AJ56" i="1"/>
  <c r="AM56" i="1" s="1"/>
  <c r="AN56" i="1"/>
  <c r="AZ56" i="1" s="1"/>
  <c r="AO56" i="1" s="1"/>
  <c r="AP56" i="1"/>
  <c r="AK56" i="1" s="1"/>
  <c r="AQ56" i="1"/>
  <c r="AS56" i="1"/>
  <c r="AR56" i="1" s="1"/>
  <c r="AU56" i="1"/>
  <c r="AW56" i="1"/>
  <c r="E56" i="1" s="1"/>
  <c r="AY56" i="1"/>
  <c r="AA56" i="1" s="1"/>
  <c r="BA56" i="1"/>
  <c r="T56" i="1" s="1"/>
  <c r="BB56" i="1"/>
  <c r="BC56" i="1"/>
  <c r="BD56" i="1"/>
  <c r="BE56" i="1"/>
  <c r="BF56" i="1"/>
  <c r="V57" i="1"/>
  <c r="W57" i="1"/>
  <c r="AB57" i="1"/>
  <c r="AD57" i="1"/>
  <c r="AE57" i="1"/>
  <c r="AF57" i="1"/>
  <c r="AG57" i="1"/>
  <c r="AN57" i="1"/>
  <c r="AP57" i="1"/>
  <c r="BB57" i="1" s="1"/>
  <c r="AJ57" i="1" s="1"/>
  <c r="AM57" i="1" s="1"/>
  <c r="AQ57" i="1"/>
  <c r="AR57" i="1"/>
  <c r="AS57" i="1"/>
  <c r="AU57" i="1"/>
  <c r="AW57" i="1"/>
  <c r="AZ57" i="1"/>
  <c r="AO57" i="1" s="1"/>
  <c r="BA57" i="1"/>
  <c r="BC57" i="1"/>
  <c r="BD57" i="1"/>
  <c r="BE57" i="1"/>
  <c r="BF57" i="1"/>
  <c r="V58" i="1"/>
  <c r="W58" i="1"/>
  <c r="Y58" i="1"/>
  <c r="AB58" i="1"/>
  <c r="X58" i="1" s="1"/>
  <c r="AX58" i="1" s="1"/>
  <c r="AD58" i="1"/>
  <c r="AE58" i="1"/>
  <c r="AF58" i="1"/>
  <c r="AG58" i="1"/>
  <c r="AJ58" i="1"/>
  <c r="AM58" i="1" s="1"/>
  <c r="AN58" i="1"/>
  <c r="AO58" i="1"/>
  <c r="AP58" i="1"/>
  <c r="BB58" i="1" s="1"/>
  <c r="AQ58" i="1"/>
  <c r="AS58" i="1"/>
  <c r="AR58" i="1" s="1"/>
  <c r="AU58" i="1"/>
  <c r="AW58" i="1"/>
  <c r="E58" i="1" s="1"/>
  <c r="AZ58" i="1"/>
  <c r="BA58" i="1"/>
  <c r="T58" i="1" s="1"/>
  <c r="BC58" i="1"/>
  <c r="BD58" i="1"/>
  <c r="BE58" i="1"/>
  <c r="BF58" i="1"/>
  <c r="V59" i="1"/>
  <c r="W59" i="1"/>
  <c r="AB59" i="1"/>
  <c r="X59" i="1" s="1"/>
  <c r="AD59" i="1"/>
  <c r="AE59" i="1"/>
  <c r="AF59" i="1"/>
  <c r="AG59" i="1"/>
  <c r="AP59" i="1"/>
  <c r="AK59" i="1" s="1"/>
  <c r="AR59" i="1"/>
  <c r="AS59" i="1"/>
  <c r="AQ59" i="1" s="1"/>
  <c r="AU59" i="1"/>
  <c r="AW59" i="1"/>
  <c r="BA59" i="1"/>
  <c r="BC59" i="1"/>
  <c r="BD59" i="1"/>
  <c r="BE59" i="1"/>
  <c r="BF59" i="1"/>
  <c r="V60" i="1"/>
  <c r="W60" i="1"/>
  <c r="Z60" i="1"/>
  <c r="AB60" i="1"/>
  <c r="X60" i="1" s="1"/>
  <c r="AD60" i="1"/>
  <c r="AE60" i="1"/>
  <c r="AF60" i="1"/>
  <c r="AG60" i="1"/>
  <c r="AH60" i="1"/>
  <c r="AJ60" i="1"/>
  <c r="AM60" i="1" s="1"/>
  <c r="AN60" i="1"/>
  <c r="AZ60" i="1" s="1"/>
  <c r="AO60" i="1" s="1"/>
  <c r="AP60" i="1"/>
  <c r="AK60" i="1" s="1"/>
  <c r="AR60" i="1"/>
  <c r="AS60" i="1"/>
  <c r="AQ60" i="1" s="1"/>
  <c r="AU60" i="1"/>
  <c r="AW60" i="1"/>
  <c r="AX60" i="1"/>
  <c r="Y60" i="1" s="1"/>
  <c r="AY60" i="1"/>
  <c r="AA60" i="1" s="1"/>
  <c r="BA60" i="1"/>
  <c r="BB60" i="1"/>
  <c r="BC60" i="1"/>
  <c r="BD60" i="1"/>
  <c r="BE60" i="1"/>
  <c r="BF60" i="1"/>
  <c r="V61" i="1"/>
  <c r="W61" i="1"/>
  <c r="AB61" i="1"/>
  <c r="X61" i="1" s="1"/>
  <c r="AD61" i="1"/>
  <c r="AE61" i="1"/>
  <c r="AF61" i="1"/>
  <c r="AG61" i="1"/>
  <c r="AK61" i="1"/>
  <c r="AN61" i="1"/>
  <c r="AP61" i="1"/>
  <c r="AQ61" i="1"/>
  <c r="AR61" i="1"/>
  <c r="AS61" i="1"/>
  <c r="AU61" i="1"/>
  <c r="AW61" i="1"/>
  <c r="F61" i="1" s="1"/>
  <c r="I61" i="1" s="1"/>
  <c r="AZ61" i="1"/>
  <c r="AO61" i="1" s="1"/>
  <c r="BA61" i="1"/>
  <c r="BB61" i="1"/>
  <c r="AJ61" i="1" s="1"/>
  <c r="AM61" i="1" s="1"/>
  <c r="BC61" i="1"/>
  <c r="BD61" i="1"/>
  <c r="BE61" i="1"/>
  <c r="BF61" i="1"/>
  <c r="V62" i="1"/>
  <c r="W62" i="1"/>
  <c r="AB62" i="1"/>
  <c r="AD62" i="1"/>
  <c r="AE62" i="1"/>
  <c r="AF62" i="1"/>
  <c r="AG62" i="1"/>
  <c r="AJ62" i="1"/>
  <c r="AM62" i="1" s="1"/>
  <c r="AN62" i="1"/>
  <c r="AO62" i="1"/>
  <c r="AP62" i="1"/>
  <c r="BB62" i="1" s="1"/>
  <c r="AQ62" i="1"/>
  <c r="AS62" i="1"/>
  <c r="AR62" i="1" s="1"/>
  <c r="AU62" i="1"/>
  <c r="AW62" i="1"/>
  <c r="F62" i="1" s="1"/>
  <c r="AH62" i="1" s="1"/>
  <c r="AZ62" i="1"/>
  <c r="BA62" i="1"/>
  <c r="T62" i="1" s="1"/>
  <c r="BC62" i="1"/>
  <c r="BD62" i="1"/>
  <c r="BE62" i="1"/>
  <c r="BF62" i="1"/>
  <c r="V63" i="1"/>
  <c r="W63" i="1"/>
  <c r="AB63" i="1"/>
  <c r="X63" i="1" s="1"/>
  <c r="AD63" i="1"/>
  <c r="AE63" i="1"/>
  <c r="AF63" i="1"/>
  <c r="AG63" i="1"/>
  <c r="AP63" i="1"/>
  <c r="AK63" i="1" s="1"/>
  <c r="AR63" i="1"/>
  <c r="AS63" i="1"/>
  <c r="AQ63" i="1" s="1"/>
  <c r="AU63" i="1"/>
  <c r="AW63" i="1"/>
  <c r="BA63" i="1"/>
  <c r="BC63" i="1"/>
  <c r="BD63" i="1"/>
  <c r="BE63" i="1"/>
  <c r="BF63" i="1"/>
  <c r="V64" i="1"/>
  <c r="W64" i="1"/>
  <c r="Z64" i="1"/>
  <c r="AB64" i="1"/>
  <c r="X64" i="1" s="1"/>
  <c r="AD64" i="1"/>
  <c r="AE64" i="1"/>
  <c r="AF64" i="1"/>
  <c r="AG64" i="1"/>
  <c r="AJ64" i="1"/>
  <c r="AM64" i="1" s="1"/>
  <c r="AN64" i="1"/>
  <c r="AZ64" i="1" s="1"/>
  <c r="AO64" i="1" s="1"/>
  <c r="AP64" i="1"/>
  <c r="AK64" i="1" s="1"/>
  <c r="AR64" i="1"/>
  <c r="AS64" i="1"/>
  <c r="AQ64" i="1" s="1"/>
  <c r="AU64" i="1"/>
  <c r="AW64" i="1"/>
  <c r="AX64" i="1"/>
  <c r="Y64" i="1" s="1"/>
  <c r="AY64" i="1"/>
  <c r="AA64" i="1" s="1"/>
  <c r="BA64" i="1"/>
  <c r="T64" i="1" s="1"/>
  <c r="BB64" i="1"/>
  <c r="BC64" i="1"/>
  <c r="BD64" i="1"/>
  <c r="BE64" i="1"/>
  <c r="BF64" i="1"/>
  <c r="V65" i="1"/>
  <c r="W65" i="1"/>
  <c r="AB65" i="1"/>
  <c r="X65" i="1" s="1"/>
  <c r="AD65" i="1"/>
  <c r="AE65" i="1"/>
  <c r="AF65" i="1"/>
  <c r="AG65" i="1"/>
  <c r="AK65" i="1"/>
  <c r="AN65" i="1"/>
  <c r="AP65" i="1"/>
  <c r="AQ65" i="1"/>
  <c r="AR65" i="1"/>
  <c r="AS65" i="1"/>
  <c r="AU65" i="1"/>
  <c r="AW65" i="1"/>
  <c r="F65" i="1" s="1"/>
  <c r="I65" i="1" s="1"/>
  <c r="AZ65" i="1"/>
  <c r="AO65" i="1" s="1"/>
  <c r="BA65" i="1"/>
  <c r="BB65" i="1"/>
  <c r="AJ65" i="1" s="1"/>
  <c r="AM65" i="1" s="1"/>
  <c r="BC65" i="1"/>
  <c r="BD65" i="1"/>
  <c r="BE65" i="1"/>
  <c r="BF65" i="1"/>
  <c r="V66" i="1"/>
  <c r="W66" i="1"/>
  <c r="AB66" i="1"/>
  <c r="AD66" i="1"/>
  <c r="AE66" i="1"/>
  <c r="AF66" i="1"/>
  <c r="AG66" i="1"/>
  <c r="AP66" i="1"/>
  <c r="AK66" i="1" s="1"/>
  <c r="AQ66" i="1"/>
  <c r="AS66" i="1"/>
  <c r="AR66" i="1" s="1"/>
  <c r="AU66" i="1"/>
  <c r="AW66" i="1"/>
  <c r="F66" i="1" s="1"/>
  <c r="AH66" i="1" s="1"/>
  <c r="BA66" i="1"/>
  <c r="BC66" i="1"/>
  <c r="BD66" i="1"/>
  <c r="BE66" i="1"/>
  <c r="BF66" i="1"/>
  <c r="V67" i="1"/>
  <c r="W67" i="1"/>
  <c r="AB67" i="1"/>
  <c r="AD67" i="1"/>
  <c r="AE67" i="1"/>
  <c r="AF67" i="1"/>
  <c r="AG67" i="1"/>
  <c r="AK67" i="1"/>
  <c r="AN67" i="1"/>
  <c r="AZ67" i="1" s="1"/>
  <c r="AO67" i="1" s="1"/>
  <c r="AP67" i="1"/>
  <c r="AR67" i="1"/>
  <c r="AS67" i="1"/>
  <c r="AQ67" i="1" s="1"/>
  <c r="AU67" i="1"/>
  <c r="AW67" i="1"/>
  <c r="BA67" i="1"/>
  <c r="BB67" i="1"/>
  <c r="AJ67" i="1" s="1"/>
  <c r="AM67" i="1" s="1"/>
  <c r="BC67" i="1"/>
  <c r="BD67" i="1"/>
  <c r="BE67" i="1"/>
  <c r="BF67" i="1"/>
  <c r="V68" i="1"/>
  <c r="W68" i="1"/>
  <c r="Z68" i="1"/>
  <c r="AY68" i="1" s="1"/>
  <c r="AA68" i="1" s="1"/>
  <c r="AB68" i="1"/>
  <c r="X68" i="1" s="1"/>
  <c r="AX68" i="1" s="1"/>
  <c r="Y68" i="1" s="1"/>
  <c r="AD68" i="1"/>
  <c r="AE68" i="1"/>
  <c r="AF68" i="1"/>
  <c r="AG68" i="1"/>
  <c r="AJ68" i="1"/>
  <c r="AM68" i="1" s="1"/>
  <c r="AN68" i="1"/>
  <c r="AZ68" i="1" s="1"/>
  <c r="AO68" i="1"/>
  <c r="AP68" i="1"/>
  <c r="AK68" i="1" s="1"/>
  <c r="AS68" i="1"/>
  <c r="AR68" i="1" s="1"/>
  <c r="AU68" i="1"/>
  <c r="AW68" i="1"/>
  <c r="E68" i="1" s="1"/>
  <c r="BA68" i="1"/>
  <c r="T68" i="1" s="1"/>
  <c r="BB68" i="1"/>
  <c r="BC68" i="1"/>
  <c r="BD68" i="1"/>
  <c r="BE68" i="1"/>
  <c r="BF68" i="1"/>
  <c r="V69" i="1"/>
  <c r="W69" i="1"/>
  <c r="AB69" i="1"/>
  <c r="AD69" i="1"/>
  <c r="AE69" i="1"/>
  <c r="AF69" i="1"/>
  <c r="AG69" i="1"/>
  <c r="AH69" i="1"/>
  <c r="AN69" i="1"/>
  <c r="AP69" i="1"/>
  <c r="AK69" i="1" s="1"/>
  <c r="AQ69" i="1"/>
  <c r="AR69" i="1"/>
  <c r="AS69" i="1"/>
  <c r="AU69" i="1"/>
  <c r="AW69" i="1"/>
  <c r="AZ69" i="1"/>
  <c r="AO69" i="1" s="1"/>
  <c r="BA69" i="1"/>
  <c r="BC69" i="1"/>
  <c r="BD69" i="1"/>
  <c r="BE69" i="1"/>
  <c r="BF69" i="1"/>
  <c r="V70" i="1"/>
  <c r="W70" i="1"/>
  <c r="AB70" i="1"/>
  <c r="X70" i="1" s="1"/>
  <c r="AX70" i="1" s="1"/>
  <c r="Y70" i="1" s="1"/>
  <c r="AD70" i="1"/>
  <c r="AE70" i="1"/>
  <c r="AF70" i="1"/>
  <c r="AG70" i="1"/>
  <c r="AK70" i="1"/>
  <c r="AP70" i="1"/>
  <c r="AQ70" i="1"/>
  <c r="AS70" i="1"/>
  <c r="AR70" i="1" s="1"/>
  <c r="AU70" i="1"/>
  <c r="AW70" i="1"/>
  <c r="E70" i="1" s="1"/>
  <c r="BA70" i="1"/>
  <c r="BC70" i="1"/>
  <c r="BD70" i="1"/>
  <c r="BE70" i="1"/>
  <c r="BF70" i="1"/>
  <c r="A7" i="1"/>
  <c r="B7" i="1"/>
  <c r="C7" i="1"/>
  <c r="G7" i="1" s="1"/>
  <c r="D7" i="1"/>
  <c r="H7" i="1" s="1"/>
  <c r="E7" i="1"/>
  <c r="F7" i="1"/>
  <c r="AH7" i="1" s="1"/>
  <c r="J7" i="1"/>
  <c r="K7" i="1"/>
  <c r="L7" i="1"/>
  <c r="P7" i="1"/>
  <c r="Q7" i="1"/>
  <c r="R7" i="1" s="1"/>
  <c r="S7" i="1"/>
  <c r="T7" i="1"/>
  <c r="A8" i="1"/>
  <c r="B8" i="1"/>
  <c r="C8" i="1"/>
  <c r="G8" i="1" s="1"/>
  <c r="D8" i="1"/>
  <c r="H8" i="1" s="1"/>
  <c r="E8" i="1"/>
  <c r="F8" i="1"/>
  <c r="AH8" i="1" s="1"/>
  <c r="J8" i="1"/>
  <c r="K8" i="1"/>
  <c r="L8" i="1"/>
  <c r="P8" i="1"/>
  <c r="Q8" i="1"/>
  <c r="R8" i="1" s="1"/>
  <c r="A9" i="1"/>
  <c r="B9" i="1"/>
  <c r="C9" i="1"/>
  <c r="D9" i="1"/>
  <c r="E9" i="1"/>
  <c r="F9" i="1"/>
  <c r="G9" i="1"/>
  <c r="H9" i="1"/>
  <c r="J9" i="1"/>
  <c r="K9" i="1"/>
  <c r="L9" i="1"/>
  <c r="P9" i="1"/>
  <c r="Q9" i="1"/>
  <c r="T9" i="1" s="1"/>
  <c r="S9" i="1"/>
  <c r="A10" i="1"/>
  <c r="B10" i="1"/>
  <c r="C10" i="1"/>
  <c r="H10" i="1" s="1"/>
  <c r="D10" i="1"/>
  <c r="E10" i="1"/>
  <c r="F10" i="1"/>
  <c r="AH10" i="1" s="1"/>
  <c r="G10" i="1"/>
  <c r="I10" i="1"/>
  <c r="J10" i="1"/>
  <c r="K10" i="1"/>
  <c r="L10" i="1" s="1"/>
  <c r="P10" i="1"/>
  <c r="Q10" i="1"/>
  <c r="R10" i="1"/>
  <c r="S10" i="1"/>
  <c r="T10" i="1"/>
  <c r="A11" i="1"/>
  <c r="B11" i="1"/>
  <c r="C11" i="1"/>
  <c r="H11" i="1" s="1"/>
  <c r="D11" i="1"/>
  <c r="E11" i="1"/>
  <c r="F11" i="1"/>
  <c r="AH11" i="1" s="1"/>
  <c r="G11" i="1"/>
  <c r="J11" i="1"/>
  <c r="K11" i="1"/>
  <c r="L11" i="1"/>
  <c r="P11" i="1"/>
  <c r="Q11" i="1"/>
  <c r="R11" i="1" s="1"/>
  <c r="S11" i="1"/>
  <c r="T11" i="1"/>
  <c r="A12" i="1"/>
  <c r="B12" i="1"/>
  <c r="C12" i="1"/>
  <c r="H12" i="1" s="1"/>
  <c r="D12" i="1"/>
  <c r="E12" i="1"/>
  <c r="F12" i="1"/>
  <c r="AH12" i="1" s="1"/>
  <c r="J12" i="1"/>
  <c r="K12" i="1"/>
  <c r="L12" i="1"/>
  <c r="P12" i="1"/>
  <c r="Q12" i="1"/>
  <c r="R12" i="1"/>
  <c r="A13" i="1"/>
  <c r="B13" i="1"/>
  <c r="C13" i="1"/>
  <c r="D13" i="1"/>
  <c r="E13" i="1"/>
  <c r="F13" i="1"/>
  <c r="G13" i="1"/>
  <c r="H13" i="1"/>
  <c r="J13" i="1"/>
  <c r="K13" i="1"/>
  <c r="L13" i="1"/>
  <c r="P13" i="1"/>
  <c r="Q13" i="1"/>
  <c r="T13" i="1" s="1"/>
  <c r="S13" i="1"/>
  <c r="A14" i="1"/>
  <c r="B14" i="1"/>
  <c r="C14" i="1"/>
  <c r="H14" i="1" s="1"/>
  <c r="D14" i="1"/>
  <c r="E14" i="1"/>
  <c r="F14" i="1"/>
  <c r="AH14" i="1" s="1"/>
  <c r="G14" i="1"/>
  <c r="J14" i="1"/>
  <c r="K14" i="1"/>
  <c r="L14" i="1" s="1"/>
  <c r="P14" i="1"/>
  <c r="Q14" i="1"/>
  <c r="R14" i="1"/>
  <c r="S14" i="1"/>
  <c r="T14" i="1"/>
  <c r="A15" i="1"/>
  <c r="B15" i="1"/>
  <c r="C15" i="1"/>
  <c r="H15" i="1" s="1"/>
  <c r="D15" i="1"/>
  <c r="E15" i="1"/>
  <c r="F15" i="1"/>
  <c r="AH15" i="1" s="1"/>
  <c r="G15" i="1"/>
  <c r="J15" i="1"/>
  <c r="K15" i="1"/>
  <c r="L15" i="1"/>
  <c r="P15" i="1"/>
  <c r="Q15" i="1"/>
  <c r="R15" i="1" s="1"/>
  <c r="S15" i="1"/>
  <c r="T15" i="1"/>
  <c r="A16" i="1"/>
  <c r="B16" i="1"/>
  <c r="C16" i="1"/>
  <c r="D16" i="1"/>
  <c r="E16" i="1"/>
  <c r="F16" i="1"/>
  <c r="AH16" i="1" s="1"/>
  <c r="G16" i="1"/>
  <c r="I16" i="1" s="1"/>
  <c r="H16" i="1"/>
  <c r="J16" i="1"/>
  <c r="K16" i="1"/>
  <c r="P16" i="1"/>
  <c r="Q16" i="1"/>
  <c r="R16" i="1"/>
  <c r="A17" i="1"/>
  <c r="B17" i="1"/>
  <c r="C17" i="1"/>
  <c r="D17" i="1"/>
  <c r="E17" i="1"/>
  <c r="F17" i="1"/>
  <c r="G17" i="1"/>
  <c r="H17" i="1"/>
  <c r="J17" i="1"/>
  <c r="K17" i="1"/>
  <c r="L17" i="1"/>
  <c r="P17" i="1"/>
  <c r="Q17" i="1"/>
  <c r="T17" i="1" s="1"/>
  <c r="S17" i="1"/>
  <c r="A18" i="1"/>
  <c r="B18" i="1"/>
  <c r="C18" i="1"/>
  <c r="H18" i="1" s="1"/>
  <c r="D18" i="1"/>
  <c r="E18" i="1"/>
  <c r="F18" i="1"/>
  <c r="AH18" i="1" s="1"/>
  <c r="G18" i="1"/>
  <c r="I18" i="1"/>
  <c r="J18" i="1"/>
  <c r="K18" i="1"/>
  <c r="L18" i="1" s="1"/>
  <c r="P18" i="1"/>
  <c r="Q18" i="1"/>
  <c r="R18" i="1"/>
  <c r="S18" i="1"/>
  <c r="T18" i="1"/>
  <c r="A19" i="1"/>
  <c r="B19" i="1"/>
  <c r="C19" i="1"/>
  <c r="D19" i="1"/>
  <c r="H19" i="1" s="1"/>
  <c r="E19" i="1"/>
  <c r="F19" i="1"/>
  <c r="AH19" i="1" s="1"/>
  <c r="G19" i="1"/>
  <c r="J19" i="1"/>
  <c r="K19" i="1"/>
  <c r="L19" i="1"/>
  <c r="P19" i="1"/>
  <c r="Q19" i="1"/>
  <c r="R19" i="1" s="1"/>
  <c r="S19" i="1"/>
  <c r="T19" i="1"/>
  <c r="A20" i="1"/>
  <c r="B20" i="1"/>
  <c r="C20" i="1"/>
  <c r="D20" i="1"/>
  <c r="H20" i="1" s="1"/>
  <c r="E20" i="1"/>
  <c r="F20" i="1"/>
  <c r="AH20" i="1" s="1"/>
  <c r="G20" i="1"/>
  <c r="J20" i="1"/>
  <c r="K20" i="1"/>
  <c r="L20" i="1"/>
  <c r="P20" i="1"/>
  <c r="Q20" i="1"/>
  <c r="A21" i="1"/>
  <c r="B21" i="1"/>
  <c r="C21" i="1"/>
  <c r="D21" i="1"/>
  <c r="E21" i="1"/>
  <c r="F21" i="1"/>
  <c r="G21" i="1"/>
  <c r="H21" i="1"/>
  <c r="J21" i="1"/>
  <c r="K21" i="1"/>
  <c r="L21" i="1"/>
  <c r="P21" i="1"/>
  <c r="Q21" i="1"/>
  <c r="T21" i="1" s="1"/>
  <c r="S21" i="1"/>
  <c r="A22" i="1"/>
  <c r="B22" i="1"/>
  <c r="C22" i="1"/>
  <c r="H22" i="1" s="1"/>
  <c r="D22" i="1"/>
  <c r="E22" i="1"/>
  <c r="F22" i="1"/>
  <c r="AH22" i="1" s="1"/>
  <c r="G22" i="1"/>
  <c r="J22" i="1"/>
  <c r="K22" i="1"/>
  <c r="L22" i="1" s="1"/>
  <c r="P22" i="1"/>
  <c r="Q22" i="1"/>
  <c r="R22" i="1"/>
  <c r="S22" i="1"/>
  <c r="T22" i="1"/>
  <c r="A23" i="1"/>
  <c r="B23" i="1"/>
  <c r="C23" i="1"/>
  <c r="G23" i="1" s="1"/>
  <c r="D23" i="1"/>
  <c r="H23" i="1" s="1"/>
  <c r="E23" i="1"/>
  <c r="F23" i="1"/>
  <c r="AH23" i="1" s="1"/>
  <c r="J23" i="1"/>
  <c r="K23" i="1"/>
  <c r="L23" i="1"/>
  <c r="P23" i="1"/>
  <c r="Q23" i="1"/>
  <c r="R23" i="1" s="1"/>
  <c r="S23" i="1"/>
  <c r="T23" i="1"/>
  <c r="A24" i="1"/>
  <c r="B24" i="1"/>
  <c r="C24" i="1"/>
  <c r="G24" i="1" s="1"/>
  <c r="D24" i="1"/>
  <c r="H24" i="1" s="1"/>
  <c r="E24" i="1"/>
  <c r="F24" i="1"/>
  <c r="AH24" i="1" s="1"/>
  <c r="J24" i="1"/>
  <c r="K24" i="1"/>
  <c r="L24" i="1"/>
  <c r="P24" i="1"/>
  <c r="Q24" i="1"/>
  <c r="R24" i="1"/>
  <c r="A25" i="1"/>
  <c r="B25" i="1"/>
  <c r="C25" i="1"/>
  <c r="D25" i="1"/>
  <c r="E25" i="1"/>
  <c r="F25" i="1"/>
  <c r="G25" i="1"/>
  <c r="H25" i="1"/>
  <c r="J25" i="1"/>
  <c r="K25" i="1"/>
  <c r="L25" i="1"/>
  <c r="P25" i="1"/>
  <c r="Q25" i="1"/>
  <c r="T25" i="1" s="1"/>
  <c r="S25" i="1"/>
  <c r="A26" i="1"/>
  <c r="B26" i="1"/>
  <c r="C26" i="1"/>
  <c r="H26" i="1" s="1"/>
  <c r="D26" i="1"/>
  <c r="E26" i="1"/>
  <c r="F26" i="1"/>
  <c r="AH26" i="1" s="1"/>
  <c r="G26" i="1"/>
  <c r="I26" i="1"/>
  <c r="J26" i="1"/>
  <c r="K26" i="1"/>
  <c r="L26" i="1" s="1"/>
  <c r="P26" i="1"/>
  <c r="Q26" i="1"/>
  <c r="R26" i="1"/>
  <c r="S26" i="1"/>
  <c r="T26" i="1"/>
  <c r="A27" i="1"/>
  <c r="B27" i="1"/>
  <c r="C27" i="1"/>
  <c r="H27" i="1" s="1"/>
  <c r="D27" i="1"/>
  <c r="E27" i="1"/>
  <c r="F27" i="1"/>
  <c r="AH27" i="1" s="1"/>
  <c r="J27" i="1"/>
  <c r="K27" i="1"/>
  <c r="L27" i="1"/>
  <c r="P27" i="1"/>
  <c r="Q27" i="1"/>
  <c r="R27" i="1" s="1"/>
  <c r="S27" i="1"/>
  <c r="T27" i="1"/>
  <c r="A28" i="1"/>
  <c r="B28" i="1"/>
  <c r="C28" i="1"/>
  <c r="H28" i="1" s="1"/>
  <c r="D28" i="1"/>
  <c r="E28" i="1"/>
  <c r="F28" i="1"/>
  <c r="AH28" i="1" s="1"/>
  <c r="J28" i="1"/>
  <c r="K28" i="1"/>
  <c r="L28" i="1"/>
  <c r="P28" i="1"/>
  <c r="Q28" i="1"/>
  <c r="R28" i="1"/>
  <c r="A29" i="1"/>
  <c r="B29" i="1"/>
  <c r="C29" i="1"/>
  <c r="D29" i="1"/>
  <c r="E29" i="1"/>
  <c r="F29" i="1"/>
  <c r="G29" i="1"/>
  <c r="H29" i="1"/>
  <c r="J29" i="1"/>
  <c r="K29" i="1"/>
  <c r="L29" i="1"/>
  <c r="P29" i="1"/>
  <c r="Q29" i="1"/>
  <c r="T29" i="1" s="1"/>
  <c r="S29" i="1"/>
  <c r="A30" i="1"/>
  <c r="B30" i="1"/>
  <c r="C30" i="1"/>
  <c r="H30" i="1" s="1"/>
  <c r="D30" i="1"/>
  <c r="E30" i="1"/>
  <c r="F30" i="1"/>
  <c r="AH30" i="1" s="1"/>
  <c r="G30" i="1"/>
  <c r="J30" i="1"/>
  <c r="K30" i="1"/>
  <c r="L30" i="1" s="1"/>
  <c r="P30" i="1"/>
  <c r="Q30" i="1"/>
  <c r="R30" i="1"/>
  <c r="S30" i="1"/>
  <c r="T30" i="1"/>
  <c r="A31" i="1"/>
  <c r="B31" i="1"/>
  <c r="C31" i="1"/>
  <c r="H31" i="1" s="1"/>
  <c r="D31" i="1"/>
  <c r="E31" i="1"/>
  <c r="F31" i="1"/>
  <c r="AH31" i="1" s="1"/>
  <c r="G31" i="1"/>
  <c r="J31" i="1"/>
  <c r="K31" i="1"/>
  <c r="L31" i="1"/>
  <c r="P31" i="1"/>
  <c r="Q31" i="1"/>
  <c r="R31" i="1" s="1"/>
  <c r="S31" i="1"/>
  <c r="T31" i="1"/>
  <c r="A32" i="1"/>
  <c r="B32" i="1"/>
  <c r="C32" i="1"/>
  <c r="H32" i="1" s="1"/>
  <c r="D32" i="1"/>
  <c r="E32" i="1"/>
  <c r="F32" i="1"/>
  <c r="AH32" i="1" s="1"/>
  <c r="G32" i="1"/>
  <c r="I32" i="1" s="1"/>
  <c r="J32" i="1"/>
  <c r="K32" i="1"/>
  <c r="P32" i="1"/>
  <c r="Q32" i="1"/>
  <c r="R32" i="1"/>
  <c r="A33" i="1"/>
  <c r="B33" i="1"/>
  <c r="C33" i="1"/>
  <c r="D33" i="1"/>
  <c r="E33" i="1"/>
  <c r="F33" i="1"/>
  <c r="G33" i="1"/>
  <c r="H33" i="1"/>
  <c r="J33" i="1"/>
  <c r="K33" i="1"/>
  <c r="L33" i="1"/>
  <c r="P33" i="1"/>
  <c r="Q33" i="1"/>
  <c r="T33" i="1" s="1"/>
  <c r="S33" i="1"/>
  <c r="A34" i="1"/>
  <c r="B34" i="1"/>
  <c r="C34" i="1"/>
  <c r="H34" i="1" s="1"/>
  <c r="D34" i="1"/>
  <c r="E34" i="1"/>
  <c r="F34" i="1"/>
  <c r="AH34" i="1" s="1"/>
  <c r="G34" i="1"/>
  <c r="J34" i="1"/>
  <c r="K34" i="1"/>
  <c r="L34" i="1" s="1"/>
  <c r="P34" i="1"/>
  <c r="Q34" i="1"/>
  <c r="R34" i="1"/>
  <c r="S34" i="1"/>
  <c r="T34" i="1"/>
  <c r="A35" i="1"/>
  <c r="B35" i="1"/>
  <c r="C35" i="1"/>
  <c r="D35" i="1"/>
  <c r="H35" i="1" s="1"/>
  <c r="E35" i="1"/>
  <c r="F35" i="1"/>
  <c r="AH35" i="1" s="1"/>
  <c r="G35" i="1"/>
  <c r="J35" i="1"/>
  <c r="K35" i="1"/>
  <c r="L35" i="1"/>
  <c r="P35" i="1"/>
  <c r="Q35" i="1"/>
  <c r="R35" i="1" s="1"/>
  <c r="S35" i="1"/>
  <c r="T35" i="1"/>
  <c r="A36" i="1"/>
  <c r="B36" i="1"/>
  <c r="C36" i="1"/>
  <c r="D36" i="1"/>
  <c r="E36" i="1"/>
  <c r="F36" i="1"/>
  <c r="AH36" i="1" s="1"/>
  <c r="G36" i="1"/>
  <c r="H36" i="1"/>
  <c r="J36" i="1"/>
  <c r="K36" i="1"/>
  <c r="L36" i="1"/>
  <c r="P36" i="1"/>
  <c r="Q36" i="1"/>
  <c r="A37" i="1"/>
  <c r="B37" i="1"/>
  <c r="C37" i="1"/>
  <c r="D37" i="1"/>
  <c r="E37" i="1"/>
  <c r="F37" i="1"/>
  <c r="G37" i="1"/>
  <c r="H37" i="1"/>
  <c r="J37" i="1"/>
  <c r="K37" i="1"/>
  <c r="L37" i="1"/>
  <c r="P37" i="1"/>
  <c r="Q37" i="1"/>
  <c r="T37" i="1" s="1"/>
  <c r="S37" i="1"/>
  <c r="A38" i="1"/>
  <c r="B38" i="1"/>
  <c r="C38" i="1"/>
  <c r="H38" i="1" s="1"/>
  <c r="D38" i="1"/>
  <c r="E38" i="1"/>
  <c r="F38" i="1"/>
  <c r="AH38" i="1" s="1"/>
  <c r="G38" i="1"/>
  <c r="J38" i="1"/>
  <c r="K38" i="1"/>
  <c r="L38" i="1" s="1"/>
  <c r="P38" i="1"/>
  <c r="Q38" i="1"/>
  <c r="R38" i="1"/>
  <c r="S38" i="1"/>
  <c r="T38" i="1"/>
  <c r="A39" i="1"/>
  <c r="B39" i="1"/>
  <c r="C39" i="1"/>
  <c r="G39" i="1" s="1"/>
  <c r="D39" i="1"/>
  <c r="H39" i="1" s="1"/>
  <c r="E39" i="1"/>
  <c r="F39" i="1"/>
  <c r="AH39" i="1" s="1"/>
  <c r="J39" i="1"/>
  <c r="K39" i="1"/>
  <c r="L39" i="1"/>
  <c r="P39" i="1"/>
  <c r="Q39" i="1"/>
  <c r="R39" i="1" s="1"/>
  <c r="S39" i="1"/>
  <c r="T39" i="1"/>
  <c r="A40" i="1"/>
  <c r="B40" i="1"/>
  <c r="C40" i="1"/>
  <c r="D40" i="1"/>
  <c r="E40" i="1"/>
  <c r="F40" i="1"/>
  <c r="AH40" i="1" s="1"/>
  <c r="G40" i="1"/>
  <c r="H40" i="1"/>
  <c r="J40" i="1"/>
  <c r="K40" i="1"/>
  <c r="L40" i="1"/>
  <c r="P40" i="1"/>
  <c r="Q40" i="1"/>
  <c r="R40" i="1"/>
  <c r="A41" i="1"/>
  <c r="B41" i="1"/>
  <c r="C41" i="1"/>
  <c r="D41" i="1"/>
  <c r="E41" i="1"/>
  <c r="F41" i="1"/>
  <c r="G41" i="1"/>
  <c r="H41" i="1"/>
  <c r="J41" i="1"/>
  <c r="K41" i="1"/>
  <c r="L41" i="1"/>
  <c r="P41" i="1"/>
  <c r="Q41" i="1"/>
  <c r="T41" i="1" s="1"/>
  <c r="S41" i="1"/>
  <c r="A42" i="1"/>
  <c r="B42" i="1"/>
  <c r="C42" i="1"/>
  <c r="H42" i="1" s="1"/>
  <c r="D42" i="1"/>
  <c r="E42" i="1"/>
  <c r="F42" i="1"/>
  <c r="AH42" i="1" s="1"/>
  <c r="G42" i="1"/>
  <c r="J42" i="1"/>
  <c r="K42" i="1"/>
  <c r="L42" i="1" s="1"/>
  <c r="P42" i="1"/>
  <c r="Q42" i="1"/>
  <c r="R42" i="1"/>
  <c r="S42" i="1"/>
  <c r="T42" i="1"/>
  <c r="A43" i="1"/>
  <c r="B43" i="1"/>
  <c r="C43" i="1"/>
  <c r="H43" i="1" s="1"/>
  <c r="D43" i="1"/>
  <c r="E43" i="1"/>
  <c r="F43" i="1"/>
  <c r="AH43" i="1" s="1"/>
  <c r="J43" i="1"/>
  <c r="K43" i="1"/>
  <c r="L43" i="1"/>
  <c r="P43" i="1"/>
  <c r="Q43" i="1"/>
  <c r="R43" i="1" s="1"/>
  <c r="S43" i="1"/>
  <c r="T43" i="1"/>
  <c r="A44" i="1"/>
  <c r="B44" i="1"/>
  <c r="C44" i="1"/>
  <c r="H44" i="1" s="1"/>
  <c r="D44" i="1"/>
  <c r="E44" i="1"/>
  <c r="F44" i="1"/>
  <c r="AH44" i="1" s="1"/>
  <c r="J44" i="1"/>
  <c r="K44" i="1"/>
  <c r="P44" i="1"/>
  <c r="Q44" i="1"/>
  <c r="S44" i="1" s="1"/>
  <c r="A45" i="1"/>
  <c r="B45" i="1"/>
  <c r="C45" i="1"/>
  <c r="D45" i="1"/>
  <c r="E45" i="1"/>
  <c r="F45" i="1"/>
  <c r="G45" i="1"/>
  <c r="H45" i="1"/>
  <c r="J45" i="1"/>
  <c r="K45" i="1"/>
  <c r="L45" i="1"/>
  <c r="P45" i="1"/>
  <c r="Q45" i="1"/>
  <c r="A46" i="1"/>
  <c r="B46" i="1"/>
  <c r="C46" i="1"/>
  <c r="H46" i="1" s="1"/>
  <c r="D46" i="1"/>
  <c r="E46" i="1"/>
  <c r="F46" i="1"/>
  <c r="G46" i="1"/>
  <c r="J46" i="1"/>
  <c r="K46" i="1"/>
  <c r="L46" i="1" s="1"/>
  <c r="P46" i="1"/>
  <c r="Q46" i="1"/>
  <c r="R46" i="1"/>
  <c r="S46" i="1"/>
  <c r="T46" i="1"/>
  <c r="A47" i="1"/>
  <c r="B47" i="1"/>
  <c r="C47" i="1"/>
  <c r="H47" i="1" s="1"/>
  <c r="D47" i="1"/>
  <c r="E47" i="1"/>
  <c r="F47" i="1"/>
  <c r="AH47" i="1" s="1"/>
  <c r="J47" i="1"/>
  <c r="K47" i="1"/>
  <c r="L47" i="1"/>
  <c r="P47" i="1"/>
  <c r="Q47" i="1"/>
  <c r="R47" i="1" s="1"/>
  <c r="S47" i="1"/>
  <c r="T47" i="1"/>
  <c r="A48" i="1"/>
  <c r="B48" i="1"/>
  <c r="C48" i="1"/>
  <c r="H48" i="1" s="1"/>
  <c r="D48" i="1"/>
  <c r="F48" i="1"/>
  <c r="AH48" i="1" s="1"/>
  <c r="J48" i="1"/>
  <c r="K48" i="1"/>
  <c r="P48" i="1"/>
  <c r="Q48" i="1"/>
  <c r="S48" i="1" s="1"/>
  <c r="A49" i="1"/>
  <c r="B49" i="1"/>
  <c r="C49" i="1"/>
  <c r="H49" i="1" s="1"/>
  <c r="D49" i="1"/>
  <c r="E49" i="1"/>
  <c r="F49" i="1"/>
  <c r="G49" i="1"/>
  <c r="J49" i="1"/>
  <c r="K49" i="1"/>
  <c r="L49" i="1" s="1"/>
  <c r="P49" i="1"/>
  <c r="Q49" i="1"/>
  <c r="R49" i="1" s="1"/>
  <c r="A50" i="1"/>
  <c r="B50" i="1"/>
  <c r="C50" i="1"/>
  <c r="H50" i="1" s="1"/>
  <c r="D50" i="1"/>
  <c r="E50" i="1"/>
  <c r="F50" i="1"/>
  <c r="G50" i="1"/>
  <c r="J50" i="1"/>
  <c r="K50" i="1"/>
  <c r="L50" i="1" s="1"/>
  <c r="P50" i="1"/>
  <c r="Q50" i="1"/>
  <c r="S50" i="1" s="1"/>
  <c r="T50" i="1"/>
  <c r="A51" i="1"/>
  <c r="B51" i="1"/>
  <c r="C51" i="1"/>
  <c r="D51" i="1"/>
  <c r="H51" i="1" s="1"/>
  <c r="E51" i="1"/>
  <c r="F51" i="1"/>
  <c r="AH51" i="1" s="1"/>
  <c r="G51" i="1"/>
  <c r="I51" i="1"/>
  <c r="J51" i="1"/>
  <c r="K51" i="1"/>
  <c r="L51" i="1"/>
  <c r="P51" i="1"/>
  <c r="Q51" i="1"/>
  <c r="T51" i="1" s="1"/>
  <c r="R51" i="1"/>
  <c r="A52" i="1"/>
  <c r="B52" i="1"/>
  <c r="C52" i="1"/>
  <c r="H52" i="1" s="1"/>
  <c r="D52" i="1"/>
  <c r="E52" i="1"/>
  <c r="J52" i="1"/>
  <c r="K52" i="1"/>
  <c r="L52" i="1" s="1"/>
  <c r="P52" i="1"/>
  <c r="Q52" i="1"/>
  <c r="R52" i="1"/>
  <c r="S52" i="1"/>
  <c r="T52" i="1"/>
  <c r="A53" i="1"/>
  <c r="B53" i="1"/>
  <c r="C53" i="1"/>
  <c r="H53" i="1" s="1"/>
  <c r="D53" i="1"/>
  <c r="E53" i="1"/>
  <c r="F53" i="1"/>
  <c r="G53" i="1"/>
  <c r="J53" i="1"/>
  <c r="K53" i="1"/>
  <c r="L53" i="1" s="1"/>
  <c r="P53" i="1"/>
  <c r="Q53" i="1"/>
  <c r="R53" i="1" s="1"/>
  <c r="A54" i="1"/>
  <c r="B54" i="1"/>
  <c r="C54" i="1"/>
  <c r="H54" i="1" s="1"/>
  <c r="D54" i="1"/>
  <c r="E54" i="1"/>
  <c r="F54" i="1"/>
  <c r="G54" i="1"/>
  <c r="J54" i="1"/>
  <c r="K54" i="1"/>
  <c r="L54" i="1" s="1"/>
  <c r="P54" i="1"/>
  <c r="Q54" i="1"/>
  <c r="T54" i="1"/>
  <c r="A55" i="1"/>
  <c r="B55" i="1"/>
  <c r="C55" i="1"/>
  <c r="D55" i="1"/>
  <c r="H55" i="1" s="1"/>
  <c r="E55" i="1"/>
  <c r="F55" i="1"/>
  <c r="AH55" i="1" s="1"/>
  <c r="G55" i="1"/>
  <c r="I55" i="1"/>
  <c r="J55" i="1"/>
  <c r="K55" i="1"/>
  <c r="L55" i="1"/>
  <c r="P55" i="1"/>
  <c r="Q55" i="1"/>
  <c r="T55" i="1" s="1"/>
  <c r="R55" i="1"/>
  <c r="A56" i="1"/>
  <c r="B56" i="1"/>
  <c r="C56" i="1"/>
  <c r="H56" i="1" s="1"/>
  <c r="D56" i="1"/>
  <c r="J56" i="1"/>
  <c r="K56" i="1"/>
  <c r="L56" i="1" s="1"/>
  <c r="P56" i="1"/>
  <c r="Q56" i="1"/>
  <c r="R56" i="1"/>
  <c r="S56" i="1"/>
  <c r="A57" i="1"/>
  <c r="B57" i="1"/>
  <c r="C57" i="1"/>
  <c r="H57" i="1" s="1"/>
  <c r="D57" i="1"/>
  <c r="E57" i="1"/>
  <c r="F57" i="1"/>
  <c r="G57" i="1"/>
  <c r="J57" i="1"/>
  <c r="K57" i="1"/>
  <c r="L57" i="1" s="1"/>
  <c r="P57" i="1"/>
  <c r="Q57" i="1"/>
  <c r="R57" i="1" s="1"/>
  <c r="A58" i="1"/>
  <c r="B58" i="1"/>
  <c r="C58" i="1"/>
  <c r="D58" i="1"/>
  <c r="F58" i="1"/>
  <c r="I58" i="1" s="1"/>
  <c r="G58" i="1"/>
  <c r="H58" i="1"/>
  <c r="J58" i="1"/>
  <c r="K58" i="1"/>
  <c r="L58" i="1"/>
  <c r="P58" i="1"/>
  <c r="Q58" i="1"/>
  <c r="S58" i="1" s="1"/>
  <c r="R58" i="1"/>
  <c r="A59" i="1"/>
  <c r="B59" i="1"/>
  <c r="C59" i="1"/>
  <c r="D59" i="1"/>
  <c r="H59" i="1" s="1"/>
  <c r="E59" i="1"/>
  <c r="F59" i="1"/>
  <c r="AH59" i="1" s="1"/>
  <c r="G59" i="1"/>
  <c r="J59" i="1"/>
  <c r="K59" i="1"/>
  <c r="L59" i="1"/>
  <c r="P59" i="1"/>
  <c r="Q59" i="1"/>
  <c r="T59" i="1" s="1"/>
  <c r="R59" i="1"/>
  <c r="A60" i="1"/>
  <c r="B60" i="1"/>
  <c r="C60" i="1"/>
  <c r="H60" i="1" s="1"/>
  <c r="D60" i="1"/>
  <c r="E60" i="1"/>
  <c r="F60" i="1"/>
  <c r="J60" i="1"/>
  <c r="K60" i="1"/>
  <c r="L60" i="1" s="1"/>
  <c r="P60" i="1"/>
  <c r="Q60" i="1"/>
  <c r="R60" i="1"/>
  <c r="S60" i="1"/>
  <c r="T60" i="1"/>
  <c r="A61" i="1"/>
  <c r="B61" i="1"/>
  <c r="C61" i="1"/>
  <c r="D61" i="1"/>
  <c r="G61" i="1"/>
  <c r="H61" i="1"/>
  <c r="J61" i="1"/>
  <c r="K61" i="1"/>
  <c r="L61" i="1" s="1"/>
  <c r="P61" i="1"/>
  <c r="Q61" i="1"/>
  <c r="R61" i="1" s="1"/>
  <c r="A62" i="1"/>
  <c r="B62" i="1"/>
  <c r="C62" i="1"/>
  <c r="D62" i="1"/>
  <c r="E62" i="1"/>
  <c r="G62" i="1"/>
  <c r="H62" i="1"/>
  <c r="I62" i="1"/>
  <c r="J62" i="1"/>
  <c r="K62" i="1"/>
  <c r="L62" i="1"/>
  <c r="P62" i="1"/>
  <c r="Q62" i="1"/>
  <c r="R62" i="1"/>
  <c r="A63" i="1"/>
  <c r="B63" i="1"/>
  <c r="C63" i="1"/>
  <c r="D63" i="1"/>
  <c r="H63" i="1" s="1"/>
  <c r="E63" i="1"/>
  <c r="F63" i="1"/>
  <c r="AH63" i="1" s="1"/>
  <c r="G63" i="1"/>
  <c r="I63" i="1"/>
  <c r="AI63" i="1" s="1"/>
  <c r="J63" i="1"/>
  <c r="K63" i="1"/>
  <c r="L63" i="1"/>
  <c r="P63" i="1"/>
  <c r="Q63" i="1"/>
  <c r="T63" i="1" s="1"/>
  <c r="R63" i="1"/>
  <c r="A64" i="1"/>
  <c r="B64" i="1"/>
  <c r="C64" i="1"/>
  <c r="H64" i="1" s="1"/>
  <c r="D64" i="1"/>
  <c r="E64" i="1"/>
  <c r="F64" i="1"/>
  <c r="AH64" i="1" s="1"/>
  <c r="J64" i="1"/>
  <c r="K64" i="1"/>
  <c r="L64" i="1" s="1"/>
  <c r="P64" i="1"/>
  <c r="Q64" i="1"/>
  <c r="R64" i="1"/>
  <c r="S64" i="1"/>
  <c r="A65" i="1"/>
  <c r="B65" i="1"/>
  <c r="C65" i="1"/>
  <c r="D65" i="1"/>
  <c r="E65" i="1"/>
  <c r="G65" i="1"/>
  <c r="H65" i="1"/>
  <c r="J65" i="1"/>
  <c r="K65" i="1"/>
  <c r="L65" i="1" s="1"/>
  <c r="P65" i="1"/>
  <c r="Q65" i="1"/>
  <c r="R65" i="1" s="1"/>
  <c r="A66" i="1"/>
  <c r="B66" i="1"/>
  <c r="C66" i="1"/>
  <c r="D66" i="1"/>
  <c r="H66" i="1" s="1"/>
  <c r="G66" i="1"/>
  <c r="J66" i="1"/>
  <c r="K66" i="1"/>
  <c r="L66" i="1"/>
  <c r="P66" i="1"/>
  <c r="Q66" i="1"/>
  <c r="S66" i="1" s="1"/>
  <c r="R66" i="1"/>
  <c r="A67" i="1"/>
  <c r="B67" i="1"/>
  <c r="C67" i="1"/>
  <c r="D67" i="1"/>
  <c r="H67" i="1" s="1"/>
  <c r="E67" i="1"/>
  <c r="F67" i="1"/>
  <c r="G67" i="1"/>
  <c r="J67" i="1"/>
  <c r="K67" i="1"/>
  <c r="L67" i="1"/>
  <c r="P67" i="1"/>
  <c r="Q67" i="1"/>
  <c r="T67" i="1" s="1"/>
  <c r="R67" i="1"/>
  <c r="S67" i="1"/>
  <c r="A68" i="1"/>
  <c r="B68" i="1"/>
  <c r="C68" i="1"/>
  <c r="H68" i="1" s="1"/>
  <c r="D68" i="1"/>
  <c r="J68" i="1"/>
  <c r="K68" i="1"/>
  <c r="L68" i="1" s="1"/>
  <c r="P68" i="1"/>
  <c r="Q68" i="1"/>
  <c r="R68" i="1"/>
  <c r="S68" i="1"/>
  <c r="A69" i="1"/>
  <c r="B69" i="1"/>
  <c r="C69" i="1"/>
  <c r="G69" i="1" s="1"/>
  <c r="D69" i="1"/>
  <c r="H69" i="1" s="1"/>
  <c r="E69" i="1"/>
  <c r="F69" i="1"/>
  <c r="J69" i="1"/>
  <c r="K69" i="1"/>
  <c r="L69" i="1"/>
  <c r="P69" i="1"/>
  <c r="Q69" i="1"/>
  <c r="R69" i="1" s="1"/>
  <c r="A70" i="1"/>
  <c r="B70" i="1"/>
  <c r="C70" i="1"/>
  <c r="D70" i="1"/>
  <c r="H70" i="1" s="1"/>
  <c r="F70" i="1"/>
  <c r="I70" i="1" s="1"/>
  <c r="G70" i="1"/>
  <c r="J70" i="1"/>
  <c r="K70" i="1"/>
  <c r="L70" i="1"/>
  <c r="P70" i="1"/>
  <c r="Q70" i="1"/>
  <c r="S70" i="1" s="1"/>
  <c r="R70" i="1"/>
  <c r="Z61" i="1" l="1"/>
  <c r="AY61" i="1" s="1"/>
  <c r="AA61" i="1" s="1"/>
  <c r="AX61" i="1"/>
  <c r="Y61" i="1" s="1"/>
  <c r="Z65" i="1"/>
  <c r="AY65" i="1" s="1"/>
  <c r="AA65" i="1" s="1"/>
  <c r="AX65" i="1"/>
  <c r="Y65" i="1" s="1"/>
  <c r="Z63" i="1"/>
  <c r="AY63" i="1" s="1"/>
  <c r="AA63" i="1" s="1"/>
  <c r="AX63" i="1"/>
  <c r="Y63" i="1" s="1"/>
  <c r="Z59" i="1"/>
  <c r="AY59" i="1" s="1"/>
  <c r="AA59" i="1" s="1"/>
  <c r="AX59" i="1"/>
  <c r="Y59" i="1" s="1"/>
  <c r="I67" i="1"/>
  <c r="AH67" i="1"/>
  <c r="E61" i="1"/>
  <c r="I59" i="1"/>
  <c r="AH54" i="1"/>
  <c r="I54" i="1"/>
  <c r="AI55" i="1" s="1"/>
  <c r="AH70" i="1"/>
  <c r="AQ68" i="1"/>
  <c r="X67" i="1"/>
  <c r="AX67" i="1" s="1"/>
  <c r="Y67" i="1" s="1"/>
  <c r="AH65" i="1"/>
  <c r="AN63" i="1"/>
  <c r="AZ63" i="1" s="1"/>
  <c r="AO63" i="1" s="1"/>
  <c r="AH61" i="1"/>
  <c r="AN59" i="1"/>
  <c r="AZ59" i="1" s="1"/>
  <c r="AO59" i="1" s="1"/>
  <c r="AK57" i="1"/>
  <c r="X57" i="1"/>
  <c r="AX57" i="1" s="1"/>
  <c r="Y57" i="1" s="1"/>
  <c r="Z53" i="1"/>
  <c r="AY53" i="1" s="1"/>
  <c r="AA53" i="1" s="1"/>
  <c r="Z52" i="1"/>
  <c r="AY52" i="1" s="1"/>
  <c r="AA52" i="1" s="1"/>
  <c r="AN49" i="1"/>
  <c r="AZ49" i="1" s="1"/>
  <c r="AO49" i="1" s="1"/>
  <c r="BB49" i="1"/>
  <c r="AJ49" i="1" s="1"/>
  <c r="AM49" i="1" s="1"/>
  <c r="M62" i="1"/>
  <c r="AI62" i="1"/>
  <c r="M55" i="1"/>
  <c r="O55" i="1" s="1"/>
  <c r="I49" i="1"/>
  <c r="AH49" i="1"/>
  <c r="AI10" i="1"/>
  <c r="I9" i="1"/>
  <c r="AH9" i="1"/>
  <c r="I66" i="1"/>
  <c r="AI58" i="1"/>
  <c r="I25" i="1"/>
  <c r="AH25" i="1"/>
  <c r="Z70" i="1"/>
  <c r="AY70" i="1" s="1"/>
  <c r="AA70" i="1" s="1"/>
  <c r="X69" i="1"/>
  <c r="AX69" i="1" s="1"/>
  <c r="Y69" i="1" s="1"/>
  <c r="BB63" i="1"/>
  <c r="AJ63" i="1" s="1"/>
  <c r="AM63" i="1" s="1"/>
  <c r="AK62" i="1"/>
  <c r="BB59" i="1"/>
  <c r="AJ59" i="1" s="1"/>
  <c r="AM59" i="1" s="1"/>
  <c r="AK58" i="1"/>
  <c r="AQ50" i="1"/>
  <c r="AR50" i="1"/>
  <c r="I46" i="1"/>
  <c r="AH46" i="1"/>
  <c r="AN66" i="1"/>
  <c r="AZ66" i="1" s="1"/>
  <c r="AO66" i="1" s="1"/>
  <c r="BB66" i="1"/>
  <c r="AJ66" i="1" s="1"/>
  <c r="AM66" i="1" s="1"/>
  <c r="AQ54" i="1"/>
  <c r="AR54" i="1"/>
  <c r="AN53" i="1"/>
  <c r="AZ53" i="1" s="1"/>
  <c r="AO53" i="1" s="1"/>
  <c r="BB53" i="1"/>
  <c r="AJ53" i="1" s="1"/>
  <c r="AM53" i="1" s="1"/>
  <c r="Z49" i="1"/>
  <c r="AY49" i="1" s="1"/>
  <c r="AA49" i="1" s="1"/>
  <c r="X45" i="1"/>
  <c r="AX45" i="1" s="1"/>
  <c r="Y45" i="1" s="1"/>
  <c r="F68" i="1"/>
  <c r="AH68" i="1" s="1"/>
  <c r="E66" i="1"/>
  <c r="M63" i="1"/>
  <c r="O63" i="1" s="1"/>
  <c r="I57" i="1"/>
  <c r="AH57" i="1"/>
  <c r="F56" i="1"/>
  <c r="AH56" i="1" s="1"/>
  <c r="I53" i="1"/>
  <c r="AH53" i="1"/>
  <c r="AH50" i="1"/>
  <c r="I50" i="1"/>
  <c r="I45" i="1"/>
  <c r="AH45" i="1"/>
  <c r="I42" i="1"/>
  <c r="I41" i="1"/>
  <c r="AH41" i="1"/>
  <c r="I38" i="1"/>
  <c r="I37" i="1"/>
  <c r="AH37" i="1"/>
  <c r="I34" i="1"/>
  <c r="I30" i="1"/>
  <c r="I29" i="1"/>
  <c r="AH29" i="1"/>
  <c r="I22" i="1"/>
  <c r="I21" i="1"/>
  <c r="AH21" i="1"/>
  <c r="I17" i="1"/>
  <c r="M18" i="1" s="1"/>
  <c r="O18" i="1" s="1"/>
  <c r="AH17" i="1"/>
  <c r="I14" i="1"/>
  <c r="AI14" i="1" s="1"/>
  <c r="I13" i="1"/>
  <c r="AH13" i="1"/>
  <c r="AN70" i="1"/>
  <c r="AZ70" i="1" s="1"/>
  <c r="AO70" i="1" s="1"/>
  <c r="BB70" i="1"/>
  <c r="AJ70" i="1" s="1"/>
  <c r="AM70" i="1" s="1"/>
  <c r="BB69" i="1"/>
  <c r="AJ69" i="1" s="1"/>
  <c r="AM69" i="1" s="1"/>
  <c r="X66" i="1"/>
  <c r="AX66" i="1" s="1"/>
  <c r="Y66" i="1" s="1"/>
  <c r="X62" i="1"/>
  <c r="AX62" i="1" s="1"/>
  <c r="Y62" i="1" s="1"/>
  <c r="AH58" i="1"/>
  <c r="AK53" i="1"/>
  <c r="X49" i="1"/>
  <c r="AX49" i="1" s="1"/>
  <c r="Y49" i="1" s="1"/>
  <c r="AQ46" i="1"/>
  <c r="AR46" i="1"/>
  <c r="AQ45" i="1"/>
  <c r="AR45" i="1"/>
  <c r="X43" i="1"/>
  <c r="AX43" i="1" s="1"/>
  <c r="Y43" i="1" s="1"/>
  <c r="Z43" i="1"/>
  <c r="AY43" i="1" s="1"/>
  <c r="AA43" i="1" s="1"/>
  <c r="AQ42" i="1"/>
  <c r="AR42" i="1"/>
  <c r="Z41" i="1"/>
  <c r="AY41" i="1" s="1"/>
  <c r="AA41" i="1" s="1"/>
  <c r="AN35" i="1"/>
  <c r="AZ35" i="1" s="1"/>
  <c r="AO35" i="1" s="1"/>
  <c r="Z35" i="1"/>
  <c r="AY35" i="1" s="1"/>
  <c r="AA35" i="1" s="1"/>
  <c r="AK33" i="1"/>
  <c r="Z28" i="1"/>
  <c r="AY28" i="1" s="1"/>
  <c r="AA28" i="1" s="1"/>
  <c r="AN27" i="1"/>
  <c r="AZ27" i="1" s="1"/>
  <c r="AO27" i="1" s="1"/>
  <c r="BB27" i="1"/>
  <c r="AJ27" i="1" s="1"/>
  <c r="AM27" i="1" s="1"/>
  <c r="AN26" i="1"/>
  <c r="AZ26" i="1" s="1"/>
  <c r="AO26" i="1" s="1"/>
  <c r="AK26" i="1"/>
  <c r="BB26" i="1"/>
  <c r="AJ26" i="1" s="1"/>
  <c r="AM26" i="1" s="1"/>
  <c r="AQ20" i="1"/>
  <c r="AR20" i="1"/>
  <c r="X20" i="1"/>
  <c r="AX20" i="1" s="1"/>
  <c r="Y20" i="1" s="1"/>
  <c r="Z20" i="1"/>
  <c r="AY20" i="1" s="1"/>
  <c r="AA20" i="1" s="1"/>
  <c r="AR15" i="1"/>
  <c r="AQ15" i="1"/>
  <c r="S62" i="1"/>
  <c r="S54" i="1"/>
  <c r="I33" i="1"/>
  <c r="AH33" i="1"/>
  <c r="I24" i="1"/>
  <c r="I8" i="1"/>
  <c r="Z58" i="1"/>
  <c r="AY58" i="1" s="1"/>
  <c r="AA58" i="1" s="1"/>
  <c r="BB54" i="1"/>
  <c r="AJ54" i="1" s="1"/>
  <c r="AM54" i="1" s="1"/>
  <c r="Z54" i="1"/>
  <c r="AY54" i="1" s="1"/>
  <c r="AA54" i="1" s="1"/>
  <c r="BB50" i="1"/>
  <c r="AJ50" i="1" s="1"/>
  <c r="AM50" i="1" s="1"/>
  <c r="AN50" i="1"/>
  <c r="AZ50" i="1" s="1"/>
  <c r="AO50" i="1" s="1"/>
  <c r="Z50" i="1"/>
  <c r="AY50" i="1" s="1"/>
  <c r="AA50" i="1" s="1"/>
  <c r="BB46" i="1"/>
  <c r="AJ46" i="1" s="1"/>
  <c r="AM46" i="1" s="1"/>
  <c r="AN46" i="1"/>
  <c r="AZ46" i="1" s="1"/>
  <c r="AO46" i="1" s="1"/>
  <c r="BB45" i="1"/>
  <c r="AJ45" i="1" s="1"/>
  <c r="AM45" i="1" s="1"/>
  <c r="AN44" i="1"/>
  <c r="AZ44" i="1" s="1"/>
  <c r="AO44" i="1" s="1"/>
  <c r="BB44" i="1"/>
  <c r="AJ44" i="1" s="1"/>
  <c r="AM44" i="1" s="1"/>
  <c r="BB43" i="1"/>
  <c r="AJ43" i="1" s="1"/>
  <c r="AM43" i="1" s="1"/>
  <c r="AK43" i="1"/>
  <c r="BB39" i="1"/>
  <c r="AJ39" i="1" s="1"/>
  <c r="AM39" i="1" s="1"/>
  <c r="AQ38" i="1"/>
  <c r="Z38" i="1"/>
  <c r="AY38" i="1" s="1"/>
  <c r="AA38" i="1" s="1"/>
  <c r="Z36" i="1"/>
  <c r="AY36" i="1" s="1"/>
  <c r="AA36" i="1" s="1"/>
  <c r="AK35" i="1"/>
  <c r="AX33" i="1"/>
  <c r="Y33" i="1" s="1"/>
  <c r="Z31" i="1"/>
  <c r="AY31" i="1" s="1"/>
  <c r="AA31" i="1" s="1"/>
  <c r="AK27" i="1"/>
  <c r="Z24" i="1"/>
  <c r="AY24" i="1" s="1"/>
  <c r="AA24" i="1" s="1"/>
  <c r="AR23" i="1"/>
  <c r="AQ23" i="1"/>
  <c r="X23" i="1"/>
  <c r="AX23" i="1" s="1"/>
  <c r="Y23" i="1" s="1"/>
  <c r="AN16" i="1"/>
  <c r="AZ16" i="1" s="1"/>
  <c r="AO16" i="1" s="1"/>
  <c r="AK16" i="1"/>
  <c r="AR32" i="1"/>
  <c r="AQ32" i="1"/>
  <c r="AR28" i="1"/>
  <c r="AQ28" i="1"/>
  <c r="Z27" i="1"/>
  <c r="AY27" i="1" s="1"/>
  <c r="AA27" i="1" s="1"/>
  <c r="Z16" i="1"/>
  <c r="AY16" i="1" s="1"/>
  <c r="AA16" i="1" s="1"/>
  <c r="AX16" i="1"/>
  <c r="Y16" i="1" s="1"/>
  <c r="Z44" i="1"/>
  <c r="AY44" i="1" s="1"/>
  <c r="AA44" i="1" s="1"/>
  <c r="AN31" i="1"/>
  <c r="AZ31" i="1" s="1"/>
  <c r="AO31" i="1" s="1"/>
  <c r="BB31" i="1"/>
  <c r="AJ31" i="1" s="1"/>
  <c r="AM31" i="1" s="1"/>
  <c r="X27" i="1"/>
  <c r="AX27" i="1" s="1"/>
  <c r="Y27" i="1" s="1"/>
  <c r="AR31" i="1"/>
  <c r="AR27" i="1"/>
  <c r="AX26" i="1"/>
  <c r="Y26" i="1" s="1"/>
  <c r="BB24" i="1"/>
  <c r="AJ24" i="1" s="1"/>
  <c r="AM24" i="1" s="1"/>
  <c r="AR24" i="1"/>
  <c r="AN23" i="1"/>
  <c r="AZ23" i="1" s="1"/>
  <c r="AO23" i="1" s="1"/>
  <c r="BB23" i="1"/>
  <c r="AJ23" i="1" s="1"/>
  <c r="AM23" i="1" s="1"/>
  <c r="BB22" i="1"/>
  <c r="AJ22" i="1" s="1"/>
  <c r="AM22" i="1" s="1"/>
  <c r="AR21" i="1"/>
  <c r="AN18" i="1"/>
  <c r="AZ18" i="1" s="1"/>
  <c r="AO18" i="1" s="1"/>
  <c r="Z18" i="1"/>
  <c r="AY18" i="1" s="1"/>
  <c r="AA18" i="1" s="1"/>
  <c r="AR11" i="1"/>
  <c r="AQ11" i="1"/>
  <c r="AK40" i="1"/>
  <c r="X40" i="1"/>
  <c r="AX40" i="1" s="1"/>
  <c r="Y40" i="1" s="1"/>
  <c r="AK36" i="1"/>
  <c r="X36" i="1"/>
  <c r="AX36" i="1" s="1"/>
  <c r="Y36" i="1" s="1"/>
  <c r="AK32" i="1"/>
  <c r="X32" i="1"/>
  <c r="AX32" i="1" s="1"/>
  <c r="Y32" i="1" s="1"/>
  <c r="BB30" i="1"/>
  <c r="AJ30" i="1" s="1"/>
  <c r="AM30" i="1" s="1"/>
  <c r="AN30" i="1"/>
  <c r="AZ30" i="1" s="1"/>
  <c r="AO30" i="1" s="1"/>
  <c r="Z30" i="1"/>
  <c r="AY30" i="1" s="1"/>
  <c r="AA30" i="1" s="1"/>
  <c r="AN14" i="1"/>
  <c r="AZ14" i="1" s="1"/>
  <c r="AO14" i="1" s="1"/>
  <c r="BB14" i="1"/>
  <c r="AJ14" i="1" s="1"/>
  <c r="AM14" i="1" s="1"/>
  <c r="X10" i="1"/>
  <c r="AX10" i="1" s="1"/>
  <c r="Y10" i="1" s="1"/>
  <c r="AN10" i="1"/>
  <c r="AZ10" i="1" s="1"/>
  <c r="AO10" i="1" s="1"/>
  <c r="BB10" i="1"/>
  <c r="AJ10" i="1" s="1"/>
  <c r="AM10" i="1" s="1"/>
  <c r="BB40" i="1"/>
  <c r="AJ40" i="1" s="1"/>
  <c r="AM40" i="1" s="1"/>
  <c r="BB36" i="1"/>
  <c r="AJ36" i="1" s="1"/>
  <c r="AM36" i="1" s="1"/>
  <c r="BB32" i="1"/>
  <c r="AJ32" i="1" s="1"/>
  <c r="AM32" i="1" s="1"/>
  <c r="AN19" i="1"/>
  <c r="AZ19" i="1" s="1"/>
  <c r="AO19" i="1" s="1"/>
  <c r="BB19" i="1"/>
  <c r="AJ19" i="1" s="1"/>
  <c r="AM19" i="1" s="1"/>
  <c r="Z14" i="1"/>
  <c r="AY14" i="1" s="1"/>
  <c r="AA14" i="1" s="1"/>
  <c r="Z13" i="1"/>
  <c r="AY13" i="1" s="1"/>
  <c r="AA13" i="1" s="1"/>
  <c r="AK10" i="1"/>
  <c r="AQ7" i="1"/>
  <c r="X19" i="1"/>
  <c r="AX19" i="1" s="1"/>
  <c r="Y19" i="1" s="1"/>
  <c r="AK15" i="1"/>
  <c r="X15" i="1"/>
  <c r="AX15" i="1" s="1"/>
  <c r="Y15" i="1" s="1"/>
  <c r="AK11" i="1"/>
  <c r="X11" i="1"/>
  <c r="AX11" i="1" s="1"/>
  <c r="Y11" i="1" s="1"/>
  <c r="BB9" i="1"/>
  <c r="AJ9" i="1" s="1"/>
  <c r="AM9" i="1" s="1"/>
  <c r="AN9" i="1"/>
  <c r="AZ9" i="1" s="1"/>
  <c r="AO9" i="1" s="1"/>
  <c r="Z9" i="1"/>
  <c r="AY9" i="1" s="1"/>
  <c r="AA9" i="1" s="1"/>
  <c r="AK7" i="1"/>
  <c r="X7" i="1"/>
  <c r="AX7" i="1" s="1"/>
  <c r="Y7" i="1" s="1"/>
  <c r="BB15" i="1"/>
  <c r="AJ15" i="1" s="1"/>
  <c r="AM15" i="1" s="1"/>
  <c r="BB11" i="1"/>
  <c r="AJ11" i="1" s="1"/>
  <c r="AM11" i="1" s="1"/>
  <c r="BB7" i="1"/>
  <c r="AJ7" i="1" s="1"/>
  <c r="AM7" i="1" s="1"/>
  <c r="I69" i="1"/>
  <c r="AI69" i="1" s="1"/>
  <c r="I52" i="1"/>
  <c r="I64" i="1"/>
  <c r="AI65" i="1" s="1"/>
  <c r="M65" i="1"/>
  <c r="O65" i="1" s="1"/>
  <c r="G60" i="1"/>
  <c r="I60" i="1" s="1"/>
  <c r="AI60" i="1" s="1"/>
  <c r="M49" i="1"/>
  <c r="O49" i="1" s="1"/>
  <c r="G48" i="1"/>
  <c r="I48" i="1" s="1"/>
  <c r="G44" i="1"/>
  <c r="I44" i="1" s="1"/>
  <c r="G27" i="1"/>
  <c r="M25" i="1"/>
  <c r="O25" i="1" s="1"/>
  <c r="M9" i="1"/>
  <c r="O9" i="1" s="1"/>
  <c r="T65" i="1"/>
  <c r="M54" i="1"/>
  <c r="O54" i="1" s="1"/>
  <c r="T66" i="1"/>
  <c r="S65" i="1"/>
  <c r="T61" i="1"/>
  <c r="T57" i="1"/>
  <c r="R54" i="1"/>
  <c r="T53" i="1"/>
  <c r="R50" i="1"/>
  <c r="T49" i="1"/>
  <c r="T48" i="1"/>
  <c r="T44" i="1"/>
  <c r="I36" i="1"/>
  <c r="M30" i="1"/>
  <c r="O30" i="1" s="1"/>
  <c r="S28" i="1"/>
  <c r="T28" i="1"/>
  <c r="I20" i="1"/>
  <c r="M14" i="1"/>
  <c r="O14" i="1" s="1"/>
  <c r="S12" i="1"/>
  <c r="T12" i="1"/>
  <c r="G68" i="1"/>
  <c r="I68" i="1" s="1"/>
  <c r="G64" i="1"/>
  <c r="G56" i="1"/>
  <c r="I56" i="1" s="1"/>
  <c r="AI56" i="1" s="1"/>
  <c r="G52" i="1"/>
  <c r="G47" i="1"/>
  <c r="T45" i="1"/>
  <c r="R45" i="1"/>
  <c r="G43" i="1"/>
  <c r="S36" i="1"/>
  <c r="T36" i="1"/>
  <c r="G28" i="1"/>
  <c r="I28" i="1" s="1"/>
  <c r="S20" i="1"/>
  <c r="T20" i="1"/>
  <c r="G12" i="1"/>
  <c r="I12" i="1" s="1"/>
  <c r="T69" i="1"/>
  <c r="M58" i="1"/>
  <c r="O58" i="1" s="1"/>
  <c r="I40" i="1"/>
  <c r="S32" i="1"/>
  <c r="T32" i="1"/>
  <c r="S16" i="1"/>
  <c r="T16" i="1"/>
  <c r="T70" i="1"/>
  <c r="S69" i="1"/>
  <c r="S63" i="1"/>
  <c r="O62" i="1"/>
  <c r="S61" i="1"/>
  <c r="S59" i="1"/>
  <c r="S57" i="1"/>
  <c r="S55" i="1"/>
  <c r="S53" i="1"/>
  <c r="S51" i="1"/>
  <c r="S49" i="1"/>
  <c r="R48" i="1"/>
  <c r="L48" i="1"/>
  <c r="S45" i="1"/>
  <c r="R44" i="1"/>
  <c r="L44" i="1"/>
  <c r="M42" i="1"/>
  <c r="O42" i="1" s="1"/>
  <c r="S40" i="1"/>
  <c r="T40" i="1"/>
  <c r="R36" i="1"/>
  <c r="L32" i="1"/>
  <c r="M26" i="1"/>
  <c r="O26" i="1" s="1"/>
  <c r="S24" i="1"/>
  <c r="T24" i="1"/>
  <c r="R20" i="1"/>
  <c r="L16" i="1"/>
  <c r="M13" i="1"/>
  <c r="O13" i="1" s="1"/>
  <c r="M10" i="1"/>
  <c r="O10" i="1" s="1"/>
  <c r="S8" i="1"/>
  <c r="T8" i="1"/>
  <c r="I47" i="1"/>
  <c r="I43" i="1"/>
  <c r="R41" i="1"/>
  <c r="I39" i="1"/>
  <c r="R37" i="1"/>
  <c r="I35" i="1"/>
  <c r="R33" i="1"/>
  <c r="I31" i="1"/>
  <c r="R29" i="1"/>
  <c r="I27" i="1"/>
  <c r="R25" i="1"/>
  <c r="I23" i="1"/>
  <c r="R21" i="1"/>
  <c r="I19" i="1"/>
  <c r="R17" i="1"/>
  <c r="I15" i="1"/>
  <c r="AI16" i="1" s="1"/>
  <c r="R13" i="1"/>
  <c r="I11" i="1"/>
  <c r="R9" i="1"/>
  <c r="I7" i="1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P21" i="3"/>
  <c r="CP20" i="3"/>
  <c r="CP19" i="3"/>
  <c r="CP18" i="3"/>
  <c r="CP17" i="3"/>
  <c r="CP16" i="3"/>
  <c r="CP15" i="3"/>
  <c r="CP14" i="3"/>
  <c r="CP13" i="3"/>
  <c r="CP12" i="3"/>
  <c r="CP11" i="3"/>
  <c r="CP10" i="3"/>
  <c r="CP9" i="3"/>
  <c r="CP8" i="3"/>
  <c r="CP7" i="3"/>
  <c r="CP6" i="3"/>
  <c r="CP5" i="3"/>
  <c r="Z15" i="1" l="1"/>
  <c r="AY15" i="1" s="1"/>
  <c r="AA15" i="1" s="1"/>
  <c r="M33" i="1"/>
  <c r="O33" i="1" s="1"/>
  <c r="AI33" i="1"/>
  <c r="Z40" i="1"/>
  <c r="AY40" i="1" s="1"/>
  <c r="AA40" i="1" s="1"/>
  <c r="AI21" i="1"/>
  <c r="AI30" i="1"/>
  <c r="AI37" i="1"/>
  <c r="AI42" i="1"/>
  <c r="AI66" i="1"/>
  <c r="M66" i="1"/>
  <c r="O66" i="1" s="1"/>
  <c r="AI18" i="1"/>
  <c r="M59" i="1"/>
  <c r="O59" i="1" s="1"/>
  <c r="AI59" i="1"/>
  <c r="Z57" i="1"/>
  <c r="AY57" i="1" s="1"/>
  <c r="AA57" i="1" s="1"/>
  <c r="M7" i="1"/>
  <c r="O7" i="1" s="1"/>
  <c r="AI7" i="1"/>
  <c r="M15" i="1"/>
  <c r="O15" i="1" s="1"/>
  <c r="AI15" i="1"/>
  <c r="M23" i="1"/>
  <c r="O23" i="1" s="1"/>
  <c r="AI23" i="1"/>
  <c r="M31" i="1"/>
  <c r="O31" i="1" s="1"/>
  <c r="AI31" i="1"/>
  <c r="M39" i="1"/>
  <c r="O39" i="1" s="1"/>
  <c r="AI39" i="1"/>
  <c r="AI28" i="1"/>
  <c r="M44" i="1"/>
  <c r="O44" i="1" s="1"/>
  <c r="AI44" i="1"/>
  <c r="Z23" i="1"/>
  <c r="AY23" i="1" s="1"/>
  <c r="AA23" i="1" s="1"/>
  <c r="M29" i="1"/>
  <c r="O29" i="1" s="1"/>
  <c r="M12" i="1"/>
  <c r="O12" i="1" s="1"/>
  <c r="AI12" i="1"/>
  <c r="AI48" i="1"/>
  <c r="M64" i="1"/>
  <c r="O64" i="1" s="1"/>
  <c r="AI64" i="1"/>
  <c r="Z10" i="1"/>
  <c r="AY10" i="1" s="1"/>
  <c r="AA10" i="1" s="1"/>
  <c r="AI8" i="1"/>
  <c r="M22" i="1"/>
  <c r="O22" i="1" s="1"/>
  <c r="AI22" i="1"/>
  <c r="AI32" i="1"/>
  <c r="M38" i="1"/>
  <c r="O38" i="1" s="1"/>
  <c r="AI38" i="1"/>
  <c r="AI57" i="1"/>
  <c r="Z45" i="1"/>
  <c r="AY45" i="1" s="1"/>
  <c r="AA45" i="1" s="1"/>
  <c r="AI25" i="1"/>
  <c r="AI70" i="1"/>
  <c r="AI61" i="1"/>
  <c r="Z69" i="1"/>
  <c r="AY69" i="1" s="1"/>
  <c r="AA69" i="1" s="1"/>
  <c r="M47" i="1"/>
  <c r="O47" i="1" s="1"/>
  <c r="AI47" i="1"/>
  <c r="Z19" i="1"/>
  <c r="AY19" i="1" s="1"/>
  <c r="AA19" i="1" s="1"/>
  <c r="M11" i="1"/>
  <c r="O11" i="1" s="1"/>
  <c r="AI11" i="1"/>
  <c r="M19" i="1"/>
  <c r="O19" i="1" s="1"/>
  <c r="AI19" i="1"/>
  <c r="M27" i="1"/>
  <c r="O27" i="1" s="1"/>
  <c r="AI27" i="1"/>
  <c r="M35" i="1"/>
  <c r="O35" i="1" s="1"/>
  <c r="AI35" i="1"/>
  <c r="M43" i="1"/>
  <c r="O43" i="1" s="1"/>
  <c r="AI43" i="1"/>
  <c r="M40" i="1"/>
  <c r="O40" i="1" s="1"/>
  <c r="AI40" i="1"/>
  <c r="M68" i="1"/>
  <c r="O68" i="1" s="1"/>
  <c r="AI68" i="1"/>
  <c r="M20" i="1"/>
  <c r="O20" i="1" s="1"/>
  <c r="AI20" i="1"/>
  <c r="M36" i="1"/>
  <c r="O36" i="1" s="1"/>
  <c r="AI36" i="1"/>
  <c r="M37" i="1"/>
  <c r="O37" i="1" s="1"/>
  <c r="M52" i="1"/>
  <c r="O52" i="1" s="1"/>
  <c r="AI52" i="1"/>
  <c r="Z11" i="1"/>
  <c r="AY11" i="1" s="1"/>
  <c r="AA11" i="1" s="1"/>
  <c r="Z32" i="1"/>
  <c r="AY32" i="1" s="1"/>
  <c r="AA32" i="1" s="1"/>
  <c r="AI24" i="1"/>
  <c r="AI13" i="1"/>
  <c r="M17" i="1"/>
  <c r="O17" i="1" s="1"/>
  <c r="AI17" i="1"/>
  <c r="M34" i="1"/>
  <c r="O34" i="1" s="1"/>
  <c r="AI34" i="1"/>
  <c r="AI45" i="1"/>
  <c r="AI53" i="1"/>
  <c r="AI26" i="1"/>
  <c r="AI9" i="1"/>
  <c r="Z66" i="1"/>
  <c r="AY66" i="1" s="1"/>
  <c r="AA66" i="1" s="1"/>
  <c r="AI54" i="1"/>
  <c r="Z67" i="1"/>
  <c r="AY67" i="1" s="1"/>
  <c r="AA67" i="1" s="1"/>
  <c r="AI29" i="1"/>
  <c r="AI41" i="1"/>
  <c r="M50" i="1"/>
  <c r="O50" i="1" s="1"/>
  <c r="AI50" i="1"/>
  <c r="M51" i="1"/>
  <c r="O51" i="1" s="1"/>
  <c r="M46" i="1"/>
  <c r="O46" i="1" s="1"/>
  <c r="AI46" i="1"/>
  <c r="AI49" i="1"/>
  <c r="Z62" i="1"/>
  <c r="AY62" i="1" s="1"/>
  <c r="AA62" i="1" s="1"/>
  <c r="M67" i="1"/>
  <c r="O67" i="1" s="1"/>
  <c r="AI67" i="1"/>
  <c r="AI51" i="1"/>
  <c r="M56" i="1"/>
  <c r="O56" i="1" s="1"/>
  <c r="M57" i="1"/>
  <c r="O57" i="1" s="1"/>
  <c r="M60" i="1"/>
  <c r="O60" i="1" s="1"/>
  <c r="M61" i="1"/>
  <c r="O61" i="1" s="1"/>
  <c r="M21" i="1"/>
  <c r="O21" i="1" s="1"/>
  <c r="M53" i="1"/>
  <c r="O53" i="1" s="1"/>
  <c r="M8" i="1"/>
  <c r="O8" i="1" s="1"/>
  <c r="M69" i="1"/>
  <c r="O69" i="1" s="1"/>
  <c r="M70" i="1"/>
  <c r="O70" i="1" s="1"/>
  <c r="M41" i="1"/>
  <c r="O41" i="1" s="1"/>
  <c r="M16" i="1"/>
  <c r="O16" i="1" s="1"/>
  <c r="M32" i="1"/>
  <c r="O32" i="1" s="1"/>
  <c r="M28" i="1"/>
  <c r="O28" i="1" s="1"/>
  <c r="M45" i="1"/>
  <c r="O45" i="1" s="1"/>
  <c r="M48" i="1"/>
  <c r="O48" i="1" s="1"/>
  <c r="M24" i="1"/>
  <c r="O24" i="1" s="1"/>
  <c r="BF5" i="1"/>
  <c r="BF6" i="1"/>
  <c r="BF4" i="1"/>
  <c r="N18" i="4" l="1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AU6" i="1"/>
  <c r="AG6" i="1"/>
  <c r="AU5" i="1"/>
  <c r="AG5" i="1"/>
  <c r="K6" i="1"/>
  <c r="L6" i="1" s="1"/>
  <c r="A6" i="1"/>
  <c r="K5" i="1"/>
  <c r="L5" i="1" s="1"/>
  <c r="A5" i="1"/>
  <c r="AU4" i="1" l="1"/>
  <c r="AG4" i="1"/>
  <c r="K4" i="1"/>
  <c r="C3" i="6" l="1"/>
  <c r="C2" i="6"/>
  <c r="N3" i="4"/>
  <c r="CP4" i="3"/>
  <c r="AB5" i="1" l="1"/>
  <c r="AF6" i="1"/>
  <c r="V6" i="1"/>
  <c r="AF5" i="1"/>
  <c r="W5" i="1"/>
  <c r="AB6" i="1"/>
  <c r="BE6" i="1"/>
  <c r="AS6" i="1"/>
  <c r="AE6" i="1"/>
  <c r="BE5" i="1"/>
  <c r="AS5" i="1"/>
  <c r="AE5" i="1"/>
  <c r="V5" i="1"/>
  <c r="J6" i="1"/>
  <c r="BA6" i="1" s="1"/>
  <c r="J5" i="1"/>
  <c r="BA5" i="1" s="1"/>
  <c r="B5" i="1"/>
  <c r="AW5" i="1" s="1"/>
  <c r="AB4" i="1"/>
  <c r="X4" i="1" s="1"/>
  <c r="BD6" i="1"/>
  <c r="AP6" i="1"/>
  <c r="AD6" i="1"/>
  <c r="BD5" i="1"/>
  <c r="AP5" i="1"/>
  <c r="AN5" i="1" s="1"/>
  <c r="AZ5" i="1" s="1"/>
  <c r="AO5" i="1" s="1"/>
  <c r="AD5" i="1"/>
  <c r="Q6" i="1"/>
  <c r="D6" i="1"/>
  <c r="Q5" i="1"/>
  <c r="D5" i="1"/>
  <c r="BC6" i="1"/>
  <c r="W6" i="1"/>
  <c r="BC5" i="1"/>
  <c r="P6" i="1"/>
  <c r="C6" i="1"/>
  <c r="P5" i="1"/>
  <c r="C5" i="1"/>
  <c r="B6" i="1"/>
  <c r="AW6" i="1" s="1"/>
  <c r="AN6" i="1"/>
  <c r="AZ6" i="1" s="1"/>
  <c r="AO6" i="1" s="1"/>
  <c r="B4" i="1"/>
  <c r="AW4" i="1" s="1"/>
  <c r="F4" i="1" s="1"/>
  <c r="AH4" i="1" s="1"/>
  <c r="BE4" i="1"/>
  <c r="AS4" i="1"/>
  <c r="W4" i="1"/>
  <c r="AF4" i="1"/>
  <c r="V4" i="1"/>
  <c r="BC4" i="1"/>
  <c r="AE4" i="1"/>
  <c r="BD4" i="1"/>
  <c r="AP4" i="1"/>
  <c r="J4" i="1"/>
  <c r="BA4" i="1" s="1"/>
  <c r="Q4" i="1"/>
  <c r="AD4" i="1"/>
  <c r="P4" i="1"/>
  <c r="C4" i="1"/>
  <c r="D4" i="1"/>
  <c r="L4" i="1"/>
  <c r="A4" i="1"/>
  <c r="Z4" i="1" l="1"/>
  <c r="G6" i="1"/>
  <c r="H6" i="1"/>
  <c r="R6" i="1"/>
  <c r="S6" i="1"/>
  <c r="T6" i="1"/>
  <c r="AQ6" i="1"/>
  <c r="AR6" i="1"/>
  <c r="AK6" i="1"/>
  <c r="BB6" i="1"/>
  <c r="AJ6" i="1" s="1"/>
  <c r="AM6" i="1" s="1"/>
  <c r="AQ5" i="1"/>
  <c r="AR5" i="1"/>
  <c r="G5" i="1"/>
  <c r="H5" i="1"/>
  <c r="R5" i="1"/>
  <c r="T5" i="1"/>
  <c r="S5" i="1"/>
  <c r="AK5" i="1"/>
  <c r="BB5" i="1"/>
  <c r="AJ5" i="1" s="1"/>
  <c r="AM5" i="1" s="1"/>
  <c r="X6" i="1"/>
  <c r="AX6" i="1" s="1"/>
  <c r="Y6" i="1" s="1"/>
  <c r="X5" i="1"/>
  <c r="AX5" i="1" s="1"/>
  <c r="Y5" i="1" s="1"/>
  <c r="Z5" i="1"/>
  <c r="AY5" i="1" s="1"/>
  <c r="AA5" i="1" s="1"/>
  <c r="S4" i="1"/>
  <c r="F5" i="1"/>
  <c r="E5" i="1"/>
  <c r="E6" i="1"/>
  <c r="F6" i="1"/>
  <c r="AK4" i="1"/>
  <c r="BB4" i="1"/>
  <c r="AJ4" i="1" s="1"/>
  <c r="AM4" i="1" s="1"/>
  <c r="AN4" i="1"/>
  <c r="AZ4" i="1" s="1"/>
  <c r="AO4" i="1" s="1"/>
  <c r="AY4" i="1"/>
  <c r="AA4" i="1" s="1"/>
  <c r="AQ4" i="1"/>
  <c r="AR4" i="1"/>
  <c r="E4" i="1"/>
  <c r="H4" i="1"/>
  <c r="T4" i="1"/>
  <c r="R4" i="1"/>
  <c r="G4" i="1"/>
  <c r="I4" i="1" s="1"/>
  <c r="I5" i="1" l="1"/>
  <c r="Z6" i="1"/>
  <c r="AY6" i="1" s="1"/>
  <c r="AA6" i="1" s="1"/>
  <c r="I6" i="1"/>
  <c r="AH6" i="1"/>
  <c r="AH5" i="1"/>
  <c r="AX4" i="1"/>
  <c r="Y4" i="1" s="1"/>
  <c r="AI4" i="1"/>
  <c r="M4" i="1"/>
  <c r="O4" i="1" s="1"/>
  <c r="AI5" i="1" l="1"/>
  <c r="AI6" i="1" s="1"/>
  <c r="M5" i="1"/>
  <c r="O5" i="1" s="1"/>
  <c r="M6" i="1" l="1"/>
  <c r="O6" i="1" s="1"/>
</calcChain>
</file>

<file path=xl/comments1.xml><?xml version="1.0" encoding="utf-8"?>
<comments xmlns="http://schemas.openxmlformats.org/spreadsheetml/2006/main">
  <authors>
    <author>Scherbatkin, Dmitry D.</author>
  </authors>
  <commentList>
    <comment ref="BJ3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Данное поле может отсутствовать в опросном листе, поскольку содержится в Пирамида-Сети в паспорте как атрибут Типа прибора (заводится при создании Типа ПУ)
</t>
        </r>
      </text>
    </comment>
    <comment ref="BK3" authorId="0" shapeId="0">
      <text>
        <r>
          <rPr>
            <sz val="9"/>
            <color indexed="81"/>
            <rFont val="Tahoma"/>
            <family val="2"/>
            <charset val="204"/>
          </rPr>
          <t>Данное поле может отсутствовать в опросном листе, поскольку является расчетной величиной на основании указанной даты последней поверке и значения межповерочного интервала, который содержится в Пирамида-Сети, являясь атрибутом Типа ПУ</t>
        </r>
      </text>
    </comment>
  </commentList>
</comments>
</file>

<file path=xl/sharedStrings.xml><?xml version="1.0" encoding="utf-8"?>
<sst xmlns="http://schemas.openxmlformats.org/spreadsheetml/2006/main" count="2658" uniqueCount="1265">
  <si>
    <t>Субьект рынка</t>
  </si>
  <si>
    <t>Потребитель</t>
  </si>
  <si>
    <t>Р</t>
  </si>
  <si>
    <t>РиМ-384</t>
  </si>
  <si>
    <t>Красногорский</t>
  </si>
  <si>
    <t>РЭС</t>
  </si>
  <si>
    <t>ТП</t>
  </si>
  <si>
    <t>Дмитровский</t>
  </si>
  <si>
    <t>Код РЭС</t>
  </si>
  <si>
    <t>Район Электрических Сетей</t>
  </si>
  <si>
    <t>Сетевой филиал</t>
  </si>
  <si>
    <t>Воскресенский</t>
  </si>
  <si>
    <t>Зарайский</t>
  </si>
  <si>
    <t>Коломенский</t>
  </si>
  <si>
    <t>Луховицкий</t>
  </si>
  <si>
    <t>Озерский</t>
  </si>
  <si>
    <t>Балашихинский</t>
  </si>
  <si>
    <t>Ногинский</t>
  </si>
  <si>
    <t>Орехово-Зуевский</t>
  </si>
  <si>
    <t>Павлово-Посадский</t>
  </si>
  <si>
    <t>Егорьевский</t>
  </si>
  <si>
    <t>Шатурский</t>
  </si>
  <si>
    <t>Волоколамский</t>
  </si>
  <si>
    <t>Лотошинский</t>
  </si>
  <si>
    <t>Шаховской</t>
  </si>
  <si>
    <t>Истринский</t>
  </si>
  <si>
    <t>Одинцовский</t>
  </si>
  <si>
    <t>Можайский</t>
  </si>
  <si>
    <t>Наро-Фоминский</t>
  </si>
  <si>
    <t>Рузский</t>
  </si>
  <si>
    <t>Талдомский</t>
  </si>
  <si>
    <t>Клинский</t>
  </si>
  <si>
    <t>Химкинский</t>
  </si>
  <si>
    <t>Солнечногорский</t>
  </si>
  <si>
    <t>Мытищинский</t>
  </si>
  <si>
    <t>Пушкинский</t>
  </si>
  <si>
    <t>Сергиево-Посадский</t>
  </si>
  <si>
    <t>Каширский</t>
  </si>
  <si>
    <t>Серебряно-Прудский</t>
  </si>
  <si>
    <t>Ступинский</t>
  </si>
  <si>
    <t>Домодедовский</t>
  </si>
  <si>
    <t>Ленинский</t>
  </si>
  <si>
    <t>Подольский</t>
  </si>
  <si>
    <t>Раменский</t>
  </si>
  <si>
    <t>Серпуховской</t>
  </si>
  <si>
    <t>Чеховский</t>
  </si>
  <si>
    <t>Московский</t>
  </si>
  <si>
    <t>Новая Москва</t>
  </si>
  <si>
    <t>Троицкий</t>
  </si>
  <si>
    <t>Успенский</t>
  </si>
  <si>
    <t>Жуковский</t>
  </si>
  <si>
    <t>Тип электроустановки</t>
  </si>
  <si>
    <t>ПС</t>
  </si>
  <si>
    <t>РП</t>
  </si>
  <si>
    <t>ПКУ</t>
  </si>
  <si>
    <t>Тип учета</t>
  </si>
  <si>
    <t>расчетный</t>
  </si>
  <si>
    <t>контрольный</t>
  </si>
  <si>
    <t>технический</t>
  </si>
  <si>
    <t>связной адрес</t>
  </si>
  <si>
    <t>№
секции</t>
  </si>
  <si>
    <t>№ фидера
(ИИК)</t>
  </si>
  <si>
    <t>№ ячейки (5 цифр)</t>
  </si>
  <si>
    <t>пароль</t>
  </si>
  <si>
    <t>тип</t>
  </si>
  <si>
    <t>наименование</t>
  </si>
  <si>
    <t>Альфа</t>
  </si>
  <si>
    <t>ЕвроАльфа 1.1</t>
  </si>
  <si>
    <t>ЕвроАльфа 1.0</t>
  </si>
  <si>
    <t>Альфа+</t>
  </si>
  <si>
    <t>A1700</t>
  </si>
  <si>
    <t>ПСЧ-4ТМ.05</t>
  </si>
  <si>
    <t>СЭТ-4ТМ</t>
  </si>
  <si>
    <t>A3</t>
  </si>
  <si>
    <t>СC-300</t>
  </si>
  <si>
    <t>A1800</t>
  </si>
  <si>
    <t>A1140</t>
  </si>
  <si>
    <t>SL7000/761</t>
  </si>
  <si>
    <t>Энергомера</t>
  </si>
  <si>
    <t>EPQS</t>
  </si>
  <si>
    <t>Меркурий-23X</t>
  </si>
  <si>
    <t>LZQM</t>
  </si>
  <si>
    <t>Меркурий 203.2Т</t>
  </si>
  <si>
    <t>ZMD</t>
  </si>
  <si>
    <t>EMH LZQJ-XC</t>
  </si>
  <si>
    <t>ZMG</t>
  </si>
  <si>
    <t>Гамма 3/2</t>
  </si>
  <si>
    <t>DTSD546</t>
  </si>
  <si>
    <t>НИК2303</t>
  </si>
  <si>
    <t>AS3500/1440</t>
  </si>
  <si>
    <t>ПСЧ-3АР/CЭБ-2A</t>
  </si>
  <si>
    <t>ЦЕ-2727</t>
  </si>
  <si>
    <t>Маяк-302 АРТ</t>
  </si>
  <si>
    <t>AS220</t>
  </si>
  <si>
    <t>СТЭМ-3А</t>
  </si>
  <si>
    <t>Стэм-3B</t>
  </si>
  <si>
    <t>Сэм-1B</t>
  </si>
  <si>
    <t>DLMS счетчик</t>
  </si>
  <si>
    <t>МИР C-03/01</t>
  </si>
  <si>
    <t>МИР C-07/04</t>
  </si>
  <si>
    <t>CE-308 DLP</t>
  </si>
  <si>
    <t>CE-308/208 СПОДЭС</t>
  </si>
  <si>
    <t>CE-208 DLP</t>
  </si>
  <si>
    <t>Фобос</t>
  </si>
  <si>
    <t>СКВТ-Ф-МАРСЕН</t>
  </si>
  <si>
    <t>SMT Тесмек Рус</t>
  </si>
  <si>
    <t>Меркурий-23X СПОДЭС</t>
  </si>
  <si>
    <t>РиМ СПОДЭС</t>
  </si>
  <si>
    <t>Рокип СПОДЭС</t>
  </si>
  <si>
    <t>Нева СПОДЭС</t>
  </si>
  <si>
    <t>неизвестный</t>
  </si>
  <si>
    <t>виртуальный</t>
  </si>
  <si>
    <t>Северные ЭС</t>
  </si>
  <si>
    <t>Западные ЭС</t>
  </si>
  <si>
    <t>Восточные ЭС</t>
  </si>
  <si>
    <t>Южные ЭС</t>
  </si>
  <si>
    <t>МКС</t>
  </si>
  <si>
    <t>позиция
РЭС</t>
  </si>
  <si>
    <t>позиция
тип ПУ</t>
  </si>
  <si>
    <t>СТЭМ-300</t>
  </si>
  <si>
    <t>Waviot</t>
  </si>
  <si>
    <t>Миртек СПОДЭС</t>
  </si>
  <si>
    <t>тип DLMS</t>
  </si>
  <si>
    <t>код DLMS</t>
  </si>
  <si>
    <t>позиция
DLMS</t>
  </si>
  <si>
    <t>Папка каталога</t>
  </si>
  <si>
    <t>Точка опроса</t>
  </si>
  <si>
    <t>IP адрес</t>
  </si>
  <si>
    <t>Номер телефона</t>
  </si>
  <si>
    <t>tcp порт</t>
  </si>
  <si>
    <t>Порт модема</t>
  </si>
  <si>
    <t>Название объекта</t>
  </si>
  <si>
    <t>Класс напряжения, 
кВ</t>
  </si>
  <si>
    <t>Название секции
(необязательно)</t>
  </si>
  <si>
    <t>Дата установки</t>
  </si>
  <si>
    <t xml:space="preserve">Дата поверки </t>
  </si>
  <si>
    <t>Тип ПУ</t>
  </si>
  <si>
    <t>Тип ПУ
в БД</t>
  </si>
  <si>
    <t>Тип
DLMS</t>
  </si>
  <si>
    <t>Подтип DLMS</t>
  </si>
  <si>
    <t>Модель прибора учёта
(30 символов)</t>
  </si>
  <si>
    <t>Тип учёта
(К/Р/Т)</t>
  </si>
  <si>
    <t>Код объекта</t>
  </si>
  <si>
    <t>РТП</t>
  </si>
  <si>
    <t>КТП</t>
  </si>
  <si>
    <t>ВРУ</t>
  </si>
  <si>
    <t>Код ЭУ</t>
  </si>
  <si>
    <t>Тип ЭУ</t>
  </si>
  <si>
    <t>Номер ЭУ</t>
  </si>
  <si>
    <t>КРН</t>
  </si>
  <si>
    <t>ЗТП</t>
  </si>
  <si>
    <t>KTТ
1</t>
  </si>
  <si>
    <t>KTТ
2</t>
  </si>
  <si>
    <t>KТН
1</t>
  </si>
  <si>
    <t>КТН
2</t>
  </si>
  <si>
    <t>сер № ПУ</t>
  </si>
  <si>
    <t>01 р-н МКС (ЦОРУПЭ)</t>
  </si>
  <si>
    <t>10 р-н МКС (ЦОРУПЭ)</t>
  </si>
  <si>
    <t>02 р-н МКС (ЦОРУПЭ)</t>
  </si>
  <si>
    <t>03 р-н МКС (ЦОРУПЭ)</t>
  </si>
  <si>
    <t>04 р-н МКС (ЮОРУПЭ)</t>
  </si>
  <si>
    <t>05 р-н МКС (СВОРУПЭ)</t>
  </si>
  <si>
    <t>06 р-н МКС (ЦОРУПЭ)</t>
  </si>
  <si>
    <t>07 р-н МКС (ЮВОРУПЭ)</t>
  </si>
  <si>
    <t>08 р-н МКС (СЗОРУПЭ)</t>
  </si>
  <si>
    <t>09 р-н МКС (СВОРУПЭ)</t>
  </si>
  <si>
    <t>11 р-н МКС (ЮЗОРУПЭ)</t>
  </si>
  <si>
    <t>12 р-н МКС (СОРУПЭ)</t>
  </si>
  <si>
    <t>13 р-н МКС (СВОРУПЭ)</t>
  </si>
  <si>
    <t>14 р-н МКС (ВОРУПЭ)</t>
  </si>
  <si>
    <t>15 р-н МКС (ЮВОРУПЭ)</t>
  </si>
  <si>
    <t>16 р-н МКС (ЮОРУПЭ)</t>
  </si>
  <si>
    <t>17 р-н МКС (ЗОРУПЭ)</t>
  </si>
  <si>
    <t>18 р-н МКС (ВОРУПЭ)</t>
  </si>
  <si>
    <t>19 р-н МКС (СЗОРУПЭ)</t>
  </si>
  <si>
    <t>20 р-н МКС (ЗОРУПЭ)</t>
  </si>
  <si>
    <t>21 р-н МКС (СОРУПЭ)</t>
  </si>
  <si>
    <t>22 р-н МКС (ЮЗОРУПЭ)</t>
  </si>
  <si>
    <t>23 р-н МКС (ВОРУПЭ)</t>
  </si>
  <si>
    <t>24 р-н МКС (ЮОРУПЭ)</t>
  </si>
  <si>
    <t>25 р-н МКС (ЗОРУПЭ)</t>
  </si>
  <si>
    <t>39 р-н МКС (ЗелОРУПЭ)</t>
  </si>
  <si>
    <t>Дисп. наим. 
(100 символов)</t>
  </si>
  <si>
    <t>Краткое название фидера
(20 символов)</t>
  </si>
  <si>
    <t>Уровень доступа
0 - полный
1 - комм. чтение
2 -  чтение</t>
  </si>
  <si>
    <t>тип УСПД</t>
  </si>
  <si>
    <t>УСПД</t>
  </si>
  <si>
    <t>Smart RTU</t>
  </si>
  <si>
    <t>RTU-325</t>
  </si>
  <si>
    <t>СЭМ</t>
  </si>
  <si>
    <t>AC AMR Server</t>
  </si>
  <si>
    <t>Мегадата</t>
  </si>
  <si>
    <t>RTU-327</t>
  </si>
  <si>
    <t>Сикон С10 v2</t>
  </si>
  <si>
    <t>ЕК-260 газ</t>
  </si>
  <si>
    <t>ЭКОМ-3000</t>
  </si>
  <si>
    <t>Список МЭК-101/104</t>
  </si>
  <si>
    <t>Файлы Космотроника</t>
  </si>
  <si>
    <t>Файлы AMet</t>
  </si>
  <si>
    <t>ВЭП-01</t>
  </si>
  <si>
    <t>AC AMR Тепло</t>
  </si>
  <si>
    <t>Логика СПГ-761</t>
  </si>
  <si>
    <t>Меркурий-225</t>
  </si>
  <si>
    <t>УСПД 164-01М</t>
  </si>
  <si>
    <t>УППД Передача</t>
  </si>
  <si>
    <t>AC AMR Инет</t>
  </si>
  <si>
    <t>МК-01</t>
  </si>
  <si>
    <t>СЕ805М</t>
  </si>
  <si>
    <t>Вавиот</t>
  </si>
  <si>
    <t>SM160</t>
  </si>
  <si>
    <t>РиМ-099.03</t>
  </si>
  <si>
    <t>позиция
УСПД</t>
  </si>
  <si>
    <t>код УСПД</t>
  </si>
  <si>
    <t>сер. №</t>
  </si>
  <si>
    <t>login</t>
  </si>
  <si>
    <t>модель УСПД</t>
  </si>
  <si>
    <t>10 кВ</t>
  </si>
  <si>
    <t>класс напр.</t>
  </si>
  <si>
    <t>6 кВ</t>
  </si>
  <si>
    <t>20 кВ</t>
  </si>
  <si>
    <t>35 кВ</t>
  </si>
  <si>
    <t>110 кВ</t>
  </si>
  <si>
    <t>220 кВ</t>
  </si>
  <si>
    <t>0.4 кВ</t>
  </si>
  <si>
    <t>КТН1</t>
  </si>
  <si>
    <t>КТН2</t>
  </si>
  <si>
    <t>позиция напр.</t>
  </si>
  <si>
    <t>Субъект рынка: всегда = 3
Количество точек учёта вычисляется по первой пустой строке.
Жёлтые ячейки: вычисляются по формуле, не рекомендуется исправлять руками!
Оранжевые ячейки: выбор значений из выпадающего списка</t>
  </si>
  <si>
    <t>Меркурий 234</t>
  </si>
  <si>
    <t>Пульсар 1фз</t>
  </si>
  <si>
    <t>CE-318 BY</t>
  </si>
  <si>
    <t>Милур СПОДЭС</t>
  </si>
  <si>
    <t>Инкотекс ..2080</t>
  </si>
  <si>
    <t>Квант ST</t>
  </si>
  <si>
    <t>Нартис-300</t>
  </si>
  <si>
    <t>Нартис-300 пр, 30мин</t>
  </si>
  <si>
    <t>М234 без месячных показаний</t>
  </si>
  <si>
    <t>Квант ST ..2080</t>
  </si>
  <si>
    <t>М234 без авточтений</t>
  </si>
  <si>
    <t>Инкотекс X2 ..2080</t>
  </si>
  <si>
    <t>Инкотекс X2 ..2222</t>
  </si>
  <si>
    <t>СПОДЭС (общий)</t>
  </si>
  <si>
    <t>СТЭМ-300 2</t>
  </si>
  <si>
    <t>СТЭМ-300 универсальный</t>
  </si>
  <si>
    <t>Милур 107S</t>
  </si>
  <si>
    <t>Милур 307S</t>
  </si>
  <si>
    <t>Милур общий</t>
  </si>
  <si>
    <t>МИР С-04</t>
  </si>
  <si>
    <t>МИР С-05</t>
  </si>
  <si>
    <t>МИР С-07</t>
  </si>
  <si>
    <t>Щёлковский</t>
  </si>
  <si>
    <t>ЦК</t>
  </si>
  <si>
    <t>Инкотекс 2222</t>
  </si>
  <si>
    <t>Инкотекс 2080</t>
  </si>
  <si>
    <t>Нартис-И300 2080</t>
  </si>
  <si>
    <t>Нартис-И300 стд</t>
  </si>
  <si>
    <t>Инкотекс 2</t>
  </si>
  <si>
    <t>К</t>
  </si>
  <si>
    <t>Т</t>
  </si>
  <si>
    <t>Модем</t>
  </si>
  <si>
    <t>МВС</t>
  </si>
  <si>
    <t>ОВЭС САО</t>
  </si>
  <si>
    <t>ОВЭС СЗАО</t>
  </si>
  <si>
    <t>ОВЭС ЗАО</t>
  </si>
  <si>
    <t>ОВЭС ЮЗАО</t>
  </si>
  <si>
    <t>ОВЭС ВАО</t>
  </si>
  <si>
    <t>ОВЭС ЮАО</t>
  </si>
  <si>
    <t>ОВЭС ЮВАО</t>
  </si>
  <si>
    <t>ОВЭС СВАО</t>
  </si>
  <si>
    <t>ОВЭС ЦАО</t>
  </si>
  <si>
    <t>ОВЭС Зеленоградский АО</t>
  </si>
  <si>
    <t>Версия шаблона импорта от 09.04.2024</t>
  </si>
  <si>
    <t>№ п/п</t>
  </si>
  <si>
    <t>ПЭС v.1.18</t>
  </si>
  <si>
    <t>Опора</t>
  </si>
  <si>
    <t>Адрес</t>
  </si>
  <si>
    <t>ПУ</t>
  </si>
  <si>
    <t>Трансформаторы</t>
  </si>
  <si>
    <t>Связь с ПУ</t>
  </si>
  <si>
    <t>Абонент</t>
  </si>
  <si>
    <t>Область видимости</t>
  </si>
  <si>
    <t>Тариф</t>
  </si>
  <si>
    <r>
      <t>К</t>
    </r>
    <r>
      <rPr>
        <b/>
        <sz val="11"/>
        <color theme="1"/>
        <rFont val="Calibri"/>
        <family val="2"/>
        <charset val="204"/>
      </rPr>
      <t>омментарии</t>
    </r>
  </si>
  <si>
    <t>Высокая сторона</t>
  </si>
  <si>
    <t>Низкая сторона</t>
  </si>
  <si>
    <t>Код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</si>
  <si>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</si>
  <si>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</si>
  <si>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</si>
  <si>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</si>
  <si>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</si>
  <si>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</si>
  <si>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</si>
  <si>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</si>
  <si>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Номер</t>
  </si>
  <si>
    <t>Широта</t>
  </si>
  <si>
    <t>Долгота</t>
  </si>
  <si>
    <t>Адрес ФИАС</t>
  </si>
  <si>
    <t>Квартира</t>
  </si>
  <si>
    <t>Тип ТУ</t>
  </si>
  <si>
    <t>Серийный номер</t>
  </si>
  <si>
    <t>Дата выпуска</t>
  </si>
  <si>
    <t>Дата последней поверки</t>
  </si>
  <si>
    <t>Межповерочный интервал</t>
  </si>
  <si>
    <t>Дата следующей поверки (расчетное)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</si>
  <si>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</si>
  <si>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</si>
  <si>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</si>
  <si>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</si>
  <si>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</si>
  <si>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</si>
  <si>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</si>
  <si>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</si>
  <si>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</si>
  <si>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</si>
  <si>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</si>
  <si>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</si>
  <si>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</si>
  <si>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</si>
  <si>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№*1</t>
  </si>
  <si>
    <t>Москва</t>
  </si>
  <si>
    <t>Ячейка присоединения</t>
  </si>
  <si>
    <t>Высокий уровень доступа (HLS)</t>
  </si>
  <si>
    <t>Место установки</t>
  </si>
  <si>
    <t>Связь с УСПД</t>
  </si>
  <si>
    <t>Тип УСПД</t>
  </si>
  <si>
    <t>Миландр - Милур GSM/GPRS модем</t>
  </si>
  <si>
    <t>Идентификатор (ICC ID)</t>
  </si>
  <si>
    <t>Старый IP-адрес или Точка доступа (APN)</t>
  </si>
  <si>
    <t>IP-адрес</t>
  </si>
  <si>
    <t>Физический адрес</t>
  </si>
  <si>
    <t>*1</t>
  </si>
  <si>
    <t>18100109</t>
  </si>
  <si>
    <t>18300064</t>
  </si>
  <si>
    <t>2-3 (E)</t>
  </si>
  <si>
    <t>2-2 (AF)</t>
  </si>
  <si>
    <t>2-1 (AF)</t>
  </si>
  <si>
    <t>2-8 (BO)</t>
  </si>
  <si>
    <t>(AO)</t>
  </si>
  <si>
    <t>2-4 (BN)</t>
  </si>
  <si>
    <t>1-1 (BF)</t>
  </si>
  <si>
    <t>2-5 (BH)</t>
  </si>
  <si>
    <t>2-6 (BI)</t>
  </si>
  <si>
    <t>ручн</t>
  </si>
  <si>
    <t>1-2 (BD)</t>
  </si>
  <si>
    <t>(CI)</t>
  </si>
  <si>
    <t>1-3 (CB)</t>
  </si>
  <si>
    <t>1-4 (CD)</t>
  </si>
  <si>
    <t>1-5 (CE)</t>
  </si>
  <si>
    <t>1-6 (CE)</t>
  </si>
  <si>
    <t>2-7 (CE)</t>
  </si>
  <si>
    <t>исх</t>
  </si>
  <si>
    <t>1-7 (CG)</t>
  </si>
  <si>
    <t>TELEOFIS WRX708-L4</t>
  </si>
  <si>
    <t>УКС г.Зеленоград</t>
  </si>
  <si>
    <t>ищем IP по ПУ или УСПД
 (со слешами могут)</t>
  </si>
  <si>
    <t>ЭУ</t>
  </si>
  <si>
    <t>ЭУ РП</t>
  </si>
  <si>
    <t>Коммент</t>
  </si>
  <si>
    <t>Основание для импорта</t>
  </si>
  <si>
    <t>3-6 ЦК</t>
  </si>
  <si>
    <t>Приказ 9/1140</t>
  </si>
  <si>
    <t>Приказ 1132</t>
  </si>
  <si>
    <t>Прибор учета 6-20кВ</t>
  </si>
  <si>
    <t>Доп. услуги</t>
  </si>
  <si>
    <t>Программа установки</t>
  </si>
  <si>
    <t>Автоматизация</t>
  </si>
  <si>
    <t>Автоматизация 2024</t>
  </si>
  <si>
    <t>ИПР</t>
  </si>
  <si>
    <t>ИПР 2024</t>
  </si>
  <si>
    <t>ПКУ 2024</t>
  </si>
  <si>
    <t>ТОиР</t>
  </si>
  <si>
    <t>ТОиР 2021</t>
  </si>
  <si>
    <t>ТОиР 2022</t>
  </si>
  <si>
    <t>ТОиР 2023</t>
  </si>
  <si>
    <t>ТОиР 2024</t>
  </si>
  <si>
    <t>ТП 2021</t>
  </si>
  <si>
    <t>ТП 2022</t>
  </si>
  <si>
    <t>ТП 2023</t>
  </si>
  <si>
    <t>ТП 2024</t>
  </si>
  <si>
    <t>ФЗ 522</t>
  </si>
  <si>
    <t>ФЗ 522 2020</t>
  </si>
  <si>
    <t>ФЗ 522 2021</t>
  </si>
  <si>
    <t>ФЗ 522 2022</t>
  </si>
  <si>
    <t>ФЗ 522 2023</t>
  </si>
  <si>
    <t>ФЗ 522 2024</t>
  </si>
  <si>
    <t>Хозспособ</t>
  </si>
  <si>
    <t>Хозспособ 2022</t>
  </si>
  <si>
    <t>Хозспособ 2023</t>
  </si>
  <si>
    <t>Хозспособ 2024</t>
  </si>
  <si>
    <t>Цифровой РЭС</t>
  </si>
  <si>
    <t>Цифровой РЭС 2024</t>
  </si>
  <si>
    <t>ROSSETI77AS.MSK</t>
  </si>
  <si>
    <t/>
  </si>
  <si>
    <t>(АЦ!) проверка</t>
  </si>
  <si>
    <t>08691353-5460-45fd-bf75-1b2a6e52a013</t>
  </si>
  <si>
    <t>1</t>
  </si>
  <si>
    <t>Н/Д</t>
  </si>
  <si>
    <t>СШ</t>
  </si>
  <si>
    <t>Ввод 0000</t>
  </si>
  <si>
    <t>Москва г, Ц АО, Тверской р-н, Варварка ул, д 6</t>
  </si>
  <si>
    <t>Коммерческая</t>
  </si>
  <si>
    <t>Приборы с поддержкой протокола СПОДЭС - Меркурий 234 (СПОДЭС)</t>
  </si>
  <si>
    <t>47279618</t>
  </si>
  <si>
    <t>09.10.2024</t>
  </si>
  <si>
    <t>16</t>
  </si>
  <si>
    <t>3</t>
  </si>
  <si>
    <t>2222222222222222</t>
  </si>
  <si>
    <t>Megafon, 79992784434, 10.82.241.12:4001</t>
  </si>
  <si>
    <t>19.01.2025</t>
  </si>
  <si>
    <t>54f8fa17-4887-4cff-b467-7075832ded26</t>
  </si>
  <si>
    <t>ТелеПозиционныйПроект - Шлюз Гермес</t>
  </si>
  <si>
    <t>GermesTPP</t>
  </si>
  <si>
    <t>Маршрут Гермес|IP для отправки команд=10.68.18.75|Порт для отправки команд=9997|IP для досбора=10.68.18.75|Порт для досбора=13340|Локальный TCP порт входящих данных=11223|Приоритет (числовой, начиная с 0 -  высшего значения)=0|Категория=Комбинированный|Класс=Маршрут Гермес|Отключен=False</t>
  </si>
  <si>
    <t>b09506d3-8dd1-4339-a68a-592b5e43cc4c</t>
  </si>
  <si>
    <t>ТелеПозиционныйПроект - ComMod A</t>
  </si>
  <si>
    <t>ComMod A</t>
  </si>
  <si>
    <t>e471d1a3-df2a-4531-bdd5-ca01937f5dbd</t>
  </si>
  <si>
    <t>Системы и технологии, Промприбор - SM160</t>
  </si>
  <si>
    <t>24898</t>
  </si>
  <si>
    <t>Megafon, 79264318091, 10.81.192.76:5002</t>
  </si>
  <si>
    <t>23.03.2023</t>
  </si>
  <si>
    <t>21.09.2023</t>
  </si>
  <si>
    <t>07.09.2023</t>
  </si>
  <si>
    <t>1234</t>
  </si>
  <si>
    <t>01.06.2022</t>
  </si>
  <si>
    <t>ec93e28c-7ece-4166-80fa-d9e2ea791257</t>
  </si>
  <si>
    <t>ТП-29666</t>
  </si>
  <si>
    <t>ЭНТЕЛС - ЭНТЕК E1R2-G (RTU-327)</t>
  </si>
  <si>
    <t>3000-4553</t>
  </si>
  <si>
    <t>16.04.2021</t>
  </si>
  <si>
    <t>07.06.2021</t>
  </si>
  <si>
    <t>entek</t>
  </si>
  <si>
    <t>89996617141</t>
  </si>
  <si>
    <t>9f0ac929-bd2e-44f9-bd5e-c9fd3fa9f803</t>
  </si>
  <si>
    <t>ТП-30804</t>
  </si>
  <si>
    <t>ЭНТЕЛС - ЭНТЕК E2R2 (РСЦ)</t>
  </si>
  <si>
    <t>2002-1686</t>
  </si>
  <si>
    <t>Megafon, 79251511831, 10.82.157.36:5001</t>
  </si>
  <si>
    <t>8480c470-2550-46dd-a33c-a92be3fc2270</t>
  </si>
  <si>
    <t>Прософт-Системы - ARIS 28хх</t>
  </si>
  <si>
    <t>1915948</t>
  </si>
  <si>
    <t>31.12.2019</t>
  </si>
  <si>
    <t>admin</t>
  </si>
  <si>
    <t>Megafon, 79992768936, 10.81.128.55:5001</t>
  </si>
  <si>
    <t>c0f77567-8e62-4af9-94a7-009762632126</t>
  </si>
  <si>
    <t>ТП-29890</t>
  </si>
  <si>
    <t>Эльстер Метроника - RTU-325</t>
  </si>
  <si>
    <t>12060</t>
  </si>
  <si>
    <t>11.03.2019</t>
  </si>
  <si>
    <t>metronica</t>
  </si>
  <si>
    <t>BeeLine, 70820366366, 10.79.224.248:5010</t>
  </si>
  <si>
    <t>302979b9-b6b2-400b-8e03-104b99838fa4</t>
  </si>
  <si>
    <t>РТП- (2-я Бауманская, д 9/23)</t>
  </si>
  <si>
    <t>Эльстер Метроника - RTU-327</t>
  </si>
  <si>
    <t>26327</t>
  </si>
  <si>
    <t>123</t>
  </si>
  <si>
    <t>Megafon, 79996617188, 10.82.2.192:5001</t>
  </si>
  <si>
    <t>10.06.2023</t>
  </si>
  <si>
    <t>10.10.2023</t>
  </si>
  <si>
    <t>ТП-30669</t>
  </si>
  <si>
    <t>МТС, 79100501135, 10.192.126.234:5050</t>
  </si>
  <si>
    <t>98174a18-dcd9-4829-82a0-934cb737b82a</t>
  </si>
  <si>
    <t>ТП-16352</t>
  </si>
  <si>
    <t>Связь Инжиниринг М - УМ-40 SMART</t>
  </si>
  <si>
    <t>200000960506</t>
  </si>
  <si>
    <t>adminum40</t>
  </si>
  <si>
    <t>Маршрут Http-клиент|Порт=80|IP-адрес или DNS-имя=10.210.211.229|SIM-карта=Megafon, 79262641380, 10.210.211.229|Приоритет (числовой, начиная с 0 -  высшего значения)=0|Категория=Комбинированный|Класс=Маршрут Http-клиент</t>
  </si>
  <si>
    <t>ac2ae018-fb0b-425a-88c5-d60f0f28eb91</t>
  </si>
  <si>
    <t>ТП-21504</t>
  </si>
  <si>
    <t>Связь Инжиниринг М - УМ-40 (RTU-327)</t>
  </si>
  <si>
    <t>200000388638</t>
  </si>
  <si>
    <t>26.10.2023</t>
  </si>
  <si>
    <t>Megafon, 79268880794, 10.194.218.162:5001/Megafon, 79268880794, 10.194.218.162:5001</t>
  </si>
  <si>
    <t>7f0b4ee8-9a33-48ea-a09a-aa522ea203c6</t>
  </si>
  <si>
    <t>ТП-11537</t>
  </si>
  <si>
    <t>Связь Инжиниринг М - УМ-31 SMART</t>
  </si>
  <si>
    <t>200000391621</t>
  </si>
  <si>
    <t>Маршрут Http-клиент|Порт=80|IP-адрес или DNS-имя=10.208.168.112|SIM-карта=Megafon, 79257319735, 10.208.168.112|Приоритет (числовой, начиная с 0 -  высшего значения)=0|Категория=Комбинированный|Класс=Маршрут Http-клиент</t>
  </si>
  <si>
    <t>98ce51e4-9131-442c-9733-7f44c9965e86</t>
  </si>
  <si>
    <t>352224459823647</t>
  </si>
  <si>
    <t>Megafon, 79254927178, 10.194.5.132:4002/Megafon, 79254927178, 10.194.5.132:4002</t>
  </si>
  <si>
    <t>c0298c72-d7a8-46bf-a565-1c398de5453d</t>
  </si>
  <si>
    <t>МИРТЕК - УСПД МИРТ-881 (РСЦ)</t>
  </si>
  <si>
    <t>200404001205</t>
  </si>
  <si>
    <t>Megafon, 79995959276, 10.82.126.7:5001/Megafon, 79995959276, 10.82.126.7:44445/Megafon, 79995959276, 10.82.126.7:44445/Megafon, 79995959276, 10.82.126.7:5001</t>
  </si>
  <si>
    <t>dc9be77f-924e-4636-91b6-72aeb3fb54cc</t>
  </si>
  <si>
    <t>Систел - УСПД Атлас</t>
  </si>
  <si>
    <t>247225040500000</t>
  </si>
  <si>
    <t>c01c50ab-5453-4312-be65-15aadde72a77</t>
  </si>
  <si>
    <t>РТП-28095</t>
  </si>
  <si>
    <t>ТОПАЗ - ТОПАЗ УСПД</t>
  </si>
  <si>
    <t>2400011928</t>
  </si>
  <si>
    <t>24.03.2023</t>
  </si>
  <si>
    <t>МТС, 79856408306, 10.192.84.219:5001/МТС, 79856408306, 10.192.84.219:5001</t>
  </si>
  <si>
    <t>55403199-fe82-40be-9c99-c928e9a82f72</t>
  </si>
  <si>
    <t>ТП-18394</t>
  </si>
  <si>
    <t>Завод НАРТИС - УСПД ШЛ-ZB-L</t>
  </si>
  <si>
    <t>112302002863</t>
  </si>
  <si>
    <t>17.05.2024</t>
  </si>
  <si>
    <t>2e7a65e869b7ac747dc29567e1f8183b</t>
  </si>
  <si>
    <t>Маршрут ШЛ-ZB-L|Приоритет (числовой, начиная с 0 -  высшего значения)=0|Категория=Комбинированный|Класс=Маршрут ШЛ-ZB-L|Порт для отправки запросов=4052|IP для отправки запросов=10.209.119.34</t>
  </si>
  <si>
    <t>№ ПУ А-Ц</t>
  </si>
  <si>
    <t>79162212579</t>
  </si>
  <si>
    <t>'89701018291251942183</t>
  </si>
  <si>
    <t>10.212.180.240</t>
  </si>
  <si>
    <t>ТП-[МКС/16] б/н</t>
  </si>
  <si>
    <t>СШ-1</t>
  </si>
  <si>
    <t>ячейка-1</t>
  </si>
  <si>
    <t>фидер-1</t>
  </si>
  <si>
    <t>Москва г, Ю АО, Зябликово р-н, Ореховый проезд, д 35 корп 3 стр 3</t>
  </si>
  <si>
    <t>Техническая</t>
  </si>
  <si>
    <t>Приборы с поддержкой протокола СПОДЭС - Нартис-И300 (СПОДЭС)</t>
  </si>
  <si>
    <t>023240254570</t>
  </si>
  <si>
    <t>0000000000002080</t>
  </si>
  <si>
    <t>Megafon, 79264320972, 10.210.207.60:4001</t>
  </si>
  <si>
    <t>Т3</t>
  </si>
  <si>
    <t>Тех.учет</t>
  </si>
  <si>
    <t>21</t>
  </si>
  <si>
    <t>н/д</t>
  </si>
  <si>
    <t>Москва г, С АО, Ховрино р-н, Клинская ул, д 20</t>
  </si>
  <si>
    <t>46150805</t>
  </si>
  <si>
    <t>23.11.2021</t>
  </si>
  <si>
    <t>23.11.2037</t>
  </si>
  <si>
    <t>Megafon, 79296182640, 10.81.213.111:4001</t>
  </si>
  <si>
    <t>Т1</t>
  </si>
  <si>
    <t>МОЭК и пр.</t>
  </si>
  <si>
    <t>Москва г, В АО, Косино-Ухтомский р-н, Каскадная ул, д 31</t>
  </si>
  <si>
    <t>55.70599</t>
  </si>
  <si>
    <t>37.8813</t>
  </si>
  <si>
    <t>Приборы с поддержкой протокола СПОДЭС - Нартис-И100 (СПОДЭС)</t>
  </si>
  <si>
    <t>021240212524</t>
  </si>
  <si>
    <t>Megafon, 79268454113, 10.210.247.142:4001</t>
  </si>
  <si>
    <t>Москва г, З АО, Новопеределкино р-н, 1-я Лазенки ул, д 9 стр 1</t>
  </si>
  <si>
    <t>55.65862</t>
  </si>
  <si>
    <t>37.36674</t>
  </si>
  <si>
    <t>Приборы с поддержкой протокола СПОДЭС - Нартис-300 (СПОДЭС)</t>
  </si>
  <si>
    <t>24015273</t>
  </si>
  <si>
    <t>20.04.2024</t>
  </si>
  <si>
    <t>Megafon, 79269219025, 10.210.216.46:4001</t>
  </si>
  <si>
    <t>ТП МКС (16 РЭР)</t>
  </si>
  <si>
    <t>ячейка 1</t>
  </si>
  <si>
    <t>фидер  1</t>
  </si>
  <si>
    <t>Москва г, Ю АО, Чертаново Южное р-н, Кирпичные Выемки ул, д 5</t>
  </si>
  <si>
    <t>Приборы с поддержкой протокола СПОДЭС - СЕ308 (СПОДЭС)</t>
  </si>
  <si>
    <t>012930192811626</t>
  </si>
  <si>
    <t>1234567812345678</t>
  </si>
  <si>
    <t>Megafon, 79264626231, 10.210.177.243:4001</t>
  </si>
  <si>
    <t>20</t>
  </si>
  <si>
    <t>ТП-15830</t>
  </si>
  <si>
    <t>ОЛ-1</t>
  </si>
  <si>
    <t>55.644739</t>
  </si>
  <si>
    <t>37.468876</t>
  </si>
  <si>
    <t>Инкотекс - Меркурий 234</t>
  </si>
  <si>
    <t>45486252</t>
  </si>
  <si>
    <t>19.10.2021</t>
  </si>
  <si>
    <t>19.10.2037</t>
  </si>
  <si>
    <t>53</t>
  </si>
  <si>
    <t>"222222"</t>
  </si>
  <si>
    <t>10.78.179.21:4001</t>
  </si>
  <si>
    <t>352224458190899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</si>
  <si>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Серая зона</t>
  </si>
  <si>
    <t>14</t>
  </si>
  <si>
    <t>ТП-24357</t>
  </si>
  <si>
    <t>яч.2</t>
  </si>
  <si>
    <t>вв абонента А</t>
  </si>
  <si>
    <t>Москва г, В АО, Вешняки р-н, Косинская ул, д 11А</t>
  </si>
  <si>
    <t>Инкотекс - Меркурий 234 (Постоянная счетчика - 1000, Учитываемые типы энергии - А+,А-,Р+,Р-)</t>
  </si>
  <si>
    <t>44352853</t>
  </si>
  <si>
    <t>16.05.2021</t>
  </si>
  <si>
    <t>16.05.2037</t>
  </si>
  <si>
    <t>0039492 (ТПШ-0,66 (Класс точности - 0,5, Номинальный ток первичной обмотки - 1000 А, Номинальный ток вторичной обмотки - 5 А))</t>
  </si>
  <si>
    <t>0039486 (ТПШ-0,66 (Класс точности - 0,5, Номинальный ток первичной обмотки - 1000 А, Номинальный ток вторичной обмотки - 5 А))</t>
  </si>
  <si>
    <t>0039495 (ТПШ-0,66 (Класс точности - 0,5, Номинальный ток первичной обмотки - 1000 А, Номинальный ток вторичной обмотки - 5 А))</t>
  </si>
  <si>
    <t>222222</t>
  </si>
  <si>
    <t>Megafon, 79995951289, 10.82.248.229:4001</t>
  </si>
  <si>
    <t>77690001005889 (ЮЛ)</t>
  </si>
  <si>
    <t>ЮЭС</t>
  </si>
  <si>
    <t>432</t>
  </si>
  <si>
    <t>29</t>
  </si>
  <si>
    <t>400</t>
  </si>
  <si>
    <t>Фидер 1</t>
  </si>
  <si>
    <t>Москва г, ЮЗ АО, Южное Бутово р-н, Адмирала Лазарева ул, д 11</t>
  </si>
  <si>
    <t>55,545375</t>
  </si>
  <si>
    <t>37,539158</t>
  </si>
  <si>
    <t>МИРТЕК - МИРТЕК-12-РУ</t>
  </si>
  <si>
    <t>2210144314522</t>
  </si>
  <si>
    <t>01.01.2020</t>
  </si>
  <si>
    <t>01.01.2036</t>
  </si>
  <si>
    <t>14522</t>
  </si>
  <si>
    <t>062402008901 (Завод НАРТИС - УСПД ШЛ-ZB-L)|Класс=Маршрут через ШЛ-ZB-L|Идентификатор устройства=BE0F5B16006F0D00|Категория=Комбинированный|Приоритет (числовой, начиная с 0 -  высшего значения)=0|Класс=Маршрут через ШЛ-ZB-L</t>
  </si>
  <si>
    <t>15019-001-58 (Ф)</t>
  </si>
  <si>
    <t>591</t>
  </si>
  <si>
    <t>15</t>
  </si>
  <si>
    <t>314</t>
  </si>
  <si>
    <t>Москва г, ЮЗ АО, Теплый Стан р-н, Теплый Стан ул, д 21</t>
  </si>
  <si>
    <t>54,471671</t>
  </si>
  <si>
    <t>38,624140</t>
  </si>
  <si>
    <t>МИРТЕК - МИРТЕК-32-РУ</t>
  </si>
  <si>
    <t>0210274543318</t>
  </si>
  <si>
    <t>43318</t>
  </si>
  <si>
    <t>112402012687 (Завод НАРТИС - УСПД ШЛ-ZB-L)|Класс=Маршрут через ШЛ-ZB-L|Идентификатор устройства=DE6D1C16006F0D00|Категория=Комбинированный|Приоритет (числовой, начиная с 0 -  высшего значения)=0|Класс=Маршрут через ШЛ-ZB-L</t>
  </si>
  <si>
    <t>15018-077-50 (Ф)</t>
  </si>
  <si>
    <t>Т2</t>
  </si>
  <si>
    <t>11</t>
  </si>
  <si>
    <t>ТП МКС (11 РЭР)</t>
  </si>
  <si>
    <t>Москва г, ЮЗ АО, Ясенево р-н, Новоясеневский пр-кт, д 13 корп 1</t>
  </si>
  <si>
    <t>НЗиФ - ПСЧ-4ТМ.05</t>
  </si>
  <si>
    <t>304082321</t>
  </si>
  <si>
    <t>10.04.2018</t>
  </si>
  <si>
    <t>10</t>
  </si>
  <si>
    <t>10.04.2028</t>
  </si>
  <si>
    <t>000000</t>
  </si>
  <si>
    <t>Megafon, 79254070935, 10.78.39.216:5001</t>
  </si>
  <si>
    <t>200000314446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</si>
  <si>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МКД</t>
  </si>
  <si>
    <t>ТП МКС (б/н)</t>
  </si>
  <si>
    <t>Москва г, В АО, Косино-Ухтомский р-н, Михельсона ул, д 22</t>
  </si>
  <si>
    <t>55,7019214</t>
  </si>
  <si>
    <t>37,8605094</t>
  </si>
  <si>
    <t>Приборы с поддержкой протокола СПОДЭС - Меркурий 204 (СПОДЭС)</t>
  </si>
  <si>
    <t>47224302</t>
  </si>
  <si>
    <t>15.02.2022</t>
  </si>
  <si>
    <t>Megafon, 79256193567, 10.82.36.18:4001/Megafon, 79256193567, 10.82.36.18:4001</t>
  </si>
  <si>
    <t>ТП-30656</t>
  </si>
  <si>
    <t>ВВ абонента 1</t>
  </si>
  <si>
    <t>ВРУ-0,4  кВ_Луч А</t>
  </si>
  <si>
    <t>Москва г, ЮВ АО, Некрасовка поселок р-н, Маршала Ерёменко ул, д 1 корп 4</t>
  </si>
  <si>
    <t>55,710824</t>
  </si>
  <si>
    <t>37,940876</t>
  </si>
  <si>
    <t>Инкотекс - Меркурий 234 (Класс точности измерения реактивной энергии - 2, Номинальное напряжение - 220 (380) В, Номинальный ток - 5 А, Постоянная счетчика - 250, Класс точности - 1, Учитываемые типы энергии - А+,А-,Р+,Р-)</t>
  </si>
  <si>
    <t>47291539</t>
  </si>
  <si>
    <t>39</t>
  </si>
  <si>
    <t>002080</t>
  </si>
  <si>
    <t>356945321960938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</si>
  <si>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77680001000038 (ЮЛ)</t>
  </si>
  <si>
    <t>Не принят ПНР</t>
  </si>
  <si>
    <t>4</t>
  </si>
  <si>
    <t>ТП-15306</t>
  </si>
  <si>
    <t>ВВ абонента</t>
  </si>
  <si>
    <t>ВРЩ-0,22 кВ_потребителя</t>
  </si>
  <si>
    <t>Москва г, Ю АО, Даниловский р-н, Серпуховский Вал ул, д 5 стр 3</t>
  </si>
  <si>
    <t>Инкотекс - Меркурий 234 (Постоянная счетчика - 250, Учитываемые типы энергии - А+,А-,Р+,Р-)</t>
  </si>
  <si>
    <t>46119564</t>
  </si>
  <si>
    <t>08.10.2021</t>
  </si>
  <si>
    <t>01.01.2022</t>
  </si>
  <si>
    <t>01.01.2038</t>
  </si>
  <si>
    <t>64</t>
  </si>
  <si>
    <t>Megafon, 79295758385, 10.82.60.213:4001</t>
  </si>
  <si>
    <t>77670001013457 (ЮЛ)</t>
  </si>
  <si>
    <t>ТП-11321</t>
  </si>
  <si>
    <t>Ввод абонента</t>
  </si>
  <si>
    <t>ВРУ-0,4кВ_потребителя</t>
  </si>
  <si>
    <t>Москва г, ЮЗ АО, Ломоносовский р-н, Кравченко ул, д 6</t>
  </si>
  <si>
    <t>55,6773756</t>
  </si>
  <si>
    <t>37,521571</t>
  </si>
  <si>
    <t>Приборы с поддержкой протокола СПОДЭС - КВАНТ ST2000-12 (СПОДЭС)</t>
  </si>
  <si>
    <t>435030024131</t>
  </si>
  <si>
    <t>15.12.2021</t>
  </si>
  <si>
    <t>15.12.2037</t>
  </si>
  <si>
    <t>116123 (Т-0,66М У3)</t>
  </si>
  <si>
    <t>116120 (Т-0,66М У3)</t>
  </si>
  <si>
    <t>116126 (Т-0,66М У3)</t>
  </si>
  <si>
    <t>МТС, 79858534621, 10.192.36.218:4001</t>
  </si>
  <si>
    <t>77700001012056 (ЮЛ)</t>
  </si>
  <si>
    <t>ТП-14979</t>
  </si>
  <si>
    <t>Москва г, Ю АО, Орехово-Борисово Северное р-н, Ореховый б-р, д 11 корп 1 стр 2</t>
  </si>
  <si>
    <t>55,6111526</t>
  </si>
  <si>
    <t>37,7114367</t>
  </si>
  <si>
    <t>Инкотекс - Меркурий 236 (Постоянная счетчика - 250, Учитываемые типы энергии - А+,А-,Р+,Р-)</t>
  </si>
  <si>
    <t>45011879</t>
  </si>
  <si>
    <t>28.08.2021</t>
  </si>
  <si>
    <t>28.08.2037</t>
  </si>
  <si>
    <t>79</t>
  </si>
  <si>
    <t>352224458273869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</si>
  <si>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77670001002666 (Акционерное общество "Москоллектор")</t>
  </si>
  <si>
    <t>2</t>
  </si>
  <si>
    <t>ТП-22300</t>
  </si>
  <si>
    <t>СШ-2</t>
  </si>
  <si>
    <t>вв 81283+81284, луч Б</t>
  </si>
  <si>
    <t>Москва г, Ц АО, Хамовники р-н, Большой Власьевский пер, д 14 стр 2</t>
  </si>
  <si>
    <t>55,7465361</t>
  </si>
  <si>
    <t>37,5916183</t>
  </si>
  <si>
    <t>Инкотекс - Меркурий 204</t>
  </si>
  <si>
    <t>45033558</t>
  </si>
  <si>
    <t>07.04.2021</t>
  </si>
  <si>
    <t>58</t>
  </si>
  <si>
    <t>Megafon, 79268236173, 10.211.140.124:4001</t>
  </si>
  <si>
    <t>77620001010489 (ЮЛ)</t>
  </si>
  <si>
    <t>5</t>
  </si>
  <si>
    <t>ТП-10698</t>
  </si>
  <si>
    <t>вв 17667 А</t>
  </si>
  <si>
    <t>ВРУ-0,4 кВ_потребителя</t>
  </si>
  <si>
    <t>Москва г, СВ АО, Марфино р-н, Гостиничная ул, д 9</t>
  </si>
  <si>
    <t>Инкотекс - Меркурий 236</t>
  </si>
  <si>
    <t>45177539</t>
  </si>
  <si>
    <t>27.08.2021</t>
  </si>
  <si>
    <t>27.08.2037</t>
  </si>
  <si>
    <t>Megafon, 79268079341, 10.194.94.76:4002</t>
  </si>
  <si>
    <t>352224458257003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</t>
  </si>
  <si>
    <t>77610001010874 (ЮЛ)</t>
  </si>
  <si>
    <t>25</t>
  </si>
  <si>
    <t>ТП-25639</t>
  </si>
  <si>
    <t>Москва г, З АО, Филевский парк р-н, Новозаводская ул, д 25 корп 3</t>
  </si>
  <si>
    <t>Инкотекс - Меркурий 206</t>
  </si>
  <si>
    <t>47030977</t>
  </si>
  <si>
    <t>22.08.2022</t>
  </si>
  <si>
    <t>22.08.2038</t>
  </si>
  <si>
    <t>352224459205811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</si>
  <si>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77680001000049 (ЮЛ)</t>
  </si>
  <si>
    <t>ТП-24980</t>
  </si>
  <si>
    <t>ВВ абонент 1.А</t>
  </si>
  <si>
    <t>Москва г, ЮЗ АО, Гагаринский р-н, Вавилова ул, д 24 корп 1</t>
  </si>
  <si>
    <t>55,701755</t>
  </si>
  <si>
    <t>37,577768</t>
  </si>
  <si>
    <t>Инкотекс - Меркурий 230</t>
  </si>
  <si>
    <t>44529586</t>
  </si>
  <si>
    <t>05.06.2021</t>
  </si>
  <si>
    <t>05.06.2031</t>
  </si>
  <si>
    <t>Ю535198 (ТПП-0,66)</t>
  </si>
  <si>
    <t>Ю535191 (ТПП-0,66)</t>
  </si>
  <si>
    <t>Ю535196 (ТПП-0,66)</t>
  </si>
  <si>
    <t>86</t>
  </si>
  <si>
    <t>Megafon, 79253736807, 10.194.1.112:4002</t>
  </si>
  <si>
    <t>ТП-23138</t>
  </si>
  <si>
    <t>ВЛ-0,4кВ</t>
  </si>
  <si>
    <t>Москва г, С АО, Молжаниновский р-н, Колпинская ул, д 17</t>
  </si>
  <si>
    <t>Приборы с поддержкой протокола СПОДЭС - МИР С-05 (СПОДЭС)</t>
  </si>
  <si>
    <t>47821222081327</t>
  </si>
  <si>
    <t>18.04.2022</t>
  </si>
  <si>
    <t>00000000</t>
  </si>
  <si>
    <t>Megafon, 79252824791, 10.82.7.171:4001</t>
  </si>
  <si>
    <t>ТП-28722</t>
  </si>
  <si>
    <t>ВЛ-0,4 кВ</t>
  </si>
  <si>
    <t>Москва г, С АО, Молжаниновский р-н, Новосёлки 2-я ул, д 13</t>
  </si>
  <si>
    <t>Приборы с поддержкой протокола СПОДЭС - МИРТЕК-32-РУ (СПОДЭС)</t>
  </si>
  <si>
    <t>022N283100388</t>
  </si>
  <si>
    <t>01.04.2022</t>
  </si>
  <si>
    <t>ТП-28944</t>
  </si>
  <si>
    <t>Москва г, С АО, Молжаниновский р-н, Ленинградское шоссе, д 236</t>
  </si>
  <si>
    <t>Приборы с поддержкой протокола СПОДЭС - МИРТЕК-12-РУ (СПОДЭС)</t>
  </si>
  <si>
    <t>922N144353217</t>
  </si>
  <si>
    <t>05.04.2022</t>
  </si>
  <si>
    <t>12</t>
  </si>
  <si>
    <t>ТП-11540</t>
  </si>
  <si>
    <t>вв 26053 школа-интернат столовая</t>
  </si>
  <si>
    <t>Москва г, С АО, Беговой р-н, Расковой ул, д 20А стр 1</t>
  </si>
  <si>
    <t>Инкотекс - Меркурий 234 (Класс точности - 1, Учитываемые типы энергии - А+,А-,Р+,Р-)</t>
  </si>
  <si>
    <t>45717381</t>
  </si>
  <si>
    <t>18.11.2021</t>
  </si>
  <si>
    <t>18.11.2037</t>
  </si>
  <si>
    <t>81</t>
  </si>
  <si>
    <t>Megafon, 79258554062, 10.210.228.49:4001</t>
  </si>
  <si>
    <t>77630001013183 (ЮЛ)</t>
  </si>
  <si>
    <t>6</t>
  </si>
  <si>
    <t>ТП-146</t>
  </si>
  <si>
    <t>вв 59186</t>
  </si>
  <si>
    <t>Москва г, Ц АО, Тверской р-н, Ильинка ул, д 6/1 стр 1</t>
  </si>
  <si>
    <t>Инкотекс - Меркурий 230 (Постоянная счетчика - 1000, Учитываемые типы энергии - А+,А-,Р+,Р-)</t>
  </si>
  <si>
    <t>43716483</t>
  </si>
  <si>
    <t>04.02.2021</t>
  </si>
  <si>
    <t>04.02.2031</t>
  </si>
  <si>
    <t>83</t>
  </si>
  <si>
    <t>Megafon, 79265397091, 10.82.243.154:4001</t>
  </si>
  <si>
    <t>77620001006916 (ЮЛ)</t>
  </si>
  <si>
    <t>19</t>
  </si>
  <si>
    <t>ТП-22648</t>
  </si>
  <si>
    <t>вв от опоры МГС А</t>
  </si>
  <si>
    <t>Москва г, СЗ АО, Хорошево-Мневники р-н, Хорошёвского Серебряного Бора 2-я линия ул, д 41 корп 1</t>
  </si>
  <si>
    <t>Инкотекс - Меркурий 234 (Постоянная счетчика - 500, Учитываемые типы энергии - А+,А-,Р+,Р-)</t>
  </si>
  <si>
    <t>46145605</t>
  </si>
  <si>
    <t>15.11.2021</t>
  </si>
  <si>
    <t>15.11.2037</t>
  </si>
  <si>
    <t>10.78.177.232:4001</t>
  </si>
  <si>
    <t>50108-179-21 (Ф)</t>
  </si>
  <si>
    <t>17</t>
  </si>
  <si>
    <t>ТП-6886</t>
  </si>
  <si>
    <t>ВВ 89556 А</t>
  </si>
  <si>
    <t>Москва г, З АО, Кунцево р-н, Маршала Тимошенко ул, д 32</t>
  </si>
  <si>
    <t>Инкотекс - Меркурий 234 (Постоянная счетчика - 1250)</t>
  </si>
  <si>
    <t>46150826</t>
  </si>
  <si>
    <t>20.11.2021</t>
  </si>
  <si>
    <t>20.11.2037</t>
  </si>
  <si>
    <t>26</t>
  </si>
  <si>
    <t>МТС, 79801662975, 10.212.54.55:4001</t>
  </si>
  <si>
    <t>77640001006570 (ЮЛ)</t>
  </si>
  <si>
    <t>Москва г, СЗ АО, Митино р-н, Пятницкое шоссе, д 58  ( 55.863265 37.356251)</t>
  </si>
  <si>
    <t>ТехноЭнерго - ТЕ3000</t>
  </si>
  <si>
    <t>2002240288</t>
  </si>
  <si>
    <t>88</t>
  </si>
  <si>
    <t>Megafon, 79253674634, 10.210.234.12:4001</t>
  </si>
  <si>
    <t>Москва г, В АО, Гольяново р-н, Новосибирская ул, д 5 корп. 1</t>
  </si>
  <si>
    <t>НЗиФ - ПСЧ-4ТМ.05 (Номинальное напряжение - 220 (380) В, Номинальный ток - 5 А, Постоянная счетчика - 1250, Учитываемые типы энергии - А+,А-,Р+,Р-)</t>
  </si>
  <si>
    <t>312077857</t>
  </si>
  <si>
    <t>19.04.2018</t>
  </si>
  <si>
    <t>19.04.2028</t>
  </si>
  <si>
    <t>57</t>
  </si>
  <si>
    <t>BeeLine, 70820367913, 10.79.231.17:5001</t>
  </si>
  <si>
    <t>97628469 (ЮЛ)</t>
  </si>
  <si>
    <t>8</t>
  </si>
  <si>
    <t>Москва г, СЗ АО, Митино р-н, Староспасская ул, д 33 к а</t>
  </si>
  <si>
    <t>55,830994</t>
  </si>
  <si>
    <t>37,3898583</t>
  </si>
  <si>
    <t>МИР - МИР С-05</t>
  </si>
  <si>
    <t>47821222077447</t>
  </si>
  <si>
    <t>02.10.2022</t>
  </si>
  <si>
    <t>02.10.2038</t>
  </si>
  <si>
    <t>7447</t>
  </si>
  <si>
    <t>Megafon, 79269983980, 10.82.51.215:4001/Megafon, 79269983980, 10.82.51.215:4001</t>
  </si>
  <si>
    <t>37085-007-68 (Ф)</t>
  </si>
  <si>
    <t>РТП-28010 НТЦ им.Х.А.Самаранча</t>
  </si>
  <si>
    <t>яч. Ввод 1 секц.</t>
  </si>
  <si>
    <t>Ввод 1 секц.</t>
  </si>
  <si>
    <t>Москва г, Ц АО, Таганский р-н, Пестовский пер, д 12</t>
  </si>
  <si>
    <t>НЗиФ - СЭТ-4ТМ.02 (Номинальный ток - 5 А, Учитываемые типы энергии - А+,А-,Р+,Р-)</t>
  </si>
  <si>
    <t>806151439</t>
  </si>
  <si>
    <t>01.01.2007</t>
  </si>
  <si>
    <t>01.08.2015</t>
  </si>
  <si>
    <t>01.08.2025</t>
  </si>
  <si>
    <t>BeeLine, 70899204153, 10.79.183.105:4002</t>
  </si>
  <si>
    <t>РТП 10 кВ ЗАО Олминея</t>
  </si>
  <si>
    <t>яч. Ввод 1</t>
  </si>
  <si>
    <t>Ввод 1</t>
  </si>
  <si>
    <t>Москва г, Ц АО, Красносельский р-н, Новорязанская ул, д 24</t>
  </si>
  <si>
    <t>НЗиФ - СЭТ-4ТМ.02 (Номинальное напряжение - 220 (380) В, Номинальный ток - 5 А, Учитываемые типы энергии - А+,А-,Р+,Р-)</t>
  </si>
  <si>
    <t>807125387</t>
  </si>
  <si>
    <t>01.01.2017</t>
  </si>
  <si>
    <t>BeeLine, 70899470047, 10.79.130.51:4001</t>
  </si>
  <si>
    <t>РП-20024 ОАО «Царицыно»</t>
  </si>
  <si>
    <t>яч. П/С 561 A</t>
  </si>
  <si>
    <t>П/С 561 A</t>
  </si>
  <si>
    <t>Москва г, Ю АО, Царицыно р-н, Кавказский б-р, д 58 стр 26</t>
  </si>
  <si>
    <t>НЗиФ - СЭТ-4ТМ.02</t>
  </si>
  <si>
    <t>810126489</t>
  </si>
  <si>
    <t>30.10.2012</t>
  </si>
  <si>
    <t>30.10.2022</t>
  </si>
  <si>
    <t>24</t>
  </si>
  <si>
    <t>BeeLine, 70899120843, 10.79.205.164:2002</t>
  </si>
  <si>
    <t>ТП-21832</t>
  </si>
  <si>
    <t>вв 104746 Б</t>
  </si>
  <si>
    <t>ф.вв 104746 Б</t>
  </si>
  <si>
    <t>Москва г, Ю АО, Нагатино-Садовники р-н, Варшавское шоссе, д 53 корп 4</t>
  </si>
  <si>
    <t>55,655937</t>
  </si>
  <si>
    <t>37,264980</t>
  </si>
  <si>
    <t>Приборы с поддержкой протокола СПОДЭС - СЕ207 (СПОДЭС)</t>
  </si>
  <si>
    <t>013127202428429</t>
  </si>
  <si>
    <t>01.01.2024</t>
  </si>
  <si>
    <t>Megafon, 79267963167, 10.210.178.162:4001</t>
  </si>
  <si>
    <t>7</t>
  </si>
  <si>
    <t>ПС-91</t>
  </si>
  <si>
    <t>3872</t>
  </si>
  <si>
    <t>ТП-3872</t>
  </si>
  <si>
    <t>638</t>
  </si>
  <si>
    <t>ТП-638</t>
  </si>
  <si>
    <t>Ввод-1</t>
  </si>
  <si>
    <t>вв 67197 Б</t>
  </si>
  <si>
    <t>Москва г, ЮВ АО, Южнопортовый р-н, Велозаводская ул, д 11/1</t>
  </si>
  <si>
    <t>55,711082</t>
  </si>
  <si>
    <t>37,667312</t>
  </si>
  <si>
    <t>Приборы с поддержкой протокола СПОДЭС - СТЭМ-300 (СПОДЭС)</t>
  </si>
  <si>
    <t>22000434</t>
  </si>
  <si>
    <t>31.01.2022</t>
  </si>
  <si>
    <t>31.01.2038</t>
  </si>
  <si>
    <t>12345</t>
  </si>
  <si>
    <t>Megafon, 79261389296, 10.81.182.109:10002</t>
  </si>
  <si>
    <t>39730 (Системы и технологии, Промприбор - SM160)|Класс=Маршрут через SM160|Категория=Комбинированный|Приоритет (числовой, начиная с 0 -  высшего значения)=0|Класс=Маршрут через SM160|Коэффициент трансформации по току=1|Коэффициент трансформации по напряжению=1</t>
  </si>
  <si>
    <t>22</t>
  </si>
  <si>
    <t>21314</t>
  </si>
  <si>
    <t>102416А</t>
  </si>
  <si>
    <t>Москва г, ЮЗ АО, Северное Бутово р-н, Грина ул, д 7</t>
  </si>
  <si>
    <t>Меркурий 233 (Постоянная счетчика - 1000</t>
  </si>
  <si>
    <t>Инкотекс - Меркурий 233 (Постоянная счетчика - 1000, Учитываемые типы энергии - А+,А-,Р+,Р-)</t>
  </si>
  <si>
    <t>45438018</t>
  </si>
  <si>
    <t>27.09.2021</t>
  </si>
  <si>
    <t>27.09.2031</t>
  </si>
  <si>
    <t>18</t>
  </si>
  <si>
    <t>10.209.59.249:4001</t>
  </si>
  <si>
    <t>77910001000004 (ООО "ЛУКОЙЛ-Центрнефтепродукт")</t>
  </si>
  <si>
    <t>ТП-1286</t>
  </si>
  <si>
    <t>ВВ База А-раздевалки</t>
  </si>
  <si>
    <t>Москва г, В АО, Сокольники р-н, Сокольнический Вал ул, д 1 стр 1</t>
  </si>
  <si>
    <t>Меркурий 233 (Постоянная счетчика - 250</t>
  </si>
  <si>
    <t>Инкотекс - Меркурий 233 (Постоянная счетчика - 250, Учитываемые типы энергии - А+,А-,Р+,Р-)</t>
  </si>
  <si>
    <t>47211102</t>
  </si>
  <si>
    <t>102</t>
  </si>
  <si>
    <t>Megafon, 79252912349, 10.82.10.27:4001</t>
  </si>
  <si>
    <t>77690001008843 (ЮЛ)</t>
  </si>
  <si>
    <t>РТП-11064</t>
  </si>
  <si>
    <t>вв. абонента</t>
  </si>
  <si>
    <t>щит аб.</t>
  </si>
  <si>
    <t>Москва г, Ц АО, Якиманка р-н, Большой Толмачёвский пер, д 5 соор 40</t>
  </si>
  <si>
    <t>55,739340</t>
  </si>
  <si>
    <t>37,620065</t>
  </si>
  <si>
    <t>Инкотекс - Меркурий 234 (Постоянная счетчика - 5000, Учитываемые типы энергии - А+,А-,Р+,Р-)</t>
  </si>
  <si>
    <t>48111471</t>
  </si>
  <si>
    <t>01.01.2023</t>
  </si>
  <si>
    <t>01.01.2039</t>
  </si>
  <si>
    <t>105</t>
  </si>
  <si>
    <t>МТС, 79801601835, 10.192.125.242:4002</t>
  </si>
  <si>
    <t>2400010152 (ТОПАЗ - ТОПАЗ УСПД)|Класс=Маршрут через УСПД с подустройствами|Категория=Комбинированный|Приоритет (числовой, начиная с 0 -  высшего значения)=1|Класс=Маршрут через УСПД с подустройствами|Отключен=False|Номер прибора учета=48111471</t>
  </si>
  <si>
    <t>77640001007457 (ЮЛ)</t>
  </si>
  <si>
    <t>ТП-21688</t>
  </si>
  <si>
    <t>№120073008_фид._Магазин А</t>
  </si>
  <si>
    <t>вв. 706121</t>
  </si>
  <si>
    <t>Москва г, Зел АО, Крюково р-н, д корп 1640</t>
  </si>
  <si>
    <t>СЭТ-4ТМ.03М (Номинальный ток - 1 А</t>
  </si>
  <si>
    <t>55,980421</t>
  </si>
  <si>
    <t>37,20201</t>
  </si>
  <si>
    <t>НЗиФ - СЭТ-4ТМ.03М (Номинальный ток - 1 А, Учитываемые типы энергии - А+,А-,Р+,Р-)</t>
  </si>
  <si>
    <t>120073008</t>
  </si>
  <si>
    <t>28.10.2019</t>
  </si>
  <si>
    <t>28.10.2031</t>
  </si>
  <si>
    <t>79258383478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</si>
  <si>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77650001004615 (ЮЛ)</t>
  </si>
  <si>
    <t>ТП-27712</t>
  </si>
  <si>
    <t>ЮЗАО_вв. абонента 545</t>
  </si>
  <si>
    <t>Москва г, Ю АО, Нагатино-Садовники р-н, Нагатинский 1-й проезд, д 11 корп 2</t>
  </si>
  <si>
    <t>55,679939</t>
  </si>
  <si>
    <t>37,642859</t>
  </si>
  <si>
    <t>Инкотекс - Меркурий 236 (Постоянная счетчика - 1000, Учитываемые типы энергии - А+,А-,Р+,Р-)</t>
  </si>
  <si>
    <t>42332727</t>
  </si>
  <si>
    <t>07.07.2020</t>
  </si>
  <si>
    <t>07.07.2036</t>
  </si>
  <si>
    <t>27</t>
  </si>
  <si>
    <t>Megafon, 79361463599, 10.210.145.127:4002</t>
  </si>
  <si>
    <t>353656108235666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</t>
  </si>
  <si>
    <t>77670001012920 (ЮЛ)</t>
  </si>
  <si>
    <t>ТП-21924</t>
  </si>
  <si>
    <t>Москва г, Ю АО, Даниловский р-н, Симоновский Вал ул, д 16Г</t>
  </si>
  <si>
    <t>55,723404</t>
  </si>
  <si>
    <t>37,663045</t>
  </si>
  <si>
    <t>Инкотекс - Меркурий 208</t>
  </si>
  <si>
    <t>46161954</t>
  </si>
  <si>
    <t>13.12.2021</t>
  </si>
  <si>
    <t>54</t>
  </si>
  <si>
    <t>Megafon, 79361459833, 10.210.144.241:4001</t>
  </si>
  <si>
    <t>77670001014222 (ЮЛ)</t>
  </si>
  <si>
    <t>9</t>
  </si>
  <si>
    <t>ТП-16911</t>
  </si>
  <si>
    <t>вв. абонента 3</t>
  </si>
  <si>
    <t>вв. 723609 А</t>
  </si>
  <si>
    <t>Москва г, Ц АО, Тверской р-н, Лесная ул, д 22</t>
  </si>
  <si>
    <t>55,852407</t>
  </si>
  <si>
    <t>37,586456</t>
  </si>
  <si>
    <t>НЗиФ - СЭТ-4ТМ.03 (Номинальный ток - 1 А, Учитываемые типы энергии - А+,А-,Р+,Р-)</t>
  </si>
  <si>
    <t>0102070084</t>
  </si>
  <si>
    <t>84</t>
  </si>
  <si>
    <t>МТС, 79150191070, 10.212.51.195:5000</t>
  </si>
  <si>
    <t>1030000074 (ЮЛ)</t>
  </si>
  <si>
    <t>ТП-11828</t>
  </si>
  <si>
    <t>Москва г, З АО, Проспект Вернадского р-н, Вернадского пр-кт, д 39</t>
  </si>
  <si>
    <t>Приборы с поддержкой протокола СПОДЭС - Меркурий 206 (СПОДЭС)</t>
  </si>
  <si>
    <t>46493528</t>
  </si>
  <si>
    <t>29.07.2022</t>
  </si>
  <si>
    <t>356945326002595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</si>
  <si>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77640001012836 (ЮЛ)</t>
  </si>
  <si>
    <t>11332</t>
  </si>
  <si>
    <t>33138А</t>
  </si>
  <si>
    <t>Москва г, Ю АО, Нагорный р-н, Варшавское шоссе, д 62 корп. 1</t>
  </si>
  <si>
    <t>НЗиФ - ПСЧ-4ТМ.05МД</t>
  </si>
  <si>
    <t>1308160016</t>
  </si>
  <si>
    <t>27.04.2018</t>
  </si>
  <si>
    <t>27.04.2030</t>
  </si>
  <si>
    <t>200000089054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</si>
  <si>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77670001005936 (ЮЛ)</t>
  </si>
  <si>
    <t>ИПР до 2016 (МКД)</t>
  </si>
  <si>
    <t>16984</t>
  </si>
  <si>
    <t>87452А</t>
  </si>
  <si>
    <t>Москва г, ЮЗ АО, Ясенево р-н, Инессы Арманд ул, д 7</t>
  </si>
  <si>
    <t>НЗиФ - ПСЧ-4ТМ.05 (Номинальное напряжение - 220 (380) В, Номинальный ток - 5 А, Учитываемые типы энергии - А+,А-,Р+,Р-)</t>
  </si>
  <si>
    <t>306086669</t>
  </si>
  <si>
    <t>14.05.2018</t>
  </si>
  <si>
    <t>14.05.2028</t>
  </si>
  <si>
    <t>Megafon, 79361467808, 10.210.228.106:4002</t>
  </si>
  <si>
    <t>200000315030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</t>
  </si>
  <si>
    <t>77700001012635 (ЮЛ)</t>
  </si>
  <si>
    <t>23633</t>
  </si>
  <si>
    <t>97631А</t>
  </si>
  <si>
    <t>Москва г, В АО, Богородское р-н, Игральная ул, д 7</t>
  </si>
  <si>
    <t>НЗиФ - ПСЧ-4ТМ.05М</t>
  </si>
  <si>
    <t>306083969</t>
  </si>
  <si>
    <t>21.09.2018</t>
  </si>
  <si>
    <t>21.09.2030</t>
  </si>
  <si>
    <t>200000509651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</si>
  <si>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77690001010222 (ЮЛ)</t>
  </si>
  <si>
    <t>16487</t>
  </si>
  <si>
    <t>85589Б</t>
  </si>
  <si>
    <t>Москва г, ЮЗ АО, Ясенево р-н, Инессы Арманд ул, д 4 корп. 2</t>
  </si>
  <si>
    <t>НЗиФ - ПСЧ-3ТМ.05М</t>
  </si>
  <si>
    <t>304084574</t>
  </si>
  <si>
    <t>14.05.2030</t>
  </si>
  <si>
    <t>350294723343211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оборудование/200000361112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оборудование|Отключен=True</t>
  </si>
  <si>
    <t>ТП-10012</t>
  </si>
  <si>
    <t>яч.11</t>
  </si>
  <si>
    <t>ф.яч.11</t>
  </si>
  <si>
    <t>Москва г, В АО, Соколиная Гора р-н, Энтузиастов шоссе, д 56 стр 49 ( 55.756471 37.767792 )</t>
  </si>
  <si>
    <t>Приборы с поддержкой протокола СПОДЭС - ТЕ3000 (СПОДЭС)</t>
  </si>
  <si>
    <t>2004240008</t>
  </si>
  <si>
    <t>Megafon, 79268240971, 10.211.140.136:4001</t>
  </si>
  <si>
    <t>РП-11149</t>
  </si>
  <si>
    <t>яч.7</t>
  </si>
  <si>
    <t>ф.яч.7</t>
  </si>
  <si>
    <t>Москва г, Ц АО, Пресненский р-н, Пресненский Вал ул, д 27</t>
  </si>
  <si>
    <t>НЗиФ - СЭТ-4ТМ.03М</t>
  </si>
  <si>
    <t>818221207</t>
  </si>
  <si>
    <t>101</t>
  </si>
  <si>
    <t>Megafon, 79251523028, 10.82.157.66:5001</t>
  </si>
  <si>
    <t>5340000449 (ТОПАЗ - ТОПАЗ УСПД)|Класс=Маршрут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оборудование|Отключен=False</t>
  </si>
  <si>
    <t>ВЭС</t>
  </si>
  <si>
    <t>ТП-АСУМБ 10.05</t>
  </si>
  <si>
    <t>яч С16</t>
  </si>
  <si>
    <t>ф 1</t>
  </si>
  <si>
    <t>Москва г, АСУМБ р-н, АСУМБ деревня, АСУМБ ул, д АСУМБ</t>
  </si>
  <si>
    <t>55,466595</t>
  </si>
  <si>
    <t>37,291145</t>
  </si>
  <si>
    <t>Приборы с поддержкой протокола СПОДЭС - Нартис-И500 (СПОДЭС)</t>
  </si>
  <si>
    <t>650240000151</t>
  </si>
  <si>
    <t>0000000100000001</t>
  </si>
  <si>
    <t>МТС, 79152235837, 10.212.22.228:4001</t>
  </si>
  <si>
    <t>НМ</t>
  </si>
  <si>
    <t>ПС-213</t>
  </si>
  <si>
    <t>29063</t>
  </si>
  <si>
    <t>РП-29063</t>
  </si>
  <si>
    <t>ТП -46044, с.1</t>
  </si>
  <si>
    <t>55,673897</t>
  </si>
  <si>
    <t>37,637108</t>
  </si>
  <si>
    <t>НЗиФ - СЭТ-4ТМ.03М (Номинальный ток - 5 А, Учитываемые типы энергии - А+,А-,Р+,Р-)</t>
  </si>
  <si>
    <t>801240117</t>
  </si>
  <si>
    <t>01.01.2034</t>
  </si>
  <si>
    <t>24-27455 (ТШ-ЭК-0,66)</t>
  </si>
  <si>
    <t>24-27452 (ТШ-ЭК-0,66)</t>
  </si>
  <si>
    <t>24-27453 (ТШ-ЭК-0,66)</t>
  </si>
  <si>
    <t>24-27375 (НОЛ-ЭК-10 М1)</t>
  </si>
  <si>
    <t>24-27373 (НОЛ-ЭК-10 М1)</t>
  </si>
  <si>
    <t>24-27376 (НОЛ-ЭК-10 М1)</t>
  </si>
  <si>
    <t>117</t>
  </si>
  <si>
    <t>Megafon, 79267502695, 10.211.136.75:4001</t>
  </si>
  <si>
    <t>2400014442 (ТОПАЗ - ТОПАЗ УСПД)|Класс=Маршрут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</si>
  <si>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Учёт по 522ФЗ</t>
  </si>
  <si>
    <t>САО_ вв абонента 38</t>
  </si>
  <si>
    <t>Приборы с поддержкой протокола СПОДЭС - КВАНТ ST2000-10 (СПОДЭС)</t>
  </si>
  <si>
    <t>434030020579</t>
  </si>
  <si>
    <t>23.08.2022</t>
  </si>
  <si>
    <t>23.08.2038</t>
  </si>
  <si>
    <t>AdministratorSIT</t>
  </si>
  <si>
    <t>Megafon, 79995800734, 10.81.231.166:1507</t>
  </si>
  <si>
    <t>30221-134-51 (Ф)</t>
  </si>
  <si>
    <t>РТП-28123</t>
  </si>
  <si>
    <t>Ячейка нижней обмотки силового трансформатора</t>
  </si>
  <si>
    <t>55,771333</t>
  </si>
  <si>
    <t>37,594870</t>
  </si>
  <si>
    <t>НЗиФ - СЭТ-4ТМ.03М (Номинальное напряжение - 220 (380) В, Номинальный ток - 5 А, Учитываемые типы энергии - А+,А-,Р+,Р-)</t>
  </si>
  <si>
    <t>0819210395</t>
  </si>
  <si>
    <t>05.07.2021</t>
  </si>
  <si>
    <t>05.07.2033</t>
  </si>
  <si>
    <t>1040399 (ТШП-0,66-III)</t>
  </si>
  <si>
    <t>1040391 (ТШП-0,66-III)</t>
  </si>
  <si>
    <t>1040392 (ТШП-0,66-III)</t>
  </si>
  <si>
    <t>95</t>
  </si>
  <si>
    <t>Megafon, 79254370492, 10.81.149.191:4001/10.78.177.122:3001</t>
  </si>
  <si>
    <t>3154133404 (Эльстер Метроника - RTU-327)|Класс=Маршрут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</t>
  </si>
  <si>
    <t>77640001015723 (ЮЛ)</t>
  </si>
  <si>
    <t>ПС-716</t>
  </si>
  <si>
    <t>70022</t>
  </si>
  <si>
    <t>РП-70022</t>
  </si>
  <si>
    <t>РТП абонента</t>
  </si>
  <si>
    <t>70,7014</t>
  </si>
  <si>
    <t>37,6908</t>
  </si>
  <si>
    <t>НЗиФ - СЭТ-4ТМ.03М (Номинальное напряжение - 57,7 (100) В, Номинальный ток - 5 А, Постоянная счетчика - 5000, Учитываемые типы энергии - А+,А-,Р+,Р-)</t>
  </si>
  <si>
    <t>822220297</t>
  </si>
  <si>
    <t>734869 (LSY-24-150-ф82)</t>
  </si>
  <si>
    <t>225060743 (JSZY16-20R)</t>
  </si>
  <si>
    <t>Megafon, 79295762642, 10.82.61.11:4002</t>
  </si>
  <si>
    <t>2400011487 (ТОПАЗ - ТОПАЗ УСПД)|Класс=Маршрут через УСПД с подустройствами|Категория=Комбинированный|Приоритет (числовой, начиная с 0 -  высшего значения)=0|Класс=Маршрут через УСПД с подустройствами|Номер прибора учета=822220297</t>
  </si>
  <si>
    <t>77680001007181 (ЮЛ)</t>
  </si>
  <si>
    <t>70023</t>
  </si>
  <si>
    <t>РП-70023</t>
  </si>
  <si>
    <t>55,7017</t>
  </si>
  <si>
    <t>НЗиФ - СЭТ-4ТМ.03М (Номинальное напряжение - 57,7 (100) В, Номинальный ток - 5 А, Учитываемые типы энергии - А+,А-,Р+,Р-)</t>
  </si>
  <si>
    <t>822220406</t>
  </si>
  <si>
    <t>734868 (LSY-24-150-ф82)</t>
  </si>
  <si>
    <t>225060739 (JSZY16-20R)</t>
  </si>
  <si>
    <t>МТС, 79856402767, 10.192.84.199:4002</t>
  </si>
  <si>
    <t>2400011485 (ТОПАЗ - ТОПАЗ УСПД)|Класс=Маршрут через УСПД с подустройствами|Категория=Комбинированный|Приоритет (числовой, начиная с 0 -  высшего значения)=0|Класс=Маршрут через УСПД с подустройствами|Номер прибора учета=822220406</t>
  </si>
  <si>
    <t>ТП-5090</t>
  </si>
  <si>
    <t>ВВ абонента 2</t>
  </si>
  <si>
    <t>Инкотекс - Меркурий 234 (Класс точности измерения реактивной энергии - 2, Класс точности - 1, Учитываемые типы энергии - А+,А-,Р+,Р-)</t>
  </si>
  <si>
    <t>45862474</t>
  </si>
  <si>
    <t>74</t>
  </si>
  <si>
    <t>"002080"</t>
  </si>
  <si>
    <t>356945322440484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</si>
  <si>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77680001007198 (ЮЛ)</t>
  </si>
  <si>
    <t>СП-71073</t>
  </si>
  <si>
    <t>НЗиФ - ПСЧ-4ТМ.05МК</t>
  </si>
  <si>
    <t>1117231248</t>
  </si>
  <si>
    <t>48</t>
  </si>
  <si>
    <t>Megafon, 79361463587, 10.210.145.120:4001</t>
  </si>
  <si>
    <t>ПС-643</t>
  </si>
  <si>
    <t>29053</t>
  </si>
  <si>
    <t>РП-29053</t>
  </si>
  <si>
    <t>ТП №31223 А</t>
  </si>
  <si>
    <t>55,719266</t>
  </si>
  <si>
    <t>37,939482</t>
  </si>
  <si>
    <t>Приборы с поддержкой протокола СПОДЭС - СМ_15 (СПОДЭС)</t>
  </si>
  <si>
    <t>60000138</t>
  </si>
  <si>
    <t>Низкий уровень доступа (LLS)</t>
  </si>
  <si>
    <t>password</t>
  </si>
  <si>
    <t>10.210.62.65:4059</t>
  </si>
  <si>
    <t>2400009458 (ТОПАЗ - ТОПАЗ УСПД)|Класс=Маршрут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оборудование|Отключен=True</t>
  </si>
  <si>
    <t>ПС-796</t>
  </si>
  <si>
    <t>15145</t>
  </si>
  <si>
    <t>РТП-15145</t>
  </si>
  <si>
    <t>30874</t>
  </si>
  <si>
    <t>ТП-30874</t>
  </si>
  <si>
    <t>Ввод-1 0,4кВ</t>
  </si>
  <si>
    <t>55,828925</t>
  </si>
  <si>
    <t>37,40769</t>
  </si>
  <si>
    <t>Алгоритм - BINOM3</t>
  </si>
  <si>
    <t>50001188</t>
  </si>
  <si>
    <t>Megafon, 79269446017, 10.82.243.135:4001</t>
  </si>
  <si>
    <t>2400012588 (ТОПАЗ - ТОПАЗ УСПД)|Класс=Маршрут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</si>
  <si>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ПС-833</t>
  </si>
  <si>
    <t>16176 альфа + 29091 бета</t>
  </si>
  <si>
    <t>21091</t>
  </si>
  <si>
    <t>РП-21091</t>
  </si>
  <si>
    <t>ввод 1</t>
  </si>
  <si>
    <t>ввод 2</t>
  </si>
  <si>
    <t>ТехноЭнерго - ТЕ3000 (Постоянная счетчика - 5000)</t>
  </si>
  <si>
    <t>2009220105</t>
  </si>
  <si>
    <t>28.09.2022</t>
  </si>
  <si>
    <t>16911 (ТОЛ-НТ3-10-13С-1000/5 40кА УХЛ2)</t>
  </si>
  <si>
    <t>16977 (ТОЛ-НТ3-10-13С-1000/5 40кА УХЛ2)</t>
  </si>
  <si>
    <t>16938 (ТОЛ-НТ3-10-13С-1000/5 40кА УХЛ2)</t>
  </si>
  <si>
    <t>16766 (НАЛИ-НТ3-10-07-0.5/3Р-90/100 УХЛ2)</t>
  </si>
  <si>
    <t>Megafon, 79260400627, 10.82.196.125:4001</t>
  </si>
  <si>
    <t>77010001000046 (ЮЛ)</t>
  </si>
  <si>
    <t>ТП-18843</t>
  </si>
  <si>
    <t>№102074127_фид._ВВ 54689, луч А</t>
  </si>
  <si>
    <t>НЗиФ - СЭТ-4ТМ.03</t>
  </si>
  <si>
    <t>102074127</t>
  </si>
  <si>
    <t>200000085421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</si>
  <si>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ТП-29964</t>
  </si>
  <si>
    <t>Ф 5, Луч Б</t>
  </si>
  <si>
    <t>НЗиФ - СЭТ-4ТМ.03М (Номинальное напряжение - 220 (380) В, Номинальный ток - 5 А, Постоянная счетчика - 1250, Учитываемые типы энергии - А+,А-,Р+,Р-)</t>
  </si>
  <si>
    <t>0818201051</t>
  </si>
  <si>
    <t>51</t>
  </si>
  <si>
    <t>10.192.84.141:4001</t>
  </si>
  <si>
    <t>356945320913391 (Миландр - Милур GSM/GPRS модем)|Класс=Маршрут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оборудование/200000469405 (Связь Инжиниринг М - УМ-40 (RTU-327))|Класс=Маршрут через промежуточное оборудование|Категория=Комбинированный|Приоритет (числовой, начиная с 0 -  высшего значения)=1|Класс=Маршрут через промежуточное оборудование|Отключен=True</t>
  </si>
  <si>
    <t>ТП-72771</t>
  </si>
  <si>
    <t>НЗиФ - СЭТ-4ТМ.02М</t>
  </si>
  <si>
    <t>0806191204</t>
  </si>
  <si>
    <t>Megafon, 79253036782, 10.78.59.53:5001</t>
  </si>
  <si>
    <t>15980</t>
  </si>
  <si>
    <t>Энергомера - СЕ102</t>
  </si>
  <si>
    <t>11696162653322</t>
  </si>
  <si>
    <t>20.03.2021</t>
  </si>
  <si>
    <t>20.03.2037</t>
  </si>
  <si>
    <t>53322</t>
  </si>
  <si>
    <t>777777</t>
  </si>
  <si>
    <t>Megafon, 79257122303, 10.81.164.63:4001</t>
  </si>
  <si>
    <t>ПС-780</t>
  </si>
  <si>
    <t>10225</t>
  </si>
  <si>
    <t>РП-10225</t>
  </si>
  <si>
    <t>15377 А</t>
  </si>
  <si>
    <t>ТП-15377 А</t>
  </si>
  <si>
    <t>ТП-15377</t>
  </si>
  <si>
    <t>ВВ 103276 Б</t>
  </si>
  <si>
    <t>55,771580</t>
  </si>
  <si>
    <t>37,664698</t>
  </si>
  <si>
    <t>Приборы с поддержкой протокола СПОДЭС - Универсальный счетчик СПОДЭС трехфазный</t>
  </si>
  <si>
    <t>80002648</t>
  </si>
  <si>
    <t>20.12.2024</t>
  </si>
  <si>
    <t>5129591 (ТПП-1,0)</t>
  </si>
  <si>
    <t>5129582 (ТПП-1,0)</t>
  </si>
  <si>
    <t>5129592 (ТПП-1,0)</t>
  </si>
  <si>
    <t>Megafon, 79362195178, 10.211.21.227:4060</t>
  </si>
  <si>
    <t>112402012262 (Завод НАРТИС - УСПД ШЛ-ZB-L)|Класс=Маршрут через ШЛ-ZB-L|Идентификатор устройства=0000000080002648|Категория=Комбинированный|Приоритет (числовой, начиная с 0 -  высшего значения)=0|Класс=Маршрут через ШЛ-ZB-L</t>
  </si>
  <si>
    <t>ТП-12360</t>
  </si>
  <si>
    <t>вв 131023 А</t>
  </si>
  <si>
    <t>Энергомера - СЕ303</t>
  </si>
  <si>
    <t>009113151226274</t>
  </si>
  <si>
    <t>11.05.2020</t>
  </si>
  <si>
    <t>11.05.2030</t>
  </si>
  <si>
    <t>151226274</t>
  </si>
  <si>
    <t>МТС, 79801663422, 10.212.54.103:4002/Megafon, 79265724407, 10.81.195.228:4001</t>
  </si>
  <si>
    <t>77620001003816 (ЮЛ)</t>
  </si>
  <si>
    <t>ТП-МКС/б/н-РЭР</t>
  </si>
  <si>
    <t>яч.1</t>
  </si>
  <si>
    <t>Приборы с поддержкой протокола СПОДЭС - СЕ208 (СПОДЭС)</t>
  </si>
  <si>
    <t>012741173552096</t>
  </si>
  <si>
    <t>0200404000561 (МИРТЕК - УСПД МИРТ-881)|Класс=Маршрут через промежуточное оборудование|Категория=Комбинированный|Приоритет (числовой, начиная с 0 -  высшего значения)=0|Класс=Маршрут через промежуточное оборудование</t>
  </si>
  <si>
    <t>5e72fe7f-c410-41f5-8987-bbb91f71b97b</t>
  </si>
  <si>
    <t>07a1e472-fa1a-42c2-8fcf-1796755c9116</t>
  </si>
  <si>
    <t>8fa99ce1-eca2-4b6f-9589-84c01b8b6847</t>
  </si>
  <si>
    <t>28d2dc8f-e686-4f84-9ea4-8b7804c8f93e</t>
  </si>
  <si>
    <t>b23f2296-b373-46d6-b08d-4cd8430fc100</t>
  </si>
  <si>
    <t>9506659d-a440-472d-a039-af45d6399163</t>
  </si>
  <si>
    <t>e71f6ac3-09f0-43d2-8980-bff76306db6f</t>
  </si>
  <si>
    <t>35278200-9277-4dd6-b578-dd317accc7a3</t>
  </si>
  <si>
    <t>7a440621-4e81-4547-9646-651deb8a2577</t>
  </si>
  <si>
    <t>7695b989-f85d-4da0-bb96-ddfc9076fac5</t>
  </si>
  <si>
    <t>7ccc014c-792e-4c47-914f-30d55e6986c0</t>
  </si>
  <si>
    <t>88770da6-78e2-4894-a12c-501c0edcc60d</t>
  </si>
  <si>
    <t>f0303de8-bae5-4466-aeab-f3161f3bf988</t>
  </si>
  <si>
    <t>b8b5078a-cba9-4398-b66b-a89fc1c7fd33</t>
  </si>
  <si>
    <t>214e3537-2e66-497b-92ab-08e8a622e806</t>
  </si>
  <si>
    <t>61fe2bcf-f113-4b7b-ab50-37b0710fcd1e</t>
  </si>
  <si>
    <t>f8cc87a2-a5ab-4d5e-88c1-73d788194cbe</t>
  </si>
  <si>
    <t>3267ec64-0835-4067-bffa-cde35a759fdc</t>
  </si>
  <si>
    <t>b52a4689-63a9-497f-9acc-569c8a17faa1</t>
  </si>
  <si>
    <t>85a4ad2a-8c2b-4f9e-9fae-3af45c86dca3</t>
  </si>
  <si>
    <t>1b9c8851-a244-425c-a29a-8fa5554468ec</t>
  </si>
  <si>
    <t>ba07e5ef-dd46-42a2-92ba-42808f6fb7d5</t>
  </si>
  <si>
    <t>2cc52aba-e71b-49c0-b103-9d258470003c</t>
  </si>
  <si>
    <t>ee17ac90-1b47-4ff4-b649-cece7b260c67</t>
  </si>
  <si>
    <t>c023ecce-2d7b-4313-a611-6392b1a38ae8</t>
  </si>
  <si>
    <t>0f5e1380-86c6-47a7-9c56-72e35f50d60b</t>
  </si>
  <si>
    <t>2f42d1ab-c9ec-4ba7-a2bc-541e25124062</t>
  </si>
  <si>
    <t>b362a76e-ca87-4e88-afef-6a15281ff676</t>
  </si>
  <si>
    <t>621cbe91-56b5-41bb-99c1-25910c7795a2</t>
  </si>
  <si>
    <t>09f9506f-fdcb-43ed-a0dd-a434ede15b35</t>
  </si>
  <si>
    <t>67f18737-813a-46cd-ad0c-07573a4fb4c6</t>
  </si>
  <si>
    <t>462e1073-e628-4518-9f62-923bf5e629eb</t>
  </si>
  <si>
    <t>8b0ed04f-5ba8-4209-a45c-7e53d484e9f6</t>
  </si>
  <si>
    <t>e603b2d3-958a-4fcb-9d43-4b81776423ff</t>
  </si>
  <si>
    <t>8fd66cec-06f8-40b0-a079-14ab2df4228d</t>
  </si>
  <si>
    <t>3e19f35b-7d2e-4a8c-af85-b3c2c6978ecd</t>
  </si>
  <si>
    <t>4d6cdcb1-912d-47ba-ae0f-8e3b824ce8d9</t>
  </si>
  <si>
    <t>f0c21051-b43e-4816-86a1-092f60d62fb4</t>
  </si>
  <si>
    <t>b2e7c080-61f6-49af-ba50-e4796b6ea7f3</t>
  </si>
  <si>
    <t>09d743cf-c9b4-4df6-8ba6-8ef26cd2cb1e</t>
  </si>
  <si>
    <t>ab844367-4bba-420f-be03-7217a9c281c8</t>
  </si>
  <si>
    <t>d6fc3d69-881d-4a60-bd31-d36fa71ecd69</t>
  </si>
  <si>
    <t>34b4252d-cafb-4b6b-9329-728c82f77f6c</t>
  </si>
  <si>
    <t>935f8a25-0baf-4926-ab67-3408b0dce79c</t>
  </si>
  <si>
    <t>96ab0d11-4f12-4d90-a5e5-962773d2867b</t>
  </si>
  <si>
    <t>61b04af3-6e22-483f-8b3f-c17e193fad3e</t>
  </si>
  <si>
    <t>f6779921-4f78-4443-9cdc-ce7c60da6a68</t>
  </si>
  <si>
    <t>89597678-b237-4a07-9745-b8b14f48c307</t>
  </si>
  <si>
    <t>feba32e3-c278-41d6-98fc-d363f3c377b5</t>
  </si>
  <si>
    <t>#N/A</t>
  </si>
  <si>
    <t>f2feb5cb-5e96-4998-9e2b-f2aa5c4506c8</t>
  </si>
  <si>
    <t>14b450a6-eaf3-444d-a9c4-2aad67de9d56</t>
  </si>
  <si>
    <t>d2c789c1-2080-4033-a27a-3afd6805332a</t>
  </si>
  <si>
    <t>4b8cbe96-7e93-4b3e-a0aa-3a10f135276b</t>
  </si>
  <si>
    <t>2c8b53ef-0822-4a69-8d22-153598a0639d</t>
  </si>
  <si>
    <t>51e70164-779f-4649-8120-8608ad243832</t>
  </si>
  <si>
    <t>3244801c-d398-4d6b-8ba3-02e7aed5054c</t>
  </si>
  <si>
    <t>269aea3f-9e80-413d-8feb-96381bd705f7</t>
  </si>
  <si>
    <t>9aa867ad-64b4-455c-92c2-5f20bcdd07e7</t>
  </si>
  <si>
    <t>b1b4e06d-1eb5-4ed4-83b8-6b16e4b94bb0</t>
  </si>
  <si>
    <t>642a6032-70f0-4760-a540-bd895974ba1d</t>
  </si>
  <si>
    <t>08cc872e-45dd-4203-8781-ff67239c6681</t>
  </si>
  <si>
    <t>0aac6c17-117b-4802-ba0d-6fedcd0fcc1d</t>
  </si>
  <si>
    <t>d507b49e-a2c1-4d2a-8773-5c858a1dc3ad</t>
  </si>
  <si>
    <t>ebb1d759-4fbc-4970-a9ce-1ac8ef802d3a</t>
  </si>
  <si>
    <t>45eb090a-5b04-42dd-91e0-83808fa763fb</t>
  </si>
  <si>
    <t>f95c00ec-86f7-4091-8bbe-f5dfad845807</t>
  </si>
  <si>
    <t>МТС</t>
  </si>
  <si>
    <t>ТОПАЗ УСПД, №2400012469</t>
  </si>
  <si>
    <t>Активация_СИМ_АПН 20250204-002_100_МУЭ</t>
  </si>
  <si>
    <t>№</t>
  </si>
  <si>
    <t>Оператор</t>
  </si>
  <si>
    <t>Установлен в оборудовании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</si>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</sst>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0"/>
      <name val="Arial Cyr"/>
      <charset val="204"/>
    </font>
    <font>
      <sz val="9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9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8">
    <xf numFmtId="0" fontId="0" fillId="0" borderId="0"/>
    <xf numFmtId="0" fontId="10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9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0" fillId="0" borderId="0"/>
  </cellStyleXfs>
  <cellXfs count="175">
    <xf numFmtId="0" fontId="0" fillId="0" borderId="0" xfId="0"/>
    <xf numFmtId="0" fontId="8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4" applyFont="1" applyBorder="1" applyAlignment="1">
      <alignment horizontal="center"/>
    </xf>
    <xf numFmtId="0" fontId="8" fillId="0" borderId="0" xfId="4" applyFont="1" applyBorder="1"/>
    <xf numFmtId="0" fontId="13" fillId="0" borderId="0" xfId="0" applyFont="1" applyAlignment="1">
      <alignment horizontal="center" vertical="top" wrapText="1"/>
    </xf>
    <xf numFmtId="0" fontId="13" fillId="0" borderId="0" xfId="4" applyFont="1" applyBorder="1" applyAlignment="1">
      <alignment horizontal="center"/>
    </xf>
    <xf numFmtId="0" fontId="13" fillId="0" borderId="0" xfId="4" applyFont="1" applyBorder="1"/>
    <xf numFmtId="0" fontId="14" fillId="0" borderId="0" xfId="0" applyFont="1"/>
    <xf numFmtId="0" fontId="8" fillId="0" borderId="0" xfId="0" applyFont="1" applyFill="1"/>
    <xf numFmtId="0" fontId="12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5" fillId="0" borderId="0" xfId="0" applyFont="1"/>
    <xf numFmtId="0" fontId="13" fillId="0" borderId="0" xfId="0" applyFont="1" applyAlignment="1">
      <alignment horizontal="center"/>
    </xf>
    <xf numFmtId="0" fontId="16" fillId="2" borderId="1" xfId="1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4" fillId="0" borderId="0" xfId="0" applyFont="1"/>
    <xf numFmtId="3" fontId="8" fillId="0" borderId="0" xfId="0" applyNumberFormat="1" applyFont="1"/>
    <xf numFmtId="0" fontId="2" fillId="0" borderId="0" xfId="8" applyFont="1" applyBorder="1" applyAlignment="1">
      <alignment horizontal="center"/>
    </xf>
    <xf numFmtId="0" fontId="2" fillId="0" borderId="0" xfId="8" applyFont="1" applyBorder="1"/>
    <xf numFmtId="0" fontId="1" fillId="0" borderId="0" xfId="4" applyFont="1" applyBorder="1"/>
    <xf numFmtId="0" fontId="1" fillId="0" borderId="0" xfId="0" applyFont="1"/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/>
    <xf numFmtId="49" fontId="1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top" wrapText="1"/>
    </xf>
    <xf numFmtId="0" fontId="17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8" fillId="4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vertical="center" wrapText="1"/>
    </xf>
    <xf numFmtId="0" fontId="28" fillId="4" borderId="4" xfId="0" applyFont="1" applyFill="1" applyBorder="1" applyAlignment="1">
      <alignment vertical="center" wrapText="1"/>
    </xf>
    <xf numFmtId="0" fontId="28" fillId="4" borderId="5" xfId="0" applyFont="1" applyFill="1" applyBorder="1" applyAlignment="1">
      <alignment vertical="center" wrapTex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vertical="center" wrapText="1"/>
    </xf>
    <xf numFmtId="0" fontId="28" fillId="4" borderId="7" xfId="0" applyFont="1" applyFill="1" applyBorder="1" applyAlignment="1">
      <alignment vertical="center" wrapText="1"/>
    </xf>
    <xf numFmtId="0" fontId="28" fillId="4" borderId="9" xfId="0" applyFont="1" applyFill="1" applyBorder="1" applyAlignment="1">
      <alignment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vertical="center" wrapText="1"/>
    </xf>
    <xf numFmtId="0" fontId="0" fillId="4" borderId="11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19" fillId="4" borderId="0" xfId="10" applyFont="1" applyFill="1" applyAlignment="1">
      <alignment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vertical="center" wrapText="1"/>
    </xf>
    <xf numFmtId="0" fontId="28" fillId="4" borderId="13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4" xfId="0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vertical="center" wrapText="1"/>
    </xf>
    <xf numFmtId="0" fontId="28" fillId="4" borderId="1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9" fillId="5" borderId="1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1" xfId="0" applyFont="1" applyBorder="1"/>
    <xf numFmtId="0" fontId="0" fillId="0" borderId="12" xfId="0" applyFont="1" applyBorder="1"/>
    <xf numFmtId="0" fontId="0" fillId="0" borderId="12" xfId="0" applyFont="1" applyFill="1" applyBorder="1" applyAlignment="1">
      <alignment horizontal="left"/>
    </xf>
    <xf numFmtId="4" fontId="0" fillId="6" borderId="1" xfId="0" applyNumberFormat="1" applyFont="1" applyFill="1" applyBorder="1"/>
    <xf numFmtId="0" fontId="19" fillId="6" borderId="1" xfId="10" applyFont="1" applyFill="1" applyBorder="1"/>
    <xf numFmtId="0" fontId="19" fillId="0" borderId="0" xfId="10" applyFont="1"/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Fill="1" applyBorder="1" applyAlignment="1">
      <alignment horizontal="left"/>
    </xf>
    <xf numFmtId="0" fontId="19" fillId="0" borderId="0" xfId="10" applyFont="1" applyFill="1" applyAlignment="1">
      <alignment horizontal="left"/>
    </xf>
    <xf numFmtId="0" fontId="28" fillId="4" borderId="1" xfId="10" applyFont="1" applyFill="1" applyBorder="1" applyAlignment="1">
      <alignment vertical="center" wrapText="1"/>
    </xf>
    <xf numFmtId="0" fontId="28" fillId="4" borderId="10" xfId="10" applyFont="1" applyFill="1" applyBorder="1" applyAlignment="1">
      <alignment vertical="center" wrapText="1"/>
    </xf>
    <xf numFmtId="0" fontId="28" fillId="4" borderId="6" xfId="10" applyFont="1" applyFill="1" applyBorder="1" applyAlignment="1">
      <alignment vertical="center" wrapText="1"/>
    </xf>
    <xf numFmtId="0" fontId="28" fillId="4" borderId="4" xfId="10" applyFont="1" applyFill="1" applyBorder="1" applyAlignment="1">
      <alignment vertical="center" wrapText="1"/>
    </xf>
    <xf numFmtId="49" fontId="28" fillId="4" borderId="4" xfId="10" applyNumberFormat="1" applyFont="1" applyFill="1" applyBorder="1" applyAlignment="1">
      <alignment vertical="center" wrapText="1"/>
    </xf>
    <xf numFmtId="0" fontId="28" fillId="4" borderId="4" xfId="10" applyFont="1" applyFill="1" applyBorder="1" applyAlignment="1">
      <alignment horizontal="center" vertical="center" wrapText="1"/>
    </xf>
    <xf numFmtId="0" fontId="28" fillId="4" borderId="5" xfId="10" applyFont="1" applyFill="1" applyBorder="1" applyAlignment="1">
      <alignment vertical="center" wrapText="1"/>
    </xf>
    <xf numFmtId="0" fontId="19" fillId="4" borderId="0" xfId="10" applyFill="1" applyAlignment="1">
      <alignment vertical="center" wrapText="1"/>
    </xf>
    <xf numFmtId="0" fontId="28" fillId="4" borderId="15" xfId="10" applyFont="1" applyFill="1" applyBorder="1" applyAlignment="1">
      <alignment vertical="center" wrapText="1"/>
    </xf>
    <xf numFmtId="0" fontId="28" fillId="4" borderId="10" xfId="10" applyFont="1" applyFill="1" applyBorder="1" applyAlignment="1">
      <alignment horizontal="center" vertical="center" wrapText="1"/>
    </xf>
    <xf numFmtId="0" fontId="29" fillId="5" borderId="10" xfId="10" applyFont="1" applyFill="1" applyBorder="1" applyAlignment="1">
      <alignment horizontal="center" vertical="center" wrapText="1"/>
    </xf>
    <xf numFmtId="49" fontId="28" fillId="4" borderId="10" xfId="1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Fill="1" applyBorder="1"/>
    <xf numFmtId="0" fontId="0" fillId="0" borderId="12" xfId="0" applyBorder="1"/>
    <xf numFmtId="49" fontId="19" fillId="0" borderId="0" xfId="10" applyNumberFormat="1"/>
    <xf numFmtId="0" fontId="19" fillId="0" borderId="0" xfId="10"/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19" fillId="0" borderId="0" xfId="10" applyFill="1"/>
    <xf numFmtId="0" fontId="31" fillId="0" borderId="1" xfId="11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0" fontId="31" fillId="0" borderId="0" xfId="11" applyFont="1" applyAlignment="1">
      <alignment horizontal="center" vertical="top" wrapText="1"/>
    </xf>
    <xf numFmtId="0" fontId="31" fillId="0" borderId="0" xfId="11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7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49" fontId="1" fillId="9" borderId="2" xfId="0" applyNumberFormat="1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49" fontId="1" fillId="10" borderId="2" xfId="0" applyNumberFormat="1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 wrapText="1"/>
    </xf>
    <xf numFmtId="0" fontId="8" fillId="5" borderId="0" xfId="0" applyFont="1" applyFill="1"/>
    <xf numFmtId="0" fontId="8" fillId="8" borderId="0" xfId="0" applyFont="1" applyFill="1"/>
    <xf numFmtId="0" fontId="1" fillId="8" borderId="0" xfId="0" applyFont="1" applyFill="1"/>
    <xf numFmtId="0" fontId="12" fillId="8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1" fillId="5" borderId="0" xfId="0" applyFont="1" applyFill="1"/>
    <xf numFmtId="0" fontId="8" fillId="11" borderId="0" xfId="0" applyFont="1" applyFill="1"/>
    <xf numFmtId="0" fontId="1" fillId="11" borderId="0" xfId="0" applyFont="1" applyFill="1"/>
    <xf numFmtId="0" fontId="13" fillId="0" borderId="1" xfId="0" applyFont="1" applyBorder="1"/>
    <xf numFmtId="0" fontId="12" fillId="0" borderId="1" xfId="6" applyFont="1" applyBorder="1"/>
    <xf numFmtId="49" fontId="1" fillId="9" borderId="0" xfId="0" applyNumberFormat="1" applyFont="1" applyFill="1"/>
    <xf numFmtId="0" fontId="1" fillId="10" borderId="7" xfId="0" applyFont="1" applyFill="1" applyBorder="1" applyAlignment="1">
      <alignment horizontal="left" vertical="top" wrapText="1"/>
    </xf>
    <xf numFmtId="0" fontId="32" fillId="3" borderId="1" xfId="0" applyFont="1" applyFill="1" applyBorder="1" applyAlignment="1">
      <alignment horizontal="center" vertical="center" wrapText="1"/>
    </xf>
    <xf numFmtId="0" fontId="19" fillId="9" borderId="0" xfId="10" applyFill="1" applyAlignment="1">
      <alignment vertical="center" wrapText="1"/>
    </xf>
    <xf numFmtId="49" fontId="19" fillId="9" borderId="0" xfId="10" applyNumberFormat="1" applyFill="1"/>
    <xf numFmtId="0" fontId="19" fillId="9" borderId="0" xfId="10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8" fillId="0" borderId="0" xfId="0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4" fontId="0" fillId="0" borderId="12" xfId="0" applyNumberFormat="1" applyFont="1" applyBorder="1"/>
    <xf numFmtId="0" fontId="0" fillId="0" borderId="20" xfId="0" applyFont="1" applyBorder="1"/>
    <xf numFmtId="14" fontId="0" fillId="0" borderId="17" xfId="0" applyNumberFormat="1" applyFont="1" applyBorder="1"/>
    <xf numFmtId="0" fontId="3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</cellXfs>
  <cellStyles count="28">
    <cellStyle name="Normal" xfId="25"/>
    <cellStyle name="Гиперссылка" xfId="20" builtinId="8" customBuiltin="1"/>
    <cellStyle name="Гиперссылка 2" xfId="24"/>
    <cellStyle name="Обычный" xfId="0" builtinId="0"/>
    <cellStyle name="Обычный 10" xfId="19"/>
    <cellStyle name="Обычный 11" xfId="23"/>
    <cellStyle name="Обычный 2" xfId="2"/>
    <cellStyle name="Обычный 2 2" xfId="26"/>
    <cellStyle name="Обычный 2 8" xfId="21"/>
    <cellStyle name="Обычный 3" xfId="3"/>
    <cellStyle name="Обычный 3 2" xfId="27"/>
    <cellStyle name="Обычный 4" xfId="1"/>
    <cellStyle name="Обычный 4 2" xfId="5"/>
    <cellStyle name="Обычный 4 2 2" xfId="9"/>
    <cellStyle name="Обычный 4 2 2 2" xfId="18"/>
    <cellStyle name="Обычный 4 2 3" xfId="15"/>
    <cellStyle name="Обычный 4 3" xfId="7"/>
    <cellStyle name="Обычный 4 3 2" xfId="16"/>
    <cellStyle name="Обычный 4 4" xfId="13"/>
    <cellStyle name="Обычный 5" xfId="4"/>
    <cellStyle name="Обычный 5 2" xfId="8"/>
    <cellStyle name="Обычный 5 2 2" xfId="17"/>
    <cellStyle name="Обычный 5 3" xfId="14"/>
    <cellStyle name="Обычный 6" xfId="6"/>
    <cellStyle name="Обычный 7" xfId="10"/>
    <cellStyle name="Обычный 71" xfId="22"/>
    <cellStyle name="Обычный 8" xfId="11"/>
    <cellStyle name="Обычный 9" xfId="1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70"/>
  <sheetViews>
    <sheetView tabSelected="1" workbookViewId="0">
      <pane ySplit="3" topLeftCell="A4" activePane="bottomLeft" state="frozen"/>
      <selection pane="bottomLeft" activeCell="A2" sqref="A2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10.85546875" style="13" customWidth="1"/>
    <col min="4" max="4" width="10.7109375" style="13" customWidth="1"/>
    <col min="5" max="5" width="12.85546875" style="1" customWidth="1"/>
    <col min="6" max="6" width="9" style="1" customWidth="1"/>
    <col min="7" max="7" width="7.140625" style="1" customWidth="1"/>
    <col min="8" max="8" width="10.28515625" style="1" customWidth="1"/>
    <col min="9" max="9" width="10.7109375" style="1" customWidth="1"/>
    <col min="10" max="10" width="12.5703125" style="1" customWidth="1"/>
    <col min="11" max="11" width="11.28515625" style="1" customWidth="1"/>
    <col min="12" max="12" width="15.42578125" style="1" customWidth="1"/>
    <col min="13" max="13" width="9.7109375" style="1" customWidth="1"/>
    <col min="14" max="14" width="8.7109375" style="1" customWidth="1"/>
    <col min="15" max="15" width="16" style="1" customWidth="1"/>
    <col min="16" max="16" width="18.5703125" style="1" customWidth="1"/>
    <col min="17" max="20" width="8.7109375" style="1" customWidth="1"/>
    <col min="21" max="21" width="17.28515625" style="48" customWidth="1"/>
    <col min="22" max="23" width="11.7109375" style="1" customWidth="1"/>
    <col min="24" max="24" width="22" style="1" customWidth="1"/>
    <col min="25" max="25" width="8.7109375" style="1" customWidth="1"/>
    <col min="26" max="26" width="19.28515625" style="1" customWidth="1"/>
    <col min="27" max="27" width="8.7109375" style="1" customWidth="1"/>
    <col min="28" max="28" width="43.85546875" style="1" customWidth="1"/>
    <col min="29" max="29" width="9.140625" style="1" customWidth="1"/>
    <col min="30" max="30" width="15.7109375" style="1" customWidth="1"/>
    <col min="31" max="31" width="9.140625" style="1" customWidth="1"/>
    <col min="32" max="32" width="18.85546875" style="1" customWidth="1"/>
    <col min="33" max="33" width="13.42578125" style="1" customWidth="1"/>
    <col min="34" max="37" width="13.5703125" style="1" customWidth="1"/>
    <col min="38" max="38" width="7.7109375" style="1" customWidth="1"/>
    <col min="39" max="40" width="11.7109375" style="1" customWidth="1"/>
    <col min="41" max="41" width="9.85546875" style="1" customWidth="1"/>
    <col min="42" max="42" width="37.140625" style="1" customWidth="1"/>
    <col min="43" max="44" width="11.7109375" style="1" customWidth="1"/>
    <col min="45" max="47" width="16.140625" style="1" customWidth="1"/>
    <col min="48" max="48" width="11.7109375" style="13" customWidth="1"/>
    <col min="49" max="50" width="7.7109375" style="148" customWidth="1"/>
    <col min="51" max="53" width="8.7109375" style="148" customWidth="1"/>
    <col min="54" max="54" width="13.28515625" style="147" customWidth="1"/>
    <col min="55" max="55" width="10" style="155" bestFit="1" customWidth="1"/>
    <col min="56" max="57" width="9.140625" style="155"/>
    <col min="58" max="58" width="13.28515625" style="147" customWidth="1"/>
    <col min="59" max="16384" width="9.140625" style="1"/>
  </cols>
  <sheetData>
    <row r="1" spans="1:58" ht="56.25" customHeight="1" x14ac:dyDescent="0.2">
      <c r="A1" s="173" t="s">
        <v>227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8"/>
      <c r="AO1" s="18"/>
      <c r="AP1" s="44" t="s">
        <v>353</v>
      </c>
      <c r="AQ1" s="18"/>
      <c r="AR1" s="18"/>
      <c r="AS1" s="18"/>
      <c r="AT1" s="18"/>
      <c r="AU1" s="54"/>
      <c r="AV1" s="18"/>
    </row>
    <row r="2" spans="1:58" s="33" customFormat="1" x14ac:dyDescent="0.2">
      <c r="A2" s="34"/>
      <c r="B2" s="135" t="s">
        <v>334</v>
      </c>
      <c r="C2" s="35" t="s">
        <v>335</v>
      </c>
      <c r="D2" s="136" t="s">
        <v>336</v>
      </c>
      <c r="E2" s="137"/>
      <c r="F2" s="138"/>
      <c r="G2" s="138"/>
      <c r="H2" s="36"/>
      <c r="I2" s="139"/>
      <c r="J2" s="135" t="s">
        <v>337</v>
      </c>
      <c r="K2" s="140"/>
      <c r="L2" s="36"/>
      <c r="M2" s="139"/>
      <c r="N2" s="36"/>
      <c r="O2" s="135"/>
      <c r="P2" s="36" t="s">
        <v>338</v>
      </c>
      <c r="Q2" s="36" t="s">
        <v>339</v>
      </c>
      <c r="R2" s="36"/>
      <c r="S2" s="36"/>
      <c r="T2" s="36"/>
      <c r="U2" s="141" t="s">
        <v>340</v>
      </c>
      <c r="V2" s="37" t="s">
        <v>341</v>
      </c>
      <c r="W2" s="37" t="s">
        <v>342</v>
      </c>
      <c r="X2" s="142" t="s">
        <v>343</v>
      </c>
      <c r="Y2" s="36"/>
      <c r="Z2" s="142" t="s">
        <v>343</v>
      </c>
      <c r="AA2" s="36"/>
      <c r="AB2" s="142" t="s">
        <v>344</v>
      </c>
      <c r="AC2" s="36" t="s">
        <v>343</v>
      </c>
      <c r="AD2" s="36" t="s">
        <v>345</v>
      </c>
      <c r="AE2" s="37" t="s">
        <v>346</v>
      </c>
      <c r="AF2" s="143" t="s">
        <v>347</v>
      </c>
      <c r="AG2" s="36" t="s">
        <v>343</v>
      </c>
      <c r="AH2" s="36"/>
      <c r="AI2" s="139"/>
      <c r="AJ2" s="37" t="s">
        <v>348</v>
      </c>
      <c r="AK2" s="37" t="s">
        <v>349</v>
      </c>
      <c r="AL2" s="36"/>
      <c r="AM2" s="38" t="s">
        <v>350</v>
      </c>
      <c r="AN2" s="144" t="s">
        <v>343</v>
      </c>
      <c r="AO2" s="39"/>
      <c r="AP2" s="144" t="s">
        <v>351</v>
      </c>
      <c r="AQ2" s="39" t="s">
        <v>351</v>
      </c>
      <c r="AR2" s="144" t="s">
        <v>351</v>
      </c>
      <c r="AS2" s="39" t="s">
        <v>352</v>
      </c>
      <c r="AT2" s="160" t="s">
        <v>343</v>
      </c>
      <c r="AU2" s="160" t="s">
        <v>343</v>
      </c>
      <c r="AV2" s="160" t="s">
        <v>343</v>
      </c>
      <c r="AW2" s="149"/>
      <c r="AX2" s="149"/>
      <c r="AY2" s="149"/>
      <c r="AZ2" s="149"/>
      <c r="BA2" s="149"/>
      <c r="BB2" s="154"/>
      <c r="BC2" s="156"/>
      <c r="BD2" s="156"/>
      <c r="BE2" s="156"/>
      <c r="BF2" s="145"/>
    </row>
    <row r="3" spans="1:58" s="3" customFormat="1" ht="67.5" x14ac:dyDescent="0.25">
      <c r="A3" s="19" t="s">
        <v>0</v>
      </c>
      <c r="B3" s="14" t="s">
        <v>5</v>
      </c>
      <c r="C3" s="14" t="s">
        <v>147</v>
      </c>
      <c r="D3" s="2" t="s">
        <v>148</v>
      </c>
      <c r="E3" s="19" t="s">
        <v>10</v>
      </c>
      <c r="F3" s="19" t="s">
        <v>8</v>
      </c>
      <c r="G3" s="19" t="s">
        <v>146</v>
      </c>
      <c r="H3" s="19" t="s">
        <v>131</v>
      </c>
      <c r="I3" s="19" t="s">
        <v>142</v>
      </c>
      <c r="J3" s="14" t="s">
        <v>132</v>
      </c>
      <c r="K3" s="2" t="s">
        <v>60</v>
      </c>
      <c r="L3" s="19" t="s">
        <v>133</v>
      </c>
      <c r="M3" s="19" t="s">
        <v>61</v>
      </c>
      <c r="N3" s="2" t="s">
        <v>62</v>
      </c>
      <c r="O3" s="2" t="s">
        <v>183</v>
      </c>
      <c r="P3" s="2" t="s">
        <v>182</v>
      </c>
      <c r="Q3" s="2" t="s">
        <v>151</v>
      </c>
      <c r="R3" s="19" t="s">
        <v>152</v>
      </c>
      <c r="S3" s="19" t="s">
        <v>153</v>
      </c>
      <c r="T3" s="19" t="s">
        <v>154</v>
      </c>
      <c r="U3" s="49" t="s">
        <v>155</v>
      </c>
      <c r="V3" s="2" t="s">
        <v>134</v>
      </c>
      <c r="W3" s="2" t="s">
        <v>135</v>
      </c>
      <c r="X3" s="14" t="s">
        <v>136</v>
      </c>
      <c r="Y3" s="19" t="s">
        <v>137</v>
      </c>
      <c r="Z3" s="14" t="s">
        <v>138</v>
      </c>
      <c r="AA3" s="19" t="s">
        <v>139</v>
      </c>
      <c r="AB3" s="2" t="s">
        <v>140</v>
      </c>
      <c r="AC3" s="2" t="s">
        <v>141</v>
      </c>
      <c r="AD3" s="2" t="s">
        <v>1</v>
      </c>
      <c r="AE3" s="2" t="s">
        <v>59</v>
      </c>
      <c r="AF3" s="2" t="s">
        <v>63</v>
      </c>
      <c r="AG3" s="2" t="s">
        <v>184</v>
      </c>
      <c r="AH3" s="19" t="s">
        <v>125</v>
      </c>
      <c r="AI3" s="19" t="s">
        <v>126</v>
      </c>
      <c r="AJ3" s="2" t="s">
        <v>127</v>
      </c>
      <c r="AK3" s="2" t="s">
        <v>129</v>
      </c>
      <c r="AL3" s="2" t="s">
        <v>130</v>
      </c>
      <c r="AM3" s="2" t="s">
        <v>128</v>
      </c>
      <c r="AN3" s="14" t="s">
        <v>185</v>
      </c>
      <c r="AO3" s="19" t="s">
        <v>212</v>
      </c>
      <c r="AP3" s="2" t="s">
        <v>215</v>
      </c>
      <c r="AQ3" s="2" t="s">
        <v>214</v>
      </c>
      <c r="AR3" s="2" t="s">
        <v>63</v>
      </c>
      <c r="AS3" s="53" t="s">
        <v>213</v>
      </c>
      <c r="AT3" s="161" t="s">
        <v>359</v>
      </c>
      <c r="AU3" s="14" t="s">
        <v>251</v>
      </c>
      <c r="AV3" s="161" t="s">
        <v>365</v>
      </c>
      <c r="AW3" s="150" t="s">
        <v>117</v>
      </c>
      <c r="AX3" s="150" t="s">
        <v>118</v>
      </c>
      <c r="AY3" s="150" t="s">
        <v>124</v>
      </c>
      <c r="AZ3" s="150" t="s">
        <v>211</v>
      </c>
      <c r="BA3" s="150" t="s">
        <v>226</v>
      </c>
      <c r="BB3" s="151" t="s">
        <v>355</v>
      </c>
      <c r="BC3" s="152" t="s">
        <v>356</v>
      </c>
      <c r="BD3" s="153" t="s">
        <v>357</v>
      </c>
      <c r="BE3" s="152" t="s">
        <v>358</v>
      </c>
      <c r="BF3" s="146" t="s">
        <v>394</v>
      </c>
    </row>
    <row r="4" spans="1:58" ht="31.5" customHeight="1" x14ac:dyDescent="0.25">
      <c r="A4" s="55">
        <f>3</f>
        <v>3</v>
      </c>
      <c r="B4" s="42" t="str">
        <f>IFERROR(IFERROR(INDEX(Справочники!$A$2:$P$79,MATCH(INDEX(ТУ!$E:$E,MATCH($U4*1,ТУ!$CP:$CP,0),1),Справочники!$P$2:$P$79,0),2),INDEX(Справочники!$A$2:$P$79,MATCH((INDEX(ТУ!$E:$E,MATCH($U4*1,ТУ!$CP:$CP,0),1))*1,Справочники!$P$2:$P$79,0),2)),"")</f>
        <v>01 р-н МКС (ЦОРУПЭ)</v>
      </c>
      <c r="C4" s="46" t="str">
        <f>IFERROR(TRIM(LEFT(INDEX(ТУ!$AF:$AF,MATCH($U4*1,ТУ!$CP:$CP,0),1),SEARCH("-",INDEX(ТУ!$AF:$AF,MATCH($U4*1,ТУ!$CP:$CP,0),1))-1)),IFERROR(LEFT(INDEX(ТУ!$X:$X,MATCH($U4*1,ТУ!$CP:$CP,0),1),SEARCH("-",INDEX(ТУ!$X:$X,MATCH($U4*1,ТУ!$CP:$CP,0),1))-1),"ТП"))</f>
        <v>ТП</v>
      </c>
      <c r="D4" s="47" t="str">
        <f>IF(TRIM(IF(ISNUMBER((IFERROR(RIGHT(INDEX(ТУ!$AF:$AF,MATCH($U4*1,ТУ!$CP:$CP,0),1),LEN(INDEX(ТУ!$AF:$AF,MATCH($U4*1,ТУ!$CP:$CP,0),1))-SEARCH("-",INDEX(ТУ!$AF:$AF,MATCH($U4*1,ТУ!$CP:$CP,0),1))),INDEX(ТУ!$AF:$AF,MATCH($U4*1,ТУ!$CP:$CP,0),1)))*1),IFERROR(RIGHT(INDEX(ТУ!$AF:$AF,MATCH($U4*1,ТУ!$CP:$CP,0),1),LEN(INDEX(ТУ!$AF:$AF,MATCH($U4*1,ТУ!$CP:$CP,0),1))-SEARCH("-",INDEX(ТУ!$AF:$AF,MATCH($U4*1,ТУ!$CP:$CP,0),1))),INDEX(ТУ!$AF:$AF,MATCH($U4*1,ТУ!$CP:$CP,0),1)),""))="",TRIM(IF(ISNUMBER((IFERROR(RIGHT(INDEX(ТУ!$X:$X,MATCH($U4*1,ТУ!$CP:$CP,0),1),LEN(INDEX(ТУ!$X:$X,MATCH($U4*1,ТУ!$CP:$CP,0),1))-SEARCH("-",INDEX(ТУ!$X:$X,MATCH($U4*1,ТУ!$CP:$CP,0),1))),INDEX(ТУ!$X:$X,MATCH($U4*1,ТУ!$CP:$CP,0),1)))*1),IFERROR(RIGHT(INDEX(ТУ!$X:$X,MATCH($U4*1,ТУ!$CP:$CP,0),1),LEN(INDEX(ТУ!$X:$X,MATCH($U4*1,ТУ!$CP:$CP,0),1))-SEARCH("-",INDEX(ТУ!$X:$X,MATCH($U4*1,ТУ!$CP:$CP,0),1))),INDEX(ТУ!$X:$X,MATCH($U4*1,ТУ!$CP:$CP,0),1)),"")),TRIM(IF(ISNUMBER((IFERROR(RIGHT(INDEX(ТУ!$AF:$AF,MATCH($U4*1,ТУ!$CP:$CP,0),1),LEN(INDEX(ТУ!$AF:$AF,MATCH($U4*1,ТУ!$CP:$CP,0),1))-SEARCH("-",INDEX(ТУ!$AF:$AF,MATCH($U4*1,ТУ!$CP:$CP,0),1))),INDEX(ТУ!$AF:$AF,MATCH($U4*1,ТУ!$CP:$CP,0),1)))*1),IFERROR(RIGHT(INDEX(ТУ!$AF:$AF,MATCH($U4*1,ТУ!$CP:$CP,0),1),LEN(INDEX(ТУ!$AF:$AF,MATCH($U4*1,ТУ!$CP:$CP,0),1))-SEARCH("-",INDEX(ТУ!$AF:$AF,MATCH($U4*1,ТУ!$CP:$CP,0),1))),INDEX(ТУ!$AF:$AF,MATCH($U4*1,ТУ!$CP:$CP,0),1)),"")))</f>
        <v/>
      </c>
      <c r="E4" s="25" t="str">
        <f>IFERROR(INDEX(ПЭС,AW4),"")</f>
        <v>МКС</v>
      </c>
      <c r="F4" s="20">
        <f>IFERROR(INDEX(код,AW4),"")</f>
        <v>75</v>
      </c>
      <c r="G4" s="21">
        <f>IFERROR(MATCH(C4,ТипЭУ,0),"")</f>
        <v>5</v>
      </c>
      <c r="H4" s="25" t="str">
        <f>CONCATENATE(C4,"-",D4)</f>
        <v>ТП-</v>
      </c>
      <c r="I4" s="25" t="str">
        <f>CONCATENATE(F4,G4,REPT("0",5-LEN(D4)),D4)</f>
        <v>75500000</v>
      </c>
      <c r="J4" s="42" t="str">
        <f>INDEX(Справочники!$M:$M,MATCH(IF(INDEX(ТУ!$BO:$BO,MATCH($U4*1,ТУ!$CP:$CP,0),1)=1,1,INDEX(ТУ!$BO:$BO,MATCH($U4*1,ТУ!$CP:$CP,0),1)*100),Справочники!$N:$N,0),1)</f>
        <v>0.4 кВ</v>
      </c>
      <c r="K4" s="40">
        <f>1</f>
        <v>1</v>
      </c>
      <c r="L4" s="20" t="str">
        <f>"СШ-" &amp; K4</f>
        <v>СШ-1</v>
      </c>
      <c r="M4" s="20">
        <f>IF(I4=I3, VALUE(M3)+1, 1)</f>
        <v>1</v>
      </c>
      <c r="N4" s="40"/>
      <c r="O4" s="56" t="str">
        <f>"Ввод-" &amp; K4 &amp; "-" &amp; M4</f>
        <v>Ввод-1-1</v>
      </c>
      <c r="P4" s="57" t="str">
        <f>IFERROR(IF(INDEX(ТУ!$AO:$AO,MATCH($U4*1,ТУ!$CP:$CP,0),1)=0,"",INDEX(ТУ!$AO:$AO,MATCH($U4*1,ТУ!$CP:$CP,0),1)),"")</f>
        <v>Ввод 0000</v>
      </c>
      <c r="Q4" s="40">
        <f>IFERROR(IF(INDEX(ТУ!$BN:$BN,MATCH($U4*1,ТУ!$CP:$CP,0),1)=1,1,INDEX(ТУ!$BN:$BN,MATCH($U4*1,ТУ!$CP:$CP,0),1)*5),"")</f>
        <v>1</v>
      </c>
      <c r="R4" s="25">
        <f>IF(Q4=1, 1, 5)</f>
        <v>1</v>
      </c>
      <c r="S4" s="25">
        <f>IF(Q4=1, 1, IFERROR(INDEX(КТН1,BA4), 1))</f>
        <v>1</v>
      </c>
      <c r="T4" s="25">
        <f>IF(Q4=1, 1, IFERROR(INDEX(КТН2,BA4), 1))</f>
        <v>1</v>
      </c>
      <c r="U4" s="99" t="s">
        <v>403</v>
      </c>
      <c r="V4" s="43" t="str">
        <f>IF(INDEX(ТУ!$BH:$BH,MATCH($U4*1,ТУ!$CP:$CP,0),1)=0,"",INDEX(ТУ!$BH:$BH,MATCH($U4*1,ТУ!$CP:$CP,0),1))</f>
        <v>09.10.2024</v>
      </c>
      <c r="W4" s="43" t="str">
        <f>IF(INDEX(ТУ!$BI:$BI,MATCH($U4*1,ТУ!$CP:$CP,0),1)=0,"",INDEX(ТУ!$BI:$BI,MATCH($U4*1,ТУ!$CP:$CP,0),1))</f>
        <v/>
      </c>
      <c r="X4" s="58" t="str">
        <f>IF(ISNUMBER(SEARCH("Нартис",AB4)),"DLMS счетчик",
IF(ISNUMBER(SEARCH("Меркурий 234 (СПОДЭС)",AB4)),"Меркурий-23X СПОДЭС",
IF(ISNUMBER(SEARCH("Меркурий 234",AB4)),"Меркурий-23X",
IF(ISNUMBER(SEARCH("Меркурий 206",AB4)),"Меркурий 203.2Т",
IF(ISNUMBER(SEARCH("СЕ308",AB4)),"CE-308/208 СПОДЭС",
IF(ISNUMBER(SEARCH("СЕ207",AB4)),"CE-308/208 СПОДЭС",
IF(ISNUMBER(SEARCH("СТЭМ-300 (СПОДЭС)",AB4)),"DLMS счетчик",
IF(ISNUMBER(SEARCH("ТЕ3000",AB4)),"СЭТ-4ТМ",
IF(ISNUMBER(SEARCH("СЭТ-4ТМ",AB4)),"СЭТ-4ТМ",
""
)))))))))</f>
        <v>Меркурий-23X СПОДЭС</v>
      </c>
      <c r="Y4" s="25">
        <f>IFERROR(INDEX(КодПУ,AX4), 34)</f>
        <v>46</v>
      </c>
      <c r="Z4" s="42" t="str">
        <f>IF(AND(ISNUMBER(SEARCH("Нартис-И300", AB4)),ISNUMBER(SEARCH("0000000000002080", AF4))), "Нартис-И300 2080",
IF(AND(ISNUMBER(SEARCH("Нартис-И300", AB4)),ISNUMBER(SEARCH("0000000100000001", AF4))), "Нартис-И300 стд",
IF(AND(ISNUMBER(SEARCH("Нартис-И100", AB4)),ISNUMBER(SEARCH("0000000000002080", AF4))), "Нартис-И300 2080",
IF(AND(ISNUMBER(SEARCH("Нартис-И100", AB4)),ISNUMBER(SEARCH("0000000100000001", AF4))), "Нартис-И300 стд",
IF(AND(ISNUMBER(SEARCH("Нартис-300", AB4))), "Нартис-300",
IF(AND(ISNUMBER(SEARCH("Меркурий-23X СПОДЭС", X4)),ISNUMBER(SEARCH("2222222222222222", AF4))), "Инкотекс 2222",
IF(AND(ISNUMBER(SEARCH("Меркурий-23X СПОДЭС", X4)),ISNUMBER(SEARCH("0000000000002080", AF4))), "Инкотекс 2080",
IF(AND(ISNUMBER(SEARCH("Меркурий-23X СПОДЭС", X4))), "Меркурий 234",
IF(AND(ISNUMBER(SEARCH("CE-308/208 СПОДЭС", X4))), "СПОДЭС (общий)",
IF(AND(ISNUMBER(SEARCH("СТЭМ-300 (СПОДЭС)", AB4))), "СТЭМ-300",
""
))))))))))</f>
        <v>Инкотекс 2222</v>
      </c>
      <c r="AA4" s="25">
        <f>IFERROR(INDEX(кодDLMS,AY4), "")</f>
        <v>21</v>
      </c>
      <c r="AB4" s="40" t="str">
        <f>IF(ISNUMBER(SEARCH("Приборы с поддержкой протокола СПОДЭС - Нартис-И300 (СПОДЭС)",INDEX(ТУ!$BD:$BD,MATCH($U4*1,ТУ!$CP:$CP,0),1))),"Нартис-И300",
IF(ISNUMBER(SEARCH("Приборы с поддержкой протокола СПОДЭС - Меркурий 234 (СПОДЭС)",INDEX(ТУ!$BD:$BD,MATCH($U4*1,ТУ!$CP:$CP,0),1))),"Меркурий 234 (СПОДЭС)",
IF(ISNUMBER(SEARCH("Приборы с поддержкой протокола СПОДЭС - Нартис-300 (СПОДЭС)",INDEX(ТУ!$BD:$BD,MATCH($U4*1,ТУ!$CP:$CP,0),1))),"Нартис-300",
IF(ISNUMBER(SEARCH("Инкотекс - Меркурий 234",INDEX(ТУ!$BD:$BD,MATCH($U4*1,ТУ!$CP:$CP,0),1))),"Меркурий 234",
IF(ISNUMBER(SEARCH("Инкотекс - Меркурий 206",INDEX(ТУ!$BD:$BD,MATCH($U4*1,ТУ!$CP:$CP,0),1))),"Меркурий 206",
IF(ISNUMBER(SEARCH("Приборы с поддержкой протокола СПОДЭС - Универсальный счетчик СПОДЭС 2 трехфазный",INDEX(ТУ!$BD:$BD,MATCH($U4*1,ТУ!$CP:$CP,0),1))),"Нартис-И300",
IF(ISNUMBER(SEARCH("Приборы с поддержкой протокола СПОДЭС - Универсальный счетчик СПОДЭС 2 однофазный",INDEX(ТУ!$BD:$BD,MATCH($U4*1,ТУ!$CP:$CP,0),1))),"Нартис-И100",
IF(ISNUMBER(SEARCH("Приборы с поддержкой протокола СПОДЭС - Нартис-И100 (СПОДЭС)",INDEX(ТУ!$BD:$BD,MATCH($U4*1,ТУ!$CP:$CP,0),1))),"Нартис-И100",
IF(ISNUMBER(SEARCH("Приборы с поддержкой протокола СПОДЭС - СЕ308 (СПОДЭС)",INDEX(ТУ!$BD:$BD,MATCH($U4*1,ТУ!$CP:$CP,0),1))),"СЕ308 (СПОДЭС)",
IF(ISNUMBER(SEARCH("Приборы с поддержкой протокола СПОДЭС - СЕ207 (СПОДЭС)",INDEX(ТУ!$BD:$BD,MATCH($U4*1,ТУ!$CP:$CP,0),1))),"СЕ207 (СПОДЭС)",
IF(ISNUMBER(SEARCH("Приборы с поддержкой протокола СПОДЭС - СТЭМ-300 (СПОДЭС)",INDEX(ТУ!$BD:$BD,MATCH($U4*1,ТУ!$CP:$CP,0),1))),"СТЭМ-300 (СПОДЭС)",
IF(ISNUMBER(SEARCH("ТехноЭнерго - ТЕ3000",INDEX(ТУ!$BD:$BD,MATCH($U4*1,ТУ!$CP:$CP,0),1))),"ТЕ3000",
IF(ISNUMBER(SEARCH("НЗиФ - СЭТ-4ТМ",INDEX(ТУ!$BD:$BD,MATCH($U4*1,ТУ!$CP:$CP,0),1))),"СЭТ-4ТМ",
INDEX(ТУ!$BD:$BD,MATCH($U4*1,ТУ!$CP:$CP,0),1)
)))))))))))))</f>
        <v>Меркурий 234 (СПОДЭС)</v>
      </c>
      <c r="AC4" s="40" t="s">
        <v>2</v>
      </c>
      <c r="AD4" s="40" t="str">
        <f>IF(ISNUMBER(IFERROR(LEFT(IF(INDEX(ТУ!$CI:$CI,MATCH($U4*1,ТУ!$CP:$CP,0),1)=0,"",INDEX(ТУ!$CI:$CI,MATCH($U4*1,ТУ!$CP:$CP,0),1)),SEARCH(" ",IF(INDEX(ТУ!$CI:$CI,MATCH($U4*1,ТУ!$CP:$CP,0),1)=0,"",INDEX(ТУ!$CI:$CI,MATCH($U4*1,ТУ!$CP:$CP,0),1)),1)-1),"")*1),IFERROR(LEFT(IF(INDEX(ТУ!$CI:$CI,MATCH($U4*1,ТУ!$CP:$CP,0),1)=0,"",INDEX(ТУ!$CI:$CI,MATCH($U4*1,ТУ!$CP:$CP,0),1)),SEARCH(" ",IF(INDEX(ТУ!$CI:$CI,MATCH($U4*1,ТУ!$CP:$CP,0),1)=0,"",INDEX(ТУ!$CI:$CI,MATCH($U4*1,ТУ!$CP:$CP,0),1)),1)-1),""),"")</f>
        <v/>
      </c>
      <c r="AE4" s="40">
        <f>IF(INDEX(ТУ!$CB:$CB,MATCH($U4*1,ТУ!$CP:$CP,0),1)=0,INDEX(Adr!$B:$B,MATCH($U4*1,Adr!$C:$C,0),1),INDEX(ТУ!$CB:$CB,MATCH($U4*1,ТУ!$CP:$CP,0),1))</f>
        <v>18</v>
      </c>
      <c r="AF4" s="45" t="str">
        <f>IF(INDEX(ТУ!$CD:$CD,MATCH($U4*1,ТУ!$CP:$CP,0),1)=0,"",INDEX(ТУ!$CD:$CD,MATCH($U4*1,ТУ!$CP:$CP,0),1))</f>
        <v>2222222222222222</v>
      </c>
      <c r="AG4" s="45">
        <f>0</f>
        <v>0</v>
      </c>
      <c r="AH4" s="26">
        <f>F4</f>
        <v>75</v>
      </c>
      <c r="AI4" s="20" t="str">
        <f>IF(I4=I3, IF(AND(AJ4=AJ3, AK4=AK3), AI3, VALUE(AI3)+1), CONCATENATE(I4,1))</f>
        <v>755000001</v>
      </c>
      <c r="AJ4" s="41" t="str">
        <f>IFERROR(RIGHT($BB4,LEN($BB4)-SEARCH("/",$BB4,1)),$BB4)</f>
        <v>10.82.241.12</v>
      </c>
      <c r="AK4" s="41" t="str">
        <f>IF($AP4="",IFERROR(IFERROR(LEFT(RIGHT(INDEX(ТУ!$CE:$CE,MATCH($U4*1,ТУ!$CP:$CP,0),1),LEN(INDEX(ТУ!$CE:$CE,MATCH($U4*1,ТУ!$CP:$CP,0),1))-SEARCH(":",INDEX(ТУ!$CE:$CE,MATCH($U4*1,ТУ!$CP:$CP,0),1))),SEARCH("/",RIGHT(INDEX(ТУ!$CE:$CE,MATCH($U4*1,ТУ!$CP:$CP,0),1),LEN(INDEX(ТУ!$CE:$CE,MATCH($U4*1,ТУ!$CP:$CP,0),1))-SEARCH(":",INDEX(ТУ!$CE:$CE,MATCH($U4*1,ТУ!$CP:$CP,0),1))))-1), RIGHT(INDEX(ТУ!$CE:$CE,MATCH($U4*1,ТУ!$CP:$CP,0),1),LEN(INDEX(ТУ!$CE:$CE,MATCH($U4*1,ТУ!$CP:$CP,0),1))-SEARCH(":",INDEX(ТУ!$CE:$CE,MATCH($U4*1,ТУ!$CP:$CP,0),1)))), ""),IFERROR(IFERROR(LEFT(RIGHT(INDEX(УСПД!$M:$M,MATCH(IFERROR(1*LEFT(INDEX(ТУ!$CG:$CG,MATCH($U4*1,ТУ!$CP:$CP,0),1),SEARCH("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",INDEX(ТУ!$CG:$CG,MATCH($U4*1,ТУ!$CP:$CP,0),1))-1),""),УСПД!$N:$N,0),1))),SEARCH("/",RIGHT(INDEX(УСПД!$M:$M,MATCH(IFERROR(1*LEFT(INDEX(ТУ!$CG:$CG,MATCH($U4*1,ТУ!$CP:$CP,0),1),SEARCH("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",INDEX(ТУ!$CG:$CG,MATCH($U4*1,ТУ!$CP:$CP,0),1))-1),""),УСПД!$N:$N,0),1))))-1), 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",INDEX(ТУ!$CG:$CG,MATCH($U4*1,ТУ!$CP:$CP,0),1))-1),""),УСПД!$N:$N,0),1)))), ""))</f>
        <v>4001</v>
      </c>
      <c r="AL4" s="41"/>
      <c r="AM4" s="57" t="str">
        <f>IFERROR(IFERROR(INDEX(Tel!$B:$B,MATCH($AJ4,Tel!$E:$E,0),1),INDEX(Tel!$B:$B,MATCH($AJ4,Tel!$D:$D,0),1)),"")</f>
        <v/>
      </c>
      <c r="AN4" s="59" t="str">
        <f>IF(ISNUMBER(SEARCH("ТОПАЗ - ТОПАЗ УСПД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,1)),"RTU-327",
IF(ISNUMBER(SEARCH("TELEOFIS",$AP4)),"Модем",
""))</f>
        <v/>
      </c>
      <c r="AO4" s="27" t="str">
        <f t="shared" ref="AO4:AO35" si="0">IFERROR(INDEX(кодУСПД,AZ4),"")</f>
        <v/>
      </c>
      <c r="AP4" s="57" t="str">
        <f>IF(ISNUMBER(SEARCH("Миландр - Милур GSM/GPRS модем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,1)), "TELEOFIS WRX708-L4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)</f>
        <v/>
      </c>
      <c r="AQ4" s="57" t="str">
        <f>IFERROR(IF(INDEX(УСПД!$K:$K,MATCH($AS4*1,УСПД!$N:$N,0),1)=0,"",INDEX(УСПД!$K:$K,MATCH($AS4*1,УСПД!$N:$N,0),1)),"")</f>
        <v/>
      </c>
      <c r="AR4" s="57" t="str">
        <f>IFERROR(IF(INDEX(УСПД!$L:$L,MATCH($AS4*1,УСПД!$N:$N,0),1)=0,"",INDEX(УСПД!$L:$L,MATCH($AS4*1,УСПД!$N:$N,0),1)),"")</f>
        <v/>
      </c>
      <c r="AS4" s="60" t="str">
        <f>IFERROR(LEFT(INDEX(ТУ!$CG:$CG,MATCH($U4*1,ТУ!$CP:$CP,0),1),SEARCH(" ",INDEX(ТУ!$CG:$CG,MATCH($U4*1,ТУ!$CP:$CP,0),1))-1),"")</f>
        <v/>
      </c>
      <c r="AT4" s="59" t="s">
        <v>360</v>
      </c>
      <c r="AU4" s="59">
        <f>3</f>
        <v>3</v>
      </c>
      <c r="AV4" s="59" t="s">
        <v>368</v>
      </c>
      <c r="AW4" s="149">
        <f>IFERROR(MATCH(B4,РЭС,0),"")</f>
        <v>53</v>
      </c>
      <c r="AX4" s="149">
        <f>IFERROR(MATCH(X4,ТипПУ,0), 34)</f>
        <v>43</v>
      </c>
      <c r="AY4" s="149">
        <f>IFERROR(MATCH(Z4,DLMS,0), "")</f>
        <v>1</v>
      </c>
      <c r="AZ4" s="149" t="str">
        <f>IFERROR(MATCH(AN4,УСПД,0), "")</f>
        <v/>
      </c>
      <c r="BA4" s="149">
        <f>IFERROR(MATCH(J4,NAPR,0), "")</f>
        <v>1</v>
      </c>
      <c r="BB4" s="154" t="str">
        <f>IF($AP4="",IFERROR(IFERROR(LEFT(RIGHT(INDEX(ТУ!$CE:$CE,MATCH($U4*1,ТУ!$CP:$CP,0),1),LEN(INDEX(ТУ!$CE:$CE,MATCH($U4*1,ТУ!$CP:$CP,0),1))-SEARCH(", ",INDEX(ТУ!$CE:$CE,MATCH($U4*1,ТУ!$CP:$CP,0),1),SEARCH(", ",INDEX(ТУ!$CE:$CE,MATCH($U4*1,ТУ!$CP:$CP,0),1))+1)-1),SEARCH(":",RIGHT(INDEX(ТУ!$CE:$CE,MATCH($U4*1,ТУ!$CP:$CP,0),1),LEN(INDEX(ТУ!$CE:$CE,MATCH($U4*1,ТУ!$CP:$CP,0),1))-SEARCH(", ",INDEX(ТУ!$CE:$CE,MATCH($U4*1,ТУ!$CP:$CP,0),1),SEARCH(", ",INDEX(ТУ!$CE:$CE,MATCH($U4*1,ТУ!$CP:$CP,0),1))+1)-1))-1),LEFT(INDEX(ТУ!$CE:$CE,MATCH($U4*1,ТУ!$CP:$CP,0),1),SEARCH(":",INDEX(ТУ!$CE:$CE,MATCH($U4*1,ТУ!$CP:$CP,0),1))-1)),""),IFERROR(IFERROR(LEFT(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",INDEX(ТУ!$CG:$CG,MATCH($U4*1,ТУ!$CP:$CP,0),1))-1),""),УСПД!$N:$N,0),1))-SEARCH(", ",INDEX(УСПД!$M:$M,MATCH(IFERROR(1*LEFT(INDEX(ТУ!$CG:$CG,MATCH($U4*1,ТУ!$CP:$CP,0),1),SEARCH(" ",INDEX(ТУ!$CG:$CG,MATCH($U4*1,ТУ!$CP:$CP,0),1))-1),""),УСПД!$N:$N,0),1),SEARCH(", ",INDEX(УСПД!$M:$M,MATCH(IFERROR(1*LEFT(INDEX(ТУ!$CG:$CG,MATCH($U4*1,ТУ!$CP:$CP,0),1),SEARCH(" ",INDEX(ТУ!$CG:$CG,MATCH($U4*1,ТУ!$CP:$CP,0),1))-1),""),УСПД!$N:$N,0),1))+1)-1),SEARCH(":",RIGHT(INDEX(УСПД!$M:$M,MATCH(IFERROR(1*LEFT(INDEX(ТУ!$CG:$CG,MATCH($U4*1,ТУ!$CP:$CP,0),1),SEARCH("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",INDEX(ТУ!$CG:$CG,MATCH($U4*1,ТУ!$CP:$CP,0),1))-1),""),УСПД!$N:$N,0),1))-SEARCH(", ",INDEX(УСПД!$M:$M,MATCH(IFERROR(1*LEFT(INDEX(ТУ!$CG:$CG,MATCH($U4*1,ТУ!$CP:$CP,0),1),SEARCH(" ",INDEX(ТУ!$CG:$CG,MATCH($U4*1,ТУ!$CP:$CP,0),1))-1),""),УСПД!$N:$N,0),1),SEARCH(", ",INDEX(УСПД!$M:$M,MATCH(IFERROR(1*LEFT(INDEX(ТУ!$CG:$CG,MATCH($U4*1,ТУ!$CP:$CP,0),1),SEARCH(" ",INDEX(ТУ!$CG:$CG,MATCH($U4*1,ТУ!$CP:$CP,0),1))-1),""),УСПД!$N:$N,0),1))+1)-1))-1),LEFT(INDEX(УСПД!$M:$M,MATCH(IFERROR(1*LEFT(INDEX(ТУ!$CG:$CG,MATCH($U4*1,ТУ!$CP:$CP,0),1),SEARCH(" ",INDEX(ТУ!$CG:$CG,MATCH($U4*1,ТУ!$CP:$CP,0),1))-1),""),УСПД!$N:$N,0),1),SEARCH(":",INDEX(УСПД!$M:$M,MATCH(IFERROR(1*LEFT(INDEX(ТУ!$CG:$CG,MATCH($U4*1,ТУ!$CP:$CP,0),1),SEARCH(" ",INDEX(ТУ!$CG:$CG,MATCH($U4*1,ТУ!$CP:$CP,0),1))-1),""),УСПД!$N:$N,0),1))-1)),""))</f>
        <v>10.82.241.12</v>
      </c>
      <c r="BC4" s="155" t="str">
        <f>INDEX(ТУ!$AF:$AF,MATCH($U4*1,ТУ!$CP:$CP,0),1)</f>
        <v>Н/Д</v>
      </c>
      <c r="BD4" s="155">
        <f>INDEX(ТУ!$X:$X,MATCH($U4*1,ТУ!$CP:$CP,0),1)</f>
        <v>0</v>
      </c>
      <c r="BE4" s="155">
        <f>INDEX(ТУ!$CL:$CL,MATCH($U4*1,ТУ!$CP:$CP,0),1)</f>
        <v>0</v>
      </c>
      <c r="BF4" s="147" t="str">
        <f>IFERROR(INDEX(естьАЦ!$A:$A,MATCH($U4*1,естьАЦ!$A:$A,0),1),"нет в АЦ")</f>
        <v>нет в АЦ</v>
      </c>
    </row>
    <row r="5" spans="1:58" ht="15" x14ac:dyDescent="0.25">
      <c r="A5" s="55">
        <f>3</f>
        <v>3</v>
      </c>
      <c r="B5" s="42" t="str">
        <f>IFERROR(IFERROR(INDEX(Справочники!$A$2:$P$79,MATCH(INDEX(ТУ!$E:$E,MATCH($U5*1,ТУ!$CP:$CP,0),1),Справочники!$P$2:$P$79,0),2),INDEX(Справочники!$A$2:$P$79,MATCH((INDEX(ТУ!$E:$E,MATCH($U5*1,ТУ!$CP:$CP,0),1))*1,Справочники!$P$2:$P$79,0),2)),"")</f>
        <v>16 р-н МКС (ЮОРУПЭ)</v>
      </c>
      <c r="C5" s="46" t="str">
        <f>IFERROR(TRIM(LEFT(INDEX(ТУ!$AF:$AF,MATCH($U5*1,ТУ!$CP:$CP,0),1),SEARCH("-",INDEX(ТУ!$AF:$AF,MATCH($U5*1,ТУ!$CP:$CP,0),1))-1)),IFERROR(LEFT(INDEX(ТУ!$X:$X,MATCH($U5*1,ТУ!$CP:$CP,0),1),SEARCH("-",INDEX(ТУ!$X:$X,MATCH($U5*1,ТУ!$CP:$CP,0),1))-1),"ТП"))</f>
        <v>ТП</v>
      </c>
      <c r="D5" s="47" t="str">
        <f>IF(TRIM(IF(ISNUMBER((IFERROR(RIGHT(INDEX(ТУ!$AF:$AF,MATCH($U5*1,ТУ!$CP:$CP,0),1),LEN(INDEX(ТУ!$AF:$AF,MATCH($U5*1,ТУ!$CP:$CP,0),1))-SEARCH("-",INDEX(ТУ!$AF:$AF,MATCH($U5*1,ТУ!$CP:$CP,0),1))),INDEX(ТУ!$AF:$AF,MATCH($U5*1,ТУ!$CP:$CP,0),1)))*1),IFERROR(RIGHT(INDEX(ТУ!$AF:$AF,MATCH($U5*1,ТУ!$CP:$CP,0),1),LEN(INDEX(ТУ!$AF:$AF,MATCH($U5*1,ТУ!$CP:$CP,0),1))-SEARCH("-",INDEX(ТУ!$AF:$AF,MATCH($U5*1,ТУ!$CP:$CP,0),1))),INDEX(ТУ!$AF:$AF,MATCH($U5*1,ТУ!$CP:$CP,0),1)),""))="",TRIM(IF(ISNUMBER((IFERROR(RIGHT(INDEX(ТУ!$X:$X,MATCH($U5*1,ТУ!$CP:$CP,0),1),LEN(INDEX(ТУ!$X:$X,MATCH($U5*1,ТУ!$CP:$CP,0),1))-SEARCH("-",INDEX(ТУ!$X:$X,MATCH($U5*1,ТУ!$CP:$CP,0),1))),INDEX(ТУ!$X:$X,MATCH($U5*1,ТУ!$CP:$CP,0),1)))*1),IFERROR(RIGHT(INDEX(ТУ!$X:$X,MATCH($U5*1,ТУ!$CP:$CP,0),1),LEN(INDEX(ТУ!$X:$X,MATCH($U5*1,ТУ!$CP:$CP,0),1))-SEARCH("-",INDEX(ТУ!$X:$X,MATCH($U5*1,ТУ!$CP:$CP,0),1))),INDEX(ТУ!$X:$X,MATCH($U5*1,ТУ!$CP:$CP,0),1)),"")),TRIM(IF(ISNUMBER((IFERROR(RIGHT(INDEX(ТУ!$AF:$AF,MATCH($U5*1,ТУ!$CP:$CP,0),1),LEN(INDEX(ТУ!$AF:$AF,MATCH($U5*1,ТУ!$CP:$CP,0),1))-SEARCH("-",INDEX(ТУ!$AF:$AF,MATCH($U5*1,ТУ!$CP:$CP,0),1))),INDEX(ТУ!$AF:$AF,MATCH($U5*1,ТУ!$CP:$CP,0),1)))*1),IFERROR(RIGHT(INDEX(ТУ!$AF:$AF,MATCH($U5*1,ТУ!$CP:$CP,0),1),LEN(INDEX(ТУ!$AF:$AF,MATCH($U5*1,ТУ!$CP:$CP,0),1))-SEARCH("-",INDEX(ТУ!$AF:$AF,MATCH($U5*1,ТУ!$CP:$CP,0),1))),INDEX(ТУ!$AF:$AF,MATCH($U5*1,ТУ!$CP:$CP,0),1)),"")))</f>
        <v/>
      </c>
      <c r="E5" s="25" t="str">
        <f>IFERROR(INDEX(ПЭС,AW5),"")</f>
        <v>МКС</v>
      </c>
      <c r="F5" s="20">
        <f>IFERROR(INDEX(код,AW5),"")</f>
        <v>90</v>
      </c>
      <c r="G5" s="21">
        <f>IFERROR(MATCH(C5,ТипЭУ,0),"")</f>
        <v>5</v>
      </c>
      <c r="H5" s="25" t="str">
        <f>CONCATENATE(C5,"-",D5)</f>
        <v>ТП-</v>
      </c>
      <c r="I5" s="25" t="str">
        <f>CONCATENATE(F5,G5,REPT("0",5-LEN(D5)),D5)</f>
        <v>90500000</v>
      </c>
      <c r="J5" s="42" t="str">
        <f>INDEX(Справочники!$M:$M,MATCH(IF(INDEX(ТУ!$BO:$BO,MATCH($U5*1,ТУ!$CP:$CP,0),1)=1,1,INDEX(ТУ!$BO:$BO,MATCH($U5*1,ТУ!$CP:$CP,0),1)*100),Справочники!$N:$N,0),1)</f>
        <v>0.4 кВ</v>
      </c>
      <c r="K5" s="40">
        <f>1</f>
        <v>1</v>
      </c>
      <c r="L5" s="20" t="str">
        <f>"СШ-" &amp; K5</f>
        <v>СШ-1</v>
      </c>
      <c r="M5" s="20">
        <f>IF(I5=I4, VALUE(M4)+1, 1)</f>
        <v>1</v>
      </c>
      <c r="N5" s="40"/>
      <c r="O5" s="56" t="str">
        <f>"Ввод-" &amp; K5 &amp; "-" &amp; M5</f>
        <v>Ввод-1-1</v>
      </c>
      <c r="P5" s="57" t="str">
        <f>IFERROR(IF(INDEX(ТУ!$AO:$AO,MATCH($U5*1,ТУ!$CP:$CP,0),1)=0,"",INDEX(ТУ!$AO:$AO,MATCH($U5*1,ТУ!$CP:$CP,0),1)),"")</f>
        <v>ячейка-1</v>
      </c>
      <c r="Q5" s="40">
        <f>IFERROR(IF(INDEX(ТУ!$BN:$BN,MATCH($U5*1,ТУ!$CP:$CP,0),1)=1,1,INDEX(ТУ!$BN:$BN,MATCH($U5*1,ТУ!$CP:$CP,0),1)*5),"")</f>
        <v>1</v>
      </c>
      <c r="R5" s="25">
        <f>IF(Q5=1, 1, 5)</f>
        <v>1</v>
      </c>
      <c r="S5" s="25">
        <f>IF(Q5=1, 1, IFERROR(INDEX(КТН1,BA5), 1))</f>
        <v>1</v>
      </c>
      <c r="T5" s="25">
        <f>IF(Q5=1, 1, IFERROR(INDEX(КТН2,BA5), 1))</f>
        <v>1</v>
      </c>
      <c r="U5" s="99" t="s">
        <v>513</v>
      </c>
      <c r="V5" s="43">
        <f>IF(INDEX(ТУ!$BH:$BH,MATCH($U5*1,ТУ!$CP:$CP,0),1)=0,"",INDEX(ТУ!$BH:$BH,MATCH($U5*1,ТУ!$CP:$CP,0),1))</f>
        <v>45623</v>
      </c>
      <c r="W5" s="43" t="str">
        <f>IF(INDEX(ТУ!$BI:$BI,MATCH($U5*1,ТУ!$CP:$CP,0),1)=0,"",INDEX(ТУ!$BI:$BI,MATCH($U5*1,ТУ!$CP:$CP,0),1))</f>
        <v/>
      </c>
      <c r="X5" s="58" t="str">
        <f>IF(ISNUMBER(SEARCH("Нартис",AB5)),"DLMS счетчик",
IF(ISNUMBER(SEARCH("Меркурий 234 (СПОДЭС)",AB5)),"Меркурий-23X СПОДЭС",
IF(ISNUMBER(SEARCH("Меркурий 234",AB5)),"Меркурий-23X",
IF(ISNUMBER(SEARCH("Меркурий 206",AB5)),"Меркурий 203.2Т",
IF(ISNUMBER(SEARCH("СЕ308",AB5)),"CE-308/208 СПОДЭС",
IF(ISNUMBER(SEARCH("СЕ207",AB5)),"CE-308/208 СПОДЭС",
IF(ISNUMBER(SEARCH("СТЭМ-300 (СПОДЭС)",AB5)),"DLMS счетчик",
IF(ISNUMBER(SEARCH("ТЕ3000",AB5)),"СЭТ-4ТМ",
IF(ISNUMBER(SEARCH("СЭТ-4ТМ",AB5)),"СЭТ-4ТМ",
""
)))))))))</f>
        <v>DLMS счетчик</v>
      </c>
      <c r="Y5" s="25">
        <f>IFERROR(INDEX(КодПУ,AX5), 34)</f>
        <v>34</v>
      </c>
      <c r="Z5" s="42" t="str">
        <f>IF(AND(ISNUMBER(SEARCH("Нартис-И300", AB5)),ISNUMBER(SEARCH("0000000000002080", AF5))), "Нартис-И300 2080",
IF(AND(ISNUMBER(SEARCH("Нартис-И300", AB5)),ISNUMBER(SEARCH("0000000100000001", AF5))), "Нартис-И300 стд",
IF(AND(ISNUMBER(SEARCH("Нартис-И100", AB5)),ISNUMBER(SEARCH("0000000000002080", AF5))), "Нартис-И300 2080",
IF(AND(ISNUMBER(SEARCH("Нартис-И100", AB5)),ISNUMBER(SEARCH("0000000100000001", AF5))), "Нартис-И300 стд",
IF(AND(ISNUMBER(SEARCH("Нартис-300", AB5))), "Нартис-300",
IF(AND(ISNUMBER(SEARCH("Меркурий-23X СПОДЭС", X5)),ISNUMBER(SEARCH("2222222222222222", AF5))), "Инкотекс 2222",
IF(AND(ISNUMBER(SEARCH("Меркурий-23X СПОДЭС", X5)),ISNUMBER(SEARCH("0000000000002080", AF5))), "Инкотекс 2080",
IF(AND(ISNUMBER(SEARCH("Меркурий-23X СПОДЭС", X5))), "Меркурий 234",
IF(AND(ISNUMBER(SEARCH("CE-308/208 СПОДЭС", X5))), "СПОДЭС (общий)",
IF(AND(ISNUMBER(SEARCH("СТЭМ-300 (СПОДЭС)", AB5))), "СТЭМ-300",
""
))))))))))</f>
        <v>Нартис-И300 2080</v>
      </c>
      <c r="AA5" s="25">
        <f>IFERROR(INDEX(кодDLMS,AY5), "")</f>
        <v>61</v>
      </c>
      <c r="AB5" s="40" t="str">
        <f>IF(ISNUMBER(SEARCH("Приборы с поддержкой протокола СПОДЭС - Нартис-И300 (СПОДЭС)",INDEX(ТУ!$BD:$BD,MATCH($U5*1,ТУ!$CP:$CP,0),1))),"Нартис-И300",
IF(ISNUMBER(SEARCH("Приборы с поддержкой протокола СПОДЭС - Меркурий 234 (СПОДЭС)",INDEX(ТУ!$BD:$BD,MATCH($U5*1,ТУ!$CP:$CP,0),1))),"Меркурий 234 (СПОДЭС)",
IF(ISNUMBER(SEARCH("Приборы с поддержкой протокола СПОДЭС - Нартис-300 (СПОДЭС)",INDEX(ТУ!$BD:$BD,MATCH($U5*1,ТУ!$CP:$CP,0),1))),"Нартис-300",
IF(ISNUMBER(SEARCH("Инкотекс - Меркурий 234",INDEX(ТУ!$BD:$BD,MATCH($U5*1,ТУ!$CP:$CP,0),1))),"Меркурий 234",
IF(ISNUMBER(SEARCH("Инкотекс - Меркурий 206",INDEX(ТУ!$BD:$BD,MATCH($U5*1,ТУ!$CP:$CP,0),1))),"Меркурий 206",
IF(ISNUMBER(SEARCH("Приборы с поддержкой протокола СПОДЭС - Универсальный счетчик СПОДЭС 2 трехфазный",INDEX(ТУ!$BD:$BD,MATCH($U5*1,ТУ!$CP:$CP,0),1))),"Нартис-И300",
IF(ISNUMBER(SEARCH("Приборы с поддержкой протокола СПОДЭС - Универсальный счетчик СПОДЭС 2 однофазный",INDEX(ТУ!$BD:$BD,MATCH($U5*1,ТУ!$CP:$CP,0),1))),"Нартис-И100",
IF(ISNUMBER(SEARCH("Приборы с поддержкой протокола СПОДЭС - Нартис-И100 (СПОДЭС)",INDEX(ТУ!$BD:$BD,MATCH($U5*1,ТУ!$CP:$CP,0),1))),"Нартис-И100",
IF(ISNUMBER(SEARCH("Приборы с поддержкой протокола СПОДЭС - СЕ308 (СПОДЭС)",INDEX(ТУ!$BD:$BD,MATCH($U5*1,ТУ!$CP:$CP,0),1))),"СЕ308 (СПОДЭС)",
IF(ISNUMBER(SEARCH("Приборы с поддержкой протокола СПОДЭС - СЕ207 (СПОДЭС)",INDEX(ТУ!$BD:$BD,MATCH($U5*1,ТУ!$CP:$CP,0),1))),"СЕ207 (СПОДЭС)",
IF(ISNUMBER(SEARCH("Приборы с поддержкой протокола СПОДЭС - СТЭМ-300 (СПОДЭС)",INDEX(ТУ!$BD:$BD,MATCH($U5*1,ТУ!$CP:$CP,0),1))),"СТЭМ-300 (СПОДЭС)",
IF(ISNUMBER(SEARCH("ТехноЭнерго - ТЕ3000",INDEX(ТУ!$BD:$BD,MATCH($U5*1,ТУ!$CP:$CP,0),1))),"ТЕ3000",
IF(ISNUMBER(SEARCH("НЗиФ - СЭТ-4ТМ",INDEX(ТУ!$BD:$BD,MATCH($U5*1,ТУ!$CP:$CP,0),1))),"СЭТ-4ТМ",
INDEX(ТУ!$BD:$BD,MATCH($U5*1,ТУ!$CP:$CP,0),1)
)))))))))))))</f>
        <v>Нартис-И300</v>
      </c>
      <c r="AC5" s="40" t="s">
        <v>2</v>
      </c>
      <c r="AD5" s="40" t="str">
        <f>IF(ISNUMBER(IFERROR(LEFT(IF(INDEX(ТУ!$CI:$CI,MATCH($U5*1,ТУ!$CP:$CP,0),1)=0,"",INDEX(ТУ!$CI:$CI,MATCH($U5*1,ТУ!$CP:$CP,0),1)),SEARCH(" ",IF(INDEX(ТУ!$CI:$CI,MATCH($U5*1,ТУ!$CP:$CP,0),1)=0,"",INDEX(ТУ!$CI:$CI,MATCH($U5*1,ТУ!$CP:$CP,0),1)),1)-1),"")*1),IFERROR(LEFT(IF(INDEX(ТУ!$CI:$CI,MATCH($U5*1,ТУ!$CP:$CP,0),1)=0,"",INDEX(ТУ!$CI:$CI,MATCH($U5*1,ТУ!$CP:$CP,0),1)),SEARCH(" ",IF(INDEX(ТУ!$CI:$CI,MATCH($U5*1,ТУ!$CP:$CP,0),1)=0,"",INDEX(ТУ!$CI:$CI,MATCH($U5*1,ТУ!$CP:$CP,0),1)),1)-1),""),"")</f>
        <v/>
      </c>
      <c r="AE5" s="40">
        <f>IF(INDEX(ТУ!$CB:$CB,MATCH($U5*1,ТУ!$CP:$CP,0),1)=0,INDEX(Adr!$B:$B,MATCH($U5*1,Adr!$C:$C,0),1),INDEX(ТУ!$CB:$CB,MATCH($U5*1,ТУ!$CP:$CP,0),1))</f>
        <v>17</v>
      </c>
      <c r="AF5" s="45" t="str">
        <f>IF(INDEX(ТУ!$CD:$CD,MATCH($U5*1,ТУ!$CP:$CP,0),1)=0,"",INDEX(ТУ!$CD:$CD,MATCH($U5*1,ТУ!$CP:$CP,0),1))</f>
        <v>0000000000002080</v>
      </c>
      <c r="AG5" s="45">
        <f>0</f>
        <v>0</v>
      </c>
      <c r="AH5" s="26">
        <f>F5</f>
        <v>90</v>
      </c>
      <c r="AI5" s="20" t="str">
        <f>IF(I5=I4, IF(AND(AJ5=AJ4, AK5=AK4), AI4, VALUE(AI4)+1), CONCATENATE(I5,1))</f>
        <v>905000001</v>
      </c>
      <c r="AJ5" s="41" t="str">
        <f t="shared" ref="AJ5:AJ68" si="1">IFERROR(RIGHT($BB5,LEN($BB5)-SEARCH("/",$BB5,1)),$BB5)</f>
        <v>10.210.207.60</v>
      </c>
      <c r="AK5" s="41" t="str">
        <f>IF($AP5="",IFERROR(IFERROR(LEFT(RIGHT(INDEX(ТУ!$CE:$CE,MATCH($U5*1,ТУ!$CP:$CP,0),1),LEN(INDEX(ТУ!$CE:$CE,MATCH($U5*1,ТУ!$CP:$CP,0),1))-SEARCH(":",INDEX(ТУ!$CE:$CE,MATCH($U5*1,ТУ!$CP:$CP,0),1))),SEARCH("/",RIGHT(INDEX(ТУ!$CE:$CE,MATCH($U5*1,ТУ!$CP:$CP,0),1),LEN(INDEX(ТУ!$CE:$CE,MATCH($U5*1,ТУ!$CP:$CP,0),1))-SEARCH(":",INDEX(ТУ!$CE:$CE,MATCH($U5*1,ТУ!$CP:$CP,0),1))))-1), RIGHT(INDEX(ТУ!$CE:$CE,MATCH($U5*1,ТУ!$CP:$CP,0),1),LEN(INDEX(ТУ!$CE:$CE,MATCH($U5*1,ТУ!$CP:$CP,0),1))-SEARCH(":",INDEX(ТУ!$CE:$CE,MATCH($U5*1,ТУ!$CP:$CP,0),1)))), ""),IFERROR(IFERROR(LEFT(RIGHT(INDEX(УСПД!$M:$M,MATCH(IFERROR(1*LEFT(INDEX(ТУ!$CG:$CG,MATCH($U5*1,ТУ!$CP:$CP,0),1),SEARCH(" ",INDEX(ТУ!$CG:$CG,MATCH($U5*1,ТУ!$CP:$CP,0),1))-1),""),УСПД!$N:$N,0),1),LEN(INDEX(УСПД!$M:$M,MATCH(IFERROR(1*LEFT(INDEX(ТУ!$CG:$CG,MATCH($U5*1,ТУ!$CP:$CP,0),1),SEARCH(" ",INDEX(ТУ!$CG:$CG,MATCH($U5*1,ТУ!$CP:$CP,0),1))-1),""),УСПД!$N:$N,0),1))-SEARCH(":",INDEX(УСПД!$M:$M,MATCH(IFERROR(1*LEFT(INDEX(ТУ!$CG:$CG,MATCH($U5*1,ТУ!$CP:$CP,0),1),SEARCH(" ",INDEX(ТУ!$CG:$CG,MATCH($U5*1,ТУ!$CP:$CP,0),1))-1),""),УСПД!$N:$N,0),1))),SEARCH("/",RIGHT(INDEX(УСПД!$M:$M,MATCH(IFERROR(1*LEFT(INDEX(ТУ!$CG:$CG,MATCH($U5*1,ТУ!$CP:$CP,0),1),SEARCH(" ",INDEX(ТУ!$CG:$CG,MATCH($U5*1,ТУ!$CP:$CP,0),1))-1),""),УСПД!$N:$N,0),1),LEN(INDEX(УСПД!$M:$M,MATCH(IFERROR(1*LEFT(INDEX(ТУ!$CG:$CG,MATCH($U5*1,ТУ!$CP:$CP,0),1),SEARCH(" ",INDEX(ТУ!$CG:$CG,MATCH($U5*1,ТУ!$CP:$CP,0),1))-1),""),УСПД!$N:$N,0),1))-SEARCH(":",INDEX(УСПД!$M:$M,MATCH(IFERROR(1*LEFT(INDEX(ТУ!$CG:$CG,MATCH($U5*1,ТУ!$CP:$CP,0),1),SEARCH(" ",INDEX(ТУ!$CG:$CG,MATCH($U5*1,ТУ!$CP:$CP,0),1))-1),""),УСПД!$N:$N,0),1))))-1), RIGHT(INDEX(УСПД!$M:$M,MATCH(IFERROR(1*LEFT(INDEX(ТУ!$CG:$CG,MATCH($U5*1,ТУ!$CP:$CP,0),1),SEARCH(" ",INDEX(ТУ!$CG:$CG,MATCH($U5*1,ТУ!$CP:$CP,0),1))-1),""),УСПД!$N:$N,0),1),LEN(INDEX(УСПД!$M:$M,MATCH(IFERROR(1*LEFT(INDEX(ТУ!$CG:$CG,MATCH($U5*1,ТУ!$CP:$CP,0),1),SEARCH(" ",INDEX(ТУ!$CG:$CG,MATCH($U5*1,ТУ!$CP:$CP,0),1))-1),""),УСПД!$N:$N,0),1))-SEARCH(":",INDEX(УСПД!$M:$M,MATCH(IFERROR(1*LEFT(INDEX(ТУ!$CG:$CG,MATCH($U5*1,ТУ!$CP:$CP,0),1),SEARCH(" ",INDEX(ТУ!$CG:$CG,MATCH($U5*1,ТУ!$CP:$CP,0),1))-1),""),УСПД!$N:$N,0),1)))), ""))</f>
        <v>4001</v>
      </c>
      <c r="AL5" s="41"/>
      <c r="AM5" s="57" t="str">
        <f>IFERROR(IFERROR(INDEX(Tel!$B:$B,MATCH($AJ5,Tel!$E:$E,0),1),INDEX(Tel!$B:$B,MATCH($AJ5,Tel!$D:$D,0),1)),"")</f>
        <v/>
      </c>
      <c r="AN5" s="59" t="str">
        <f>IF(ISNUMBER(SEARCH("ТОПАЗ - ТОПАЗ УСПД",IFERROR(RIGHT(LEFT(INDEX(ТУ!$CG:$CG,MATCH($U5*1,ТУ!$CP:$CP,0),1),SEARCH(")",INDEX(ТУ!$CG:$CG,MATCH($U5*1,ТУ!$CP:$CP,0),1))-1),LEN(LEFT(INDEX(ТУ!$CG:$CG,MATCH($U5*1,ТУ!$CP:$CP,0),1),SEARCH(")",INDEX(ТУ!$CG:$CG,MATCH($U5*1,ТУ!$CP:$CP,0),1))-1))-SEARCH("(",INDEX(ТУ!$CG:$CG,MATCH($U5*1,ТУ!$CP:$CP,0),1))),""),1)),"RTU-327",
IF(ISNUMBER(SEARCH("TELEOFIS",$AP5)),"Модем",
""))</f>
        <v/>
      </c>
      <c r="AO5" s="27" t="str">
        <f t="shared" si="0"/>
        <v/>
      </c>
      <c r="AP5" s="57" t="str">
        <f>IF(ISNUMBER(SEARCH("Миландр - Милур GSM/GPRS модем",IFERROR(RIGHT(LEFT(INDEX(ТУ!$CG:$CG,MATCH($U5*1,ТУ!$CP:$CP,0),1),SEARCH(")",INDEX(ТУ!$CG:$CG,MATCH($U5*1,ТУ!$CP:$CP,0),1))-1),LEN(LEFT(INDEX(ТУ!$CG:$CG,MATCH($U5*1,ТУ!$CP:$CP,0),1),SEARCH(")",INDEX(ТУ!$CG:$CG,MATCH($U5*1,ТУ!$CP:$CP,0),1))-1))-SEARCH("(",INDEX(ТУ!$CG:$CG,MATCH($U5*1,ТУ!$CP:$CP,0),1))),""),1)), "TELEOFIS WRX708-L4",IFERROR(RIGHT(LEFT(INDEX(ТУ!$CG:$CG,MATCH($U5*1,ТУ!$CP:$CP,0),1),SEARCH(")",INDEX(ТУ!$CG:$CG,MATCH($U5*1,ТУ!$CP:$CP,0),1))-1),LEN(LEFT(INDEX(ТУ!$CG:$CG,MATCH($U5*1,ТУ!$CP:$CP,0),1),SEARCH(")",INDEX(ТУ!$CG:$CG,MATCH($U5*1,ТУ!$CP:$CP,0),1))-1))-SEARCH("(",INDEX(ТУ!$CG:$CG,MATCH($U5*1,ТУ!$CP:$CP,0),1))),""))</f>
        <v/>
      </c>
      <c r="AQ5" s="57" t="str">
        <f>IFERROR(IF(INDEX(УСПД!$K:$K,MATCH($AS5*1,УСПД!$N:$N,0),1)=0,"",INDEX(УСПД!$K:$K,MATCH($AS5*1,УСПД!$N:$N,0),1)),"")</f>
        <v/>
      </c>
      <c r="AR5" s="57" t="str">
        <f>IFERROR(IF(INDEX(УСПД!$L:$L,MATCH($AS5*1,УСПД!$N:$N,0),1)=0,"",INDEX(УСПД!$L:$L,MATCH($AS5*1,УСПД!$N:$N,0),1)),"")</f>
        <v/>
      </c>
      <c r="AS5" s="60" t="str">
        <f>IFERROR(LEFT(INDEX(ТУ!$CG:$CG,MATCH($U5*1,ТУ!$CP:$CP,0),1),SEARCH(" ",INDEX(ТУ!$CG:$CG,MATCH($U5*1,ТУ!$CP:$CP,0),1))-1),"")</f>
        <v/>
      </c>
      <c r="AT5" s="59" t="s">
        <v>360</v>
      </c>
      <c r="AU5" s="59">
        <f>3</f>
        <v>3</v>
      </c>
      <c r="AV5" s="59" t="s">
        <v>368</v>
      </c>
      <c r="AW5" s="149">
        <f>IFERROR(MATCH(B5,РЭС,0),"")</f>
        <v>68</v>
      </c>
      <c r="AX5" s="149">
        <f>IFERROR(MATCH(X5,ТипПУ,0), 34)</f>
        <v>33</v>
      </c>
      <c r="AY5" s="149">
        <f>IFERROR(MATCH(Z5,DLMS,0), "")</f>
        <v>5</v>
      </c>
      <c r="AZ5" s="149" t="str">
        <f>IFERROR(MATCH(AN5,УСПД,0), "")</f>
        <v/>
      </c>
      <c r="BA5" s="149">
        <f>IFERROR(MATCH(J5,NAPR,0), "")</f>
        <v>1</v>
      </c>
      <c r="BB5" s="154" t="str">
        <f>IF($AP5="",IFERROR(IFERROR(LEFT(RIGHT(INDEX(ТУ!$CE:$CE,MATCH($U5*1,ТУ!$CP:$CP,0),1),LEN(INDEX(ТУ!$CE:$CE,MATCH($U5*1,ТУ!$CP:$CP,0),1))-SEARCH(", ",INDEX(ТУ!$CE:$CE,MATCH($U5*1,ТУ!$CP:$CP,0),1),SEARCH(", ",INDEX(ТУ!$CE:$CE,MATCH($U5*1,ТУ!$CP:$CP,0),1))+1)-1),SEARCH(":",RIGHT(INDEX(ТУ!$CE:$CE,MATCH($U5*1,ТУ!$CP:$CP,0),1),LEN(INDEX(ТУ!$CE:$CE,MATCH($U5*1,ТУ!$CP:$CP,0),1))-SEARCH(", ",INDEX(ТУ!$CE:$CE,MATCH($U5*1,ТУ!$CP:$CP,0),1),SEARCH(", ",INDEX(ТУ!$CE:$CE,MATCH($U5*1,ТУ!$CP:$CP,0),1))+1)-1))-1),LEFT(INDEX(ТУ!$CE:$CE,MATCH($U5*1,ТУ!$CP:$CP,0),1),SEARCH(":",INDEX(ТУ!$CE:$CE,MATCH($U5*1,ТУ!$CP:$CP,0),1))-1)),""),IFERROR(IFERROR(LEFT(RIGHT(INDEX(УСПД!$M:$M,MATCH(IFERROR(1*LEFT(INDEX(ТУ!$CG:$CG,MATCH($U5*1,ТУ!$CP:$CP,0),1),SEARCH(" ",INDEX(ТУ!$CG:$CG,MATCH($U5*1,ТУ!$CP:$CP,0),1))-1),""),УСПД!$N:$N,0),1),LEN(INDEX(УСПД!$M:$M,MATCH(IFERROR(1*LEFT(INDEX(ТУ!$CG:$CG,MATCH($U5*1,ТУ!$CP:$CP,0),1),SEARCH(" ",INDEX(ТУ!$CG:$CG,MATCH($U5*1,ТУ!$CP:$CP,0),1))-1),""),УСПД!$N:$N,0),1))-SEARCH(", ",INDEX(УСПД!$M:$M,MATCH(IFERROR(1*LEFT(INDEX(ТУ!$CG:$CG,MATCH($U5*1,ТУ!$CP:$CP,0),1),SEARCH(" ",INDEX(ТУ!$CG:$CG,MATCH($U5*1,ТУ!$CP:$CP,0),1))-1),""),УСПД!$N:$N,0),1),SEARCH(", ",INDEX(УСПД!$M:$M,MATCH(IFERROR(1*LEFT(INDEX(ТУ!$CG:$CG,MATCH($U5*1,ТУ!$CP:$CP,0),1),SEARCH(" ",INDEX(ТУ!$CG:$CG,MATCH($U5*1,ТУ!$CP:$CP,0),1))-1),""),УСПД!$N:$N,0),1))+1)-1),SEARCH(":",RIGHT(INDEX(УСПД!$M:$M,MATCH(IFERROR(1*LEFT(INDEX(ТУ!$CG:$CG,MATCH($U5*1,ТУ!$CP:$CP,0),1),SEARCH(" ",INDEX(ТУ!$CG:$CG,MATCH($U5*1,ТУ!$CP:$CP,0),1))-1),""),УСПД!$N:$N,0),1),LEN(INDEX(УСПД!$M:$M,MATCH(IFERROR(1*LEFT(INDEX(ТУ!$CG:$CG,MATCH($U5*1,ТУ!$CP:$CP,0),1),SEARCH(" ",INDEX(ТУ!$CG:$CG,MATCH($U5*1,ТУ!$CP:$CP,0),1))-1),""),УСПД!$N:$N,0),1))-SEARCH(", ",INDEX(УСПД!$M:$M,MATCH(IFERROR(1*LEFT(INDEX(ТУ!$CG:$CG,MATCH($U5*1,ТУ!$CP:$CP,0),1),SEARCH(" ",INDEX(ТУ!$CG:$CG,MATCH($U5*1,ТУ!$CP:$CP,0),1))-1),""),УСПД!$N:$N,0),1),SEARCH(", ",INDEX(УСПД!$M:$M,MATCH(IFERROR(1*LEFT(INDEX(ТУ!$CG:$CG,MATCH($U5*1,ТУ!$CP:$CP,0),1),SEARCH(" ",INDEX(ТУ!$CG:$CG,MATCH($U5*1,ТУ!$CP:$CP,0),1))-1),""),УСПД!$N:$N,0),1))+1)-1))-1),LEFT(INDEX(УСПД!$M:$M,MATCH(IFERROR(1*LEFT(INDEX(ТУ!$CG:$CG,MATCH($U5*1,ТУ!$CP:$CP,0),1),SEARCH(" ",INDEX(ТУ!$CG:$CG,MATCH($U5*1,ТУ!$CP:$CP,0),1))-1),""),УСПД!$N:$N,0),1),SEARCH(":",INDEX(УСПД!$M:$M,MATCH(IFERROR(1*LEFT(INDEX(ТУ!$CG:$CG,MATCH($U5*1,ТУ!$CP:$CP,0),1),SEARCH(" ",INDEX(ТУ!$CG:$CG,MATCH($U5*1,ТУ!$CP:$CP,0),1))-1),""),УСПД!$N:$N,0),1))-1)),""))</f>
        <v>10.210.207.60</v>
      </c>
      <c r="BC5" s="155" t="str">
        <f>INDEX(ТУ!$AF:$AF,MATCH($U5*1,ТУ!$CP:$CP,0),1)</f>
        <v>ТП-[МКС/16] б/н</v>
      </c>
      <c r="BD5" s="155">
        <f>INDEX(ТУ!$X:$X,MATCH($U5*1,ТУ!$CP:$CP,0),1)</f>
        <v>0</v>
      </c>
      <c r="BE5" s="155" t="str">
        <f>INDEX(ТУ!$CL:$CL,MATCH($U5*1,ТУ!$CP:$CP,0),1)</f>
        <v>Тех.учет</v>
      </c>
      <c r="BF5" s="147" t="str">
        <f>IFERROR(INDEX(естьАЦ!$A:$A,MATCH($U5*1,естьАЦ!$A:$A,0),1),"нет в АЦ")</f>
        <v>нет в АЦ</v>
      </c>
    </row>
    <row r="6" spans="1:58" ht="15" x14ac:dyDescent="0.25">
      <c r="A6" s="55">
        <f>3</f>
        <v>3</v>
      </c>
      <c r="B6" s="42" t="str">
        <f>IFERROR(IFERROR(INDEX(Справочники!$A$2:$P$79,MATCH(INDEX(ТУ!$E:$E,MATCH($U6*1,ТУ!$CP:$CP,0),1),Справочники!$P$2:$P$79,0),2),INDEX(Справочники!$A$2:$P$79,MATCH((INDEX(ТУ!$E:$E,MATCH($U6*1,ТУ!$CP:$CP,0),1))*1,Справочники!$P$2:$P$79,0),2)),"")</f>
        <v>21 р-н МКС (СОРУПЭ)</v>
      </c>
      <c r="C6" s="46" t="str">
        <f>IFERROR(TRIM(LEFT(INDEX(ТУ!$AF:$AF,MATCH($U6*1,ТУ!$CP:$CP,0),1),SEARCH("-",INDEX(ТУ!$AF:$AF,MATCH($U6*1,ТУ!$CP:$CP,0),1))-1)),IFERROR(LEFT(INDEX(ТУ!$X:$X,MATCH($U6*1,ТУ!$CP:$CP,0),1),SEARCH("-",INDEX(ТУ!$X:$X,MATCH($U6*1,ТУ!$CP:$CP,0),1))-1),"ТП"))</f>
        <v>ТП</v>
      </c>
      <c r="D6" s="47" t="str">
        <f>IF(TRIM(IF(ISNUMBER((IFERROR(RIGHT(INDEX(ТУ!$AF:$AF,MATCH($U6*1,ТУ!$CP:$CP,0),1),LEN(INDEX(ТУ!$AF:$AF,MATCH($U6*1,ТУ!$CP:$CP,0),1))-SEARCH("-",INDEX(ТУ!$AF:$AF,MATCH($U6*1,ТУ!$CP:$CP,0),1))),INDEX(ТУ!$AF:$AF,MATCH($U6*1,ТУ!$CP:$CP,0),1)))*1),IFERROR(RIGHT(INDEX(ТУ!$AF:$AF,MATCH($U6*1,ТУ!$CP:$CP,0),1),LEN(INDEX(ТУ!$AF:$AF,MATCH($U6*1,ТУ!$CP:$CP,0),1))-SEARCH("-",INDEX(ТУ!$AF:$AF,MATCH($U6*1,ТУ!$CP:$CP,0),1))),INDEX(ТУ!$AF:$AF,MATCH($U6*1,ТУ!$CP:$CP,0),1)),""))="",TRIM(IF(ISNUMBER((IFERROR(RIGHT(INDEX(ТУ!$X:$X,MATCH($U6*1,ТУ!$CP:$CP,0),1),LEN(INDEX(ТУ!$X:$X,MATCH($U6*1,ТУ!$CP:$CP,0),1))-SEARCH("-",INDEX(ТУ!$X:$X,MATCH($U6*1,ТУ!$CP:$CP,0),1))),INDEX(ТУ!$X:$X,MATCH($U6*1,ТУ!$CP:$CP,0),1)))*1),IFERROR(RIGHT(INDEX(ТУ!$X:$X,MATCH($U6*1,ТУ!$CP:$CP,0),1),LEN(INDEX(ТУ!$X:$X,MATCH($U6*1,ТУ!$CP:$CP,0),1))-SEARCH("-",INDEX(ТУ!$X:$X,MATCH($U6*1,ТУ!$CP:$CP,0),1))),INDEX(ТУ!$X:$X,MATCH($U6*1,ТУ!$CP:$CP,0),1)),"")),TRIM(IF(ISNUMBER((IFERROR(RIGHT(INDEX(ТУ!$AF:$AF,MATCH($U6*1,ТУ!$CP:$CP,0),1),LEN(INDEX(ТУ!$AF:$AF,MATCH($U6*1,ТУ!$CP:$CP,0),1))-SEARCH("-",INDEX(ТУ!$AF:$AF,MATCH($U6*1,ТУ!$CP:$CP,0),1))),INDEX(ТУ!$AF:$AF,MATCH($U6*1,ТУ!$CP:$CP,0),1)))*1),IFERROR(RIGHT(INDEX(ТУ!$AF:$AF,MATCH($U6*1,ТУ!$CP:$CP,0),1),LEN(INDEX(ТУ!$AF:$AF,MATCH($U6*1,ТУ!$CP:$CP,0),1))-SEARCH("-",INDEX(ТУ!$AF:$AF,MATCH($U6*1,ТУ!$CP:$CP,0),1))),INDEX(ТУ!$AF:$AF,MATCH($U6*1,ТУ!$CP:$CP,0),1)),"")))</f>
        <v/>
      </c>
      <c r="E6" s="25" t="str">
        <f>IFERROR(INDEX(ПЭС,AW6),"")</f>
        <v>МКС</v>
      </c>
      <c r="F6" s="20">
        <f>IFERROR(INDEX(код,AW6),"")</f>
        <v>95</v>
      </c>
      <c r="G6" s="21">
        <f>IFERROR(MATCH(C6,ТипЭУ,0),"")</f>
        <v>5</v>
      </c>
      <c r="H6" s="25" t="str">
        <f>CONCATENATE(C6,"-",D6)</f>
        <v>ТП-</v>
      </c>
      <c r="I6" s="25" t="str">
        <f>CONCATENATE(F6,G6,REPT("0",5-LEN(D6)),D6)</f>
        <v>95500000</v>
      </c>
      <c r="J6" s="42" t="str">
        <f>INDEX(Справочники!$M:$M,MATCH(IF(INDEX(ТУ!$BO:$BO,MATCH($U6*1,ТУ!$CP:$CP,0),1)=1,1,INDEX(ТУ!$BO:$BO,MATCH($U6*1,ТУ!$CP:$CP,0),1)*100),Справочники!$N:$N,0),1)</f>
        <v>0.4 кВ</v>
      </c>
      <c r="K6" s="40">
        <f>1</f>
        <v>1</v>
      </c>
      <c r="L6" s="20" t="str">
        <f>"СШ-" &amp; K6</f>
        <v>СШ-1</v>
      </c>
      <c r="M6" s="20">
        <f>IF(I6=I5, VALUE(M5)+1, 1)</f>
        <v>1</v>
      </c>
      <c r="N6" s="40"/>
      <c r="O6" s="56" t="str">
        <f>"Ввод-" &amp; K6 &amp; "-" &amp; M6</f>
        <v>Ввод-1-1</v>
      </c>
      <c r="P6" s="57" t="str">
        <f>IFERROR(IF(INDEX(ТУ!$AO:$AO,MATCH($U6*1,ТУ!$CP:$CP,0),1)=0,"",INDEX(ТУ!$AO:$AO,MATCH($U6*1,ТУ!$CP:$CP,0),1)),"")</f>
        <v>Ввод 0000</v>
      </c>
      <c r="Q6" s="40">
        <f>IFERROR(IF(INDEX(ТУ!$BN:$BN,MATCH($U6*1,ТУ!$CP:$CP,0),1)=1,1,INDEX(ТУ!$BN:$BN,MATCH($U6*1,ТУ!$CP:$CP,0),1)*5),"")</f>
        <v>1</v>
      </c>
      <c r="R6" s="25">
        <f>IF(Q6=1, 1, 5)</f>
        <v>1</v>
      </c>
      <c r="S6" s="25">
        <f>IF(Q6=1, 1, IFERROR(INDEX(КТН1,BA6), 1))</f>
        <v>1</v>
      </c>
      <c r="T6" s="25">
        <f>IF(Q6=1, 1, IFERROR(INDEX(КТН2,BA6), 1))</f>
        <v>1</v>
      </c>
      <c r="U6" s="105" t="s">
        <v>521</v>
      </c>
      <c r="V6" s="43">
        <f>IF(INDEX(ТУ!$BH:$BH,MATCH($U6*1,ТУ!$CP:$CP,0),1)=0,"",INDEX(ТУ!$BH:$BH,MATCH($U6*1,ТУ!$CP:$CP,0),1))</f>
        <v>44592</v>
      </c>
      <c r="W6" s="43" t="str">
        <f>IF(INDEX(ТУ!$BI:$BI,MATCH($U6*1,ТУ!$CP:$CP,0),1)=0,"",INDEX(ТУ!$BI:$BI,MATCH($U6*1,ТУ!$CP:$CP,0),1))</f>
        <v>23.11.2021</v>
      </c>
      <c r="X6" s="58" t="str">
        <f>IF(ISNUMBER(SEARCH("Нартис",AB6)),"DLMS счетчик",
IF(ISNUMBER(SEARCH("Меркурий 234 (СПОДЭС)",AB6)),"Меркурий-23X СПОДЭС",
IF(ISNUMBER(SEARCH("Меркурий 234",AB6)),"Меркурий-23X",
IF(ISNUMBER(SEARCH("Меркурий 206",AB6)),"Меркурий 203.2Т",
IF(ISNUMBER(SEARCH("СЕ308",AB6)),"CE-308/208 СПОДЭС",
IF(ISNUMBER(SEARCH("СЕ207",AB6)),"CE-308/208 СПОДЭС",
IF(ISNUMBER(SEARCH("СТЭМ-300 (СПОДЭС)",AB6)),"DLMS счетчик",
IF(ISNUMBER(SEARCH("ТЕ3000",AB6)),"СЭТ-4ТМ",
IF(ISNUMBER(SEARCH("СЭТ-4ТМ",AB6)),"СЭТ-4ТМ",
""
)))))))))</f>
        <v>Меркурий-23X СПОДЭС</v>
      </c>
      <c r="Y6" s="25">
        <f>IFERROR(INDEX(КодПУ,AX6), 34)</f>
        <v>46</v>
      </c>
      <c r="Z6" s="42" t="str">
        <f>IF(AND(ISNUMBER(SEARCH("Нартис-И300", AB6)),ISNUMBER(SEARCH("0000000000002080", AF6))), "Нартис-И300 2080",
IF(AND(ISNUMBER(SEARCH("Нартис-И300", AB6)),ISNUMBER(SEARCH("0000000100000001", AF6))), "Нартис-И300 стд",
IF(AND(ISNUMBER(SEARCH("Нартис-И100", AB6)),ISNUMBER(SEARCH("0000000000002080", AF6))), "Нартис-И300 2080",
IF(AND(ISNUMBER(SEARCH("Нартис-И100", AB6)),ISNUMBER(SEARCH("0000000100000001", AF6))), "Нартис-И300 стд",
IF(AND(ISNUMBER(SEARCH("Нартис-300", AB6))), "Нартис-300",
IF(AND(ISNUMBER(SEARCH("Меркурий-23X СПОДЭС", X6)),ISNUMBER(SEARCH("2222222222222222", AF6))), "Инкотекс 2222",
IF(AND(ISNUMBER(SEARCH("Меркурий-23X СПОДЭС", X6)),ISNUMBER(SEARCH("0000000000002080", AF6))), "Инкотекс 2080",
IF(AND(ISNUMBER(SEARCH("Меркурий-23X СПОДЭС", X6))), "Меркурий 234",
IF(AND(ISNUMBER(SEARCH("CE-308/208 СПОДЭС", X6))), "СПОДЭС (общий)",
IF(AND(ISNUMBER(SEARCH("СТЭМ-300 (СПОДЭС)", AB6))), "СТЭМ-300",
""
))))))))))</f>
        <v>Инкотекс 2222</v>
      </c>
      <c r="AA6" s="25">
        <f>IFERROR(INDEX(кодDLMS,AY6), "")</f>
        <v>21</v>
      </c>
      <c r="AB6" s="40" t="str">
        <f>IF(ISNUMBER(SEARCH("Приборы с поддержкой протокола СПОДЭС - Нартис-И300 (СПОДЭС)",INDEX(ТУ!$BD:$BD,MATCH($U6*1,ТУ!$CP:$CP,0),1))),"Нартис-И300",
IF(ISNUMBER(SEARCH("Приборы с поддержкой протокола СПОДЭС - Меркурий 234 (СПОДЭС)",INDEX(ТУ!$BD:$BD,MATCH($U6*1,ТУ!$CP:$CP,0),1))),"Меркурий 234 (СПОДЭС)",
IF(ISNUMBER(SEARCH("Приборы с поддержкой протокола СПОДЭС - Нартис-300 (СПОДЭС)",INDEX(ТУ!$BD:$BD,MATCH($U6*1,ТУ!$CP:$CP,0),1))),"Нартис-300",
IF(ISNUMBER(SEARCH("Инкотекс - Меркурий 234",INDEX(ТУ!$BD:$BD,MATCH($U6*1,ТУ!$CP:$CP,0),1))),"Меркурий 234",
IF(ISNUMBER(SEARCH("Инкотекс - Меркурий 206",INDEX(ТУ!$BD:$BD,MATCH($U6*1,ТУ!$CP:$CP,0),1))),"Меркурий 206",
IF(ISNUMBER(SEARCH("Приборы с поддержкой протокола СПОДЭС - Универсальный счетчик СПОДЭС 2 трехфазный",INDEX(ТУ!$BD:$BD,MATCH($U6*1,ТУ!$CP:$CP,0),1))),"Нартис-И300",
IF(ISNUMBER(SEARCH("Приборы с поддержкой протокола СПОДЭС - Универсальный счетчик СПОДЭС 2 однофазный",INDEX(ТУ!$BD:$BD,MATCH($U6*1,ТУ!$CP:$CP,0),1))),"Нартис-И100",
IF(ISNUMBER(SEARCH("Приборы с поддержкой протокола СПОДЭС - Нартис-И100 (СПОДЭС)",INDEX(ТУ!$BD:$BD,MATCH($U6*1,ТУ!$CP:$CP,0),1))),"Нартис-И100",
IF(ISNUMBER(SEARCH("Приборы с поддержкой протокола СПОДЭС - СЕ308 (СПОДЭС)",INDEX(ТУ!$BD:$BD,MATCH($U6*1,ТУ!$CP:$CP,0),1))),"СЕ308 (СПОДЭС)",
IF(ISNUMBER(SEARCH("Приборы с поддержкой протокола СПОДЭС - СЕ207 (СПОДЭС)",INDEX(ТУ!$BD:$BD,MATCH($U6*1,ТУ!$CP:$CP,0),1))),"СЕ207 (СПОДЭС)",
IF(ISNUMBER(SEARCH("Приборы с поддержкой протокола СПОДЭС - СТЭМ-300 (СПОДЭС)",INDEX(ТУ!$BD:$BD,MATCH($U6*1,ТУ!$CP:$CP,0),1))),"СТЭМ-300 (СПОДЭС)",
IF(ISNUMBER(SEARCH("ТехноЭнерго - ТЕ3000",INDEX(ТУ!$BD:$BD,MATCH($U6*1,ТУ!$CP:$CP,0),1))),"ТЕ3000",
IF(ISNUMBER(SEARCH("НЗиФ - СЭТ-4ТМ",INDEX(ТУ!$BD:$BD,MATCH($U6*1,ТУ!$CP:$CP,0),1))),"СЭТ-4ТМ",
INDEX(ТУ!$BD:$BD,MATCH($U6*1,ТУ!$CP:$CP,0),1)
)))))))))))))</f>
        <v>Меркурий 234 (СПОДЭС)</v>
      </c>
      <c r="AC6" s="40" t="s">
        <v>2</v>
      </c>
      <c r="AD6" s="40" t="str">
        <f>IF(ISNUMBER(IFERROR(LEFT(IF(INDEX(ТУ!$CI:$CI,MATCH($U6*1,ТУ!$CP:$CP,0),1)=0,"",INDEX(ТУ!$CI:$CI,MATCH($U6*1,ТУ!$CP:$CP,0),1)),SEARCH(" ",IF(INDEX(ТУ!$CI:$CI,MATCH($U6*1,ТУ!$CP:$CP,0),1)=0,"",INDEX(ТУ!$CI:$CI,MATCH($U6*1,ТУ!$CP:$CP,0),1)),1)-1),"")*1),IFERROR(LEFT(IF(INDEX(ТУ!$CI:$CI,MATCH($U6*1,ТУ!$CP:$CP,0),1)=0,"",INDEX(ТУ!$CI:$CI,MATCH($U6*1,ТУ!$CP:$CP,0),1)),SEARCH(" ",IF(INDEX(ТУ!$CI:$CI,MATCH($U6*1,ТУ!$CP:$CP,0),1)=0,"",INDEX(ТУ!$CI:$CI,MATCH($U6*1,ТУ!$CP:$CP,0),1)),1)-1),""),"")</f>
        <v/>
      </c>
      <c r="AE6" s="40">
        <f>IF(INDEX(ТУ!$CB:$CB,MATCH($U6*1,ТУ!$CP:$CP,0),1)=0,INDEX(Adr!$B:$B,MATCH($U6*1,Adr!$C:$C,0),1),INDEX(ТУ!$CB:$CB,MATCH($U6*1,ТУ!$CP:$CP,0),1))</f>
        <v>25</v>
      </c>
      <c r="AF6" s="45" t="str">
        <f>IF(INDEX(ТУ!$CD:$CD,MATCH($U6*1,ТУ!$CP:$CP,0),1)=0,"",INDEX(ТУ!$CD:$CD,MATCH($U6*1,ТУ!$CP:$CP,0),1))</f>
        <v>2222222222222222</v>
      </c>
      <c r="AG6" s="45">
        <f>0</f>
        <v>0</v>
      </c>
      <c r="AH6" s="26">
        <f>F6</f>
        <v>95</v>
      </c>
      <c r="AI6" s="20" t="str">
        <f>IF(I6=I5, IF(AND(AJ6=AJ5, AK6=AK5), AI5, VALUE(AI5)+1), CONCATENATE(I6,1))</f>
        <v>955000001</v>
      </c>
      <c r="AJ6" s="41" t="str">
        <f t="shared" si="1"/>
        <v>10.81.213.111</v>
      </c>
      <c r="AK6" s="41" t="str">
        <f>IF($AP6="",IFERROR(IFERROR(LEFT(RIGHT(INDEX(ТУ!$CE:$CE,MATCH($U6*1,ТУ!$CP:$CP,0),1),LEN(INDEX(ТУ!$CE:$CE,MATCH($U6*1,ТУ!$CP:$CP,0),1))-SEARCH(":",INDEX(ТУ!$CE:$CE,MATCH($U6*1,ТУ!$CP:$CP,0),1))),SEARCH("/",RIGHT(INDEX(ТУ!$CE:$CE,MATCH($U6*1,ТУ!$CP:$CP,0),1),LEN(INDEX(ТУ!$CE:$CE,MATCH($U6*1,ТУ!$CP:$CP,0),1))-SEARCH(":",INDEX(ТУ!$CE:$CE,MATCH($U6*1,ТУ!$CP:$CP,0),1))))-1), RIGHT(INDEX(ТУ!$CE:$CE,MATCH($U6*1,ТУ!$CP:$CP,0),1),LEN(INDEX(ТУ!$CE:$CE,MATCH($U6*1,ТУ!$CP:$CP,0),1))-SEARCH(":",INDEX(ТУ!$CE:$CE,MATCH($U6*1,ТУ!$CP:$CP,0),1)))), ""),IFERROR(IFERROR(LEFT(RIGHT(INDEX(УСПД!$M:$M,MATCH(IFERROR(1*LEFT(INDEX(ТУ!$CG:$CG,MATCH($U6*1,ТУ!$CP:$CP,0),1),SEARCH(" ",INDEX(ТУ!$CG:$CG,MATCH($U6*1,ТУ!$CP:$CP,0),1))-1),""),УСПД!$N:$N,0),1),LEN(INDEX(УСПД!$M:$M,MATCH(IFERROR(1*LEFT(INDEX(ТУ!$CG:$CG,MATCH($U6*1,ТУ!$CP:$CP,0),1),SEARCH(" ",INDEX(ТУ!$CG:$CG,MATCH($U6*1,ТУ!$CP:$CP,0),1))-1),""),УСПД!$N:$N,0),1))-SEARCH(":",INDEX(УСПД!$M:$M,MATCH(IFERROR(1*LEFT(INDEX(ТУ!$CG:$CG,MATCH($U6*1,ТУ!$CP:$CP,0),1),SEARCH(" ",INDEX(ТУ!$CG:$CG,MATCH($U6*1,ТУ!$CP:$CP,0),1))-1),""),УСПД!$N:$N,0),1))),SEARCH("/",RIGHT(INDEX(УСПД!$M:$M,MATCH(IFERROR(1*LEFT(INDEX(ТУ!$CG:$CG,MATCH($U6*1,ТУ!$CP:$CP,0),1),SEARCH(" ",INDEX(ТУ!$CG:$CG,MATCH($U6*1,ТУ!$CP:$CP,0),1))-1),""),УСПД!$N:$N,0),1),LEN(INDEX(УСПД!$M:$M,MATCH(IFERROR(1*LEFT(INDEX(ТУ!$CG:$CG,MATCH($U6*1,ТУ!$CP:$CP,0),1),SEARCH(" ",INDEX(ТУ!$CG:$CG,MATCH($U6*1,ТУ!$CP:$CP,0),1))-1),""),УСПД!$N:$N,0),1))-SEARCH(":",INDEX(УСПД!$M:$M,MATCH(IFERROR(1*LEFT(INDEX(ТУ!$CG:$CG,MATCH($U6*1,ТУ!$CP:$CP,0),1),SEARCH(" ",INDEX(ТУ!$CG:$CG,MATCH($U6*1,ТУ!$CP:$CP,0),1))-1),""),УСПД!$N:$N,0),1))))-1), RIGHT(INDEX(УСПД!$M:$M,MATCH(IFERROR(1*LEFT(INDEX(ТУ!$CG:$CG,MATCH($U6*1,ТУ!$CP:$CP,0),1),SEARCH(" ",INDEX(ТУ!$CG:$CG,MATCH($U6*1,ТУ!$CP:$CP,0),1))-1),""),УСПД!$N:$N,0),1),LEN(INDEX(УСПД!$M:$M,MATCH(IFERROR(1*LEFT(INDEX(ТУ!$CG:$CG,MATCH($U6*1,ТУ!$CP:$CP,0),1),SEARCH(" ",INDEX(ТУ!$CG:$CG,MATCH($U6*1,ТУ!$CP:$CP,0),1))-1),""),УСПД!$N:$N,0),1))-SEARCH(":",INDEX(УСПД!$M:$M,MATCH(IFERROR(1*LEFT(INDEX(ТУ!$CG:$CG,MATCH($U6*1,ТУ!$CP:$CP,0),1),SEARCH(" ",INDEX(ТУ!$CG:$CG,MATCH($U6*1,ТУ!$CP:$CP,0),1))-1),""),УСПД!$N:$N,0),1)))), ""))</f>
        <v>4001</v>
      </c>
      <c r="AL6" s="41"/>
      <c r="AM6" s="57" t="str">
        <f>IFERROR(IFERROR(INDEX(Tel!$B:$B,MATCH($AJ6,Tel!$E:$E,0),1),INDEX(Tel!$B:$B,MATCH($AJ6,Tel!$D:$D,0),1)),"")</f>
        <v/>
      </c>
      <c r="AN6" s="59" t="str">
        <f>IF(ISNUMBER(SEARCH("ТОПАЗ - ТОПАЗ УСПД",IFERROR(RIGHT(LEFT(INDEX(ТУ!$CG:$CG,MATCH($U6*1,ТУ!$CP:$CP,0),1),SEARCH(")",INDEX(ТУ!$CG:$CG,MATCH($U6*1,ТУ!$CP:$CP,0),1))-1),LEN(LEFT(INDEX(ТУ!$CG:$CG,MATCH($U6*1,ТУ!$CP:$CP,0),1),SEARCH(")",INDEX(ТУ!$CG:$CG,MATCH($U6*1,ТУ!$CP:$CP,0),1))-1))-SEARCH("(",INDEX(ТУ!$CG:$CG,MATCH($U6*1,ТУ!$CP:$CP,0),1))),""),1)),"RTU-327",
IF(ISNUMBER(SEARCH("TELEOFIS",$AP6)),"Модем",
""))</f>
        <v/>
      </c>
      <c r="AO6" s="27" t="str">
        <f t="shared" si="0"/>
        <v/>
      </c>
      <c r="AP6" s="57" t="str">
        <f>IF(ISNUMBER(SEARCH("Миландр - Милур GSM/GPRS модем",IFERROR(RIGHT(LEFT(INDEX(ТУ!$CG:$CG,MATCH($U6*1,ТУ!$CP:$CP,0),1),SEARCH(")",INDEX(ТУ!$CG:$CG,MATCH($U6*1,ТУ!$CP:$CP,0),1))-1),LEN(LEFT(INDEX(ТУ!$CG:$CG,MATCH($U6*1,ТУ!$CP:$CP,0),1),SEARCH(")",INDEX(ТУ!$CG:$CG,MATCH($U6*1,ТУ!$CP:$CP,0),1))-1))-SEARCH("(",INDEX(ТУ!$CG:$CG,MATCH($U6*1,ТУ!$CP:$CP,0),1))),""),1)), "TELEOFIS WRX708-L4",IFERROR(RIGHT(LEFT(INDEX(ТУ!$CG:$CG,MATCH($U6*1,ТУ!$CP:$CP,0),1),SEARCH(")",INDEX(ТУ!$CG:$CG,MATCH($U6*1,ТУ!$CP:$CP,0),1))-1),LEN(LEFT(INDEX(ТУ!$CG:$CG,MATCH($U6*1,ТУ!$CP:$CP,0),1),SEARCH(")",INDEX(ТУ!$CG:$CG,MATCH($U6*1,ТУ!$CP:$CP,0),1))-1))-SEARCH("(",INDEX(ТУ!$CG:$CG,MATCH($U6*1,ТУ!$CP:$CP,0),1))),""))</f>
        <v/>
      </c>
      <c r="AQ6" s="57" t="str">
        <f>IFERROR(IF(INDEX(УСПД!$K:$K,MATCH($AS6*1,УСПД!$N:$N,0),1)=0,"",INDEX(УСПД!$K:$K,MATCH($AS6*1,УСПД!$N:$N,0),1)),"")</f>
        <v/>
      </c>
      <c r="AR6" s="57" t="str">
        <f>IFERROR(IF(INDEX(УСПД!$L:$L,MATCH($AS6*1,УСПД!$N:$N,0),1)=0,"",INDEX(УСПД!$L:$L,MATCH($AS6*1,УСПД!$N:$N,0),1)),"")</f>
        <v/>
      </c>
      <c r="AS6" s="60" t="str">
        <f>IFERROR(LEFT(INDEX(ТУ!$CG:$CG,MATCH($U6*1,ТУ!$CP:$CP,0),1),SEARCH(" ",INDEX(ТУ!$CG:$CG,MATCH($U6*1,ТУ!$CP:$CP,0),1))-1),"")</f>
        <v/>
      </c>
      <c r="AT6" s="59" t="s">
        <v>360</v>
      </c>
      <c r="AU6" s="59">
        <f>3</f>
        <v>3</v>
      </c>
      <c r="AV6" s="59" t="s">
        <v>368</v>
      </c>
      <c r="AW6" s="149">
        <f>IFERROR(MATCH(B6,РЭС,0),"")</f>
        <v>73</v>
      </c>
      <c r="AX6" s="149">
        <f>IFERROR(MATCH(X6,ТипПУ,0), 34)</f>
        <v>43</v>
      </c>
      <c r="AY6" s="149">
        <f>IFERROR(MATCH(Z6,DLMS,0), "")</f>
        <v>1</v>
      </c>
      <c r="AZ6" s="149" t="str">
        <f>IFERROR(MATCH(AN6,УСПД,0), "")</f>
        <v/>
      </c>
      <c r="BA6" s="149">
        <f>IFERROR(MATCH(J6,NAPR,0), "")</f>
        <v>1</v>
      </c>
      <c r="BB6" s="154" t="str">
        <f>IF($AP6="",IFERROR(IFERROR(LEFT(RIGHT(INDEX(ТУ!$CE:$CE,MATCH($U6*1,ТУ!$CP:$CP,0),1),LEN(INDEX(ТУ!$CE:$CE,MATCH($U6*1,ТУ!$CP:$CP,0),1))-SEARCH(", ",INDEX(ТУ!$CE:$CE,MATCH($U6*1,ТУ!$CP:$CP,0),1),SEARCH(", ",INDEX(ТУ!$CE:$CE,MATCH($U6*1,ТУ!$CP:$CP,0),1))+1)-1),SEARCH(":",RIGHT(INDEX(ТУ!$CE:$CE,MATCH($U6*1,ТУ!$CP:$CP,0),1),LEN(INDEX(ТУ!$CE:$CE,MATCH($U6*1,ТУ!$CP:$CP,0),1))-SEARCH(", ",INDEX(ТУ!$CE:$CE,MATCH($U6*1,ТУ!$CP:$CP,0),1),SEARCH(", ",INDEX(ТУ!$CE:$CE,MATCH($U6*1,ТУ!$CP:$CP,0),1))+1)-1))-1),LEFT(INDEX(ТУ!$CE:$CE,MATCH($U6*1,ТУ!$CP:$CP,0),1),SEARCH(":",INDEX(ТУ!$CE:$CE,MATCH($U6*1,ТУ!$CP:$CP,0),1))-1)),""),IFERROR(IFERROR(LEFT(RIGHT(INDEX(УСПД!$M:$M,MATCH(IFERROR(1*LEFT(INDEX(ТУ!$CG:$CG,MATCH($U6*1,ТУ!$CP:$CP,0),1),SEARCH(" ",INDEX(ТУ!$CG:$CG,MATCH($U6*1,ТУ!$CP:$CP,0),1))-1),""),УСПД!$N:$N,0),1),LEN(INDEX(УСПД!$M:$M,MATCH(IFERROR(1*LEFT(INDEX(ТУ!$CG:$CG,MATCH($U6*1,ТУ!$CP:$CP,0),1),SEARCH(" ",INDEX(ТУ!$CG:$CG,MATCH($U6*1,ТУ!$CP:$CP,0),1))-1),""),УСПД!$N:$N,0),1))-SEARCH(", ",INDEX(УСПД!$M:$M,MATCH(IFERROR(1*LEFT(INDEX(ТУ!$CG:$CG,MATCH($U6*1,ТУ!$CP:$CP,0),1),SEARCH(" ",INDEX(ТУ!$CG:$CG,MATCH($U6*1,ТУ!$CP:$CP,0),1))-1),""),УСПД!$N:$N,0),1),SEARCH(", ",INDEX(УСПД!$M:$M,MATCH(IFERROR(1*LEFT(INDEX(ТУ!$CG:$CG,MATCH($U6*1,ТУ!$CP:$CP,0),1),SEARCH(" ",INDEX(ТУ!$CG:$CG,MATCH($U6*1,ТУ!$CP:$CP,0),1))-1),""),УСПД!$N:$N,0),1))+1)-1),SEARCH(":",RIGHT(INDEX(УСПД!$M:$M,MATCH(IFERROR(1*LEFT(INDEX(ТУ!$CG:$CG,MATCH($U6*1,ТУ!$CP:$CP,0),1),SEARCH(" ",INDEX(ТУ!$CG:$CG,MATCH($U6*1,ТУ!$CP:$CP,0),1))-1),""),УСПД!$N:$N,0),1),LEN(INDEX(УСПД!$M:$M,MATCH(IFERROR(1*LEFT(INDEX(ТУ!$CG:$CG,MATCH($U6*1,ТУ!$CP:$CP,0),1),SEARCH(" ",INDEX(ТУ!$CG:$CG,MATCH($U6*1,ТУ!$CP:$CP,0),1))-1),""),УСПД!$N:$N,0),1))-SEARCH(", ",INDEX(УСПД!$M:$M,MATCH(IFERROR(1*LEFT(INDEX(ТУ!$CG:$CG,MATCH($U6*1,ТУ!$CP:$CP,0),1),SEARCH(" ",INDEX(ТУ!$CG:$CG,MATCH($U6*1,ТУ!$CP:$CP,0),1))-1),""),УСПД!$N:$N,0),1),SEARCH(", ",INDEX(УСПД!$M:$M,MATCH(IFERROR(1*LEFT(INDEX(ТУ!$CG:$CG,MATCH($U6*1,ТУ!$CP:$CP,0),1),SEARCH(" ",INDEX(ТУ!$CG:$CG,MATCH($U6*1,ТУ!$CP:$CP,0),1))-1),""),УСПД!$N:$N,0),1))+1)-1))-1),LEFT(INDEX(УСПД!$M:$M,MATCH(IFERROR(1*LEFT(INDEX(ТУ!$CG:$CG,MATCH($U6*1,ТУ!$CP:$CP,0),1),SEARCH(" ",INDEX(ТУ!$CG:$CG,MATCH($U6*1,ТУ!$CP:$CP,0),1))-1),""),УСПД!$N:$N,0),1),SEARCH(":",INDEX(УСПД!$M:$M,MATCH(IFERROR(1*LEFT(INDEX(ТУ!$CG:$CG,MATCH($U6*1,ТУ!$CP:$CP,0),1),SEARCH(" ",INDEX(ТУ!$CG:$CG,MATCH($U6*1,ТУ!$CP:$CP,0),1))-1),""),УСПД!$N:$N,0),1))-1)),""))</f>
        <v>10.81.213.111</v>
      </c>
      <c r="BC6" s="155" t="str">
        <f>INDEX(ТУ!$AF:$AF,MATCH($U6*1,ТУ!$CP:$CP,0),1)</f>
        <v>н/д</v>
      </c>
      <c r="BD6" s="155">
        <f>INDEX(ТУ!$X:$X,MATCH($U6*1,ТУ!$CP:$CP,0),1)</f>
        <v>0</v>
      </c>
      <c r="BE6" s="155" t="str">
        <f>INDEX(ТУ!$CL:$CL,MATCH($U6*1,ТУ!$CP:$CP,0),1)</f>
        <v>МОЭК и пр.</v>
      </c>
      <c r="BF6" s="147" t="str">
        <f>IFERROR(INDEX(естьАЦ!$A:$A,MATCH($U6*1,естьАЦ!$A:$A,0),1),"нет в АЦ")</f>
        <v>нет в АЦ</v>
      </c>
    </row>
    <row r="7" spans="1:58" ht="15" x14ac:dyDescent="0.25">
      <c r="A7" s="55">
        <f>3</f>
        <v>3</v>
      </c>
      <c r="B7" s="42" t="str">
        <f>IFERROR(IFERROR(INDEX(Справочники!$A$2:$P$79,MATCH(INDEX(ТУ!$E:$E,MATCH($U7*1,ТУ!$CP:$CP,0),1),Справочники!$P$2:$P$79,0),2),INDEX(Справочники!$A$2:$P$79,MATCH((INDEX(ТУ!$E:$E,MATCH($U7*1,ТУ!$CP:$CP,0),1))*1,Справочники!$P$2:$P$79,0),2)),"")</f>
        <v/>
      </c>
      <c r="C7" s="46" t="str">
        <f>IFERROR(TRIM(LEFT(INDEX(ТУ!$AF:$AF,MATCH($U7*1,ТУ!$CP:$CP,0),1),SEARCH("-",INDEX(ТУ!$AF:$AF,MATCH($U7*1,ТУ!$CP:$CP,0),1))-1)),IFERROR(LEFT(INDEX(ТУ!$X:$X,MATCH($U7*1,ТУ!$CP:$CP,0),1),SEARCH("-",INDEX(ТУ!$X:$X,MATCH($U7*1,ТУ!$CP:$CP,0),1))-1),"ТП"))</f>
        <v>ТП</v>
      </c>
      <c r="D7" s="47" t="str">
        <f>IF(TRIM(IF(ISNUMBER((IFERROR(RIGHT(INDEX(ТУ!$AF:$AF,MATCH($U7*1,ТУ!$CP:$CP,0),1),LEN(INDEX(ТУ!$AF:$AF,MATCH($U7*1,ТУ!$CP:$CP,0),1))-SEARCH("-",INDEX(ТУ!$AF:$AF,MATCH($U7*1,ТУ!$CP:$CP,0),1))),INDEX(ТУ!$AF:$AF,MATCH($U7*1,ТУ!$CP:$CP,0),1)))*1),IFERROR(RIGHT(INDEX(ТУ!$AF:$AF,MATCH($U7*1,ТУ!$CP:$CP,0),1),LEN(INDEX(ТУ!$AF:$AF,MATCH($U7*1,ТУ!$CP:$CP,0),1))-SEARCH("-",INDEX(ТУ!$AF:$AF,MATCH($U7*1,ТУ!$CP:$CP,0),1))),INDEX(ТУ!$AF:$AF,MATCH($U7*1,ТУ!$CP:$CP,0),1)),""))="",TRIM(IF(ISNUMBER((IFERROR(RIGHT(INDEX(ТУ!$X:$X,MATCH($U7*1,ТУ!$CP:$CP,0),1),LEN(INDEX(ТУ!$X:$X,MATCH($U7*1,ТУ!$CP:$CP,0),1))-SEARCH("-",INDEX(ТУ!$X:$X,MATCH($U7*1,ТУ!$CP:$CP,0),1))),INDEX(ТУ!$X:$X,MATCH($U7*1,ТУ!$CP:$CP,0),1)))*1),IFERROR(RIGHT(INDEX(ТУ!$X:$X,MATCH($U7*1,ТУ!$CP:$CP,0),1),LEN(INDEX(ТУ!$X:$X,MATCH($U7*1,ТУ!$CP:$CP,0),1))-SEARCH("-",INDEX(ТУ!$X:$X,MATCH($U7*1,ТУ!$CP:$CP,0),1))),INDEX(ТУ!$X:$X,MATCH($U7*1,ТУ!$CP:$CP,0),1)),"")),TRIM(IF(ISNUMBER((IFERROR(RIGHT(INDEX(ТУ!$AF:$AF,MATCH($U7*1,ТУ!$CP:$CP,0),1),LEN(INDEX(ТУ!$AF:$AF,MATCH($U7*1,ТУ!$CP:$CP,0),1))-SEARCH("-",INDEX(ТУ!$AF:$AF,MATCH($U7*1,ТУ!$CP:$CP,0),1))),INDEX(ТУ!$AF:$AF,MATCH($U7*1,ТУ!$CP:$CP,0),1)))*1),IFERROR(RIGHT(INDEX(ТУ!$AF:$AF,MATCH($U7*1,ТУ!$CP:$CP,0),1),LEN(INDEX(ТУ!$AF:$AF,MATCH($U7*1,ТУ!$CP:$CP,0),1))-SEARCH("-",INDEX(ТУ!$AF:$AF,MATCH($U7*1,ТУ!$CP:$CP,0),1))),INDEX(ТУ!$AF:$AF,MATCH($U7*1,ТУ!$CP:$CP,0),1)),"")))</f>
        <v/>
      </c>
      <c r="E7" s="25" t="str">
        <f t="shared" ref="E7:E70" si="2">IFERROR(INDEX(ПЭС,AW7),"")</f>
        <v/>
      </c>
      <c r="F7" s="20" t="str">
        <f t="shared" ref="F7:F70" si="3">IFERROR(INDEX(код,AW7),"")</f>
        <v/>
      </c>
      <c r="G7" s="21">
        <f t="shared" ref="G7:G70" si="4">IFERROR(MATCH(C7,ТипЭУ,0),"")</f>
        <v>5</v>
      </c>
      <c r="H7" s="25" t="str">
        <f t="shared" ref="H7:H70" si="5">CONCATENATE(C7,"-",D7)</f>
        <v>ТП-</v>
      </c>
      <c r="I7" s="25" t="str">
        <f t="shared" ref="I7:I70" si="6">CONCATENATE(F7,G7,REPT("0",5-LEN(D7)),D7)</f>
        <v>500000</v>
      </c>
      <c r="J7" s="42" t="str">
        <f>INDEX(Справочники!$M:$M,MATCH(IF(INDEX(ТУ!$BO:$BO,MATCH($U7*1,ТУ!$CP:$CP,0),1)=1,1,INDEX(ТУ!$BO:$BO,MATCH($U7*1,ТУ!$CP:$CP,0),1)*100),Справочники!$N:$N,0),1)</f>
        <v>0.4 кВ</v>
      </c>
      <c r="K7" s="40">
        <f>1</f>
        <v>1</v>
      </c>
      <c r="L7" s="20" t="str">
        <f t="shared" ref="L7:L70" si="7">"СШ-" &amp; K7</f>
        <v>СШ-1</v>
      </c>
      <c r="M7" s="20">
        <f t="shared" ref="M7:M70" si="8">IF(I7=I6, VALUE(M6)+1, 1)</f>
        <v>1</v>
      </c>
      <c r="N7" s="40"/>
      <c r="O7" s="56" t="str">
        <f t="shared" ref="O7:O70" si="9">"Ввод-" &amp; K7 &amp; "-" &amp; M7</f>
        <v>Ввод-1-1</v>
      </c>
      <c r="P7" s="57" t="str">
        <f>IFERROR(IF(INDEX(ТУ!$AO:$AO,MATCH($U7*1,ТУ!$CP:$CP,0),1)=0,"",INDEX(ТУ!$AO:$AO,MATCH($U7*1,ТУ!$CP:$CP,0),1)),"")</f>
        <v/>
      </c>
      <c r="Q7" s="40">
        <f>IFERROR(IF(INDEX(ТУ!$BN:$BN,MATCH($U7*1,ТУ!$CP:$CP,0),1)=1,1,INDEX(ТУ!$BN:$BN,MATCH($U7*1,ТУ!$CP:$CP,0),1)*5),"")</f>
        <v>1</v>
      </c>
      <c r="R7" s="25">
        <f t="shared" ref="R7:R70" si="10">IF(Q7=1, 1, 5)</f>
        <v>1</v>
      </c>
      <c r="S7" s="25">
        <f t="shared" ref="S7:S70" si="11">IF(Q7=1, 1, IFERROR(INDEX(КТН1,BA7), 1))</f>
        <v>1</v>
      </c>
      <c r="T7" s="25">
        <f t="shared" ref="T7:T70" si="12">IF(Q7=1, 1, IFERROR(INDEX(КТН2,BA7), 1))</f>
        <v>1</v>
      </c>
      <c r="U7" s="105" t="s">
        <v>531</v>
      </c>
      <c r="V7" s="43">
        <f>IF(INDEX(ТУ!$BH:$BH,MATCH($U7*1,ТУ!$CP:$CP,0),1)=0,"",INDEX(ТУ!$BH:$BH,MATCH($U7*1,ТУ!$CP:$CP,0),1))</f>
        <v>45699</v>
      </c>
      <c r="W7" s="43" t="str">
        <f>IF(INDEX(ТУ!$BI:$BI,MATCH($U7*1,ТУ!$CP:$CP,0),1)=0,"",INDEX(ТУ!$BI:$BI,MATCH($U7*1,ТУ!$CP:$CP,0),1))</f>
        <v/>
      </c>
      <c r="X7" s="58" t="str">
        <f t="shared" ref="X7:X70" si="13">IF(ISNUMBER(SEARCH("Нартис",AB7)),"DLMS счетчик",
IF(ISNUMBER(SEARCH("Меркурий 234 (СПОДЭС)",AB7)),"Меркурий-23X СПОДЭС",
IF(ISNUMBER(SEARCH("Меркурий 234",AB7)),"Меркурий-23X",
IF(ISNUMBER(SEARCH("Меркурий 206",AB7)),"Меркурий 203.2Т",
IF(ISNUMBER(SEARCH("СЕ308",AB7)),"CE-308/208 СПОДЭС",
IF(ISNUMBER(SEARCH("СЕ207",AB7)),"CE-308/208 СПОДЭС",
IF(ISNUMBER(SEARCH("СТЭМ-300 (СПОДЭС)",AB7)),"DLMS счетчик",
IF(ISNUMBER(SEARCH("ТЕ3000",AB7)),"СЭТ-4ТМ",
IF(ISNUMBER(SEARCH("СЭТ-4ТМ",AB7)),"СЭТ-4ТМ",
""
)))))))))</f>
        <v>DLMS счетчик</v>
      </c>
      <c r="Y7" s="25">
        <f t="shared" ref="Y7:Y70" si="14">IFERROR(INDEX(КодПУ,AX7), 34)</f>
        <v>34</v>
      </c>
      <c r="Z7" s="42" t="str">
        <f t="shared" ref="Z7:Z70" si="15">IF(AND(ISNUMBER(SEARCH("Нартис-И300", AB7)),ISNUMBER(SEARCH("0000000000002080", AF7))), "Нартис-И300 2080",
IF(AND(ISNUMBER(SEARCH("Нартис-И300", AB7)),ISNUMBER(SEARCH("0000000100000001", AF7))), "Нартис-И300 стд",
IF(AND(ISNUMBER(SEARCH("Нартис-И100", AB7)),ISNUMBER(SEARCH("0000000000002080", AF7))), "Нартис-И300 2080",
IF(AND(ISNUMBER(SEARCH("Нартис-И100", AB7)),ISNUMBER(SEARCH("0000000100000001", AF7))), "Нартис-И300 стд",
IF(AND(ISNUMBER(SEARCH("Нартис-300", AB7))), "Нартис-300",
IF(AND(ISNUMBER(SEARCH("Меркурий-23X СПОДЭС", X7)),ISNUMBER(SEARCH("2222222222222222", AF7))), "Инкотекс 2222",
IF(AND(ISNUMBER(SEARCH("Меркурий-23X СПОДЭС", X7)),ISNUMBER(SEARCH("0000000000002080", AF7))), "Инкотекс 2080",
IF(AND(ISNUMBER(SEARCH("Меркурий-23X СПОДЭС", X7))), "Меркурий 234",
IF(AND(ISNUMBER(SEARCH("CE-308/208 СПОДЭС", X7))), "СПОДЭС (общий)",
IF(AND(ISNUMBER(SEARCH("СТЭМ-300 (СПОДЭС)", AB7))), "СТЭМ-300",
""
))))))))))</f>
        <v>Нартис-И300 2080</v>
      </c>
      <c r="AA7" s="25">
        <f t="shared" ref="AA7:AA70" si="16">IFERROR(INDEX(кодDLMS,AY7), "")</f>
        <v>61</v>
      </c>
      <c r="AB7" s="40" t="str">
        <f>IF(ISNUMBER(SEARCH("Приборы с поддержкой протокола СПОДЭС - Нартис-И300 (СПОДЭС)",INDEX(ТУ!$BD:$BD,MATCH($U7*1,ТУ!$CP:$CP,0),1))),"Нартис-И300",
IF(ISNUMBER(SEARCH("Приборы с поддержкой протокола СПОДЭС - Меркурий 234 (СПОДЭС)",INDEX(ТУ!$BD:$BD,MATCH($U7*1,ТУ!$CP:$CP,0),1))),"Меркурий 234 (СПОДЭС)",
IF(ISNUMBER(SEARCH("Приборы с поддержкой протокола СПОДЭС - Нартис-300 (СПОДЭС)",INDEX(ТУ!$BD:$BD,MATCH($U7*1,ТУ!$CP:$CP,0),1))),"Нартис-300",
IF(ISNUMBER(SEARCH("Инкотекс - Меркурий 234",INDEX(ТУ!$BD:$BD,MATCH($U7*1,ТУ!$CP:$CP,0),1))),"Меркурий 234",
IF(ISNUMBER(SEARCH("Инкотекс - Меркурий 206",INDEX(ТУ!$BD:$BD,MATCH($U7*1,ТУ!$CP:$CP,0),1))),"Меркурий 206",
IF(ISNUMBER(SEARCH("Приборы с поддержкой протокола СПОДЭС - Универсальный счетчик СПОДЭС 2 трехфазный",INDEX(ТУ!$BD:$BD,MATCH($U7*1,ТУ!$CP:$CP,0),1))),"Нартис-И300",
IF(ISNUMBER(SEARCH("Приборы с поддержкой протокола СПОДЭС - Универсальный счетчик СПОДЭС 2 однофазный",INDEX(ТУ!$BD:$BD,MATCH($U7*1,ТУ!$CP:$CP,0),1))),"Нартис-И100",
IF(ISNUMBER(SEARCH("Приборы с поддержкой протокола СПОДЭС - Нартис-И100 (СПОДЭС)",INDEX(ТУ!$BD:$BD,MATCH($U7*1,ТУ!$CP:$CP,0),1))),"Нартис-И100",
IF(ISNUMBER(SEARCH("Приборы с поддержкой протокола СПОДЭС - СЕ308 (СПОДЭС)",INDEX(ТУ!$BD:$BD,MATCH($U7*1,ТУ!$CP:$CP,0),1))),"СЕ308 (СПОДЭС)",
IF(ISNUMBER(SEARCH("Приборы с поддержкой протокола СПОДЭС - СЕ207 (СПОДЭС)",INDEX(ТУ!$BD:$BD,MATCH($U7*1,ТУ!$CP:$CP,0),1))),"СЕ207 (СПОДЭС)",
IF(ISNUMBER(SEARCH("Приборы с поддержкой протокола СПОДЭС - СТЭМ-300 (СПОДЭС)",INDEX(ТУ!$BD:$BD,MATCH($U7*1,ТУ!$CP:$CP,0),1))),"СТЭМ-300 (СПОДЭС)",
IF(ISNUMBER(SEARCH("ТехноЭнерго - ТЕ3000",INDEX(ТУ!$BD:$BD,MATCH($U7*1,ТУ!$CP:$CP,0),1))),"ТЕ3000",
IF(ISNUMBER(SEARCH("НЗиФ - СЭТ-4ТМ",INDEX(ТУ!$BD:$BD,MATCH($U7*1,ТУ!$CP:$CP,0),1))),"СЭТ-4ТМ",
INDEX(ТУ!$BD:$BD,MATCH($U7*1,ТУ!$CP:$CP,0),1)
)))))))))))))</f>
        <v>Нартис-И100</v>
      </c>
      <c r="AC7" s="40" t="s">
        <v>2</v>
      </c>
      <c r="AD7" s="40" t="str">
        <f>IF(ISNUMBER(IFERROR(LEFT(IF(INDEX(ТУ!$CI:$CI,MATCH($U7*1,ТУ!$CP:$CP,0),1)=0,"",INDEX(ТУ!$CI:$CI,MATCH($U7*1,ТУ!$CP:$CP,0),1)),SEARCH(" ",IF(INDEX(ТУ!$CI:$CI,MATCH($U7*1,ТУ!$CP:$CP,0),1)=0,"",INDEX(ТУ!$CI:$CI,MATCH($U7*1,ТУ!$CP:$CP,0),1)),1)-1),"")*1),IFERROR(LEFT(IF(INDEX(ТУ!$CI:$CI,MATCH($U7*1,ТУ!$CP:$CP,0),1)=0,"",INDEX(ТУ!$CI:$CI,MATCH($U7*1,ТУ!$CP:$CP,0),1)),SEARCH(" ",IF(INDEX(ТУ!$CI:$CI,MATCH($U7*1,ТУ!$CP:$CP,0),1)=0,"",INDEX(ТУ!$CI:$CI,MATCH($U7*1,ТУ!$CP:$CP,0),1)),1)-1),""),"")</f>
        <v/>
      </c>
      <c r="AE7" s="40">
        <f>IF(INDEX(ТУ!$CB:$CB,MATCH($U7*1,ТУ!$CP:$CP,0),1)=0,INDEX(Adr!$B:$B,MATCH($U7*1,Adr!$C:$C,0),1),INDEX(ТУ!$CB:$CB,MATCH($U7*1,ТУ!$CP:$CP,0),1))</f>
        <v>17</v>
      </c>
      <c r="AF7" s="45" t="str">
        <f>IF(INDEX(ТУ!$CD:$CD,MATCH($U7*1,ТУ!$CP:$CP,0),1)=0,"",INDEX(ТУ!$CD:$CD,MATCH($U7*1,ТУ!$CP:$CP,0),1))</f>
        <v>0000000000002080</v>
      </c>
      <c r="AG7" s="45">
        <f>0</f>
        <v>0</v>
      </c>
      <c r="AH7" s="26" t="str">
        <f t="shared" ref="AH7:AH70" si="17">F7</f>
        <v/>
      </c>
      <c r="AI7" s="20" t="str">
        <f t="shared" ref="AI7:AI70" si="18">IF(I7=I6, IF(AND(AJ7=AJ6, AK7=AK6), AI6, VALUE(AI6)+1), CONCATENATE(I7,1))</f>
        <v>5000001</v>
      </c>
      <c r="AJ7" s="41" t="str">
        <f t="shared" si="1"/>
        <v>10.210.247.142</v>
      </c>
      <c r="AK7" s="41" t="str">
        <f>IF($AP7="",IFERROR(IFERROR(LEFT(RIGHT(INDEX(ТУ!$CE:$CE,MATCH($U7*1,ТУ!$CP:$CP,0),1),LEN(INDEX(ТУ!$CE:$CE,MATCH($U7*1,ТУ!$CP:$CP,0),1))-SEARCH(":",INDEX(ТУ!$CE:$CE,MATCH($U7*1,ТУ!$CP:$CP,0),1))),SEARCH("/",RIGHT(INDEX(ТУ!$CE:$CE,MATCH($U7*1,ТУ!$CP:$CP,0),1),LEN(INDEX(ТУ!$CE:$CE,MATCH($U7*1,ТУ!$CP:$CP,0),1))-SEARCH(":",INDEX(ТУ!$CE:$CE,MATCH($U7*1,ТУ!$CP:$CP,0),1))))-1), RIGHT(INDEX(ТУ!$CE:$CE,MATCH($U7*1,ТУ!$CP:$CP,0),1),LEN(INDEX(ТУ!$CE:$CE,MATCH($U7*1,ТУ!$CP:$CP,0),1))-SEARCH(":",INDEX(ТУ!$CE:$CE,MATCH($U7*1,ТУ!$CP:$CP,0),1)))), ""),IFERROR(IFERROR(LEFT(RIGHT(INDEX(УСПД!$M:$M,MATCH(IFERROR(1*LEFT(INDEX(ТУ!$CG:$CG,MATCH($U7*1,ТУ!$CP:$CP,0),1),SEARCH(" ",INDEX(ТУ!$CG:$CG,MATCH($U7*1,ТУ!$CP:$CP,0),1))-1),""),УСПД!$N:$N,0),1),LEN(INDEX(УСПД!$M:$M,MATCH(IFERROR(1*LEFT(INDEX(ТУ!$CG:$CG,MATCH($U7*1,ТУ!$CP:$CP,0),1),SEARCH(" ",INDEX(ТУ!$CG:$CG,MATCH($U7*1,ТУ!$CP:$CP,0),1))-1),""),УСПД!$N:$N,0),1))-SEARCH(":",INDEX(УСПД!$M:$M,MATCH(IFERROR(1*LEFT(INDEX(ТУ!$CG:$CG,MATCH($U7*1,ТУ!$CP:$CP,0),1),SEARCH(" ",INDEX(ТУ!$CG:$CG,MATCH($U7*1,ТУ!$CP:$CP,0),1))-1),""),УСПД!$N:$N,0),1))),SEARCH("/",RIGHT(INDEX(УСПД!$M:$M,MATCH(IFERROR(1*LEFT(INDEX(ТУ!$CG:$CG,MATCH($U7*1,ТУ!$CP:$CP,0),1),SEARCH(" ",INDEX(ТУ!$CG:$CG,MATCH($U7*1,ТУ!$CP:$CP,0),1))-1),""),УСПД!$N:$N,0),1),LEN(INDEX(УСПД!$M:$M,MATCH(IFERROR(1*LEFT(INDEX(ТУ!$CG:$CG,MATCH($U7*1,ТУ!$CP:$CP,0),1),SEARCH(" ",INDEX(ТУ!$CG:$CG,MATCH($U7*1,ТУ!$CP:$CP,0),1))-1),""),УСПД!$N:$N,0),1))-SEARCH(":",INDEX(УСПД!$M:$M,MATCH(IFERROR(1*LEFT(INDEX(ТУ!$CG:$CG,MATCH($U7*1,ТУ!$CP:$CP,0),1),SEARCH(" ",INDEX(ТУ!$CG:$CG,MATCH($U7*1,ТУ!$CP:$CP,0),1))-1),""),УСПД!$N:$N,0),1))))-1), RIGHT(INDEX(УСПД!$M:$M,MATCH(IFERROR(1*LEFT(INDEX(ТУ!$CG:$CG,MATCH($U7*1,ТУ!$CP:$CP,0),1),SEARCH(" ",INDEX(ТУ!$CG:$CG,MATCH($U7*1,ТУ!$CP:$CP,0),1))-1),""),УСПД!$N:$N,0),1),LEN(INDEX(УСПД!$M:$M,MATCH(IFERROR(1*LEFT(INDEX(ТУ!$CG:$CG,MATCH($U7*1,ТУ!$CP:$CP,0),1),SEARCH(" ",INDEX(ТУ!$CG:$CG,MATCH($U7*1,ТУ!$CP:$CP,0),1))-1),""),УСПД!$N:$N,0),1))-SEARCH(":",INDEX(УСПД!$M:$M,MATCH(IFERROR(1*LEFT(INDEX(ТУ!$CG:$CG,MATCH($U7*1,ТУ!$CP:$CP,0),1),SEARCH(" ",INDEX(ТУ!$CG:$CG,MATCH($U7*1,ТУ!$CP:$CP,0),1))-1),""),УСПД!$N:$N,0),1)))), ""))</f>
        <v>4001</v>
      </c>
      <c r="AL7" s="41"/>
      <c r="AM7" s="57" t="str">
        <f>IFERROR(IFERROR(INDEX(Tel!$B:$B,MATCH($AJ7,Tel!$E:$E,0),1),INDEX(Tel!$B:$B,MATCH($AJ7,Tel!$D:$D,0),1)),"")</f>
        <v/>
      </c>
      <c r="AN7" s="59" t="str">
        <f>IF(ISNUMBER(SEARCH("ТОПАЗ - ТОПАЗ УСПД",IFERROR(RIGHT(LEFT(INDEX(ТУ!$CG:$CG,MATCH($U7*1,ТУ!$CP:$CP,0),1),SEARCH(")",INDEX(ТУ!$CG:$CG,MATCH($U7*1,ТУ!$CP:$CP,0),1))-1),LEN(LEFT(INDEX(ТУ!$CG:$CG,MATCH($U7*1,ТУ!$CP:$CP,0),1),SEARCH(")",INDEX(ТУ!$CG:$CG,MATCH($U7*1,ТУ!$CP:$CP,0),1))-1))-SEARCH("(",INDEX(ТУ!$CG:$CG,MATCH($U7*1,ТУ!$CP:$CP,0),1))),""),1)),"RTU-327",
IF(ISNUMBER(SEARCH("TELEOFIS",$AP7)),"Модем",
""))</f>
        <v/>
      </c>
      <c r="AO7" s="27" t="str">
        <f t="shared" si="0"/>
        <v/>
      </c>
      <c r="AP7" s="57" t="str">
        <f>IF(ISNUMBER(SEARCH("Миландр - Милур GSM/GPRS модем",IFERROR(RIGHT(LEFT(INDEX(ТУ!$CG:$CG,MATCH($U7*1,ТУ!$CP:$CP,0),1),SEARCH(")",INDEX(ТУ!$CG:$CG,MATCH($U7*1,ТУ!$CP:$CP,0),1))-1),LEN(LEFT(INDEX(ТУ!$CG:$CG,MATCH($U7*1,ТУ!$CP:$CP,0),1),SEARCH(")",INDEX(ТУ!$CG:$CG,MATCH($U7*1,ТУ!$CP:$CP,0),1))-1))-SEARCH("(",INDEX(ТУ!$CG:$CG,MATCH($U7*1,ТУ!$CP:$CP,0),1))),""),1)), "TELEOFIS WRX708-L4",IFERROR(RIGHT(LEFT(INDEX(ТУ!$CG:$CG,MATCH($U7*1,ТУ!$CP:$CP,0),1),SEARCH(")",INDEX(ТУ!$CG:$CG,MATCH($U7*1,ТУ!$CP:$CP,0),1))-1),LEN(LEFT(INDEX(ТУ!$CG:$CG,MATCH($U7*1,ТУ!$CP:$CP,0),1),SEARCH(")",INDEX(ТУ!$CG:$CG,MATCH($U7*1,ТУ!$CP:$CP,0),1))-1))-SEARCH("(",INDEX(ТУ!$CG:$CG,MATCH($U7*1,ТУ!$CP:$CP,0),1))),""))</f>
        <v/>
      </c>
      <c r="AQ7" s="57" t="str">
        <f>IFERROR(IF(INDEX(УСПД!$K:$K,MATCH($AS7*1,УСПД!$N:$N,0),1)=0,"",INDEX(УСПД!$K:$K,MATCH($AS7*1,УСПД!$N:$N,0),1)),"")</f>
        <v/>
      </c>
      <c r="AR7" s="57" t="str">
        <f>IFERROR(IF(INDEX(УСПД!$L:$L,MATCH($AS7*1,УСПД!$N:$N,0),1)=0,"",INDEX(УСПД!$L:$L,MATCH($AS7*1,УСПД!$N:$N,0),1)),"")</f>
        <v/>
      </c>
      <c r="AS7" s="60" t="str">
        <f>IFERROR(LEFT(INDEX(ТУ!$CG:$CG,MATCH($U7*1,ТУ!$CP:$CP,0),1),SEARCH(" ",INDEX(ТУ!$CG:$CG,MATCH($U7*1,ТУ!$CP:$CP,0),1))-1),"")</f>
        <v/>
      </c>
      <c r="AT7" s="59" t="s">
        <v>360</v>
      </c>
      <c r="AU7" s="59">
        <f>3</f>
        <v>3</v>
      </c>
      <c r="AV7" s="59" t="s">
        <v>368</v>
      </c>
      <c r="AW7" s="149" t="str">
        <f t="shared" ref="AW7:AW70" si="19">IFERROR(MATCH(B7,РЭС,0),"")</f>
        <v/>
      </c>
      <c r="AX7" s="149">
        <f t="shared" ref="AX7:AX70" si="20">IFERROR(MATCH(X7,ТипПУ,0), 34)</f>
        <v>33</v>
      </c>
      <c r="AY7" s="149">
        <f t="shared" ref="AY7:AY70" si="21">IFERROR(MATCH(Z7,DLMS,0), "")</f>
        <v>5</v>
      </c>
      <c r="AZ7" s="149" t="str">
        <f t="shared" ref="AZ7:AZ70" si="22">IFERROR(MATCH(AN7,УСПД,0), "")</f>
        <v/>
      </c>
      <c r="BA7" s="149">
        <f t="shared" ref="BA7:BA70" si="23">IFERROR(MATCH(J7,NAPR,0), "")</f>
        <v>1</v>
      </c>
      <c r="BB7" s="154" t="str">
        <f>IF($AP7="",IFERROR(IFERROR(LEFT(RIGHT(INDEX(ТУ!$CE:$CE,MATCH($U7*1,ТУ!$CP:$CP,0),1),LEN(INDEX(ТУ!$CE:$CE,MATCH($U7*1,ТУ!$CP:$CP,0),1))-SEARCH(", ",INDEX(ТУ!$CE:$CE,MATCH($U7*1,ТУ!$CP:$CP,0),1),SEARCH(", ",INDEX(ТУ!$CE:$CE,MATCH($U7*1,ТУ!$CP:$CP,0),1))+1)-1),SEARCH(":",RIGHT(INDEX(ТУ!$CE:$CE,MATCH($U7*1,ТУ!$CP:$CP,0),1),LEN(INDEX(ТУ!$CE:$CE,MATCH($U7*1,ТУ!$CP:$CP,0),1))-SEARCH(", ",INDEX(ТУ!$CE:$CE,MATCH($U7*1,ТУ!$CP:$CP,0),1),SEARCH(", ",INDEX(ТУ!$CE:$CE,MATCH($U7*1,ТУ!$CP:$CP,0),1))+1)-1))-1),LEFT(INDEX(ТУ!$CE:$CE,MATCH($U7*1,ТУ!$CP:$CP,0),1),SEARCH(":",INDEX(ТУ!$CE:$CE,MATCH($U7*1,ТУ!$CP:$CP,0),1))-1)),""),IFERROR(IFERROR(LEFT(RIGHT(INDEX(УСПД!$M:$M,MATCH(IFERROR(1*LEFT(INDEX(ТУ!$CG:$CG,MATCH($U7*1,ТУ!$CP:$CP,0),1),SEARCH(" ",INDEX(ТУ!$CG:$CG,MATCH($U7*1,ТУ!$CP:$CP,0),1))-1),""),УСПД!$N:$N,0),1),LEN(INDEX(УСПД!$M:$M,MATCH(IFERROR(1*LEFT(INDEX(ТУ!$CG:$CG,MATCH($U7*1,ТУ!$CP:$CP,0),1),SEARCH(" ",INDEX(ТУ!$CG:$CG,MATCH($U7*1,ТУ!$CP:$CP,0),1))-1),""),УСПД!$N:$N,0),1))-SEARCH(", ",INDEX(УСПД!$M:$M,MATCH(IFERROR(1*LEFT(INDEX(ТУ!$CG:$CG,MATCH($U7*1,ТУ!$CP:$CP,0),1),SEARCH(" ",INDEX(ТУ!$CG:$CG,MATCH($U7*1,ТУ!$CP:$CP,0),1))-1),""),УСПД!$N:$N,0),1),SEARCH(", ",INDEX(УСПД!$M:$M,MATCH(IFERROR(1*LEFT(INDEX(ТУ!$CG:$CG,MATCH($U7*1,ТУ!$CP:$CP,0),1),SEARCH(" ",INDEX(ТУ!$CG:$CG,MATCH($U7*1,ТУ!$CP:$CP,0),1))-1),""),УСПД!$N:$N,0),1))+1)-1),SEARCH(":",RIGHT(INDEX(УСПД!$M:$M,MATCH(IFERROR(1*LEFT(INDEX(ТУ!$CG:$CG,MATCH($U7*1,ТУ!$CP:$CP,0),1),SEARCH(" ",INDEX(ТУ!$CG:$CG,MATCH($U7*1,ТУ!$CP:$CP,0),1))-1),""),УСПД!$N:$N,0),1),LEN(INDEX(УСПД!$M:$M,MATCH(IFERROR(1*LEFT(INDEX(ТУ!$CG:$CG,MATCH($U7*1,ТУ!$CP:$CP,0),1),SEARCH(" ",INDEX(ТУ!$CG:$CG,MATCH($U7*1,ТУ!$CP:$CP,0),1))-1),""),УСПД!$N:$N,0),1))-SEARCH(", ",INDEX(УСПД!$M:$M,MATCH(IFERROR(1*LEFT(INDEX(ТУ!$CG:$CG,MATCH($U7*1,ТУ!$CP:$CP,0),1),SEARCH(" ",INDEX(ТУ!$CG:$CG,MATCH($U7*1,ТУ!$CP:$CP,0),1))-1),""),УСПД!$N:$N,0),1),SEARCH(", ",INDEX(УСПД!$M:$M,MATCH(IFERROR(1*LEFT(INDEX(ТУ!$CG:$CG,MATCH($U7*1,ТУ!$CP:$CP,0),1),SEARCH(" ",INDEX(ТУ!$CG:$CG,MATCH($U7*1,ТУ!$CP:$CP,0),1))-1),""),УСПД!$N:$N,0),1))+1)-1))-1),LEFT(INDEX(УСПД!$M:$M,MATCH(IFERROR(1*LEFT(INDEX(ТУ!$CG:$CG,MATCH($U7*1,ТУ!$CP:$CP,0),1),SEARCH(" ",INDEX(ТУ!$CG:$CG,MATCH($U7*1,ТУ!$CP:$CP,0),1))-1),""),УСПД!$N:$N,0),1),SEARCH(":",INDEX(УСПД!$M:$M,MATCH(IFERROR(1*LEFT(INDEX(ТУ!$CG:$CG,MATCH($U7*1,ТУ!$CP:$CP,0),1),SEARCH(" ",INDEX(ТУ!$CG:$CG,MATCH($U7*1,ТУ!$CP:$CP,0),1))-1),""),УСПД!$N:$N,0),1))-1)),""))</f>
        <v>10.210.247.142</v>
      </c>
      <c r="BC7" s="155">
        <f>INDEX(ТУ!$AF:$AF,MATCH($U7*1,ТУ!$CP:$CP,0),1)</f>
        <v>0</v>
      </c>
      <c r="BD7" s="155">
        <f>INDEX(ТУ!$X:$X,MATCH($U7*1,ТУ!$CP:$CP,0),1)</f>
        <v>0</v>
      </c>
      <c r="BE7" s="155">
        <f>INDEX(ТУ!$CL:$CL,MATCH($U7*1,ТУ!$CP:$CP,0),1)</f>
        <v>0</v>
      </c>
      <c r="BF7" s="147" t="str">
        <f>IFERROR(INDEX(естьАЦ!$A:$A,MATCH($U7*1,естьАЦ!$A:$A,0),1),"нет в АЦ")</f>
        <v>нет в АЦ</v>
      </c>
    </row>
    <row r="8" spans="1:58" ht="15" x14ac:dyDescent="0.25">
      <c r="A8" s="55">
        <f>3</f>
        <v>3</v>
      </c>
      <c r="B8" s="42" t="str">
        <f>IFERROR(IFERROR(INDEX(Справочники!$A$2:$P$79,MATCH(INDEX(ТУ!$E:$E,MATCH($U8*1,ТУ!$CP:$CP,0),1),Справочники!$P$2:$P$79,0),2),INDEX(Справочники!$A$2:$P$79,MATCH((INDEX(ТУ!$E:$E,MATCH($U8*1,ТУ!$CP:$CP,0),1))*1,Справочники!$P$2:$P$79,0),2)),"")</f>
        <v/>
      </c>
      <c r="C8" s="46" t="str">
        <f>IFERROR(TRIM(LEFT(INDEX(ТУ!$AF:$AF,MATCH($U8*1,ТУ!$CP:$CP,0),1),SEARCH("-",INDEX(ТУ!$AF:$AF,MATCH($U8*1,ТУ!$CP:$CP,0),1))-1)),IFERROR(LEFT(INDEX(ТУ!$X:$X,MATCH($U8*1,ТУ!$CP:$CP,0),1),SEARCH("-",INDEX(ТУ!$X:$X,MATCH($U8*1,ТУ!$CP:$CP,0),1))-1),"ТП"))</f>
        <v>ТП</v>
      </c>
      <c r="D8" s="47" t="str">
        <f>IF(TRIM(IF(ISNUMBER((IFERROR(RIGHT(INDEX(ТУ!$AF:$AF,MATCH($U8*1,ТУ!$CP:$CP,0),1),LEN(INDEX(ТУ!$AF:$AF,MATCH($U8*1,ТУ!$CP:$CP,0),1))-SEARCH("-",INDEX(ТУ!$AF:$AF,MATCH($U8*1,ТУ!$CP:$CP,0),1))),INDEX(ТУ!$AF:$AF,MATCH($U8*1,ТУ!$CP:$CP,0),1)))*1),IFERROR(RIGHT(INDEX(ТУ!$AF:$AF,MATCH($U8*1,ТУ!$CP:$CP,0),1),LEN(INDEX(ТУ!$AF:$AF,MATCH($U8*1,ТУ!$CP:$CP,0),1))-SEARCH("-",INDEX(ТУ!$AF:$AF,MATCH($U8*1,ТУ!$CP:$CP,0),1))),INDEX(ТУ!$AF:$AF,MATCH($U8*1,ТУ!$CP:$CP,0),1)),""))="",TRIM(IF(ISNUMBER((IFERROR(RIGHT(INDEX(ТУ!$X:$X,MATCH($U8*1,ТУ!$CP:$CP,0),1),LEN(INDEX(ТУ!$X:$X,MATCH($U8*1,ТУ!$CP:$CP,0),1))-SEARCH("-",INDEX(ТУ!$X:$X,MATCH($U8*1,ТУ!$CP:$CP,0),1))),INDEX(ТУ!$X:$X,MATCH($U8*1,ТУ!$CP:$CP,0),1)))*1),IFERROR(RIGHT(INDEX(ТУ!$X:$X,MATCH($U8*1,ТУ!$CP:$CP,0),1),LEN(INDEX(ТУ!$X:$X,MATCH($U8*1,ТУ!$CP:$CP,0),1))-SEARCH("-",INDEX(ТУ!$X:$X,MATCH($U8*1,ТУ!$CP:$CP,0),1))),INDEX(ТУ!$X:$X,MATCH($U8*1,ТУ!$CP:$CP,0),1)),"")),TRIM(IF(ISNUMBER((IFERROR(RIGHT(INDEX(ТУ!$AF:$AF,MATCH($U8*1,ТУ!$CP:$CP,0),1),LEN(INDEX(ТУ!$AF:$AF,MATCH($U8*1,ТУ!$CP:$CP,0),1))-SEARCH("-",INDEX(ТУ!$AF:$AF,MATCH($U8*1,ТУ!$CP:$CP,0),1))),INDEX(ТУ!$AF:$AF,MATCH($U8*1,ТУ!$CP:$CP,0),1)))*1),IFERROR(RIGHT(INDEX(ТУ!$AF:$AF,MATCH($U8*1,ТУ!$CP:$CP,0),1),LEN(INDEX(ТУ!$AF:$AF,MATCH($U8*1,ТУ!$CP:$CP,0),1))-SEARCH("-",INDEX(ТУ!$AF:$AF,MATCH($U8*1,ТУ!$CP:$CP,0),1))),INDEX(ТУ!$AF:$AF,MATCH($U8*1,ТУ!$CP:$CP,0),1)),"")))</f>
        <v/>
      </c>
      <c r="E8" s="25" t="str">
        <f t="shared" si="2"/>
        <v/>
      </c>
      <c r="F8" s="20" t="str">
        <f t="shared" si="3"/>
        <v/>
      </c>
      <c r="G8" s="21">
        <f t="shared" si="4"/>
        <v>5</v>
      </c>
      <c r="H8" s="25" t="str">
        <f t="shared" si="5"/>
        <v>ТП-</v>
      </c>
      <c r="I8" s="25" t="str">
        <f t="shared" si="6"/>
        <v>500000</v>
      </c>
      <c r="J8" s="42" t="str">
        <f>INDEX(Справочники!$M:$M,MATCH(IF(INDEX(ТУ!$BO:$BO,MATCH($U8*1,ТУ!$CP:$CP,0),1)=1,1,INDEX(ТУ!$BO:$BO,MATCH($U8*1,ТУ!$CP:$CP,0),1)*100),Справочники!$N:$N,0),1)</f>
        <v>0.4 кВ</v>
      </c>
      <c r="K8" s="40">
        <f>1</f>
        <v>1</v>
      </c>
      <c r="L8" s="20" t="str">
        <f t="shared" si="7"/>
        <v>СШ-1</v>
      </c>
      <c r="M8" s="20">
        <f t="shared" si="8"/>
        <v>2</v>
      </c>
      <c r="N8" s="40"/>
      <c r="O8" s="56" t="str">
        <f t="shared" si="9"/>
        <v>Ввод-1-2</v>
      </c>
      <c r="P8" s="57" t="str">
        <f>IFERROR(IF(INDEX(ТУ!$AO:$AO,MATCH($U8*1,ТУ!$CP:$CP,0),1)=0,"",INDEX(ТУ!$AO:$AO,MATCH($U8*1,ТУ!$CP:$CP,0),1)),"")</f>
        <v/>
      </c>
      <c r="Q8" s="40">
        <f>IFERROR(IF(INDEX(ТУ!$BN:$BN,MATCH($U8*1,ТУ!$CP:$CP,0),1)=1,1,INDEX(ТУ!$BN:$BN,MATCH($U8*1,ТУ!$CP:$CP,0),1)*5),"")</f>
        <v>1</v>
      </c>
      <c r="R8" s="25">
        <f t="shared" si="10"/>
        <v>1</v>
      </c>
      <c r="S8" s="25">
        <f t="shared" si="11"/>
        <v>1</v>
      </c>
      <c r="T8" s="25">
        <f t="shared" si="12"/>
        <v>1</v>
      </c>
      <c r="U8" s="105" t="s">
        <v>537</v>
      </c>
      <c r="V8" s="43">
        <f>IF(INDEX(ТУ!$BH:$BH,MATCH($U8*1,ТУ!$CP:$CP,0),1)=0,"",INDEX(ТУ!$BH:$BH,MATCH($U8*1,ТУ!$CP:$CP,0),1))</f>
        <v>45699</v>
      </c>
      <c r="W8" s="43" t="str">
        <f>IF(INDEX(ТУ!$BI:$BI,MATCH($U8*1,ТУ!$CP:$CP,0),1)=0,"",INDEX(ТУ!$BI:$BI,MATCH($U8*1,ТУ!$CP:$CP,0),1))</f>
        <v>20.04.2024</v>
      </c>
      <c r="X8" s="58" t="str">
        <f t="shared" si="13"/>
        <v>DLMS счетчик</v>
      </c>
      <c r="Y8" s="25">
        <f t="shared" si="14"/>
        <v>34</v>
      </c>
      <c r="Z8" s="42" t="str">
        <f t="shared" si="15"/>
        <v>Нартис-300</v>
      </c>
      <c r="AA8" s="25">
        <f t="shared" si="16"/>
        <v>65</v>
      </c>
      <c r="AB8" s="40" t="str">
        <f>IF(ISNUMBER(SEARCH("Приборы с поддержкой протокола СПОДЭС - Нартис-И300 (СПОДЭС)",INDEX(ТУ!$BD:$BD,MATCH($U8*1,ТУ!$CP:$CP,0),1))),"Нартис-И300",
IF(ISNUMBER(SEARCH("Приборы с поддержкой протокола СПОДЭС - Меркурий 234 (СПОДЭС)",INDEX(ТУ!$BD:$BD,MATCH($U8*1,ТУ!$CP:$CP,0),1))),"Меркурий 234 (СПОДЭС)",
IF(ISNUMBER(SEARCH("Приборы с поддержкой протокола СПОДЭС - Нартис-300 (СПОДЭС)",INDEX(ТУ!$BD:$BD,MATCH($U8*1,ТУ!$CP:$CP,0),1))),"Нартис-300",
IF(ISNUMBER(SEARCH("Инкотекс - Меркурий 234",INDEX(ТУ!$BD:$BD,MATCH($U8*1,ТУ!$CP:$CP,0),1))),"Меркурий 234",
IF(ISNUMBER(SEARCH("Инкотекс - Меркурий 206",INDEX(ТУ!$BD:$BD,MATCH($U8*1,ТУ!$CP:$CP,0),1))),"Меркурий 206",
IF(ISNUMBER(SEARCH("Приборы с поддержкой протокола СПОДЭС - Универсальный счетчик СПОДЭС 2 трехфазный",INDEX(ТУ!$BD:$BD,MATCH($U8*1,ТУ!$CP:$CP,0),1))),"Нартис-И300",
IF(ISNUMBER(SEARCH("Приборы с поддержкой протокола СПОДЭС - Универсальный счетчик СПОДЭС 2 однофазный",INDEX(ТУ!$BD:$BD,MATCH($U8*1,ТУ!$CP:$CP,0),1))),"Нартис-И100",
IF(ISNUMBER(SEARCH("Приборы с поддержкой протокола СПОДЭС - Нартис-И100 (СПОДЭС)",INDEX(ТУ!$BD:$BD,MATCH($U8*1,ТУ!$CP:$CP,0),1))),"Нартис-И100",
IF(ISNUMBER(SEARCH("Приборы с поддержкой протокола СПОДЭС - СЕ308 (СПОДЭС)",INDEX(ТУ!$BD:$BD,MATCH($U8*1,ТУ!$CP:$CP,0),1))),"СЕ308 (СПОДЭС)",
IF(ISNUMBER(SEARCH("Приборы с поддержкой протокола СПОДЭС - СЕ207 (СПОДЭС)",INDEX(ТУ!$BD:$BD,MATCH($U8*1,ТУ!$CP:$CP,0),1))),"СЕ207 (СПОДЭС)",
IF(ISNUMBER(SEARCH("Приборы с поддержкой протокола СПОДЭС - СТЭМ-300 (СПОДЭС)",INDEX(ТУ!$BD:$BD,MATCH($U8*1,ТУ!$CP:$CP,0),1))),"СТЭМ-300 (СПОДЭС)",
IF(ISNUMBER(SEARCH("ТехноЭнерго - ТЕ3000",INDEX(ТУ!$BD:$BD,MATCH($U8*1,ТУ!$CP:$CP,0),1))),"ТЕ3000",
IF(ISNUMBER(SEARCH("НЗиФ - СЭТ-4ТМ",INDEX(ТУ!$BD:$BD,MATCH($U8*1,ТУ!$CP:$CP,0),1))),"СЭТ-4ТМ",
INDEX(ТУ!$BD:$BD,MATCH($U8*1,ТУ!$CP:$CP,0),1)
)))))))))))))</f>
        <v>Нартис-300</v>
      </c>
      <c r="AC8" s="40" t="s">
        <v>2</v>
      </c>
      <c r="AD8" s="40" t="str">
        <f>IF(ISNUMBER(IFERROR(LEFT(IF(INDEX(ТУ!$CI:$CI,MATCH($U8*1,ТУ!$CP:$CP,0),1)=0,"",INDEX(ТУ!$CI:$CI,MATCH($U8*1,ТУ!$CP:$CP,0),1)),SEARCH(" ",IF(INDEX(ТУ!$CI:$CI,MATCH($U8*1,ТУ!$CP:$CP,0),1)=0,"",INDEX(ТУ!$CI:$CI,MATCH($U8*1,ТУ!$CP:$CP,0),1)),1)-1),"")*1),IFERROR(LEFT(IF(INDEX(ТУ!$CI:$CI,MATCH($U8*1,ТУ!$CP:$CP,0),1)=0,"",INDEX(ТУ!$CI:$CI,MATCH($U8*1,ТУ!$CP:$CP,0),1)),SEARCH(" ",IF(INDEX(ТУ!$CI:$CI,MATCH($U8*1,ТУ!$CP:$CP,0),1)=0,"",INDEX(ТУ!$CI:$CI,MATCH($U8*1,ТУ!$CP:$CP,0),1)),1)-1),""),"")</f>
        <v/>
      </c>
      <c r="AE8" s="40">
        <f>IF(INDEX(ТУ!$CB:$CB,MATCH($U8*1,ТУ!$CP:$CP,0),1)=0,INDEX(Adr!$B:$B,MATCH($U8*1,Adr!$C:$C,0),1),INDEX(ТУ!$CB:$CB,MATCH($U8*1,ТУ!$CP:$CP,0),1))</f>
        <v>16</v>
      </c>
      <c r="AF8" s="45" t="str">
        <f>IF(INDEX(ТУ!$CD:$CD,MATCH($U8*1,ТУ!$CP:$CP,0),1)=0,"",INDEX(ТУ!$CD:$CD,MATCH($U8*1,ТУ!$CP:$CP,0),1))</f>
        <v>0000000000002080</v>
      </c>
      <c r="AG8" s="45">
        <f>0</f>
        <v>0</v>
      </c>
      <c r="AH8" s="26" t="str">
        <f t="shared" si="17"/>
        <v/>
      </c>
      <c r="AI8" s="20">
        <f t="shared" si="18"/>
        <v>5000002</v>
      </c>
      <c r="AJ8" s="41" t="str">
        <f t="shared" si="1"/>
        <v>10.210.216.46</v>
      </c>
      <c r="AK8" s="41" t="str">
        <f>IF($AP8="",IFERROR(IFERROR(LEFT(RIGHT(INDEX(ТУ!$CE:$CE,MATCH($U8*1,ТУ!$CP:$CP,0),1),LEN(INDEX(ТУ!$CE:$CE,MATCH($U8*1,ТУ!$CP:$CP,0),1))-SEARCH(":",INDEX(ТУ!$CE:$CE,MATCH($U8*1,ТУ!$CP:$CP,0),1))),SEARCH("/",RIGHT(INDEX(ТУ!$CE:$CE,MATCH($U8*1,ТУ!$CP:$CP,0),1),LEN(INDEX(ТУ!$CE:$CE,MATCH($U8*1,ТУ!$CP:$CP,0),1))-SEARCH(":",INDEX(ТУ!$CE:$CE,MATCH($U8*1,ТУ!$CP:$CP,0),1))))-1), RIGHT(INDEX(ТУ!$CE:$CE,MATCH($U8*1,ТУ!$CP:$CP,0),1),LEN(INDEX(ТУ!$CE:$CE,MATCH($U8*1,ТУ!$CP:$CP,0),1))-SEARCH(":",INDEX(ТУ!$CE:$CE,MATCH($U8*1,ТУ!$CP:$CP,0),1)))), ""),IFERROR(IFERROR(LEFT(RIGHT(INDEX(УСПД!$M:$M,MATCH(IFERROR(1*LEFT(INDEX(ТУ!$CG:$CG,MATCH($U8*1,ТУ!$CP:$CP,0),1),SEARCH(" ",INDEX(ТУ!$CG:$CG,MATCH($U8*1,ТУ!$CP:$CP,0),1))-1),""),УСПД!$N:$N,0),1),LEN(INDEX(УСПД!$M:$M,MATCH(IFERROR(1*LEFT(INDEX(ТУ!$CG:$CG,MATCH($U8*1,ТУ!$CP:$CP,0),1),SEARCH(" ",INDEX(ТУ!$CG:$CG,MATCH($U8*1,ТУ!$CP:$CP,0),1))-1),""),УСПД!$N:$N,0),1))-SEARCH(":",INDEX(УСПД!$M:$M,MATCH(IFERROR(1*LEFT(INDEX(ТУ!$CG:$CG,MATCH($U8*1,ТУ!$CP:$CP,0),1),SEARCH(" ",INDEX(ТУ!$CG:$CG,MATCH($U8*1,ТУ!$CP:$CP,0),1))-1),""),УСПД!$N:$N,0),1))),SEARCH("/",RIGHT(INDEX(УСПД!$M:$M,MATCH(IFERROR(1*LEFT(INDEX(ТУ!$CG:$CG,MATCH($U8*1,ТУ!$CP:$CP,0),1),SEARCH(" ",INDEX(ТУ!$CG:$CG,MATCH($U8*1,ТУ!$CP:$CP,0),1))-1),""),УСПД!$N:$N,0),1),LEN(INDEX(УСПД!$M:$M,MATCH(IFERROR(1*LEFT(INDEX(ТУ!$CG:$CG,MATCH($U8*1,ТУ!$CP:$CP,0),1),SEARCH(" ",INDEX(ТУ!$CG:$CG,MATCH($U8*1,ТУ!$CP:$CP,0),1))-1),""),УСПД!$N:$N,0),1))-SEARCH(":",INDEX(УСПД!$M:$M,MATCH(IFERROR(1*LEFT(INDEX(ТУ!$CG:$CG,MATCH($U8*1,ТУ!$CP:$CP,0),1),SEARCH(" ",INDEX(ТУ!$CG:$CG,MATCH($U8*1,ТУ!$CP:$CP,0),1))-1),""),УСПД!$N:$N,0),1))))-1), RIGHT(INDEX(УСПД!$M:$M,MATCH(IFERROR(1*LEFT(INDEX(ТУ!$CG:$CG,MATCH($U8*1,ТУ!$CP:$CP,0),1),SEARCH(" ",INDEX(ТУ!$CG:$CG,MATCH($U8*1,ТУ!$CP:$CP,0),1))-1),""),УСПД!$N:$N,0),1),LEN(INDEX(УСПД!$M:$M,MATCH(IFERROR(1*LEFT(INDEX(ТУ!$CG:$CG,MATCH($U8*1,ТУ!$CP:$CP,0),1),SEARCH(" ",INDEX(ТУ!$CG:$CG,MATCH($U8*1,ТУ!$CP:$CP,0),1))-1),""),УСПД!$N:$N,0),1))-SEARCH(":",INDEX(УСПД!$M:$M,MATCH(IFERROR(1*LEFT(INDEX(ТУ!$CG:$CG,MATCH($U8*1,ТУ!$CP:$CP,0),1),SEARCH(" ",INDEX(ТУ!$CG:$CG,MATCH($U8*1,ТУ!$CP:$CP,0),1))-1),""),УСПД!$N:$N,0),1)))), ""))</f>
        <v>4001</v>
      </c>
      <c r="AL8" s="41"/>
      <c r="AM8" s="57" t="str">
        <f>IFERROR(IFERROR(INDEX(Tel!$B:$B,MATCH($AJ8,Tel!$E:$E,0),1),INDEX(Tel!$B:$B,MATCH($AJ8,Tel!$D:$D,0),1)),"")</f>
        <v/>
      </c>
      <c r="AN8" s="59" t="str">
        <f>IF(ISNUMBER(SEARCH("ТОПАЗ - ТОПАЗ УСПД",IFERROR(RIGHT(LEFT(INDEX(ТУ!$CG:$CG,MATCH($U8*1,ТУ!$CP:$CP,0),1),SEARCH(")",INDEX(ТУ!$CG:$CG,MATCH($U8*1,ТУ!$CP:$CP,0),1))-1),LEN(LEFT(INDEX(ТУ!$CG:$CG,MATCH($U8*1,ТУ!$CP:$CP,0),1),SEARCH(")",INDEX(ТУ!$CG:$CG,MATCH($U8*1,ТУ!$CP:$CP,0),1))-1))-SEARCH("(",INDEX(ТУ!$CG:$CG,MATCH($U8*1,ТУ!$CP:$CP,0),1))),""),1)),"RTU-327",
IF(ISNUMBER(SEARCH("TELEOFIS",$AP8)),"Модем",
""))</f>
        <v/>
      </c>
      <c r="AO8" s="27" t="str">
        <f t="shared" si="0"/>
        <v/>
      </c>
      <c r="AP8" s="57" t="str">
        <f>IF(ISNUMBER(SEARCH("Миландр - Милур GSM/GPRS модем",IFERROR(RIGHT(LEFT(INDEX(ТУ!$CG:$CG,MATCH($U8*1,ТУ!$CP:$CP,0),1),SEARCH(")",INDEX(ТУ!$CG:$CG,MATCH($U8*1,ТУ!$CP:$CP,0),1))-1),LEN(LEFT(INDEX(ТУ!$CG:$CG,MATCH($U8*1,ТУ!$CP:$CP,0),1),SEARCH(")",INDEX(ТУ!$CG:$CG,MATCH($U8*1,ТУ!$CP:$CP,0),1))-1))-SEARCH("(",INDEX(ТУ!$CG:$CG,MATCH($U8*1,ТУ!$CP:$CP,0),1))),""),1)), "TELEOFIS WRX708-L4",IFERROR(RIGHT(LEFT(INDEX(ТУ!$CG:$CG,MATCH($U8*1,ТУ!$CP:$CP,0),1),SEARCH(")",INDEX(ТУ!$CG:$CG,MATCH($U8*1,ТУ!$CP:$CP,0),1))-1),LEN(LEFT(INDEX(ТУ!$CG:$CG,MATCH($U8*1,ТУ!$CP:$CP,0),1),SEARCH(")",INDEX(ТУ!$CG:$CG,MATCH($U8*1,ТУ!$CP:$CP,0),1))-1))-SEARCH("(",INDEX(ТУ!$CG:$CG,MATCH($U8*1,ТУ!$CP:$CP,0),1))),""))</f>
        <v/>
      </c>
      <c r="AQ8" s="57" t="str">
        <f>IFERROR(IF(INDEX(УСПД!$K:$K,MATCH($AS8*1,УСПД!$N:$N,0),1)=0,"",INDEX(УСПД!$K:$K,MATCH($AS8*1,УСПД!$N:$N,0),1)),"")</f>
        <v/>
      </c>
      <c r="AR8" s="57" t="str">
        <f>IFERROR(IF(INDEX(УСПД!$L:$L,MATCH($AS8*1,УСПД!$N:$N,0),1)=0,"",INDEX(УСПД!$L:$L,MATCH($AS8*1,УСПД!$N:$N,0),1)),"")</f>
        <v/>
      </c>
      <c r="AS8" s="60" t="str">
        <f>IFERROR(LEFT(INDEX(ТУ!$CG:$CG,MATCH($U8*1,ТУ!$CP:$CP,0),1),SEARCH(" ",INDEX(ТУ!$CG:$CG,MATCH($U8*1,ТУ!$CP:$CP,0),1))-1),"")</f>
        <v/>
      </c>
      <c r="AT8" s="59" t="s">
        <v>360</v>
      </c>
      <c r="AU8" s="59">
        <f>3</f>
        <v>3</v>
      </c>
      <c r="AV8" s="59" t="s">
        <v>368</v>
      </c>
      <c r="AW8" s="149" t="str">
        <f t="shared" si="19"/>
        <v/>
      </c>
      <c r="AX8" s="149">
        <f t="shared" si="20"/>
        <v>33</v>
      </c>
      <c r="AY8" s="149">
        <f t="shared" si="21"/>
        <v>8</v>
      </c>
      <c r="AZ8" s="149" t="str">
        <f t="shared" si="22"/>
        <v/>
      </c>
      <c r="BA8" s="149">
        <f t="shared" si="23"/>
        <v>1</v>
      </c>
      <c r="BB8" s="154" t="str">
        <f>IF($AP8="",IFERROR(IFERROR(LEFT(RIGHT(INDEX(ТУ!$CE:$CE,MATCH($U8*1,ТУ!$CP:$CP,0),1),LEN(INDEX(ТУ!$CE:$CE,MATCH($U8*1,ТУ!$CP:$CP,0),1))-SEARCH(", ",INDEX(ТУ!$CE:$CE,MATCH($U8*1,ТУ!$CP:$CP,0),1),SEARCH(", ",INDEX(ТУ!$CE:$CE,MATCH($U8*1,ТУ!$CP:$CP,0),1))+1)-1),SEARCH(":",RIGHT(INDEX(ТУ!$CE:$CE,MATCH($U8*1,ТУ!$CP:$CP,0),1),LEN(INDEX(ТУ!$CE:$CE,MATCH($U8*1,ТУ!$CP:$CP,0),1))-SEARCH(", ",INDEX(ТУ!$CE:$CE,MATCH($U8*1,ТУ!$CP:$CP,0),1),SEARCH(", ",INDEX(ТУ!$CE:$CE,MATCH($U8*1,ТУ!$CP:$CP,0),1))+1)-1))-1),LEFT(INDEX(ТУ!$CE:$CE,MATCH($U8*1,ТУ!$CP:$CP,0),1),SEARCH(":",INDEX(ТУ!$CE:$CE,MATCH($U8*1,ТУ!$CP:$CP,0),1))-1)),""),IFERROR(IFERROR(LEFT(RIGHT(INDEX(УСПД!$M:$M,MATCH(IFERROR(1*LEFT(INDEX(ТУ!$CG:$CG,MATCH($U8*1,ТУ!$CP:$CP,0),1),SEARCH(" ",INDEX(ТУ!$CG:$CG,MATCH($U8*1,ТУ!$CP:$CP,0),1))-1),""),УСПД!$N:$N,0),1),LEN(INDEX(УСПД!$M:$M,MATCH(IFERROR(1*LEFT(INDEX(ТУ!$CG:$CG,MATCH($U8*1,ТУ!$CP:$CP,0),1),SEARCH(" ",INDEX(ТУ!$CG:$CG,MATCH($U8*1,ТУ!$CP:$CP,0),1))-1),""),УСПД!$N:$N,0),1))-SEARCH(", ",INDEX(УСПД!$M:$M,MATCH(IFERROR(1*LEFT(INDEX(ТУ!$CG:$CG,MATCH($U8*1,ТУ!$CP:$CP,0),1),SEARCH(" ",INDEX(ТУ!$CG:$CG,MATCH($U8*1,ТУ!$CP:$CP,0),1))-1),""),УСПД!$N:$N,0),1),SEARCH(", ",INDEX(УСПД!$M:$M,MATCH(IFERROR(1*LEFT(INDEX(ТУ!$CG:$CG,MATCH($U8*1,ТУ!$CP:$CP,0),1),SEARCH(" ",INDEX(ТУ!$CG:$CG,MATCH($U8*1,ТУ!$CP:$CP,0),1))-1),""),УСПД!$N:$N,0),1))+1)-1),SEARCH(":",RIGHT(INDEX(УСПД!$M:$M,MATCH(IFERROR(1*LEFT(INDEX(ТУ!$CG:$CG,MATCH($U8*1,ТУ!$CP:$CP,0),1),SEARCH(" ",INDEX(ТУ!$CG:$CG,MATCH($U8*1,ТУ!$CP:$CP,0),1))-1),""),УСПД!$N:$N,0),1),LEN(INDEX(УСПД!$M:$M,MATCH(IFERROR(1*LEFT(INDEX(ТУ!$CG:$CG,MATCH($U8*1,ТУ!$CP:$CP,0),1),SEARCH(" ",INDEX(ТУ!$CG:$CG,MATCH($U8*1,ТУ!$CP:$CP,0),1))-1),""),УСПД!$N:$N,0),1))-SEARCH(", ",INDEX(УСПД!$M:$M,MATCH(IFERROR(1*LEFT(INDEX(ТУ!$CG:$CG,MATCH($U8*1,ТУ!$CP:$CP,0),1),SEARCH(" ",INDEX(ТУ!$CG:$CG,MATCH($U8*1,ТУ!$CP:$CP,0),1))-1),""),УСПД!$N:$N,0),1),SEARCH(", ",INDEX(УСПД!$M:$M,MATCH(IFERROR(1*LEFT(INDEX(ТУ!$CG:$CG,MATCH($U8*1,ТУ!$CP:$CP,0),1),SEARCH(" ",INDEX(ТУ!$CG:$CG,MATCH($U8*1,ТУ!$CP:$CP,0),1))-1),""),УСПД!$N:$N,0),1))+1)-1))-1),LEFT(INDEX(УСПД!$M:$M,MATCH(IFERROR(1*LEFT(INDEX(ТУ!$CG:$CG,MATCH($U8*1,ТУ!$CP:$CP,0),1),SEARCH(" ",INDEX(ТУ!$CG:$CG,MATCH($U8*1,ТУ!$CP:$CP,0),1))-1),""),УСПД!$N:$N,0),1),SEARCH(":",INDEX(УСПД!$M:$M,MATCH(IFERROR(1*LEFT(INDEX(ТУ!$CG:$CG,MATCH($U8*1,ТУ!$CP:$CP,0),1),SEARCH(" ",INDEX(ТУ!$CG:$CG,MATCH($U8*1,ТУ!$CP:$CP,0),1))-1),""),УСПД!$N:$N,0),1))-1)),""))</f>
        <v>10.210.216.46</v>
      </c>
      <c r="BC8" s="155">
        <f>INDEX(ТУ!$AF:$AF,MATCH($U8*1,ТУ!$CP:$CP,0),1)</f>
        <v>0</v>
      </c>
      <c r="BD8" s="155">
        <f>INDEX(ТУ!$X:$X,MATCH($U8*1,ТУ!$CP:$CP,0),1)</f>
        <v>0</v>
      </c>
      <c r="BE8" s="155">
        <f>INDEX(ТУ!$CL:$CL,MATCH($U8*1,ТУ!$CP:$CP,0),1)</f>
        <v>0</v>
      </c>
      <c r="BF8" s="147" t="str">
        <f>IFERROR(INDEX(естьАЦ!$A:$A,MATCH($U8*1,естьАЦ!$A:$A,0),1),"нет в АЦ")</f>
        <v>нет в АЦ</v>
      </c>
    </row>
    <row r="9" spans="1:58" ht="15" x14ac:dyDescent="0.25">
      <c r="A9" s="55">
        <f>3</f>
        <v>3</v>
      </c>
      <c r="B9" s="42" t="str">
        <f>IFERROR(IFERROR(INDEX(Справочники!$A$2:$P$79,MATCH(INDEX(ТУ!$E:$E,MATCH($U9*1,ТУ!$CP:$CP,0),1),Справочники!$P$2:$P$79,0),2),INDEX(Справочники!$A$2:$P$79,MATCH((INDEX(ТУ!$E:$E,MATCH($U9*1,ТУ!$CP:$CP,0),1))*1,Справочники!$P$2:$P$79,0),2)),"")</f>
        <v>16 р-н МКС (ЮОРУПЭ)</v>
      </c>
      <c r="C9" s="46" t="str">
        <f>IFERROR(TRIM(LEFT(INDEX(ТУ!$AF:$AF,MATCH($U9*1,ТУ!$CP:$CP,0),1),SEARCH("-",INDEX(ТУ!$AF:$AF,MATCH($U9*1,ТУ!$CP:$CP,0),1))-1)),IFERROR(LEFT(INDEX(ТУ!$X:$X,MATCH($U9*1,ТУ!$CP:$CP,0),1),SEARCH("-",INDEX(ТУ!$X:$X,MATCH($U9*1,ТУ!$CP:$CP,0),1))-1),"ТП"))</f>
        <v>ТП</v>
      </c>
      <c r="D9" s="47" t="str">
        <f>IF(TRIM(IF(ISNUMBER((IFERROR(RIGHT(INDEX(ТУ!$AF:$AF,MATCH($U9*1,ТУ!$CP:$CP,0),1),LEN(INDEX(ТУ!$AF:$AF,MATCH($U9*1,ТУ!$CP:$CP,0),1))-SEARCH("-",INDEX(ТУ!$AF:$AF,MATCH($U9*1,ТУ!$CP:$CP,0),1))),INDEX(ТУ!$AF:$AF,MATCH($U9*1,ТУ!$CP:$CP,0),1)))*1),IFERROR(RIGHT(INDEX(ТУ!$AF:$AF,MATCH($U9*1,ТУ!$CP:$CP,0),1),LEN(INDEX(ТУ!$AF:$AF,MATCH($U9*1,ТУ!$CP:$CP,0),1))-SEARCH("-",INDEX(ТУ!$AF:$AF,MATCH($U9*1,ТУ!$CP:$CP,0),1))),INDEX(ТУ!$AF:$AF,MATCH($U9*1,ТУ!$CP:$CP,0),1)),""))="",TRIM(IF(ISNUMBER((IFERROR(RIGHT(INDEX(ТУ!$X:$X,MATCH($U9*1,ТУ!$CP:$CP,0),1),LEN(INDEX(ТУ!$X:$X,MATCH($U9*1,ТУ!$CP:$CP,0),1))-SEARCH("-",INDEX(ТУ!$X:$X,MATCH($U9*1,ТУ!$CP:$CP,0),1))),INDEX(ТУ!$X:$X,MATCH($U9*1,ТУ!$CP:$CP,0),1)))*1),IFERROR(RIGHT(INDEX(ТУ!$X:$X,MATCH($U9*1,ТУ!$CP:$CP,0),1),LEN(INDEX(ТУ!$X:$X,MATCH($U9*1,ТУ!$CP:$CP,0),1))-SEARCH("-",INDEX(ТУ!$X:$X,MATCH($U9*1,ТУ!$CP:$CP,0),1))),INDEX(ТУ!$X:$X,MATCH($U9*1,ТУ!$CP:$CP,0),1)),"")),TRIM(IF(ISNUMBER((IFERROR(RIGHT(INDEX(ТУ!$AF:$AF,MATCH($U9*1,ТУ!$CP:$CP,0),1),LEN(INDEX(ТУ!$AF:$AF,MATCH($U9*1,ТУ!$CP:$CP,0),1))-SEARCH("-",INDEX(ТУ!$AF:$AF,MATCH($U9*1,ТУ!$CP:$CP,0),1))),INDEX(ТУ!$AF:$AF,MATCH($U9*1,ТУ!$CP:$CP,0),1)))*1),IFERROR(RIGHT(INDEX(ТУ!$AF:$AF,MATCH($U9*1,ТУ!$CP:$CP,0),1),LEN(INDEX(ТУ!$AF:$AF,MATCH($U9*1,ТУ!$CP:$CP,0),1))-SEARCH("-",INDEX(ТУ!$AF:$AF,MATCH($U9*1,ТУ!$CP:$CP,0),1))),INDEX(ТУ!$AF:$AF,MATCH($U9*1,ТУ!$CP:$CP,0),1)),"")))</f>
        <v/>
      </c>
      <c r="E9" s="25" t="str">
        <f t="shared" si="2"/>
        <v>МКС</v>
      </c>
      <c r="F9" s="20">
        <f t="shared" si="3"/>
        <v>90</v>
      </c>
      <c r="G9" s="21">
        <f t="shared" si="4"/>
        <v>5</v>
      </c>
      <c r="H9" s="25" t="str">
        <f t="shared" si="5"/>
        <v>ТП-</v>
      </c>
      <c r="I9" s="25" t="str">
        <f t="shared" si="6"/>
        <v>90500000</v>
      </c>
      <c r="J9" s="42" t="str">
        <f>INDEX(Справочники!$M:$M,MATCH(IF(INDEX(ТУ!$BO:$BO,MATCH($U9*1,ТУ!$CP:$CP,0),1)=1,1,INDEX(ТУ!$BO:$BO,MATCH($U9*1,ТУ!$CP:$CP,0),1)*100),Справочники!$N:$N,0),1)</f>
        <v>0.4 кВ</v>
      </c>
      <c r="K9" s="40">
        <f>1</f>
        <v>1</v>
      </c>
      <c r="L9" s="20" t="str">
        <f t="shared" si="7"/>
        <v>СШ-1</v>
      </c>
      <c r="M9" s="20">
        <f t="shared" si="8"/>
        <v>1</v>
      </c>
      <c r="N9" s="40"/>
      <c r="O9" s="56" t="str">
        <f t="shared" si="9"/>
        <v>Ввод-1-1</v>
      </c>
      <c r="P9" s="57" t="str">
        <f>IFERROR(IF(INDEX(ТУ!$AO:$AO,MATCH($U9*1,ТУ!$CP:$CP,0),1)=0,"",INDEX(ТУ!$AO:$AO,MATCH($U9*1,ТУ!$CP:$CP,0),1)),"")</f>
        <v>ячейка 1</v>
      </c>
      <c r="Q9" s="40">
        <f>IFERROR(IF(INDEX(ТУ!$BN:$BN,MATCH($U9*1,ТУ!$CP:$CP,0),1)=1,1,INDEX(ТУ!$BN:$BN,MATCH($U9*1,ТУ!$CP:$CP,0),1)*5),"")</f>
        <v>1</v>
      </c>
      <c r="R9" s="25">
        <f t="shared" si="10"/>
        <v>1</v>
      </c>
      <c r="S9" s="25">
        <f t="shared" si="11"/>
        <v>1</v>
      </c>
      <c r="T9" s="25">
        <f t="shared" si="12"/>
        <v>1</v>
      </c>
      <c r="U9" s="105" t="s">
        <v>545</v>
      </c>
      <c r="V9" s="43">
        <f>IF(INDEX(ТУ!$BH:$BH,MATCH($U9*1,ТУ!$CP:$CP,0),1)=0,"",INDEX(ТУ!$BH:$BH,MATCH($U9*1,ТУ!$CP:$CP,0),1))</f>
        <v>45583</v>
      </c>
      <c r="W9" s="43" t="str">
        <f>IF(INDEX(ТУ!$BI:$BI,MATCH($U9*1,ТУ!$CP:$CP,0),1)=0,"",INDEX(ТУ!$BI:$BI,MATCH($U9*1,ТУ!$CP:$CP,0),1))</f>
        <v/>
      </c>
      <c r="X9" s="58" t="str">
        <f t="shared" si="13"/>
        <v>CE-308/208 СПОДЭС</v>
      </c>
      <c r="Y9" s="25">
        <f t="shared" si="14"/>
        <v>39</v>
      </c>
      <c r="Z9" s="42" t="str">
        <f t="shared" si="15"/>
        <v>СПОДЭС (общий)</v>
      </c>
      <c r="AA9" s="25">
        <f t="shared" si="16"/>
        <v>11</v>
      </c>
      <c r="AB9" s="40" t="str">
        <f>IF(ISNUMBER(SEARCH("Приборы с поддержкой протокола СПОДЭС - Нартис-И300 (СПОДЭС)",INDEX(ТУ!$BD:$BD,MATCH($U9*1,ТУ!$CP:$CP,0),1))),"Нартис-И300",
IF(ISNUMBER(SEARCH("Приборы с поддержкой протокола СПОДЭС - Меркурий 234 (СПОДЭС)",INDEX(ТУ!$BD:$BD,MATCH($U9*1,ТУ!$CP:$CP,0),1))),"Меркурий 234 (СПОДЭС)",
IF(ISNUMBER(SEARCH("Приборы с поддержкой протокола СПОДЭС - Нартис-300 (СПОДЭС)",INDEX(ТУ!$BD:$BD,MATCH($U9*1,ТУ!$CP:$CP,0),1))),"Нартис-300",
IF(ISNUMBER(SEARCH("Инкотекс - Меркурий 234",INDEX(ТУ!$BD:$BD,MATCH($U9*1,ТУ!$CP:$CP,0),1))),"Меркурий 234",
IF(ISNUMBER(SEARCH("Инкотекс - Меркурий 206",INDEX(ТУ!$BD:$BD,MATCH($U9*1,ТУ!$CP:$CP,0),1))),"Меркурий 206",
IF(ISNUMBER(SEARCH("Приборы с поддержкой протокола СПОДЭС - Универсальный счетчик СПОДЭС 2 трехфазный",INDEX(ТУ!$BD:$BD,MATCH($U9*1,ТУ!$CP:$CP,0),1))),"Нартис-И300",
IF(ISNUMBER(SEARCH("Приборы с поддержкой протокола СПОДЭС - Универсальный счетчик СПОДЭС 2 однофазный",INDEX(ТУ!$BD:$BD,MATCH($U9*1,ТУ!$CP:$CP,0),1))),"Нартис-И100",
IF(ISNUMBER(SEARCH("Приборы с поддержкой протокола СПОДЭС - Нартис-И100 (СПОДЭС)",INDEX(ТУ!$BD:$BD,MATCH($U9*1,ТУ!$CP:$CP,0),1))),"Нартис-И100",
IF(ISNUMBER(SEARCH("Приборы с поддержкой протокола СПОДЭС - СЕ308 (СПОДЭС)",INDEX(ТУ!$BD:$BD,MATCH($U9*1,ТУ!$CP:$CP,0),1))),"СЕ308 (СПОДЭС)",
IF(ISNUMBER(SEARCH("Приборы с поддержкой протокола СПОДЭС - СЕ207 (СПОДЭС)",INDEX(ТУ!$BD:$BD,MATCH($U9*1,ТУ!$CP:$CP,0),1))),"СЕ207 (СПОДЭС)",
IF(ISNUMBER(SEARCH("Приборы с поддержкой протокола СПОДЭС - СТЭМ-300 (СПОДЭС)",INDEX(ТУ!$BD:$BD,MATCH($U9*1,ТУ!$CP:$CP,0),1))),"СТЭМ-300 (СПОДЭС)",
IF(ISNUMBER(SEARCH("ТехноЭнерго - ТЕ3000",INDEX(ТУ!$BD:$BD,MATCH($U9*1,ТУ!$CP:$CP,0),1))),"ТЕ3000",
IF(ISNUMBER(SEARCH("НЗиФ - СЭТ-4ТМ",INDEX(ТУ!$BD:$BD,MATCH($U9*1,ТУ!$CP:$CP,0),1))),"СЭТ-4ТМ",
INDEX(ТУ!$BD:$BD,MATCH($U9*1,ТУ!$CP:$CP,0),1)
)))))))))))))</f>
        <v>СЕ308 (СПОДЭС)</v>
      </c>
      <c r="AC9" s="40" t="s">
        <v>2</v>
      </c>
      <c r="AD9" s="40" t="str">
        <f>IF(ISNUMBER(IFERROR(LEFT(IF(INDEX(ТУ!$CI:$CI,MATCH($U9*1,ТУ!$CP:$CP,0),1)=0,"",INDEX(ТУ!$CI:$CI,MATCH($U9*1,ТУ!$CP:$CP,0),1)),SEARCH(" ",IF(INDEX(ТУ!$CI:$CI,MATCH($U9*1,ТУ!$CP:$CP,0),1)=0,"",INDEX(ТУ!$CI:$CI,MATCH($U9*1,ТУ!$CP:$CP,0),1)),1)-1),"")*1),IFERROR(LEFT(IF(INDEX(ТУ!$CI:$CI,MATCH($U9*1,ТУ!$CP:$CP,0),1)=0,"",INDEX(ТУ!$CI:$CI,MATCH($U9*1,ТУ!$CP:$CP,0),1)),SEARCH(" ",IF(INDEX(ТУ!$CI:$CI,MATCH($U9*1,ТУ!$CP:$CP,0),1)=0,"",INDEX(ТУ!$CI:$CI,MATCH($U9*1,ТУ!$CP:$CP,0),1)),1)-1),""),"")</f>
        <v/>
      </c>
      <c r="AE9" s="40">
        <f>IF(INDEX(ТУ!$CB:$CB,MATCH($U9*1,ТУ!$CP:$CP,0),1)=0,INDEX(Adr!$B:$B,MATCH($U9*1,Adr!$C:$C,0),1),INDEX(ТУ!$CB:$CB,MATCH($U9*1,ТУ!$CP:$CP,0),1))</f>
        <v>16</v>
      </c>
      <c r="AF9" s="45" t="str">
        <f>IF(INDEX(ТУ!$CD:$CD,MATCH($U9*1,ТУ!$CP:$CP,0),1)=0,"",INDEX(ТУ!$CD:$CD,MATCH($U9*1,ТУ!$CP:$CP,0),1))</f>
        <v>1234567812345678</v>
      </c>
      <c r="AG9" s="45">
        <f>0</f>
        <v>0</v>
      </c>
      <c r="AH9" s="26">
        <f t="shared" si="17"/>
        <v>90</v>
      </c>
      <c r="AI9" s="20" t="str">
        <f t="shared" si="18"/>
        <v>905000001</v>
      </c>
      <c r="AJ9" s="41" t="str">
        <f t="shared" si="1"/>
        <v>10.210.177.243</v>
      </c>
      <c r="AK9" s="41" t="str">
        <f>IF($AP9="",IFERROR(IFERROR(LEFT(RIGHT(INDEX(ТУ!$CE:$CE,MATCH($U9*1,ТУ!$CP:$CP,0),1),LEN(INDEX(ТУ!$CE:$CE,MATCH($U9*1,ТУ!$CP:$CP,0),1))-SEARCH(":",INDEX(ТУ!$CE:$CE,MATCH($U9*1,ТУ!$CP:$CP,0),1))),SEARCH("/",RIGHT(INDEX(ТУ!$CE:$CE,MATCH($U9*1,ТУ!$CP:$CP,0),1),LEN(INDEX(ТУ!$CE:$CE,MATCH($U9*1,ТУ!$CP:$CP,0),1))-SEARCH(":",INDEX(ТУ!$CE:$CE,MATCH($U9*1,ТУ!$CP:$CP,0),1))))-1), RIGHT(INDEX(ТУ!$CE:$CE,MATCH($U9*1,ТУ!$CP:$CP,0),1),LEN(INDEX(ТУ!$CE:$CE,MATCH($U9*1,ТУ!$CP:$CP,0),1))-SEARCH(":",INDEX(ТУ!$CE:$CE,MATCH($U9*1,ТУ!$CP:$CP,0),1)))), ""),IFERROR(IFERROR(LEFT(RIGHT(INDEX(УСПД!$M:$M,MATCH(IFERROR(1*LEFT(INDEX(ТУ!$CG:$CG,MATCH($U9*1,ТУ!$CP:$CP,0),1),SEARCH(" ",INDEX(ТУ!$CG:$CG,MATCH($U9*1,ТУ!$CP:$CP,0),1))-1),""),УСПД!$N:$N,0),1),LEN(INDEX(УСПД!$M:$M,MATCH(IFERROR(1*LEFT(INDEX(ТУ!$CG:$CG,MATCH($U9*1,ТУ!$CP:$CP,0),1),SEARCH(" ",INDEX(ТУ!$CG:$CG,MATCH($U9*1,ТУ!$CP:$CP,0),1))-1),""),УСПД!$N:$N,0),1))-SEARCH(":",INDEX(УСПД!$M:$M,MATCH(IFERROR(1*LEFT(INDEX(ТУ!$CG:$CG,MATCH($U9*1,ТУ!$CP:$CP,0),1),SEARCH(" ",INDEX(ТУ!$CG:$CG,MATCH($U9*1,ТУ!$CP:$CP,0),1))-1),""),УСПД!$N:$N,0),1))),SEARCH("/",RIGHT(INDEX(УСПД!$M:$M,MATCH(IFERROR(1*LEFT(INDEX(ТУ!$CG:$CG,MATCH($U9*1,ТУ!$CP:$CP,0),1),SEARCH(" ",INDEX(ТУ!$CG:$CG,MATCH($U9*1,ТУ!$CP:$CP,0),1))-1),""),УСПД!$N:$N,0),1),LEN(INDEX(УСПД!$M:$M,MATCH(IFERROR(1*LEFT(INDEX(ТУ!$CG:$CG,MATCH($U9*1,ТУ!$CP:$CP,0),1),SEARCH(" ",INDEX(ТУ!$CG:$CG,MATCH($U9*1,ТУ!$CP:$CP,0),1))-1),""),УСПД!$N:$N,0),1))-SEARCH(":",INDEX(УСПД!$M:$M,MATCH(IFERROR(1*LEFT(INDEX(ТУ!$CG:$CG,MATCH($U9*1,ТУ!$CP:$CP,0),1),SEARCH(" ",INDEX(ТУ!$CG:$CG,MATCH($U9*1,ТУ!$CP:$CP,0),1))-1),""),УСПД!$N:$N,0),1))))-1), RIGHT(INDEX(УСПД!$M:$M,MATCH(IFERROR(1*LEFT(INDEX(ТУ!$CG:$CG,MATCH($U9*1,ТУ!$CP:$CP,0),1),SEARCH(" ",INDEX(ТУ!$CG:$CG,MATCH($U9*1,ТУ!$CP:$CP,0),1))-1),""),УСПД!$N:$N,0),1),LEN(INDEX(УСПД!$M:$M,MATCH(IFERROR(1*LEFT(INDEX(ТУ!$CG:$CG,MATCH($U9*1,ТУ!$CP:$CP,0),1),SEARCH(" ",INDEX(ТУ!$CG:$CG,MATCH($U9*1,ТУ!$CP:$CP,0),1))-1),""),УСПД!$N:$N,0),1))-SEARCH(":",INDEX(УСПД!$M:$M,MATCH(IFERROR(1*LEFT(INDEX(ТУ!$CG:$CG,MATCH($U9*1,ТУ!$CP:$CP,0),1),SEARCH(" ",INDEX(ТУ!$CG:$CG,MATCH($U9*1,ТУ!$CP:$CP,0),1))-1),""),УСПД!$N:$N,0),1)))), ""))</f>
        <v>4001</v>
      </c>
      <c r="AL9" s="41"/>
      <c r="AM9" s="57" t="str">
        <f>IFERROR(IFERROR(INDEX(Tel!$B:$B,MATCH($AJ9,Tel!$E:$E,0),1),INDEX(Tel!$B:$B,MATCH($AJ9,Tel!$D:$D,0),1)),"")</f>
        <v/>
      </c>
      <c r="AN9" s="59" t="str">
        <f>IF(ISNUMBER(SEARCH("ТОПАЗ - ТОПАЗ УСПД",IFERROR(RIGHT(LEFT(INDEX(ТУ!$CG:$CG,MATCH($U9*1,ТУ!$CP:$CP,0),1),SEARCH(")",INDEX(ТУ!$CG:$CG,MATCH($U9*1,ТУ!$CP:$CP,0),1))-1),LEN(LEFT(INDEX(ТУ!$CG:$CG,MATCH($U9*1,ТУ!$CP:$CP,0),1),SEARCH(")",INDEX(ТУ!$CG:$CG,MATCH($U9*1,ТУ!$CP:$CP,0),1))-1))-SEARCH("(",INDEX(ТУ!$CG:$CG,MATCH($U9*1,ТУ!$CP:$CP,0),1))),""),1)),"RTU-327",
IF(ISNUMBER(SEARCH("TELEOFIS",$AP9)),"Модем",
""))</f>
        <v/>
      </c>
      <c r="AO9" s="27" t="str">
        <f t="shared" si="0"/>
        <v/>
      </c>
      <c r="AP9" s="57" t="str">
        <f>IF(ISNUMBER(SEARCH("Миландр - Милур GSM/GPRS модем",IFERROR(RIGHT(LEFT(INDEX(ТУ!$CG:$CG,MATCH($U9*1,ТУ!$CP:$CP,0),1),SEARCH(")",INDEX(ТУ!$CG:$CG,MATCH($U9*1,ТУ!$CP:$CP,0),1))-1),LEN(LEFT(INDEX(ТУ!$CG:$CG,MATCH($U9*1,ТУ!$CP:$CP,0),1),SEARCH(")",INDEX(ТУ!$CG:$CG,MATCH($U9*1,ТУ!$CP:$CP,0),1))-1))-SEARCH("(",INDEX(ТУ!$CG:$CG,MATCH($U9*1,ТУ!$CP:$CP,0),1))),""),1)), "TELEOFIS WRX708-L4",IFERROR(RIGHT(LEFT(INDEX(ТУ!$CG:$CG,MATCH($U9*1,ТУ!$CP:$CP,0),1),SEARCH(")",INDEX(ТУ!$CG:$CG,MATCH($U9*1,ТУ!$CP:$CP,0),1))-1),LEN(LEFT(INDEX(ТУ!$CG:$CG,MATCH($U9*1,ТУ!$CP:$CP,0),1),SEARCH(")",INDEX(ТУ!$CG:$CG,MATCH($U9*1,ТУ!$CP:$CP,0),1))-1))-SEARCH("(",INDEX(ТУ!$CG:$CG,MATCH($U9*1,ТУ!$CP:$CP,0),1))),""))</f>
        <v/>
      </c>
      <c r="AQ9" s="57" t="str">
        <f>IFERROR(IF(INDEX(УСПД!$K:$K,MATCH($AS9*1,УСПД!$N:$N,0),1)=0,"",INDEX(УСПД!$K:$K,MATCH($AS9*1,УСПД!$N:$N,0),1)),"")</f>
        <v/>
      </c>
      <c r="AR9" s="57" t="str">
        <f>IFERROR(IF(INDEX(УСПД!$L:$L,MATCH($AS9*1,УСПД!$N:$N,0),1)=0,"",INDEX(УСПД!$L:$L,MATCH($AS9*1,УСПД!$N:$N,0),1)),"")</f>
        <v/>
      </c>
      <c r="AS9" s="60" t="str">
        <f>IFERROR(LEFT(INDEX(ТУ!$CG:$CG,MATCH($U9*1,ТУ!$CP:$CP,0),1),SEARCH(" ",INDEX(ТУ!$CG:$CG,MATCH($U9*1,ТУ!$CP:$CP,0),1))-1),"")</f>
        <v/>
      </c>
      <c r="AT9" s="59" t="s">
        <v>360</v>
      </c>
      <c r="AU9" s="59">
        <f>3</f>
        <v>3</v>
      </c>
      <c r="AV9" s="59" t="s">
        <v>368</v>
      </c>
      <c r="AW9" s="149">
        <f t="shared" si="19"/>
        <v>68</v>
      </c>
      <c r="AX9" s="149">
        <f t="shared" si="20"/>
        <v>38</v>
      </c>
      <c r="AY9" s="149">
        <f t="shared" si="21"/>
        <v>19</v>
      </c>
      <c r="AZ9" s="149" t="str">
        <f t="shared" si="22"/>
        <v/>
      </c>
      <c r="BA9" s="149">
        <f t="shared" si="23"/>
        <v>1</v>
      </c>
      <c r="BB9" s="154" t="str">
        <f>IF($AP9="",IFERROR(IFERROR(LEFT(RIGHT(INDEX(ТУ!$CE:$CE,MATCH($U9*1,ТУ!$CP:$CP,0),1),LEN(INDEX(ТУ!$CE:$CE,MATCH($U9*1,ТУ!$CP:$CP,0),1))-SEARCH(", ",INDEX(ТУ!$CE:$CE,MATCH($U9*1,ТУ!$CP:$CP,0),1),SEARCH(", ",INDEX(ТУ!$CE:$CE,MATCH($U9*1,ТУ!$CP:$CP,0),1))+1)-1),SEARCH(":",RIGHT(INDEX(ТУ!$CE:$CE,MATCH($U9*1,ТУ!$CP:$CP,0),1),LEN(INDEX(ТУ!$CE:$CE,MATCH($U9*1,ТУ!$CP:$CP,0),1))-SEARCH(", ",INDEX(ТУ!$CE:$CE,MATCH($U9*1,ТУ!$CP:$CP,0),1),SEARCH(", ",INDEX(ТУ!$CE:$CE,MATCH($U9*1,ТУ!$CP:$CP,0),1))+1)-1))-1),LEFT(INDEX(ТУ!$CE:$CE,MATCH($U9*1,ТУ!$CP:$CP,0),1),SEARCH(":",INDEX(ТУ!$CE:$CE,MATCH($U9*1,ТУ!$CP:$CP,0),1))-1)),""),IFERROR(IFERROR(LEFT(RIGHT(INDEX(УСПД!$M:$M,MATCH(IFERROR(1*LEFT(INDEX(ТУ!$CG:$CG,MATCH($U9*1,ТУ!$CP:$CP,0),1),SEARCH(" ",INDEX(ТУ!$CG:$CG,MATCH($U9*1,ТУ!$CP:$CP,0),1))-1),""),УСПД!$N:$N,0),1),LEN(INDEX(УСПД!$M:$M,MATCH(IFERROR(1*LEFT(INDEX(ТУ!$CG:$CG,MATCH($U9*1,ТУ!$CP:$CP,0),1),SEARCH(" ",INDEX(ТУ!$CG:$CG,MATCH($U9*1,ТУ!$CP:$CP,0),1))-1),""),УСПД!$N:$N,0),1))-SEARCH(", ",INDEX(УСПД!$M:$M,MATCH(IFERROR(1*LEFT(INDEX(ТУ!$CG:$CG,MATCH($U9*1,ТУ!$CP:$CP,0),1),SEARCH(" ",INDEX(ТУ!$CG:$CG,MATCH($U9*1,ТУ!$CP:$CP,0),1))-1),""),УСПД!$N:$N,0),1),SEARCH(", ",INDEX(УСПД!$M:$M,MATCH(IFERROR(1*LEFT(INDEX(ТУ!$CG:$CG,MATCH($U9*1,ТУ!$CP:$CP,0),1),SEARCH(" ",INDEX(ТУ!$CG:$CG,MATCH($U9*1,ТУ!$CP:$CP,0),1))-1),""),УСПД!$N:$N,0),1))+1)-1),SEARCH(":",RIGHT(INDEX(УСПД!$M:$M,MATCH(IFERROR(1*LEFT(INDEX(ТУ!$CG:$CG,MATCH($U9*1,ТУ!$CP:$CP,0),1),SEARCH(" ",INDEX(ТУ!$CG:$CG,MATCH($U9*1,ТУ!$CP:$CP,0),1))-1),""),УСПД!$N:$N,0),1),LEN(INDEX(УСПД!$M:$M,MATCH(IFERROR(1*LEFT(INDEX(ТУ!$CG:$CG,MATCH($U9*1,ТУ!$CP:$CP,0),1),SEARCH(" ",INDEX(ТУ!$CG:$CG,MATCH($U9*1,ТУ!$CP:$CP,0),1))-1),""),УСПД!$N:$N,0),1))-SEARCH(", ",INDEX(УСПД!$M:$M,MATCH(IFERROR(1*LEFT(INDEX(ТУ!$CG:$CG,MATCH($U9*1,ТУ!$CP:$CP,0),1),SEARCH(" ",INDEX(ТУ!$CG:$CG,MATCH($U9*1,ТУ!$CP:$CP,0),1))-1),""),УСПД!$N:$N,0),1),SEARCH(", ",INDEX(УСПД!$M:$M,MATCH(IFERROR(1*LEFT(INDEX(ТУ!$CG:$CG,MATCH($U9*1,ТУ!$CP:$CP,0),1),SEARCH(" ",INDEX(ТУ!$CG:$CG,MATCH($U9*1,ТУ!$CP:$CP,0),1))-1),""),УСПД!$N:$N,0),1))+1)-1))-1),LEFT(INDEX(УСПД!$M:$M,MATCH(IFERROR(1*LEFT(INDEX(ТУ!$CG:$CG,MATCH($U9*1,ТУ!$CP:$CP,0),1),SEARCH(" ",INDEX(ТУ!$CG:$CG,MATCH($U9*1,ТУ!$CP:$CP,0),1))-1),""),УСПД!$N:$N,0),1),SEARCH(":",INDEX(УСПД!$M:$M,MATCH(IFERROR(1*LEFT(INDEX(ТУ!$CG:$CG,MATCH($U9*1,ТУ!$CP:$CP,0),1),SEARCH(" ",INDEX(ТУ!$CG:$CG,MATCH($U9*1,ТУ!$CP:$CP,0),1))-1),""),УСПД!$N:$N,0),1))-1)),""))</f>
        <v>10.210.177.243</v>
      </c>
      <c r="BC9" s="155" t="str">
        <f>INDEX(ТУ!$AF:$AF,MATCH($U9*1,ТУ!$CP:$CP,0),1)</f>
        <v>ТП МКС (16 РЭР)</v>
      </c>
      <c r="BD9" s="155">
        <f>INDEX(ТУ!$X:$X,MATCH($U9*1,ТУ!$CP:$CP,0),1)</f>
        <v>0</v>
      </c>
      <c r="BE9" s="155">
        <f>INDEX(ТУ!$CL:$CL,MATCH($U9*1,ТУ!$CP:$CP,0),1)</f>
        <v>0</v>
      </c>
      <c r="BF9" s="147" t="str">
        <f>IFERROR(INDEX(естьАЦ!$A:$A,MATCH($U9*1,естьАЦ!$A:$A,0),1),"нет в АЦ")</f>
        <v>нет в АЦ</v>
      </c>
    </row>
    <row r="10" spans="1:58" ht="15" x14ac:dyDescent="0.25">
      <c r="A10" s="55">
        <f>3</f>
        <v>3</v>
      </c>
      <c r="B10" s="42" t="str">
        <f>IFERROR(IFERROR(INDEX(Справочники!$A$2:$P$79,MATCH(INDEX(ТУ!$E:$E,MATCH($U10*1,ТУ!$CP:$CP,0),1),Справочники!$P$2:$P$79,0),2),INDEX(Справочники!$A$2:$P$79,MATCH((INDEX(ТУ!$E:$E,MATCH($U10*1,ТУ!$CP:$CP,0),1))*1,Справочники!$P$2:$P$79,0),2)),"")</f>
        <v>20 р-н МКС (ЗОРУПЭ)</v>
      </c>
      <c r="C10" s="46" t="str">
        <f>IFERROR(TRIM(LEFT(INDEX(ТУ!$AF:$AF,MATCH($U10*1,ТУ!$CP:$CP,0),1),SEARCH("-",INDEX(ТУ!$AF:$AF,MATCH($U10*1,ТУ!$CP:$CP,0),1))-1)),IFERROR(LEFT(INDEX(ТУ!$X:$X,MATCH($U10*1,ТУ!$CP:$CP,0),1),SEARCH("-",INDEX(ТУ!$X:$X,MATCH($U10*1,ТУ!$CP:$CP,0),1))-1),"ТП"))</f>
        <v>ТП</v>
      </c>
      <c r="D10" s="47" t="str">
        <f>IF(TRIM(IF(ISNUMBER((IFERROR(RIGHT(INDEX(ТУ!$AF:$AF,MATCH($U10*1,ТУ!$CP:$CP,0),1),LEN(INDEX(ТУ!$AF:$AF,MATCH($U10*1,ТУ!$CP:$CP,0),1))-SEARCH("-",INDEX(ТУ!$AF:$AF,MATCH($U10*1,ТУ!$CP:$CP,0),1))),INDEX(ТУ!$AF:$AF,MATCH($U10*1,ТУ!$CP:$CP,0),1)))*1),IFERROR(RIGHT(INDEX(ТУ!$AF:$AF,MATCH($U10*1,ТУ!$CP:$CP,0),1),LEN(INDEX(ТУ!$AF:$AF,MATCH($U10*1,ТУ!$CP:$CP,0),1))-SEARCH("-",INDEX(ТУ!$AF:$AF,MATCH($U10*1,ТУ!$CP:$CP,0),1))),INDEX(ТУ!$AF:$AF,MATCH($U10*1,ТУ!$CP:$CP,0),1)),""))="",TRIM(IF(ISNUMBER((IFERROR(RIGHT(INDEX(ТУ!$X:$X,MATCH($U10*1,ТУ!$CP:$CP,0),1),LEN(INDEX(ТУ!$X:$X,MATCH($U10*1,ТУ!$CP:$CP,0),1))-SEARCH("-",INDEX(ТУ!$X:$X,MATCH($U10*1,ТУ!$CP:$CP,0),1))),INDEX(ТУ!$X:$X,MATCH($U10*1,ТУ!$CP:$CP,0),1)))*1),IFERROR(RIGHT(INDEX(ТУ!$X:$X,MATCH($U10*1,ТУ!$CP:$CP,0),1),LEN(INDEX(ТУ!$X:$X,MATCH($U10*1,ТУ!$CP:$CP,0),1))-SEARCH("-",INDEX(ТУ!$X:$X,MATCH($U10*1,ТУ!$CP:$CP,0),1))),INDEX(ТУ!$X:$X,MATCH($U10*1,ТУ!$CP:$CP,0),1)),"")),TRIM(IF(ISNUMBER((IFERROR(RIGHT(INDEX(ТУ!$AF:$AF,MATCH($U10*1,ТУ!$CP:$CP,0),1),LEN(INDEX(ТУ!$AF:$AF,MATCH($U10*1,ТУ!$CP:$CP,0),1))-SEARCH("-",INDEX(ТУ!$AF:$AF,MATCH($U10*1,ТУ!$CP:$CP,0),1))),INDEX(ТУ!$AF:$AF,MATCH($U10*1,ТУ!$CP:$CP,0),1)))*1),IFERROR(RIGHT(INDEX(ТУ!$AF:$AF,MATCH($U10*1,ТУ!$CP:$CP,0),1),LEN(INDEX(ТУ!$AF:$AF,MATCH($U10*1,ТУ!$CP:$CP,0),1))-SEARCH("-",INDEX(ТУ!$AF:$AF,MATCH($U10*1,ТУ!$CP:$CP,0),1))),INDEX(ТУ!$AF:$AF,MATCH($U10*1,ТУ!$CP:$CP,0),1)),"")))</f>
        <v>15830</v>
      </c>
      <c r="E10" s="25" t="str">
        <f t="shared" si="2"/>
        <v>МКС</v>
      </c>
      <c r="F10" s="20">
        <f t="shared" si="3"/>
        <v>94</v>
      </c>
      <c r="G10" s="21">
        <f t="shared" si="4"/>
        <v>5</v>
      </c>
      <c r="H10" s="25" t="str">
        <f t="shared" si="5"/>
        <v>ТП-15830</v>
      </c>
      <c r="I10" s="25" t="str">
        <f t="shared" si="6"/>
        <v>94515830</v>
      </c>
      <c r="J10" s="42" t="str">
        <f>INDEX(Справочники!$M:$M,MATCH(IF(INDEX(ТУ!$BO:$BO,MATCH($U10*1,ТУ!$CP:$CP,0),1)=1,1,INDEX(ТУ!$BO:$BO,MATCH($U10*1,ТУ!$CP:$CP,0),1)*100),Справочники!$N:$N,0),1)</f>
        <v>0.4 кВ</v>
      </c>
      <c r="K10" s="40">
        <f>1</f>
        <v>1</v>
      </c>
      <c r="L10" s="20" t="str">
        <f t="shared" si="7"/>
        <v>СШ-1</v>
      </c>
      <c r="M10" s="20">
        <f t="shared" si="8"/>
        <v>1</v>
      </c>
      <c r="N10" s="40"/>
      <c r="O10" s="56" t="str">
        <f t="shared" si="9"/>
        <v>Ввод-1-1</v>
      </c>
      <c r="P10" s="57" t="str">
        <f>IFERROR(IF(INDEX(ТУ!$AO:$AO,MATCH($U10*1,ТУ!$CP:$CP,0),1)=0,"",INDEX(ТУ!$AO:$AO,MATCH($U10*1,ТУ!$CP:$CP,0),1)),"")</f>
        <v>ОЛ-1</v>
      </c>
      <c r="Q10" s="40">
        <f>IFERROR(IF(INDEX(ТУ!$BN:$BN,MATCH($U10*1,ТУ!$CP:$CP,0),1)=1,1,INDEX(ТУ!$BN:$BN,MATCH($U10*1,ТУ!$CP:$CP,0),1)*5),"")</f>
        <v>200</v>
      </c>
      <c r="R10" s="25">
        <f t="shared" si="10"/>
        <v>5</v>
      </c>
      <c r="S10" s="25">
        <f t="shared" si="11"/>
        <v>1</v>
      </c>
      <c r="T10" s="25">
        <f t="shared" si="12"/>
        <v>1</v>
      </c>
      <c r="U10" s="105" t="s">
        <v>554</v>
      </c>
      <c r="V10" s="43">
        <f>IF(INDEX(ТУ!$BH:$BH,MATCH($U10*1,ТУ!$CP:$CP,0),1)=0,"",INDEX(ТУ!$BH:$BH,MATCH($U10*1,ТУ!$CP:$CP,0),1))</f>
        <v>44630</v>
      </c>
      <c r="W10" s="43" t="str">
        <f>IF(INDEX(ТУ!$BI:$BI,MATCH($U10*1,ТУ!$CP:$CP,0),1)=0,"",INDEX(ТУ!$BI:$BI,MATCH($U10*1,ТУ!$CP:$CP,0),1))</f>
        <v>19.10.2021</v>
      </c>
      <c r="X10" s="58" t="str">
        <f t="shared" si="13"/>
        <v>Меркурий-23X</v>
      </c>
      <c r="Y10" s="25">
        <f t="shared" si="14"/>
        <v>15</v>
      </c>
      <c r="Z10" s="42" t="str">
        <f t="shared" si="15"/>
        <v/>
      </c>
      <c r="AA10" s="25" t="str">
        <f t="shared" si="16"/>
        <v/>
      </c>
      <c r="AB10" s="40" t="str">
        <f>IF(ISNUMBER(SEARCH("Приборы с поддержкой протокола СПОДЭС - Нартис-И300 (СПОДЭС)",INDEX(ТУ!$BD:$BD,MATCH($U10*1,ТУ!$CP:$CP,0),1))),"Нартис-И300",
IF(ISNUMBER(SEARCH("Приборы с поддержкой протокола СПОДЭС - Меркурий 234 (СПОДЭС)",INDEX(ТУ!$BD:$BD,MATCH($U10*1,ТУ!$CP:$CP,0),1))),"Меркурий 234 (СПОДЭС)",
IF(ISNUMBER(SEARCH("Приборы с поддержкой протокола СПОДЭС - Нартис-300 (СПОДЭС)",INDEX(ТУ!$BD:$BD,MATCH($U10*1,ТУ!$CP:$CP,0),1))),"Нартис-300",
IF(ISNUMBER(SEARCH("Инкотекс - Меркурий 234",INDEX(ТУ!$BD:$BD,MATCH($U10*1,ТУ!$CP:$CP,0),1))),"Меркурий 234",
IF(ISNUMBER(SEARCH("Инкотекс - Меркурий 206",INDEX(ТУ!$BD:$BD,MATCH($U10*1,ТУ!$CP:$CP,0),1))),"Меркурий 206",
IF(ISNUMBER(SEARCH("Приборы с поддержкой протокола СПОДЭС - Универсальный счетчик СПОДЭС 2 трехфазный",INDEX(ТУ!$BD:$BD,MATCH($U10*1,ТУ!$CP:$CP,0),1))),"Нартис-И300",
IF(ISNUMBER(SEARCH("Приборы с поддержкой протокола СПОДЭС - Универсальный счетчик СПОДЭС 2 однофазный",INDEX(ТУ!$BD:$BD,MATCH($U10*1,ТУ!$CP:$CP,0),1))),"Нартис-И100",
IF(ISNUMBER(SEARCH("Приборы с поддержкой протокола СПОДЭС - Нартис-И100 (СПОДЭС)",INDEX(ТУ!$BD:$BD,MATCH($U10*1,ТУ!$CP:$CP,0),1))),"Нартис-И100",
IF(ISNUMBER(SEARCH("Приборы с поддержкой протокола СПОДЭС - СЕ308 (СПОДЭС)",INDEX(ТУ!$BD:$BD,MATCH($U10*1,ТУ!$CP:$CP,0),1))),"СЕ308 (СПОДЭС)",
IF(ISNUMBER(SEARCH("Приборы с поддержкой протокола СПОДЭС - СЕ207 (СПОДЭС)",INDEX(ТУ!$BD:$BD,MATCH($U10*1,ТУ!$CP:$CP,0),1))),"СЕ207 (СПОДЭС)",
IF(ISNUMBER(SEARCH("Приборы с поддержкой протокола СПОДЭС - СТЭМ-300 (СПОДЭС)",INDEX(ТУ!$BD:$BD,MATCH($U10*1,ТУ!$CP:$CP,0),1))),"СТЭМ-300 (СПОДЭС)",
IF(ISNUMBER(SEARCH("ТехноЭнерго - ТЕ3000",INDEX(ТУ!$BD:$BD,MATCH($U10*1,ТУ!$CP:$CP,0),1))),"ТЕ3000",
IF(ISNUMBER(SEARCH("НЗиФ - СЭТ-4ТМ",INDEX(ТУ!$BD:$BD,MATCH($U10*1,ТУ!$CP:$CP,0),1))),"СЭТ-4ТМ",
INDEX(ТУ!$BD:$BD,MATCH($U10*1,ТУ!$CP:$CP,0),1)
)))))))))))))</f>
        <v>Меркурий 234</v>
      </c>
      <c r="AC10" s="40" t="s">
        <v>2</v>
      </c>
      <c r="AD10" s="40" t="str">
        <f>IF(ISNUMBER(IFERROR(LEFT(IF(INDEX(ТУ!$CI:$CI,MATCH($U10*1,ТУ!$CP:$CP,0),1)=0,"",INDEX(ТУ!$CI:$CI,MATCH($U10*1,ТУ!$CP:$CP,0),1)),SEARCH(" ",IF(INDEX(ТУ!$CI:$CI,MATCH($U10*1,ТУ!$CP:$CP,0),1)=0,"",INDEX(ТУ!$CI:$CI,MATCH($U10*1,ТУ!$CP:$CP,0),1)),1)-1),"")*1),IFERROR(LEFT(IF(INDEX(ТУ!$CI:$CI,MATCH($U10*1,ТУ!$CP:$CP,0),1)=0,"",INDEX(ТУ!$CI:$CI,MATCH($U10*1,ТУ!$CP:$CP,0),1)),SEARCH(" ",IF(INDEX(ТУ!$CI:$CI,MATCH($U10*1,ТУ!$CP:$CP,0),1)=0,"",INDEX(ТУ!$CI:$CI,MATCH($U10*1,ТУ!$CP:$CP,0),1)),1)-1),""),"")</f>
        <v/>
      </c>
      <c r="AE10" s="40" t="str">
        <f>IF(INDEX(ТУ!$CB:$CB,MATCH($U10*1,ТУ!$CP:$CP,0),1)=0,INDEX(Adr!$B:$B,MATCH($U10*1,Adr!$C:$C,0),1),INDEX(ТУ!$CB:$CB,MATCH($U10*1,ТУ!$CP:$CP,0),1))</f>
        <v>53</v>
      </c>
      <c r="AF10" s="45" t="str">
        <f>IF(INDEX(ТУ!$CD:$CD,MATCH($U10*1,ТУ!$CP:$CP,0),1)=0,"",INDEX(ТУ!$CD:$CD,MATCH($U10*1,ТУ!$CP:$CP,0),1))</f>
        <v>"222222"</v>
      </c>
      <c r="AG10" s="45">
        <f>0</f>
        <v>0</v>
      </c>
      <c r="AH10" s="26">
        <f t="shared" si="17"/>
        <v>94</v>
      </c>
      <c r="AI10" s="20" t="str">
        <f t="shared" si="18"/>
        <v>945158301</v>
      </c>
      <c r="AJ10" s="41" t="str">
        <f t="shared" si="1"/>
        <v/>
      </c>
      <c r="AK10" s="41" t="str">
        <f>IF($AP10="",IFERROR(IFERROR(LEFT(RIGHT(INDEX(ТУ!$CE:$CE,MATCH($U10*1,ТУ!$CP:$CP,0),1),LEN(INDEX(ТУ!$CE:$CE,MATCH($U10*1,ТУ!$CP:$CP,0),1))-SEARCH(":",INDEX(ТУ!$CE:$CE,MATCH($U10*1,ТУ!$CP:$CP,0),1))),SEARCH("/",RIGHT(INDEX(ТУ!$CE:$CE,MATCH($U10*1,ТУ!$CP:$CP,0),1),LEN(INDEX(ТУ!$CE:$CE,MATCH($U10*1,ТУ!$CP:$CP,0),1))-SEARCH(":",INDEX(ТУ!$CE:$CE,MATCH($U10*1,ТУ!$CP:$CP,0),1))))-1), RIGHT(INDEX(ТУ!$CE:$CE,MATCH($U10*1,ТУ!$CP:$CP,0),1),LEN(INDEX(ТУ!$CE:$CE,MATCH($U10*1,ТУ!$CP:$CP,0),1))-SEARCH(":",INDEX(ТУ!$CE:$CE,MATCH($U10*1,ТУ!$CP:$CP,0),1)))), ""),IFERROR(IFERROR(LEFT(RIGHT(INDEX(УСПД!$M:$M,MATCH(IFERROR(1*LEFT(INDEX(ТУ!$CG:$CG,MATCH($U10*1,ТУ!$CP:$CP,0),1),SEARCH(" ",INDEX(ТУ!$CG:$CG,MATCH($U10*1,ТУ!$CP:$CP,0),1))-1),""),УСПД!$N:$N,0),1),LEN(INDEX(УСПД!$M:$M,MATCH(IFERROR(1*LEFT(INDEX(ТУ!$CG:$CG,MATCH($U10*1,ТУ!$CP:$CP,0),1),SEARCH(" ",INDEX(ТУ!$CG:$CG,MATCH($U10*1,ТУ!$CP:$CP,0),1))-1),""),УСПД!$N:$N,0),1))-SEARCH(":",INDEX(УСПД!$M:$M,MATCH(IFERROR(1*LEFT(INDEX(ТУ!$CG:$CG,MATCH($U10*1,ТУ!$CP:$CP,0),1),SEARCH(" ",INDEX(ТУ!$CG:$CG,MATCH($U10*1,ТУ!$CP:$CP,0),1))-1),""),УСПД!$N:$N,0),1))),SEARCH("/",RIGHT(INDEX(УСПД!$M:$M,MATCH(IFERROR(1*LEFT(INDEX(ТУ!$CG:$CG,MATCH($U10*1,ТУ!$CP:$CP,0),1),SEARCH(" ",INDEX(ТУ!$CG:$CG,MATCH($U10*1,ТУ!$CP:$CP,0),1))-1),""),УСПД!$N:$N,0),1),LEN(INDEX(УСПД!$M:$M,MATCH(IFERROR(1*LEFT(INDEX(ТУ!$CG:$CG,MATCH($U10*1,ТУ!$CP:$CP,0),1),SEARCH(" ",INDEX(ТУ!$CG:$CG,MATCH($U10*1,ТУ!$CP:$CP,0),1))-1),""),УСПД!$N:$N,0),1))-SEARCH(":",INDEX(УСПД!$M:$M,MATCH(IFERROR(1*LEFT(INDEX(ТУ!$CG:$CG,MATCH($U10*1,ТУ!$CP:$CP,0),1),SEARCH(" ",INDEX(ТУ!$CG:$CG,MATCH($U10*1,ТУ!$CP:$CP,0),1))-1),""),УСПД!$N:$N,0),1))))-1), RIGHT(INDEX(УСПД!$M:$M,MATCH(IFERROR(1*LEFT(INDEX(ТУ!$CG:$CG,MATCH($U10*1,ТУ!$CP:$CP,0),1),SEARCH(" ",INDEX(ТУ!$CG:$CG,MATCH($U10*1,ТУ!$CP:$CP,0),1))-1),""),УСПД!$N:$N,0),1),LEN(INDEX(УСПД!$M:$M,MATCH(IFERROR(1*LEFT(INDEX(ТУ!$CG:$CG,MATCH($U10*1,ТУ!$CP:$CP,0),1),SEARCH(" ",INDEX(ТУ!$CG:$CG,MATCH($U10*1,ТУ!$CP:$CP,0),1))-1),""),УСПД!$N:$N,0),1))-SEARCH(":",INDEX(УСПД!$M:$M,MATCH(IFERROR(1*LEFT(INDEX(ТУ!$CG:$CG,MATCH($U10*1,ТУ!$CP:$CP,0),1),SEARCH(" ",INDEX(ТУ!$CG:$CG,MATCH($U10*1,ТУ!$CP:$CP,0),1))-1),""),УСПД!$N:$N,0),1)))), ""))</f>
        <v/>
      </c>
      <c r="AL10" s="41"/>
      <c r="AM10" s="57" t="str">
        <f>IFERROR(IFERROR(INDEX(Tel!$B:$B,MATCH($AJ10,Tel!$E:$E,0),1),INDEX(Tel!$B:$B,MATCH($AJ10,Tel!$D:$D,0),1)),"")</f>
        <v/>
      </c>
      <c r="AN10" s="59" t="str">
        <f>IF(ISNUMBER(SEARCH("ТОПАЗ - ТОПАЗ УСПД",IFERROR(RIGHT(LEFT(INDEX(ТУ!$CG:$CG,MATCH($U10*1,ТУ!$CP:$CP,0),1),SEARCH(")",INDEX(ТУ!$CG:$CG,MATCH($U10*1,ТУ!$CP:$CP,0),1))-1),LEN(LEFT(INDEX(ТУ!$CG:$CG,MATCH($U10*1,ТУ!$CP:$CP,0),1),SEARCH(")",INDEX(ТУ!$CG:$CG,MATCH($U10*1,ТУ!$CP:$CP,0),1))-1))-SEARCH("(",INDEX(ТУ!$CG:$CG,MATCH($U10*1,ТУ!$CP:$CP,0),1))),""),1)),"RTU-327",
IF(ISNUMBER(SEARCH("TELEOFIS",$AP10)),"Модем",
""))</f>
        <v>Модем</v>
      </c>
      <c r="AO10" s="27">
        <f t="shared" si="0"/>
        <v>0</v>
      </c>
      <c r="AP10" s="57" t="str">
        <f>IF(ISNUMBER(SEARCH("Миландр - Милур GSM/GPRS модем",IFERROR(RIGHT(LEFT(INDEX(ТУ!$CG:$CG,MATCH($U10*1,ТУ!$CP:$CP,0),1),SEARCH(")",INDEX(ТУ!$CG:$CG,MATCH($U10*1,ТУ!$CP:$CP,0),1))-1),LEN(LEFT(INDEX(ТУ!$CG:$CG,MATCH($U10*1,ТУ!$CP:$CP,0),1),SEARCH(")",INDEX(ТУ!$CG:$CG,MATCH($U10*1,ТУ!$CP:$CP,0),1))-1))-SEARCH("(",INDEX(ТУ!$CG:$CG,MATCH($U10*1,ТУ!$CP:$CP,0),1))),""),1)), "TELEOFIS WRX708-L4",IFERROR(RIGHT(LEFT(INDEX(ТУ!$CG:$CG,MATCH($U10*1,ТУ!$CP:$CP,0),1),SEARCH(")",INDEX(ТУ!$CG:$CG,MATCH($U10*1,ТУ!$CP:$CP,0),1))-1),LEN(LEFT(INDEX(ТУ!$CG:$CG,MATCH($U10*1,ТУ!$CP:$CP,0),1),SEARCH(")",INDEX(ТУ!$CG:$CG,MATCH($U10*1,ТУ!$CP:$CP,0),1))-1))-SEARCH("(",INDEX(ТУ!$CG:$CG,MATCH($U10*1,ТУ!$CP:$CP,0),1))),""))</f>
        <v>TELEOFIS WRX708-L4</v>
      </c>
      <c r="AQ10" s="57" t="str">
        <f>IFERROR(IF(INDEX(УСПД!$K:$K,MATCH($AS10*1,УСПД!$N:$N,0),1)=0,"",INDEX(УСПД!$K:$K,MATCH($AS10*1,УСПД!$N:$N,0),1)),"")</f>
        <v/>
      </c>
      <c r="AR10" s="57" t="str">
        <f>IFERROR(IF(INDEX(УСПД!$L:$L,MATCH($AS10*1,УСПД!$N:$N,0),1)=0,"",INDEX(УСПД!$L:$L,MATCH($AS10*1,УСПД!$N:$N,0),1)),"")</f>
        <v/>
      </c>
      <c r="AS10" s="60" t="str">
        <f>IFERROR(LEFT(INDEX(ТУ!$CG:$CG,MATCH($U10*1,ТУ!$CP:$CP,0),1),SEARCH(" ",INDEX(ТУ!$CG:$CG,MATCH($U10*1,ТУ!$CP:$CP,0),1))-1),"")</f>
        <v>352224458190899</v>
      </c>
      <c r="AT10" s="59" t="s">
        <v>360</v>
      </c>
      <c r="AU10" s="59">
        <f>3</f>
        <v>3</v>
      </c>
      <c r="AV10" s="59" t="s">
        <v>368</v>
      </c>
      <c r="AW10" s="149">
        <f t="shared" si="19"/>
        <v>72</v>
      </c>
      <c r="AX10" s="149">
        <f t="shared" si="20"/>
        <v>15</v>
      </c>
      <c r="AY10" s="149" t="str">
        <f t="shared" si="21"/>
        <v/>
      </c>
      <c r="AZ10" s="149">
        <f t="shared" si="22"/>
        <v>25</v>
      </c>
      <c r="BA10" s="149">
        <f t="shared" si="23"/>
        <v>1</v>
      </c>
      <c r="BB10" s="154" t="str">
        <f>IF($AP10="",IFERROR(IFERROR(LEFT(RIGHT(INDEX(ТУ!$CE:$CE,MATCH($U10*1,ТУ!$CP:$CP,0),1),LEN(INDEX(ТУ!$CE:$CE,MATCH($U10*1,ТУ!$CP:$CP,0),1))-SEARCH(", ",INDEX(ТУ!$CE:$CE,MATCH($U10*1,ТУ!$CP:$CP,0),1),SEARCH(", ",INDEX(ТУ!$CE:$CE,MATCH($U10*1,ТУ!$CP:$CP,0),1))+1)-1),SEARCH(":",RIGHT(INDEX(ТУ!$CE:$CE,MATCH($U10*1,ТУ!$CP:$CP,0),1),LEN(INDEX(ТУ!$CE:$CE,MATCH($U10*1,ТУ!$CP:$CP,0),1))-SEARCH(", ",INDEX(ТУ!$CE:$CE,MATCH($U10*1,ТУ!$CP:$CP,0),1),SEARCH(", ",INDEX(ТУ!$CE:$CE,MATCH($U10*1,ТУ!$CP:$CP,0),1))+1)-1))-1),LEFT(INDEX(ТУ!$CE:$CE,MATCH($U10*1,ТУ!$CP:$CP,0),1),SEARCH(":",INDEX(ТУ!$CE:$CE,MATCH($U10*1,ТУ!$CP:$CP,0),1))-1)),""),IFERROR(IFERROR(LEFT(RIGHT(INDEX(УСПД!$M:$M,MATCH(IFERROR(1*LEFT(INDEX(ТУ!$CG:$CG,MATCH($U10*1,ТУ!$CP:$CP,0),1),SEARCH(" ",INDEX(ТУ!$CG:$CG,MATCH($U10*1,ТУ!$CP:$CP,0),1))-1),""),УСПД!$N:$N,0),1),LEN(INDEX(УСПД!$M:$M,MATCH(IFERROR(1*LEFT(INDEX(ТУ!$CG:$CG,MATCH($U10*1,ТУ!$CP:$CP,0),1),SEARCH(" ",INDEX(ТУ!$CG:$CG,MATCH($U10*1,ТУ!$CP:$CP,0),1))-1),""),УСПД!$N:$N,0),1))-SEARCH(", ",INDEX(УСПД!$M:$M,MATCH(IFERROR(1*LEFT(INDEX(ТУ!$CG:$CG,MATCH($U10*1,ТУ!$CP:$CP,0),1),SEARCH(" ",INDEX(ТУ!$CG:$CG,MATCH($U10*1,ТУ!$CP:$CP,0),1))-1),""),УСПД!$N:$N,0),1),SEARCH(", ",INDEX(УСПД!$M:$M,MATCH(IFERROR(1*LEFT(INDEX(ТУ!$CG:$CG,MATCH($U10*1,ТУ!$CP:$CP,0),1),SEARCH(" ",INDEX(ТУ!$CG:$CG,MATCH($U10*1,ТУ!$CP:$CP,0),1))-1),""),УСПД!$N:$N,0),1))+1)-1),SEARCH(":",RIGHT(INDEX(УСПД!$M:$M,MATCH(IFERROR(1*LEFT(INDEX(ТУ!$CG:$CG,MATCH($U10*1,ТУ!$CP:$CP,0),1),SEARCH(" ",INDEX(ТУ!$CG:$CG,MATCH($U10*1,ТУ!$CP:$CP,0),1))-1),""),УСПД!$N:$N,0),1),LEN(INDEX(УСПД!$M:$M,MATCH(IFERROR(1*LEFT(INDEX(ТУ!$CG:$CG,MATCH($U10*1,ТУ!$CP:$CP,0),1),SEARCH(" ",INDEX(ТУ!$CG:$CG,MATCH($U10*1,ТУ!$CP:$CP,0),1))-1),""),УСПД!$N:$N,0),1))-SEARCH(", ",INDEX(УСПД!$M:$M,MATCH(IFERROR(1*LEFT(INDEX(ТУ!$CG:$CG,MATCH($U10*1,ТУ!$CP:$CP,0),1),SEARCH(" ",INDEX(ТУ!$CG:$CG,MATCH($U10*1,ТУ!$CP:$CP,0),1))-1),""),УСПД!$N:$N,0),1),SEARCH(", ",INDEX(УСПД!$M:$M,MATCH(IFERROR(1*LEFT(INDEX(ТУ!$CG:$CG,MATCH($U10*1,ТУ!$CP:$CP,0),1),SEARCH(" ",INDEX(ТУ!$CG:$CG,MATCH($U10*1,ТУ!$CP:$CP,0),1))-1),""),УСПД!$N:$N,0),1))+1)-1))-1),LEFT(INDEX(УСПД!$M:$M,MATCH(IFERROR(1*LEFT(INDEX(ТУ!$CG:$CG,MATCH($U10*1,ТУ!$CP:$CP,0),1),SEARCH(" ",INDEX(ТУ!$CG:$CG,MATCH($U10*1,ТУ!$CP:$CP,0),1))-1),""),УСПД!$N:$N,0),1),SEARCH(":",INDEX(УСПД!$M:$M,MATCH(IFERROR(1*LEFT(INDEX(ТУ!$CG:$CG,MATCH($U10*1,ТУ!$CP:$CP,0),1),SEARCH(" ",INDEX(ТУ!$CG:$CG,MATCH($U10*1,ТУ!$CP:$CP,0),1))-1),""),УСПД!$N:$N,0),1))-1)),""))</f>
        <v/>
      </c>
      <c r="BC10" s="155" t="str">
        <f>INDEX(ТУ!$AF:$AF,MATCH($U10*1,ТУ!$CP:$CP,0),1)</f>
        <v>ТП-15830</v>
      </c>
      <c r="BD10" s="155">
        <f>INDEX(ТУ!$X:$X,MATCH($U10*1,ТУ!$CP:$CP,0),1)</f>
        <v>0</v>
      </c>
      <c r="BE10" s="155" t="str">
        <f>INDEX(ТУ!$CL:$CL,MATCH($U10*1,ТУ!$CP:$CP,0),1)</f>
        <v>Серая зона</v>
      </c>
      <c r="BF10" s="147" t="str">
        <f>IFERROR(INDEX(естьАЦ!$A:$A,MATCH($U10*1,естьАЦ!$A:$A,0),1),"нет в АЦ")</f>
        <v>нет в АЦ</v>
      </c>
    </row>
    <row r="11" spans="1:58" ht="15" x14ac:dyDescent="0.25">
      <c r="A11" s="55">
        <f>3</f>
        <v>3</v>
      </c>
      <c r="B11" s="42" t="str">
        <f>IFERROR(IFERROR(INDEX(Справочники!$A$2:$P$79,MATCH(INDEX(ТУ!$E:$E,MATCH($U11*1,ТУ!$CP:$CP,0),1),Справочники!$P$2:$P$79,0),2),INDEX(Справочники!$A$2:$P$79,MATCH((INDEX(ТУ!$E:$E,MATCH($U11*1,ТУ!$CP:$CP,0),1))*1,Справочники!$P$2:$P$79,0),2)),"")</f>
        <v>14 р-н МКС (ВОРУПЭ)</v>
      </c>
      <c r="C11" s="46" t="str">
        <f>IFERROR(TRIM(LEFT(INDEX(ТУ!$AF:$AF,MATCH($U11*1,ТУ!$CP:$CP,0),1),SEARCH("-",INDEX(ТУ!$AF:$AF,MATCH($U11*1,ТУ!$CP:$CP,0),1))-1)),IFERROR(LEFT(INDEX(ТУ!$X:$X,MATCH($U11*1,ТУ!$CP:$CP,0),1),SEARCH("-",INDEX(ТУ!$X:$X,MATCH($U11*1,ТУ!$CP:$CP,0),1))-1),"ТП"))</f>
        <v>ТП</v>
      </c>
      <c r="D11" s="47" t="str">
        <f>IF(TRIM(IF(ISNUMBER((IFERROR(RIGHT(INDEX(ТУ!$AF:$AF,MATCH($U11*1,ТУ!$CP:$CP,0),1),LEN(INDEX(ТУ!$AF:$AF,MATCH($U11*1,ТУ!$CP:$CP,0),1))-SEARCH("-",INDEX(ТУ!$AF:$AF,MATCH($U11*1,ТУ!$CP:$CP,0),1))),INDEX(ТУ!$AF:$AF,MATCH($U11*1,ТУ!$CP:$CP,0),1)))*1),IFERROR(RIGHT(INDEX(ТУ!$AF:$AF,MATCH($U11*1,ТУ!$CP:$CP,0),1),LEN(INDEX(ТУ!$AF:$AF,MATCH($U11*1,ТУ!$CP:$CP,0),1))-SEARCH("-",INDEX(ТУ!$AF:$AF,MATCH($U11*1,ТУ!$CP:$CP,0),1))),INDEX(ТУ!$AF:$AF,MATCH($U11*1,ТУ!$CP:$CP,0),1)),""))="",TRIM(IF(ISNUMBER((IFERROR(RIGHT(INDEX(ТУ!$X:$X,MATCH($U11*1,ТУ!$CP:$CP,0),1),LEN(INDEX(ТУ!$X:$X,MATCH($U11*1,ТУ!$CP:$CP,0),1))-SEARCH("-",INDEX(ТУ!$X:$X,MATCH($U11*1,ТУ!$CP:$CP,0),1))),INDEX(ТУ!$X:$X,MATCH($U11*1,ТУ!$CP:$CP,0),1)))*1),IFERROR(RIGHT(INDEX(ТУ!$X:$X,MATCH($U11*1,ТУ!$CP:$CP,0),1),LEN(INDEX(ТУ!$X:$X,MATCH($U11*1,ТУ!$CP:$CP,0),1))-SEARCH("-",INDEX(ТУ!$X:$X,MATCH($U11*1,ТУ!$CP:$CP,0),1))),INDEX(ТУ!$X:$X,MATCH($U11*1,ТУ!$CP:$CP,0),1)),"")),TRIM(IF(ISNUMBER((IFERROR(RIGHT(INDEX(ТУ!$AF:$AF,MATCH($U11*1,ТУ!$CP:$CP,0),1),LEN(INDEX(ТУ!$AF:$AF,MATCH($U11*1,ТУ!$CP:$CP,0),1))-SEARCH("-",INDEX(ТУ!$AF:$AF,MATCH($U11*1,ТУ!$CP:$CP,0),1))),INDEX(ТУ!$AF:$AF,MATCH($U11*1,ТУ!$CP:$CP,0),1)))*1),IFERROR(RIGHT(INDEX(ТУ!$AF:$AF,MATCH($U11*1,ТУ!$CP:$CP,0),1),LEN(INDEX(ТУ!$AF:$AF,MATCH($U11*1,ТУ!$CP:$CP,0),1))-SEARCH("-",INDEX(ТУ!$AF:$AF,MATCH($U11*1,ТУ!$CP:$CP,0),1))),INDEX(ТУ!$AF:$AF,MATCH($U11*1,ТУ!$CP:$CP,0),1)),"")))</f>
        <v>24357</v>
      </c>
      <c r="E11" s="25" t="str">
        <f t="shared" si="2"/>
        <v>МКС</v>
      </c>
      <c r="F11" s="20">
        <f t="shared" si="3"/>
        <v>88</v>
      </c>
      <c r="G11" s="21">
        <f t="shared" si="4"/>
        <v>5</v>
      </c>
      <c r="H11" s="25" t="str">
        <f t="shared" si="5"/>
        <v>ТП-24357</v>
      </c>
      <c r="I11" s="25" t="str">
        <f t="shared" si="6"/>
        <v>88524357</v>
      </c>
      <c r="J11" s="42" t="str">
        <f>INDEX(Справочники!$M:$M,MATCH(IF(INDEX(ТУ!$BO:$BO,MATCH($U11*1,ТУ!$CP:$CP,0),1)=1,1,INDEX(ТУ!$BO:$BO,MATCH($U11*1,ТУ!$CP:$CP,0),1)*100),Справочники!$N:$N,0),1)</f>
        <v>0.4 кВ</v>
      </c>
      <c r="K11" s="40">
        <f>1</f>
        <v>1</v>
      </c>
      <c r="L11" s="20" t="str">
        <f t="shared" si="7"/>
        <v>СШ-1</v>
      </c>
      <c r="M11" s="20">
        <f t="shared" si="8"/>
        <v>1</v>
      </c>
      <c r="N11" s="40"/>
      <c r="O11" s="56" t="str">
        <f t="shared" si="9"/>
        <v>Ввод-1-1</v>
      </c>
      <c r="P11" s="57" t="str">
        <f>IFERROR(IF(INDEX(ТУ!$AO:$AO,MATCH($U11*1,ТУ!$CP:$CP,0),1)=0,"",INDEX(ТУ!$AO:$AO,MATCH($U11*1,ТУ!$CP:$CP,0),1)),"")</f>
        <v>яч.2</v>
      </c>
      <c r="Q11" s="40">
        <f>IFERROR(IF(INDEX(ТУ!$BN:$BN,MATCH($U11*1,ТУ!$CP:$CP,0),1)=1,1,INDEX(ТУ!$BN:$BN,MATCH($U11*1,ТУ!$CP:$CP,0),1)*5),"")</f>
        <v>1000</v>
      </c>
      <c r="R11" s="25">
        <f t="shared" si="10"/>
        <v>5</v>
      </c>
      <c r="S11" s="25">
        <f t="shared" si="11"/>
        <v>1</v>
      </c>
      <c r="T11" s="25">
        <f t="shared" si="12"/>
        <v>1</v>
      </c>
      <c r="U11" s="105" t="s">
        <v>568</v>
      </c>
      <c r="V11" s="43">
        <f>IF(INDEX(ТУ!$BH:$BH,MATCH($U11*1,ТУ!$CP:$CP,0),1)=0,"",INDEX(ТУ!$BH:$BH,MATCH($U11*1,ТУ!$CP:$CP,0),1))</f>
        <v>44663</v>
      </c>
      <c r="W11" s="43" t="str">
        <f>IF(INDEX(ТУ!$BI:$BI,MATCH($U11*1,ТУ!$CP:$CP,0),1)=0,"",INDEX(ТУ!$BI:$BI,MATCH($U11*1,ТУ!$CP:$CP,0),1))</f>
        <v>16.05.2021</v>
      </c>
      <c r="X11" s="58" t="str">
        <f t="shared" si="13"/>
        <v>Меркурий-23X</v>
      </c>
      <c r="Y11" s="25">
        <f t="shared" si="14"/>
        <v>15</v>
      </c>
      <c r="Z11" s="42" t="str">
        <f t="shared" si="15"/>
        <v/>
      </c>
      <c r="AA11" s="25" t="str">
        <f t="shared" si="16"/>
        <v/>
      </c>
      <c r="AB11" s="40" t="str">
        <f>IF(ISNUMBER(SEARCH("Приборы с поддержкой протокола СПОДЭС - Нартис-И300 (СПОДЭС)",INDEX(ТУ!$BD:$BD,MATCH($U11*1,ТУ!$CP:$CP,0),1))),"Нартис-И300",
IF(ISNUMBER(SEARCH("Приборы с поддержкой протокола СПОДЭС - Меркурий 234 (СПОДЭС)",INDEX(ТУ!$BD:$BD,MATCH($U11*1,ТУ!$CP:$CP,0),1))),"Меркурий 234 (СПОДЭС)",
IF(ISNUMBER(SEARCH("Приборы с поддержкой протокола СПОДЭС - Нартис-300 (СПОДЭС)",INDEX(ТУ!$BD:$BD,MATCH($U11*1,ТУ!$CP:$CP,0),1))),"Нартис-300",
IF(ISNUMBER(SEARCH("Инкотекс - Меркурий 234",INDEX(ТУ!$BD:$BD,MATCH($U11*1,ТУ!$CP:$CP,0),1))),"Меркурий 234",
IF(ISNUMBER(SEARCH("Инкотекс - Меркурий 206",INDEX(ТУ!$BD:$BD,MATCH($U11*1,ТУ!$CP:$CP,0),1))),"Меркурий 206",
IF(ISNUMBER(SEARCH("Приборы с поддержкой протокола СПОДЭС - Универсальный счетчик СПОДЭС 2 трехфазный",INDEX(ТУ!$BD:$BD,MATCH($U11*1,ТУ!$CP:$CP,0),1))),"Нартис-И300",
IF(ISNUMBER(SEARCH("Приборы с поддержкой протокола СПОДЭС - Универсальный счетчик СПОДЭС 2 однофазный",INDEX(ТУ!$BD:$BD,MATCH($U11*1,ТУ!$CP:$CP,0),1))),"Нартис-И100",
IF(ISNUMBER(SEARCH("Приборы с поддержкой протокола СПОДЭС - Нартис-И100 (СПОДЭС)",INDEX(ТУ!$BD:$BD,MATCH($U11*1,ТУ!$CP:$CP,0),1))),"Нартис-И100",
IF(ISNUMBER(SEARCH("Приборы с поддержкой протокола СПОДЭС - СЕ308 (СПОДЭС)",INDEX(ТУ!$BD:$BD,MATCH($U11*1,ТУ!$CP:$CP,0),1))),"СЕ308 (СПОДЭС)",
IF(ISNUMBER(SEARCH("Приборы с поддержкой протокола СПОДЭС - СЕ207 (СПОДЭС)",INDEX(ТУ!$BD:$BD,MATCH($U11*1,ТУ!$CP:$CP,0),1))),"СЕ207 (СПОДЭС)",
IF(ISNUMBER(SEARCH("Приборы с поддержкой протокола СПОДЭС - СТЭМ-300 (СПОДЭС)",INDEX(ТУ!$BD:$BD,MATCH($U11*1,ТУ!$CP:$CP,0),1))),"СТЭМ-300 (СПОДЭС)",
IF(ISNUMBER(SEARCH("ТехноЭнерго - ТЕ3000",INDEX(ТУ!$BD:$BD,MATCH($U11*1,ТУ!$CP:$CP,0),1))),"ТЕ3000",
IF(ISNUMBER(SEARCH("НЗиФ - СЭТ-4ТМ",INDEX(ТУ!$BD:$BD,MATCH($U11*1,ТУ!$CP:$CP,0),1))),"СЭТ-4ТМ",
INDEX(ТУ!$BD:$BD,MATCH($U11*1,ТУ!$CP:$CP,0),1)
)))))))))))))</f>
        <v>Меркурий 234</v>
      </c>
      <c r="AC11" s="40" t="s">
        <v>2</v>
      </c>
      <c r="AD11" s="40" t="str">
        <f>IF(ISNUMBER(IFERROR(LEFT(IF(INDEX(ТУ!$CI:$CI,MATCH($U11*1,ТУ!$CP:$CP,0),1)=0,"",INDEX(ТУ!$CI:$CI,MATCH($U11*1,ТУ!$CP:$CP,0),1)),SEARCH(" ",IF(INDEX(ТУ!$CI:$CI,MATCH($U11*1,ТУ!$CP:$CP,0),1)=0,"",INDEX(ТУ!$CI:$CI,MATCH($U11*1,ТУ!$CP:$CP,0),1)),1)-1),"")*1),IFERROR(LEFT(IF(INDEX(ТУ!$CI:$CI,MATCH($U11*1,ТУ!$CP:$CP,0),1)=0,"",INDEX(ТУ!$CI:$CI,MATCH($U11*1,ТУ!$CP:$CP,0),1)),SEARCH(" ",IF(INDEX(ТУ!$CI:$CI,MATCH($U11*1,ТУ!$CP:$CP,0),1)=0,"",INDEX(ТУ!$CI:$CI,MATCH($U11*1,ТУ!$CP:$CP,0),1)),1)-1),""),"")</f>
        <v>77690001005889</v>
      </c>
      <c r="AE11" s="40" t="str">
        <f>IF(INDEX(ТУ!$CB:$CB,MATCH($U11*1,ТУ!$CP:$CP,0),1)=0,INDEX(Adr!$B:$B,MATCH($U11*1,Adr!$C:$C,0),1),INDEX(ТУ!$CB:$CB,MATCH($U11*1,ТУ!$CP:$CP,0),1))</f>
        <v>53</v>
      </c>
      <c r="AF11" s="45" t="str">
        <f>IF(INDEX(ТУ!$CD:$CD,MATCH($U11*1,ТУ!$CP:$CP,0),1)=0,"",INDEX(ТУ!$CD:$CD,MATCH($U11*1,ТУ!$CP:$CP,0),1))</f>
        <v>222222</v>
      </c>
      <c r="AG11" s="45">
        <f>0</f>
        <v>0</v>
      </c>
      <c r="AH11" s="26">
        <f t="shared" si="17"/>
        <v>88</v>
      </c>
      <c r="AI11" s="20" t="str">
        <f t="shared" si="18"/>
        <v>885243571</v>
      </c>
      <c r="AJ11" s="41" t="str">
        <f t="shared" si="1"/>
        <v>10.82.248.229</v>
      </c>
      <c r="AK11" s="41" t="str">
        <f>IF($AP11="",IFERROR(IFERROR(LEFT(RIGHT(INDEX(ТУ!$CE:$CE,MATCH($U11*1,ТУ!$CP:$CP,0),1),LEN(INDEX(ТУ!$CE:$CE,MATCH($U11*1,ТУ!$CP:$CP,0),1))-SEARCH(":",INDEX(ТУ!$CE:$CE,MATCH($U11*1,ТУ!$CP:$CP,0),1))),SEARCH("/",RIGHT(INDEX(ТУ!$CE:$CE,MATCH($U11*1,ТУ!$CP:$CP,0),1),LEN(INDEX(ТУ!$CE:$CE,MATCH($U11*1,ТУ!$CP:$CP,0),1))-SEARCH(":",INDEX(ТУ!$CE:$CE,MATCH($U11*1,ТУ!$CP:$CP,0),1))))-1), RIGHT(INDEX(ТУ!$CE:$CE,MATCH($U11*1,ТУ!$CP:$CP,0),1),LEN(INDEX(ТУ!$CE:$CE,MATCH($U11*1,ТУ!$CP:$CP,0),1))-SEARCH(":",INDEX(ТУ!$CE:$CE,MATCH($U11*1,ТУ!$CP:$CP,0),1)))), ""),IFERROR(IFERROR(LEFT(RIGHT(INDEX(УСПД!$M:$M,MATCH(IFERROR(1*LEFT(INDEX(ТУ!$CG:$CG,MATCH($U11*1,ТУ!$CP:$CP,0),1),SEARCH(" ",INDEX(ТУ!$CG:$CG,MATCH($U11*1,ТУ!$CP:$CP,0),1))-1),""),УСПД!$N:$N,0),1),LEN(INDEX(УСПД!$M:$M,MATCH(IFERROR(1*LEFT(INDEX(ТУ!$CG:$CG,MATCH($U11*1,ТУ!$CP:$CP,0),1),SEARCH(" ",INDEX(ТУ!$CG:$CG,MATCH($U11*1,ТУ!$CP:$CP,0),1))-1),""),УСПД!$N:$N,0),1))-SEARCH(":",INDEX(УСПД!$M:$M,MATCH(IFERROR(1*LEFT(INDEX(ТУ!$CG:$CG,MATCH($U11*1,ТУ!$CP:$CP,0),1),SEARCH(" ",INDEX(ТУ!$CG:$CG,MATCH($U11*1,ТУ!$CP:$CP,0),1))-1),""),УСПД!$N:$N,0),1))),SEARCH("/",RIGHT(INDEX(УСПД!$M:$M,MATCH(IFERROR(1*LEFT(INDEX(ТУ!$CG:$CG,MATCH($U11*1,ТУ!$CP:$CP,0),1),SEARCH(" ",INDEX(ТУ!$CG:$CG,MATCH($U11*1,ТУ!$CP:$CP,0),1))-1),""),УСПД!$N:$N,0),1),LEN(INDEX(УСПД!$M:$M,MATCH(IFERROR(1*LEFT(INDEX(ТУ!$CG:$CG,MATCH($U11*1,ТУ!$CP:$CP,0),1),SEARCH(" ",INDEX(ТУ!$CG:$CG,MATCH($U11*1,ТУ!$CP:$CP,0),1))-1),""),УСПД!$N:$N,0),1))-SEARCH(":",INDEX(УСПД!$M:$M,MATCH(IFERROR(1*LEFT(INDEX(ТУ!$CG:$CG,MATCH($U11*1,ТУ!$CP:$CP,0),1),SEARCH(" ",INDEX(ТУ!$CG:$CG,MATCH($U11*1,ТУ!$CP:$CP,0),1))-1),""),УСПД!$N:$N,0),1))))-1), RIGHT(INDEX(УСПД!$M:$M,MATCH(IFERROR(1*LEFT(INDEX(ТУ!$CG:$CG,MATCH($U11*1,ТУ!$CP:$CP,0),1),SEARCH(" ",INDEX(ТУ!$CG:$CG,MATCH($U11*1,ТУ!$CP:$CP,0),1))-1),""),УСПД!$N:$N,0),1),LEN(INDEX(УСПД!$M:$M,MATCH(IFERROR(1*LEFT(INDEX(ТУ!$CG:$CG,MATCH($U11*1,ТУ!$CP:$CP,0),1),SEARCH(" ",INDEX(ТУ!$CG:$CG,MATCH($U11*1,ТУ!$CP:$CP,0),1))-1),""),УСПД!$N:$N,0),1))-SEARCH(":",INDEX(УСПД!$M:$M,MATCH(IFERROR(1*LEFT(INDEX(ТУ!$CG:$CG,MATCH($U11*1,ТУ!$CP:$CP,0),1),SEARCH(" ",INDEX(ТУ!$CG:$CG,MATCH($U11*1,ТУ!$CP:$CP,0),1))-1),""),УСПД!$N:$N,0),1)))), ""))</f>
        <v>4001</v>
      </c>
      <c r="AL11" s="41"/>
      <c r="AM11" s="57" t="str">
        <f>IFERROR(IFERROR(INDEX(Tel!$B:$B,MATCH($AJ11,Tel!$E:$E,0),1),INDEX(Tel!$B:$B,MATCH($AJ11,Tel!$D:$D,0),1)),"")</f>
        <v/>
      </c>
      <c r="AN11" s="59" t="str">
        <f>IF(ISNUMBER(SEARCH("ТОПАЗ - ТОПАЗ УСПД",IFERROR(RIGHT(LEFT(INDEX(ТУ!$CG:$CG,MATCH($U11*1,ТУ!$CP:$CP,0),1),SEARCH(")",INDEX(ТУ!$CG:$CG,MATCH($U11*1,ТУ!$CP:$CP,0),1))-1),LEN(LEFT(INDEX(ТУ!$CG:$CG,MATCH($U11*1,ТУ!$CP:$CP,0),1),SEARCH(")",INDEX(ТУ!$CG:$CG,MATCH($U11*1,ТУ!$CP:$CP,0),1))-1))-SEARCH("(",INDEX(ТУ!$CG:$CG,MATCH($U11*1,ТУ!$CP:$CP,0),1))),""),1)),"RTU-327",
IF(ISNUMBER(SEARCH("TELEOFIS",$AP11)),"Модем",
""))</f>
        <v/>
      </c>
      <c r="AO11" s="27" t="str">
        <f t="shared" si="0"/>
        <v/>
      </c>
      <c r="AP11" s="57" t="str">
        <f>IF(ISNUMBER(SEARCH("Миландр - Милур GSM/GPRS модем",IFERROR(RIGHT(LEFT(INDEX(ТУ!$CG:$CG,MATCH($U11*1,ТУ!$CP:$CP,0),1),SEARCH(")",INDEX(ТУ!$CG:$CG,MATCH($U11*1,ТУ!$CP:$CP,0),1))-1),LEN(LEFT(INDEX(ТУ!$CG:$CG,MATCH($U11*1,ТУ!$CP:$CP,0),1),SEARCH(")",INDEX(ТУ!$CG:$CG,MATCH($U11*1,ТУ!$CP:$CP,0),1))-1))-SEARCH("(",INDEX(ТУ!$CG:$CG,MATCH($U11*1,ТУ!$CP:$CP,0),1))),""),1)), "TELEOFIS WRX708-L4",IFERROR(RIGHT(LEFT(INDEX(ТУ!$CG:$CG,MATCH($U11*1,ТУ!$CP:$CP,0),1),SEARCH(")",INDEX(ТУ!$CG:$CG,MATCH($U11*1,ТУ!$CP:$CP,0),1))-1),LEN(LEFT(INDEX(ТУ!$CG:$CG,MATCH($U11*1,ТУ!$CP:$CP,0),1),SEARCH(")",INDEX(ТУ!$CG:$CG,MATCH($U11*1,ТУ!$CP:$CP,0),1))-1))-SEARCH("(",INDEX(ТУ!$CG:$CG,MATCH($U11*1,ТУ!$CP:$CP,0),1))),""))</f>
        <v/>
      </c>
      <c r="AQ11" s="57" t="str">
        <f>IFERROR(IF(INDEX(УСПД!$K:$K,MATCH($AS11*1,УСПД!$N:$N,0),1)=0,"",INDEX(УСПД!$K:$K,MATCH($AS11*1,УСПД!$N:$N,0),1)),"")</f>
        <v/>
      </c>
      <c r="AR11" s="57" t="str">
        <f>IFERROR(IF(INDEX(УСПД!$L:$L,MATCH($AS11*1,УСПД!$N:$N,0),1)=0,"",INDEX(УСПД!$L:$L,MATCH($AS11*1,УСПД!$N:$N,0),1)),"")</f>
        <v/>
      </c>
      <c r="AS11" s="60" t="str">
        <f>IFERROR(LEFT(INDEX(ТУ!$CG:$CG,MATCH($U11*1,ТУ!$CP:$CP,0),1),SEARCH(" ",INDEX(ТУ!$CG:$CG,MATCH($U11*1,ТУ!$CP:$CP,0),1))-1),"")</f>
        <v/>
      </c>
      <c r="AT11" s="59" t="s">
        <v>360</v>
      </c>
      <c r="AU11" s="59">
        <f>3</f>
        <v>3</v>
      </c>
      <c r="AV11" s="59" t="s">
        <v>368</v>
      </c>
      <c r="AW11" s="149">
        <f t="shared" si="19"/>
        <v>66</v>
      </c>
      <c r="AX11" s="149">
        <f t="shared" si="20"/>
        <v>15</v>
      </c>
      <c r="AY11" s="149" t="str">
        <f t="shared" si="21"/>
        <v/>
      </c>
      <c r="AZ11" s="149" t="str">
        <f t="shared" si="22"/>
        <v/>
      </c>
      <c r="BA11" s="149">
        <f t="shared" si="23"/>
        <v>1</v>
      </c>
      <c r="BB11" s="154" t="str">
        <f>IF($AP11="",IFERROR(IFERROR(LEFT(RIGHT(INDEX(ТУ!$CE:$CE,MATCH($U11*1,ТУ!$CP:$CP,0),1),LEN(INDEX(ТУ!$CE:$CE,MATCH($U11*1,ТУ!$CP:$CP,0),1))-SEARCH(", ",INDEX(ТУ!$CE:$CE,MATCH($U11*1,ТУ!$CP:$CP,0),1),SEARCH(", ",INDEX(ТУ!$CE:$CE,MATCH($U11*1,ТУ!$CP:$CP,0),1))+1)-1),SEARCH(":",RIGHT(INDEX(ТУ!$CE:$CE,MATCH($U11*1,ТУ!$CP:$CP,0),1),LEN(INDEX(ТУ!$CE:$CE,MATCH($U11*1,ТУ!$CP:$CP,0),1))-SEARCH(", ",INDEX(ТУ!$CE:$CE,MATCH($U11*1,ТУ!$CP:$CP,0),1),SEARCH(", ",INDEX(ТУ!$CE:$CE,MATCH($U11*1,ТУ!$CP:$CP,0),1))+1)-1))-1),LEFT(INDEX(ТУ!$CE:$CE,MATCH($U11*1,ТУ!$CP:$CP,0),1),SEARCH(":",INDEX(ТУ!$CE:$CE,MATCH($U11*1,ТУ!$CP:$CP,0),1))-1)),""),IFERROR(IFERROR(LEFT(RIGHT(INDEX(УСПД!$M:$M,MATCH(IFERROR(1*LEFT(INDEX(ТУ!$CG:$CG,MATCH($U11*1,ТУ!$CP:$CP,0),1),SEARCH(" ",INDEX(ТУ!$CG:$CG,MATCH($U11*1,ТУ!$CP:$CP,0),1))-1),""),УСПД!$N:$N,0),1),LEN(INDEX(УСПД!$M:$M,MATCH(IFERROR(1*LEFT(INDEX(ТУ!$CG:$CG,MATCH($U11*1,ТУ!$CP:$CP,0),1),SEARCH(" ",INDEX(ТУ!$CG:$CG,MATCH($U11*1,ТУ!$CP:$CP,0),1))-1),""),УСПД!$N:$N,0),1))-SEARCH(", ",INDEX(УСПД!$M:$M,MATCH(IFERROR(1*LEFT(INDEX(ТУ!$CG:$CG,MATCH($U11*1,ТУ!$CP:$CP,0),1),SEARCH(" ",INDEX(ТУ!$CG:$CG,MATCH($U11*1,ТУ!$CP:$CP,0),1))-1),""),УСПД!$N:$N,0),1),SEARCH(", ",INDEX(УСПД!$M:$M,MATCH(IFERROR(1*LEFT(INDEX(ТУ!$CG:$CG,MATCH($U11*1,ТУ!$CP:$CP,0),1),SEARCH(" ",INDEX(ТУ!$CG:$CG,MATCH($U11*1,ТУ!$CP:$CP,0),1))-1),""),УСПД!$N:$N,0),1))+1)-1),SEARCH(":",RIGHT(INDEX(УСПД!$M:$M,MATCH(IFERROR(1*LEFT(INDEX(ТУ!$CG:$CG,MATCH($U11*1,ТУ!$CP:$CP,0),1),SEARCH(" ",INDEX(ТУ!$CG:$CG,MATCH($U11*1,ТУ!$CP:$CP,0),1))-1),""),УСПД!$N:$N,0),1),LEN(INDEX(УСПД!$M:$M,MATCH(IFERROR(1*LEFT(INDEX(ТУ!$CG:$CG,MATCH($U11*1,ТУ!$CP:$CP,0),1),SEARCH(" ",INDEX(ТУ!$CG:$CG,MATCH($U11*1,ТУ!$CP:$CP,0),1))-1),""),УСПД!$N:$N,0),1))-SEARCH(", ",INDEX(УСПД!$M:$M,MATCH(IFERROR(1*LEFT(INDEX(ТУ!$CG:$CG,MATCH($U11*1,ТУ!$CP:$CP,0),1),SEARCH(" ",INDEX(ТУ!$CG:$CG,MATCH($U11*1,ТУ!$CP:$CP,0),1))-1),""),УСПД!$N:$N,0),1),SEARCH(", ",INDEX(УСПД!$M:$M,MATCH(IFERROR(1*LEFT(INDEX(ТУ!$CG:$CG,MATCH($U11*1,ТУ!$CP:$CP,0),1),SEARCH(" ",INDEX(ТУ!$CG:$CG,MATCH($U11*1,ТУ!$CP:$CP,0),1))-1),""),УСПД!$N:$N,0),1))+1)-1))-1),LEFT(INDEX(УСПД!$M:$M,MATCH(IFERROR(1*LEFT(INDEX(ТУ!$CG:$CG,MATCH($U11*1,ТУ!$CP:$CP,0),1),SEARCH(" ",INDEX(ТУ!$CG:$CG,MATCH($U11*1,ТУ!$CP:$CP,0),1))-1),""),УСПД!$N:$N,0),1),SEARCH(":",INDEX(УСПД!$M:$M,MATCH(IFERROR(1*LEFT(INDEX(ТУ!$CG:$CG,MATCH($U11*1,ТУ!$CP:$CP,0),1),SEARCH(" ",INDEX(ТУ!$CG:$CG,MATCH($U11*1,ТУ!$CP:$CP,0),1))-1),""),УСПД!$N:$N,0),1))-1)),""))</f>
        <v>10.82.248.229</v>
      </c>
      <c r="BC11" s="155" t="str">
        <f>INDEX(ТУ!$AF:$AF,MATCH($U11*1,ТУ!$CP:$CP,0),1)</f>
        <v>ТП-24357</v>
      </c>
      <c r="BD11" s="155">
        <f>INDEX(ТУ!$X:$X,MATCH($U11*1,ТУ!$CP:$CP,0),1)</f>
        <v>0</v>
      </c>
      <c r="BE11" s="155">
        <f>INDEX(ТУ!$CL:$CL,MATCH($U11*1,ТУ!$CP:$CP,0),1)</f>
        <v>0</v>
      </c>
      <c r="BF11" s="147" t="str">
        <f>IFERROR(INDEX(естьАЦ!$A:$A,MATCH($U11*1,естьАЦ!$A:$A,0),1),"нет в АЦ")</f>
        <v>нет в АЦ</v>
      </c>
    </row>
    <row r="12" spans="1:58" ht="15" x14ac:dyDescent="0.25">
      <c r="A12" s="55">
        <f>3</f>
        <v>3</v>
      </c>
      <c r="B12" s="42" t="str">
        <f>IFERROR(IFERROR(INDEX(Справочники!$A$2:$P$79,MATCH(INDEX(ТУ!$E:$E,MATCH($U12*1,ТУ!$CP:$CP,0),1),Справочники!$P$2:$P$79,0),2),INDEX(Справочники!$A$2:$P$79,MATCH((INDEX(ТУ!$E:$E,MATCH($U12*1,ТУ!$CP:$CP,0),1))*1,Справочники!$P$2:$P$79,0),2)),"")</f>
        <v/>
      </c>
      <c r="C12" s="46" t="str">
        <f>IFERROR(TRIM(LEFT(INDEX(ТУ!$AF:$AF,MATCH($U12*1,ТУ!$CP:$CP,0),1),SEARCH("-",INDEX(ТУ!$AF:$AF,MATCH($U12*1,ТУ!$CP:$CP,0),1))-1)),IFERROR(LEFT(INDEX(ТУ!$X:$X,MATCH($U12*1,ТУ!$CP:$CP,0),1),SEARCH("-",INDEX(ТУ!$X:$X,MATCH($U12*1,ТУ!$CP:$CP,0),1))-1),"ТП"))</f>
        <v>ТП</v>
      </c>
      <c r="D12" s="47" t="str">
        <f>IF(TRIM(IF(ISNUMBER((IFERROR(RIGHT(INDEX(ТУ!$AF:$AF,MATCH($U12*1,ТУ!$CP:$CP,0),1),LEN(INDEX(ТУ!$AF:$AF,MATCH($U12*1,ТУ!$CP:$CP,0),1))-SEARCH("-",INDEX(ТУ!$AF:$AF,MATCH($U12*1,ТУ!$CP:$CP,0),1))),INDEX(ТУ!$AF:$AF,MATCH($U12*1,ТУ!$CP:$CP,0),1)))*1),IFERROR(RIGHT(INDEX(ТУ!$AF:$AF,MATCH($U12*1,ТУ!$CP:$CP,0),1),LEN(INDEX(ТУ!$AF:$AF,MATCH($U12*1,ТУ!$CP:$CP,0),1))-SEARCH("-",INDEX(ТУ!$AF:$AF,MATCH($U12*1,ТУ!$CP:$CP,0),1))),INDEX(ТУ!$AF:$AF,MATCH($U12*1,ТУ!$CP:$CP,0),1)),""))="",TRIM(IF(ISNUMBER((IFERROR(RIGHT(INDEX(ТУ!$X:$X,MATCH($U12*1,ТУ!$CP:$CP,0),1),LEN(INDEX(ТУ!$X:$X,MATCH($U12*1,ТУ!$CP:$CP,0),1))-SEARCH("-",INDEX(ТУ!$X:$X,MATCH($U12*1,ТУ!$CP:$CP,0),1))),INDEX(ТУ!$X:$X,MATCH($U12*1,ТУ!$CP:$CP,0),1)))*1),IFERROR(RIGHT(INDEX(ТУ!$X:$X,MATCH($U12*1,ТУ!$CP:$CP,0),1),LEN(INDEX(ТУ!$X:$X,MATCH($U12*1,ТУ!$CP:$CP,0),1))-SEARCH("-",INDEX(ТУ!$X:$X,MATCH($U12*1,ТУ!$CP:$CP,0),1))),INDEX(ТУ!$X:$X,MATCH($U12*1,ТУ!$CP:$CP,0),1)),"")),TRIM(IF(ISNUMBER((IFERROR(RIGHT(INDEX(ТУ!$AF:$AF,MATCH($U12*1,ТУ!$CP:$CP,0),1),LEN(INDEX(ТУ!$AF:$AF,MATCH($U12*1,ТУ!$CP:$CP,0),1))-SEARCH("-",INDEX(ТУ!$AF:$AF,MATCH($U12*1,ТУ!$CP:$CP,0),1))),INDEX(ТУ!$AF:$AF,MATCH($U12*1,ТУ!$CP:$CP,0),1)))*1),IFERROR(RIGHT(INDEX(ТУ!$AF:$AF,MATCH($U12*1,ТУ!$CP:$CP,0),1),LEN(INDEX(ТУ!$AF:$AF,MATCH($U12*1,ТУ!$CP:$CP,0),1))-SEARCH("-",INDEX(ТУ!$AF:$AF,MATCH($U12*1,ТУ!$CP:$CP,0),1))),INDEX(ТУ!$AF:$AF,MATCH($U12*1,ТУ!$CP:$CP,0),1)),"")))</f>
        <v>400</v>
      </c>
      <c r="E12" s="25" t="str">
        <f t="shared" si="2"/>
        <v/>
      </c>
      <c r="F12" s="20" t="str">
        <f t="shared" si="3"/>
        <v/>
      </c>
      <c r="G12" s="21">
        <f t="shared" si="4"/>
        <v>5</v>
      </c>
      <c r="H12" s="25" t="str">
        <f t="shared" si="5"/>
        <v>ТП-400</v>
      </c>
      <c r="I12" s="25" t="str">
        <f t="shared" si="6"/>
        <v>500400</v>
      </c>
      <c r="J12" s="42" t="str">
        <f>INDEX(Справочники!$M:$M,MATCH(IF(INDEX(ТУ!$BO:$BO,MATCH($U12*1,ТУ!$CP:$CP,0),1)=1,1,INDEX(ТУ!$BO:$BO,MATCH($U12*1,ТУ!$CP:$CP,0),1)*100),Справочники!$N:$N,0),1)</f>
        <v>0.4 кВ</v>
      </c>
      <c r="K12" s="40">
        <f>1</f>
        <v>1</v>
      </c>
      <c r="L12" s="20" t="str">
        <f t="shared" si="7"/>
        <v>СШ-1</v>
      </c>
      <c r="M12" s="20">
        <f t="shared" si="8"/>
        <v>1</v>
      </c>
      <c r="N12" s="40"/>
      <c r="O12" s="56" t="str">
        <f t="shared" si="9"/>
        <v>Ввод-1-1</v>
      </c>
      <c r="P12" s="57" t="str">
        <f>IFERROR(IF(INDEX(ТУ!$AO:$AO,MATCH($U12*1,ТУ!$CP:$CP,0),1)=0,"",INDEX(ТУ!$AO:$AO,MATCH($U12*1,ТУ!$CP:$CP,0),1)),"")</f>
        <v>Фидер 1</v>
      </c>
      <c r="Q12" s="40">
        <f>IFERROR(IF(INDEX(ТУ!$BN:$BN,MATCH($U12*1,ТУ!$CP:$CP,0),1)=1,1,INDEX(ТУ!$BN:$BN,MATCH($U12*1,ТУ!$CP:$CP,0),1)*5),"")</f>
        <v>1</v>
      </c>
      <c r="R12" s="25">
        <f t="shared" si="10"/>
        <v>1</v>
      </c>
      <c r="S12" s="25">
        <f t="shared" si="11"/>
        <v>1</v>
      </c>
      <c r="T12" s="25">
        <f t="shared" si="12"/>
        <v>1</v>
      </c>
      <c r="U12" s="105" t="s">
        <v>586</v>
      </c>
      <c r="V12" s="43">
        <f>IF(INDEX(ТУ!$BH:$BH,MATCH($U12*1,ТУ!$CP:$CP,0),1)=0,"",INDEX(ТУ!$BH:$BH,MATCH($U12*1,ТУ!$CP:$CP,0),1))</f>
        <v>44425</v>
      </c>
      <c r="W12" s="43" t="str">
        <f>IF(INDEX(ТУ!$BI:$BI,MATCH($U12*1,ТУ!$CP:$CP,0),1)=0,"",INDEX(ТУ!$BI:$BI,MATCH($U12*1,ТУ!$CP:$CP,0),1))</f>
        <v>01.01.2020</v>
      </c>
      <c r="X12" s="58" t="str">
        <f t="shared" si="13"/>
        <v/>
      </c>
      <c r="Y12" s="25">
        <f t="shared" si="14"/>
        <v>35</v>
      </c>
      <c r="Z12" s="42" t="str">
        <f t="shared" si="15"/>
        <v/>
      </c>
      <c r="AA12" s="25" t="str">
        <f t="shared" si="16"/>
        <v/>
      </c>
      <c r="AB12" s="40" t="str">
        <f>IF(ISNUMBER(SEARCH("Приборы с поддержкой протокола СПОДЭС - Нартис-И300 (СПОДЭС)",INDEX(ТУ!$BD:$BD,MATCH($U12*1,ТУ!$CP:$CP,0),1))),"Нартис-И300",
IF(ISNUMBER(SEARCH("Приборы с поддержкой протокола СПОДЭС - Меркурий 234 (СПОДЭС)",INDEX(ТУ!$BD:$BD,MATCH($U12*1,ТУ!$CP:$CP,0),1))),"Меркурий 234 (СПОДЭС)",
IF(ISNUMBER(SEARCH("Приборы с поддержкой протокола СПОДЭС - Нартис-300 (СПОДЭС)",INDEX(ТУ!$BD:$BD,MATCH($U12*1,ТУ!$CP:$CP,0),1))),"Нартис-300",
IF(ISNUMBER(SEARCH("Инкотекс - Меркурий 234",INDEX(ТУ!$BD:$BD,MATCH($U12*1,ТУ!$CP:$CP,0),1))),"Меркурий 234",
IF(ISNUMBER(SEARCH("Инкотекс - Меркурий 206",INDEX(ТУ!$BD:$BD,MATCH($U12*1,ТУ!$CP:$CP,0),1))),"Меркурий 206",
IF(ISNUMBER(SEARCH("Приборы с поддержкой протокола СПОДЭС - Универсальный счетчик СПОДЭС 2 трехфазный",INDEX(ТУ!$BD:$BD,MATCH($U12*1,ТУ!$CP:$CP,0),1))),"Нартис-И300",
IF(ISNUMBER(SEARCH("Приборы с поддержкой протокола СПОДЭС - Универсальный счетчик СПОДЭС 2 однофазный",INDEX(ТУ!$BD:$BD,MATCH($U12*1,ТУ!$CP:$CP,0),1))),"Нартис-И100",
IF(ISNUMBER(SEARCH("Приборы с поддержкой протокола СПОДЭС - Нартис-И100 (СПОДЭС)",INDEX(ТУ!$BD:$BD,MATCH($U12*1,ТУ!$CP:$CP,0),1))),"Нартис-И100",
IF(ISNUMBER(SEARCH("Приборы с поддержкой протокола СПОДЭС - СЕ308 (СПОДЭС)",INDEX(ТУ!$BD:$BD,MATCH($U12*1,ТУ!$CP:$CP,0),1))),"СЕ308 (СПОДЭС)",
IF(ISNUMBER(SEARCH("Приборы с поддержкой протокола СПОДЭС - СЕ207 (СПОДЭС)",INDEX(ТУ!$BD:$BD,MATCH($U12*1,ТУ!$CP:$CP,0),1))),"СЕ207 (СПОДЭС)",
IF(ISNUMBER(SEARCH("Приборы с поддержкой протокола СПОДЭС - СТЭМ-300 (СПОДЭС)",INDEX(ТУ!$BD:$BD,MATCH($U12*1,ТУ!$CP:$CP,0),1))),"СТЭМ-300 (СПОДЭС)",
IF(ISNUMBER(SEARCH("ТехноЭнерго - ТЕ3000",INDEX(ТУ!$BD:$BD,MATCH($U12*1,ТУ!$CP:$CP,0),1))),"ТЕ3000",
IF(ISNUMBER(SEARCH("НЗиФ - СЭТ-4ТМ",INDEX(ТУ!$BD:$BD,MATCH($U12*1,ТУ!$CP:$CP,0),1))),"СЭТ-4ТМ",
INDEX(ТУ!$BD:$BD,MATCH($U12*1,ТУ!$CP:$CP,0),1)
)))))))))))))</f>
        <v>МИРТЕК - МИРТЕК-12-РУ</v>
      </c>
      <c r="AC12" s="40" t="s">
        <v>2</v>
      </c>
      <c r="AD12" s="40" t="str">
        <f>IF(ISNUMBER(IFERROR(LEFT(IF(INDEX(ТУ!$CI:$CI,MATCH($U12*1,ТУ!$CP:$CP,0),1)=0,"",INDEX(ТУ!$CI:$CI,MATCH($U12*1,ТУ!$CP:$CP,0),1)),SEARCH(" ",IF(INDEX(ТУ!$CI:$CI,MATCH($U12*1,ТУ!$CP:$CP,0),1)=0,"",INDEX(ТУ!$CI:$CI,MATCH($U12*1,ТУ!$CP:$CP,0),1)),1)-1),"")*1),IFERROR(LEFT(IF(INDEX(ТУ!$CI:$CI,MATCH($U12*1,ТУ!$CP:$CP,0),1)=0,"",INDEX(ТУ!$CI:$CI,MATCH($U12*1,ТУ!$CP:$CP,0),1)),SEARCH(" ",IF(INDEX(ТУ!$CI:$CI,MATCH($U12*1,ТУ!$CP:$CP,0),1)=0,"",INDEX(ТУ!$CI:$CI,MATCH($U12*1,ТУ!$CP:$CP,0),1)),1)-1),""),"")</f>
        <v/>
      </c>
      <c r="AE12" s="40" t="str">
        <f>IF(INDEX(ТУ!$CB:$CB,MATCH($U12*1,ТУ!$CP:$CP,0),1)=0,INDEX(Adr!$B:$B,MATCH($U12*1,Adr!$C:$C,0),1),INDEX(ТУ!$CB:$CB,MATCH($U12*1,ТУ!$CP:$CP,0),1))</f>
        <v>14522</v>
      </c>
      <c r="AF12" s="45" t="str">
        <f>IF(INDEX(ТУ!$CD:$CD,MATCH($U12*1,ТУ!$CP:$CP,0),1)=0,"",INDEX(ТУ!$CD:$CD,MATCH($U12*1,ТУ!$CP:$CP,0),1))</f>
        <v/>
      </c>
      <c r="AG12" s="45">
        <f>0</f>
        <v>0</v>
      </c>
      <c r="AH12" s="26" t="str">
        <f t="shared" si="17"/>
        <v/>
      </c>
      <c r="AI12" s="20" t="str">
        <f t="shared" si="18"/>
        <v>5004001</v>
      </c>
      <c r="AJ12" s="41" t="str">
        <f t="shared" si="1"/>
        <v/>
      </c>
      <c r="AK12" s="41" t="str">
        <f>IF($AP12="",IFERROR(IFERROR(LEFT(RIGHT(INDEX(ТУ!$CE:$CE,MATCH($U12*1,ТУ!$CP:$CP,0),1),LEN(INDEX(ТУ!$CE:$CE,MATCH($U12*1,ТУ!$CP:$CP,0),1))-SEARCH(":",INDEX(ТУ!$CE:$CE,MATCH($U12*1,ТУ!$CP:$CP,0),1))),SEARCH("/",RIGHT(INDEX(ТУ!$CE:$CE,MATCH($U12*1,ТУ!$CP:$CP,0),1),LEN(INDEX(ТУ!$CE:$CE,MATCH($U12*1,ТУ!$CP:$CP,0),1))-SEARCH(":",INDEX(ТУ!$CE:$CE,MATCH($U12*1,ТУ!$CP:$CP,0),1))))-1), RIGHT(INDEX(ТУ!$CE:$CE,MATCH($U12*1,ТУ!$CP:$CP,0),1),LEN(INDEX(ТУ!$CE:$CE,MATCH($U12*1,ТУ!$CP:$CP,0),1))-SEARCH(":",INDEX(ТУ!$CE:$CE,MATCH($U12*1,ТУ!$CP:$CP,0),1)))), ""),IFERROR(IFERROR(LEFT(RIGHT(INDEX(УСПД!$M:$M,MATCH(IFERROR(1*LEFT(INDEX(ТУ!$CG:$CG,MATCH($U12*1,ТУ!$CP:$CP,0),1),SEARCH(" ",INDEX(ТУ!$CG:$CG,MATCH($U12*1,ТУ!$CP:$CP,0),1))-1),""),УСПД!$N:$N,0),1),LEN(INDEX(УСПД!$M:$M,MATCH(IFERROR(1*LEFT(INDEX(ТУ!$CG:$CG,MATCH($U12*1,ТУ!$CP:$CP,0),1),SEARCH(" ",INDEX(ТУ!$CG:$CG,MATCH($U12*1,ТУ!$CP:$CP,0),1))-1),""),УСПД!$N:$N,0),1))-SEARCH(":",INDEX(УСПД!$M:$M,MATCH(IFERROR(1*LEFT(INDEX(ТУ!$CG:$CG,MATCH($U12*1,ТУ!$CP:$CP,0),1),SEARCH(" ",INDEX(ТУ!$CG:$CG,MATCH($U12*1,ТУ!$CP:$CP,0),1))-1),""),УСПД!$N:$N,0),1))),SEARCH("/",RIGHT(INDEX(УСПД!$M:$M,MATCH(IFERROR(1*LEFT(INDEX(ТУ!$CG:$CG,MATCH($U12*1,ТУ!$CP:$CP,0),1),SEARCH(" ",INDEX(ТУ!$CG:$CG,MATCH($U12*1,ТУ!$CP:$CP,0),1))-1),""),УСПД!$N:$N,0),1),LEN(INDEX(УСПД!$M:$M,MATCH(IFERROR(1*LEFT(INDEX(ТУ!$CG:$CG,MATCH($U12*1,ТУ!$CP:$CP,0),1),SEARCH(" ",INDEX(ТУ!$CG:$CG,MATCH($U12*1,ТУ!$CP:$CP,0),1))-1),""),УСПД!$N:$N,0),1))-SEARCH(":",INDEX(УСПД!$M:$M,MATCH(IFERROR(1*LEFT(INDEX(ТУ!$CG:$CG,MATCH($U12*1,ТУ!$CP:$CP,0),1),SEARCH(" ",INDEX(ТУ!$CG:$CG,MATCH($U12*1,ТУ!$CP:$CP,0),1))-1),""),УСПД!$N:$N,0),1))))-1), RIGHT(INDEX(УСПД!$M:$M,MATCH(IFERROR(1*LEFT(INDEX(ТУ!$CG:$CG,MATCH($U12*1,ТУ!$CP:$CP,0),1),SEARCH(" ",INDEX(ТУ!$CG:$CG,MATCH($U12*1,ТУ!$CP:$CP,0),1))-1),""),УСПД!$N:$N,0),1),LEN(INDEX(УСПД!$M:$M,MATCH(IFERROR(1*LEFT(INDEX(ТУ!$CG:$CG,MATCH($U12*1,ТУ!$CP:$CP,0),1),SEARCH(" ",INDEX(ТУ!$CG:$CG,MATCH($U12*1,ТУ!$CP:$CP,0),1))-1),""),УСПД!$N:$N,0),1))-SEARCH(":",INDEX(УСПД!$M:$M,MATCH(IFERROR(1*LEFT(INDEX(ТУ!$CG:$CG,MATCH($U12*1,ТУ!$CP:$CP,0),1),SEARCH(" ",INDEX(ТУ!$CG:$CG,MATCH($U12*1,ТУ!$CP:$CP,0),1))-1),""),УСПД!$N:$N,0),1)))), ""))</f>
        <v/>
      </c>
      <c r="AL12" s="41"/>
      <c r="AM12" s="57" t="str">
        <f>IFERROR(IFERROR(INDEX(Tel!$B:$B,MATCH($AJ12,Tel!$E:$E,0),1),INDEX(Tel!$B:$B,MATCH($AJ12,Tel!$D:$D,0),1)),"")</f>
        <v/>
      </c>
      <c r="AN12" s="59" t="str">
        <f>IF(ISNUMBER(SEARCH("ТОПАЗ - ТОПАЗ УСПД",IFERROR(RIGHT(LEFT(INDEX(ТУ!$CG:$CG,MATCH($U12*1,ТУ!$CP:$CP,0),1),SEARCH(")",INDEX(ТУ!$CG:$CG,MATCH($U12*1,ТУ!$CP:$CP,0),1))-1),LEN(LEFT(INDEX(ТУ!$CG:$CG,MATCH($U12*1,ТУ!$CP:$CP,0),1),SEARCH(")",INDEX(ТУ!$CG:$CG,MATCH($U12*1,ТУ!$CP:$CP,0),1))-1))-SEARCH("(",INDEX(ТУ!$CG:$CG,MATCH($U12*1,ТУ!$CP:$CP,0),1))),""),1)),"RTU-327",
IF(ISNUMBER(SEARCH("TELEOFIS",$AP12)),"Модем",
""))</f>
        <v/>
      </c>
      <c r="AO12" s="27" t="str">
        <f t="shared" si="0"/>
        <v/>
      </c>
      <c r="AP12" s="57" t="str">
        <f>IF(ISNUMBER(SEARCH("Миландр - Милур GSM/GPRS модем",IFERROR(RIGHT(LEFT(INDEX(ТУ!$CG:$CG,MATCH($U12*1,ТУ!$CP:$CP,0),1),SEARCH(")",INDEX(ТУ!$CG:$CG,MATCH($U12*1,ТУ!$CP:$CP,0),1))-1),LEN(LEFT(INDEX(ТУ!$CG:$CG,MATCH($U12*1,ТУ!$CP:$CP,0),1),SEARCH(")",INDEX(ТУ!$CG:$CG,MATCH($U12*1,ТУ!$CP:$CP,0),1))-1))-SEARCH("(",INDEX(ТУ!$CG:$CG,MATCH($U12*1,ТУ!$CP:$CP,0),1))),""),1)), "TELEOFIS WRX708-L4",IFERROR(RIGHT(LEFT(INDEX(ТУ!$CG:$CG,MATCH($U12*1,ТУ!$CP:$CP,0),1),SEARCH(")",INDEX(ТУ!$CG:$CG,MATCH($U12*1,ТУ!$CP:$CP,0),1))-1),LEN(LEFT(INDEX(ТУ!$CG:$CG,MATCH($U12*1,ТУ!$CP:$CP,0),1),SEARCH(")",INDEX(ТУ!$CG:$CG,MATCH($U12*1,ТУ!$CP:$CP,0),1))-1))-SEARCH("(",INDEX(ТУ!$CG:$CG,MATCH($U12*1,ТУ!$CP:$CP,0),1))),""))</f>
        <v>Завод НАРТИС - УСПД ШЛ-ZB-L</v>
      </c>
      <c r="AQ12" s="57" t="str">
        <f>IFERROR(IF(INDEX(УСПД!$K:$K,MATCH($AS12*1,УСПД!$N:$N,0),1)=0,"",INDEX(УСПД!$K:$K,MATCH($AS12*1,УСПД!$N:$N,0),1)),"")</f>
        <v/>
      </c>
      <c r="AR12" s="57" t="str">
        <f>IFERROR(IF(INDEX(УСПД!$L:$L,MATCH($AS12*1,УСПД!$N:$N,0),1)=0,"",INDEX(УСПД!$L:$L,MATCH($AS12*1,УСПД!$N:$N,0),1)),"")</f>
        <v/>
      </c>
      <c r="AS12" s="60" t="str">
        <f>IFERROR(LEFT(INDEX(ТУ!$CG:$CG,MATCH($U12*1,ТУ!$CP:$CP,0),1),SEARCH(" ",INDEX(ТУ!$CG:$CG,MATCH($U12*1,ТУ!$CP:$CP,0),1))-1),"")</f>
        <v>062402008901</v>
      </c>
      <c r="AT12" s="59" t="s">
        <v>360</v>
      </c>
      <c r="AU12" s="59">
        <f>3</f>
        <v>3</v>
      </c>
      <c r="AV12" s="59" t="s">
        <v>368</v>
      </c>
      <c r="AW12" s="149" t="str">
        <f t="shared" si="19"/>
        <v/>
      </c>
      <c r="AX12" s="149">
        <f t="shared" si="20"/>
        <v>34</v>
      </c>
      <c r="AY12" s="149" t="str">
        <f t="shared" si="21"/>
        <v/>
      </c>
      <c r="AZ12" s="149" t="str">
        <f t="shared" si="22"/>
        <v/>
      </c>
      <c r="BA12" s="149">
        <f t="shared" si="23"/>
        <v>1</v>
      </c>
      <c r="BB12" s="154" t="str">
        <f>IF($AP12="",IFERROR(IFERROR(LEFT(RIGHT(INDEX(ТУ!$CE:$CE,MATCH($U12*1,ТУ!$CP:$CP,0),1),LEN(INDEX(ТУ!$CE:$CE,MATCH($U12*1,ТУ!$CP:$CP,0),1))-SEARCH(", ",INDEX(ТУ!$CE:$CE,MATCH($U12*1,ТУ!$CP:$CP,0),1),SEARCH(", ",INDEX(ТУ!$CE:$CE,MATCH($U12*1,ТУ!$CP:$CP,0),1))+1)-1),SEARCH(":",RIGHT(INDEX(ТУ!$CE:$CE,MATCH($U12*1,ТУ!$CP:$CP,0),1),LEN(INDEX(ТУ!$CE:$CE,MATCH($U12*1,ТУ!$CP:$CP,0),1))-SEARCH(", ",INDEX(ТУ!$CE:$CE,MATCH($U12*1,ТУ!$CP:$CP,0),1),SEARCH(", ",INDEX(ТУ!$CE:$CE,MATCH($U12*1,ТУ!$CP:$CP,0),1))+1)-1))-1),LEFT(INDEX(ТУ!$CE:$CE,MATCH($U12*1,ТУ!$CP:$CP,0),1),SEARCH(":",INDEX(ТУ!$CE:$CE,MATCH($U12*1,ТУ!$CP:$CP,0),1))-1)),""),IFERROR(IFERROR(LEFT(RIGHT(INDEX(УСПД!$M:$M,MATCH(IFERROR(1*LEFT(INDEX(ТУ!$CG:$CG,MATCH($U12*1,ТУ!$CP:$CP,0),1),SEARCH(" ",INDEX(ТУ!$CG:$CG,MATCH($U12*1,ТУ!$CP:$CP,0),1))-1),""),УСПД!$N:$N,0),1),LEN(INDEX(УСПД!$M:$M,MATCH(IFERROR(1*LEFT(INDEX(ТУ!$CG:$CG,MATCH($U12*1,ТУ!$CP:$CP,0),1),SEARCH(" ",INDEX(ТУ!$CG:$CG,MATCH($U12*1,ТУ!$CP:$CP,0),1))-1),""),УСПД!$N:$N,0),1))-SEARCH(", ",INDEX(УСПД!$M:$M,MATCH(IFERROR(1*LEFT(INDEX(ТУ!$CG:$CG,MATCH($U12*1,ТУ!$CP:$CP,0),1),SEARCH(" ",INDEX(ТУ!$CG:$CG,MATCH($U12*1,ТУ!$CP:$CP,0),1))-1),""),УСПД!$N:$N,0),1),SEARCH(", ",INDEX(УСПД!$M:$M,MATCH(IFERROR(1*LEFT(INDEX(ТУ!$CG:$CG,MATCH($U12*1,ТУ!$CP:$CP,0),1),SEARCH(" ",INDEX(ТУ!$CG:$CG,MATCH($U12*1,ТУ!$CP:$CP,0),1))-1),""),УСПД!$N:$N,0),1))+1)-1),SEARCH(":",RIGHT(INDEX(УСПД!$M:$M,MATCH(IFERROR(1*LEFT(INDEX(ТУ!$CG:$CG,MATCH($U12*1,ТУ!$CP:$CP,0),1),SEARCH(" ",INDEX(ТУ!$CG:$CG,MATCH($U12*1,ТУ!$CP:$CP,0),1))-1),""),УСПД!$N:$N,0),1),LEN(INDEX(УСПД!$M:$M,MATCH(IFERROR(1*LEFT(INDEX(ТУ!$CG:$CG,MATCH($U12*1,ТУ!$CP:$CP,0),1),SEARCH(" ",INDEX(ТУ!$CG:$CG,MATCH($U12*1,ТУ!$CP:$CP,0),1))-1),""),УСПД!$N:$N,0),1))-SEARCH(", ",INDEX(УСПД!$M:$M,MATCH(IFERROR(1*LEFT(INDEX(ТУ!$CG:$CG,MATCH($U12*1,ТУ!$CP:$CP,0),1),SEARCH(" ",INDEX(ТУ!$CG:$CG,MATCH($U12*1,ТУ!$CP:$CP,0),1))-1),""),УСПД!$N:$N,0),1),SEARCH(", ",INDEX(УСПД!$M:$M,MATCH(IFERROR(1*LEFT(INDEX(ТУ!$CG:$CG,MATCH($U12*1,ТУ!$CP:$CP,0),1),SEARCH(" ",INDEX(ТУ!$CG:$CG,MATCH($U12*1,ТУ!$CP:$CP,0),1))-1),""),УСПД!$N:$N,0),1))+1)-1))-1),LEFT(INDEX(УСПД!$M:$M,MATCH(IFERROR(1*LEFT(INDEX(ТУ!$CG:$CG,MATCH($U12*1,ТУ!$CP:$CP,0),1),SEARCH(" ",INDEX(ТУ!$CG:$CG,MATCH($U12*1,ТУ!$CP:$CP,0),1))-1),""),УСПД!$N:$N,0),1),SEARCH(":",INDEX(УСПД!$M:$M,MATCH(IFERROR(1*LEFT(INDEX(ТУ!$CG:$CG,MATCH($U12*1,ТУ!$CP:$CP,0),1),SEARCH(" ",INDEX(ТУ!$CG:$CG,MATCH($U12*1,ТУ!$CP:$CP,0),1))-1),""),УСПД!$N:$N,0),1))-1)),""))</f>
        <v/>
      </c>
      <c r="BC12" s="155" t="str">
        <f>INDEX(ТУ!$AF:$AF,MATCH($U12*1,ТУ!$CP:$CP,0),1)</f>
        <v>400</v>
      </c>
      <c r="BD12" s="155">
        <f>INDEX(ТУ!$X:$X,MATCH($U12*1,ТУ!$CP:$CP,0),1)</f>
        <v>0</v>
      </c>
      <c r="BE12" s="155">
        <f>INDEX(ТУ!$CL:$CL,MATCH($U12*1,ТУ!$CP:$CP,0),1)</f>
        <v>0</v>
      </c>
      <c r="BF12" s="147" t="str">
        <f>IFERROR(INDEX(естьАЦ!$A:$A,MATCH($U12*1,естьАЦ!$A:$A,0),1),"нет в АЦ")</f>
        <v>нет в АЦ</v>
      </c>
    </row>
    <row r="13" spans="1:58" ht="15" x14ac:dyDescent="0.25">
      <c r="A13" s="55">
        <f>3</f>
        <v>3</v>
      </c>
      <c r="B13" s="42" t="str">
        <f>IFERROR(IFERROR(INDEX(Справочники!$A$2:$P$79,MATCH(INDEX(ТУ!$E:$E,MATCH($U13*1,ТУ!$CP:$CP,0),1),Справочники!$P$2:$P$79,0),2),INDEX(Справочники!$A$2:$P$79,MATCH((INDEX(ТУ!$E:$E,MATCH($U13*1,ТУ!$CP:$CP,0),1))*1,Справочники!$P$2:$P$79,0),2)),"")</f>
        <v/>
      </c>
      <c r="C13" s="46" t="str">
        <f>IFERROR(TRIM(LEFT(INDEX(ТУ!$AF:$AF,MATCH($U13*1,ТУ!$CP:$CP,0),1),SEARCH("-",INDEX(ТУ!$AF:$AF,MATCH($U13*1,ТУ!$CP:$CP,0),1))-1)),IFERROR(LEFT(INDEX(ТУ!$X:$X,MATCH($U13*1,ТУ!$CP:$CP,0),1),SEARCH("-",INDEX(ТУ!$X:$X,MATCH($U13*1,ТУ!$CP:$CP,0),1))-1),"ТП"))</f>
        <v>ТП</v>
      </c>
      <c r="D13" s="47" t="str">
        <f>IF(TRIM(IF(ISNUMBER((IFERROR(RIGHT(INDEX(ТУ!$AF:$AF,MATCH($U13*1,ТУ!$CP:$CP,0),1),LEN(INDEX(ТУ!$AF:$AF,MATCH($U13*1,ТУ!$CP:$CP,0),1))-SEARCH("-",INDEX(ТУ!$AF:$AF,MATCH($U13*1,ТУ!$CP:$CP,0),1))),INDEX(ТУ!$AF:$AF,MATCH($U13*1,ТУ!$CP:$CP,0),1)))*1),IFERROR(RIGHT(INDEX(ТУ!$AF:$AF,MATCH($U13*1,ТУ!$CP:$CP,0),1),LEN(INDEX(ТУ!$AF:$AF,MATCH($U13*1,ТУ!$CP:$CP,0),1))-SEARCH("-",INDEX(ТУ!$AF:$AF,MATCH($U13*1,ТУ!$CP:$CP,0),1))),INDEX(ТУ!$AF:$AF,MATCH($U13*1,ТУ!$CP:$CP,0),1)),""))="",TRIM(IF(ISNUMBER((IFERROR(RIGHT(INDEX(ТУ!$X:$X,MATCH($U13*1,ТУ!$CP:$CP,0),1),LEN(INDEX(ТУ!$X:$X,MATCH($U13*1,ТУ!$CP:$CP,0),1))-SEARCH("-",INDEX(ТУ!$X:$X,MATCH($U13*1,ТУ!$CP:$CP,0),1))),INDEX(ТУ!$X:$X,MATCH($U13*1,ТУ!$CP:$CP,0),1)))*1),IFERROR(RIGHT(INDEX(ТУ!$X:$X,MATCH($U13*1,ТУ!$CP:$CP,0),1),LEN(INDEX(ТУ!$X:$X,MATCH($U13*1,ТУ!$CP:$CP,0),1))-SEARCH("-",INDEX(ТУ!$X:$X,MATCH($U13*1,ТУ!$CP:$CP,0),1))),INDEX(ТУ!$X:$X,MATCH($U13*1,ТУ!$CP:$CP,0),1)),"")),TRIM(IF(ISNUMBER((IFERROR(RIGHT(INDEX(ТУ!$AF:$AF,MATCH($U13*1,ТУ!$CP:$CP,0),1),LEN(INDEX(ТУ!$AF:$AF,MATCH($U13*1,ТУ!$CP:$CP,0),1))-SEARCH("-",INDEX(ТУ!$AF:$AF,MATCH($U13*1,ТУ!$CP:$CP,0),1))),INDEX(ТУ!$AF:$AF,MATCH($U13*1,ТУ!$CP:$CP,0),1)))*1),IFERROR(RIGHT(INDEX(ТУ!$AF:$AF,MATCH($U13*1,ТУ!$CP:$CP,0),1),LEN(INDEX(ТУ!$AF:$AF,MATCH($U13*1,ТУ!$CP:$CP,0),1))-SEARCH("-",INDEX(ТУ!$AF:$AF,MATCH($U13*1,ТУ!$CP:$CP,0),1))),INDEX(ТУ!$AF:$AF,MATCH($U13*1,ТУ!$CP:$CP,0),1)),"")))</f>
        <v>314</v>
      </c>
      <c r="E13" s="25" t="str">
        <f t="shared" si="2"/>
        <v/>
      </c>
      <c r="F13" s="20" t="str">
        <f t="shared" si="3"/>
        <v/>
      </c>
      <c r="G13" s="21">
        <f t="shared" si="4"/>
        <v>5</v>
      </c>
      <c r="H13" s="25" t="str">
        <f t="shared" si="5"/>
        <v>ТП-314</v>
      </c>
      <c r="I13" s="25" t="str">
        <f t="shared" si="6"/>
        <v>500314</v>
      </c>
      <c r="J13" s="42" t="str">
        <f>INDEX(Справочники!$M:$M,MATCH(IF(INDEX(ТУ!$BO:$BO,MATCH($U13*1,ТУ!$CP:$CP,0),1)=1,1,INDEX(ТУ!$BO:$BO,MATCH($U13*1,ТУ!$CP:$CP,0),1)*100),Справочники!$N:$N,0),1)</f>
        <v>0.4 кВ</v>
      </c>
      <c r="K13" s="40">
        <f>1</f>
        <v>1</v>
      </c>
      <c r="L13" s="20" t="str">
        <f t="shared" si="7"/>
        <v>СШ-1</v>
      </c>
      <c r="M13" s="20">
        <f t="shared" si="8"/>
        <v>1</v>
      </c>
      <c r="N13" s="40"/>
      <c r="O13" s="56" t="str">
        <f t="shared" si="9"/>
        <v>Ввод-1-1</v>
      </c>
      <c r="P13" s="57" t="str">
        <f>IFERROR(IF(INDEX(ТУ!$AO:$AO,MATCH($U13*1,ТУ!$CP:$CP,0),1)=0,"",INDEX(ТУ!$AO:$AO,MATCH($U13*1,ТУ!$CP:$CP,0),1)),"")</f>
        <v>Фидер 1</v>
      </c>
      <c r="Q13" s="40">
        <f>IFERROR(IF(INDEX(ТУ!$BN:$BN,MATCH($U13*1,ТУ!$CP:$CP,0),1)=1,1,INDEX(ТУ!$BN:$BN,MATCH($U13*1,ТУ!$CP:$CP,0),1)*5),"")</f>
        <v>1</v>
      </c>
      <c r="R13" s="25">
        <f t="shared" si="10"/>
        <v>1</v>
      </c>
      <c r="S13" s="25">
        <f t="shared" si="11"/>
        <v>1</v>
      </c>
      <c r="T13" s="25">
        <f t="shared" si="12"/>
        <v>1</v>
      </c>
      <c r="U13" s="105" t="s">
        <v>599</v>
      </c>
      <c r="V13" s="43">
        <f>IF(INDEX(ТУ!$BH:$BH,MATCH($U13*1,ТУ!$CP:$CP,0),1)=0,"",INDEX(ТУ!$BH:$BH,MATCH($U13*1,ТУ!$CP:$CP,0),1))</f>
        <v>44433</v>
      </c>
      <c r="W13" s="43" t="str">
        <f>IF(INDEX(ТУ!$BI:$BI,MATCH($U13*1,ТУ!$CP:$CP,0),1)=0,"",INDEX(ТУ!$BI:$BI,MATCH($U13*1,ТУ!$CP:$CP,0),1))</f>
        <v>01.01.2020</v>
      </c>
      <c r="X13" s="58" t="str">
        <f t="shared" si="13"/>
        <v/>
      </c>
      <c r="Y13" s="25">
        <f t="shared" si="14"/>
        <v>35</v>
      </c>
      <c r="Z13" s="42" t="str">
        <f t="shared" si="15"/>
        <v/>
      </c>
      <c r="AA13" s="25" t="str">
        <f t="shared" si="16"/>
        <v/>
      </c>
      <c r="AB13" s="40" t="str">
        <f>IF(ISNUMBER(SEARCH("Приборы с поддержкой протокола СПОДЭС - Нартис-И300 (СПОДЭС)",INDEX(ТУ!$BD:$BD,MATCH($U13*1,ТУ!$CP:$CP,0),1))),"Нартис-И300",
IF(ISNUMBER(SEARCH("Приборы с поддержкой протокола СПОДЭС - Меркурий 234 (СПОДЭС)",INDEX(ТУ!$BD:$BD,MATCH($U13*1,ТУ!$CP:$CP,0),1))),"Меркурий 234 (СПОДЭС)",
IF(ISNUMBER(SEARCH("Приборы с поддержкой протокола СПОДЭС - Нартис-300 (СПОДЭС)",INDEX(ТУ!$BD:$BD,MATCH($U13*1,ТУ!$CP:$CP,0),1))),"Нартис-300",
IF(ISNUMBER(SEARCH("Инкотекс - Меркурий 234",INDEX(ТУ!$BD:$BD,MATCH($U13*1,ТУ!$CP:$CP,0),1))),"Меркурий 234",
IF(ISNUMBER(SEARCH("Инкотекс - Меркурий 206",INDEX(ТУ!$BD:$BD,MATCH($U13*1,ТУ!$CP:$CP,0),1))),"Меркурий 206",
IF(ISNUMBER(SEARCH("Приборы с поддержкой протокола СПОДЭС - Универсальный счетчик СПОДЭС 2 трехфазный",INDEX(ТУ!$BD:$BD,MATCH($U13*1,ТУ!$CP:$CP,0),1))),"Нартис-И300",
IF(ISNUMBER(SEARCH("Приборы с поддержкой протокола СПОДЭС - Универсальный счетчик СПОДЭС 2 однофазный",INDEX(ТУ!$BD:$BD,MATCH($U13*1,ТУ!$CP:$CP,0),1))),"Нартис-И100",
IF(ISNUMBER(SEARCH("Приборы с поддержкой протокола СПОДЭС - Нартис-И100 (СПОДЭС)",INDEX(ТУ!$BD:$BD,MATCH($U13*1,ТУ!$CP:$CP,0),1))),"Нартис-И100",
IF(ISNUMBER(SEARCH("Приборы с поддержкой протокола СПОДЭС - СЕ308 (СПОДЭС)",INDEX(ТУ!$BD:$BD,MATCH($U13*1,ТУ!$CP:$CP,0),1))),"СЕ308 (СПОДЭС)",
IF(ISNUMBER(SEARCH("Приборы с поддержкой протокола СПОДЭС - СЕ207 (СПОДЭС)",INDEX(ТУ!$BD:$BD,MATCH($U13*1,ТУ!$CP:$CP,0),1))),"СЕ207 (СПОДЭС)",
IF(ISNUMBER(SEARCH("Приборы с поддержкой протокола СПОДЭС - СТЭМ-300 (СПОДЭС)",INDEX(ТУ!$BD:$BD,MATCH($U13*1,ТУ!$CP:$CP,0),1))),"СТЭМ-300 (СПОДЭС)",
IF(ISNUMBER(SEARCH("ТехноЭнерго - ТЕ3000",INDEX(ТУ!$BD:$BD,MATCH($U13*1,ТУ!$CP:$CP,0),1))),"ТЕ3000",
IF(ISNUMBER(SEARCH("НЗиФ - СЭТ-4ТМ",INDEX(ТУ!$BD:$BD,MATCH($U13*1,ТУ!$CP:$CP,0),1))),"СЭТ-4ТМ",
INDEX(ТУ!$BD:$BD,MATCH($U13*1,ТУ!$CP:$CP,0),1)
)))))))))))))</f>
        <v>МИРТЕК - МИРТЕК-32-РУ</v>
      </c>
      <c r="AC13" s="40" t="s">
        <v>2</v>
      </c>
      <c r="AD13" s="40" t="str">
        <f>IF(ISNUMBER(IFERROR(LEFT(IF(INDEX(ТУ!$CI:$CI,MATCH($U13*1,ТУ!$CP:$CP,0),1)=0,"",INDEX(ТУ!$CI:$CI,MATCH($U13*1,ТУ!$CP:$CP,0),1)),SEARCH(" ",IF(INDEX(ТУ!$CI:$CI,MATCH($U13*1,ТУ!$CP:$CP,0),1)=0,"",INDEX(ТУ!$CI:$CI,MATCH($U13*1,ТУ!$CP:$CP,0),1)),1)-1),"")*1),IFERROR(LEFT(IF(INDEX(ТУ!$CI:$CI,MATCH($U13*1,ТУ!$CP:$CP,0),1)=0,"",INDEX(ТУ!$CI:$CI,MATCH($U13*1,ТУ!$CP:$CP,0),1)),SEARCH(" ",IF(INDEX(ТУ!$CI:$CI,MATCH($U13*1,ТУ!$CP:$CP,0),1)=0,"",INDEX(ТУ!$CI:$CI,MATCH($U13*1,ТУ!$CP:$CP,0),1)),1)-1),""),"")</f>
        <v/>
      </c>
      <c r="AE13" s="40" t="str">
        <f>IF(INDEX(ТУ!$CB:$CB,MATCH($U13*1,ТУ!$CP:$CP,0),1)=0,INDEX(Adr!$B:$B,MATCH($U13*1,Adr!$C:$C,0),1),INDEX(ТУ!$CB:$CB,MATCH($U13*1,ТУ!$CP:$CP,0),1))</f>
        <v>43318</v>
      </c>
      <c r="AF13" s="45" t="str">
        <f>IF(INDEX(ТУ!$CD:$CD,MATCH($U13*1,ТУ!$CP:$CP,0),1)=0,"",INDEX(ТУ!$CD:$CD,MATCH($U13*1,ТУ!$CP:$CP,0),1))</f>
        <v/>
      </c>
      <c r="AG13" s="45">
        <f>0</f>
        <v>0</v>
      </c>
      <c r="AH13" s="26" t="str">
        <f t="shared" si="17"/>
        <v/>
      </c>
      <c r="AI13" s="20" t="str">
        <f t="shared" si="18"/>
        <v>5003141</v>
      </c>
      <c r="AJ13" s="41" t="str">
        <f t="shared" si="1"/>
        <v/>
      </c>
      <c r="AK13" s="41" t="str">
        <f>IF($AP13="",IFERROR(IFERROR(LEFT(RIGHT(INDEX(ТУ!$CE:$CE,MATCH($U13*1,ТУ!$CP:$CP,0),1),LEN(INDEX(ТУ!$CE:$CE,MATCH($U13*1,ТУ!$CP:$CP,0),1))-SEARCH(":",INDEX(ТУ!$CE:$CE,MATCH($U13*1,ТУ!$CP:$CP,0),1))),SEARCH("/",RIGHT(INDEX(ТУ!$CE:$CE,MATCH($U13*1,ТУ!$CP:$CP,0),1),LEN(INDEX(ТУ!$CE:$CE,MATCH($U13*1,ТУ!$CP:$CP,0),1))-SEARCH(":",INDEX(ТУ!$CE:$CE,MATCH($U13*1,ТУ!$CP:$CP,0),1))))-1), RIGHT(INDEX(ТУ!$CE:$CE,MATCH($U13*1,ТУ!$CP:$CP,0),1),LEN(INDEX(ТУ!$CE:$CE,MATCH($U13*1,ТУ!$CP:$CP,0),1))-SEARCH(":",INDEX(ТУ!$CE:$CE,MATCH($U13*1,ТУ!$CP:$CP,0),1)))), ""),IFERROR(IFERROR(LEFT(RIGHT(INDEX(УСПД!$M:$M,MATCH(IFERROR(1*LEFT(INDEX(ТУ!$CG:$CG,MATCH($U13*1,ТУ!$CP:$CP,0),1),SEARCH(" ",INDEX(ТУ!$CG:$CG,MATCH($U13*1,ТУ!$CP:$CP,0),1))-1),""),УСПД!$N:$N,0),1),LEN(INDEX(УСПД!$M:$M,MATCH(IFERROR(1*LEFT(INDEX(ТУ!$CG:$CG,MATCH($U13*1,ТУ!$CP:$CP,0),1),SEARCH(" ",INDEX(ТУ!$CG:$CG,MATCH($U13*1,ТУ!$CP:$CP,0),1))-1),""),УСПД!$N:$N,0),1))-SEARCH(":",INDEX(УСПД!$M:$M,MATCH(IFERROR(1*LEFT(INDEX(ТУ!$CG:$CG,MATCH($U13*1,ТУ!$CP:$CP,0),1),SEARCH(" ",INDEX(ТУ!$CG:$CG,MATCH($U13*1,ТУ!$CP:$CP,0),1))-1),""),УСПД!$N:$N,0),1))),SEARCH("/",RIGHT(INDEX(УСПД!$M:$M,MATCH(IFERROR(1*LEFT(INDEX(ТУ!$CG:$CG,MATCH($U13*1,ТУ!$CP:$CP,0),1),SEARCH(" ",INDEX(ТУ!$CG:$CG,MATCH($U13*1,ТУ!$CP:$CP,0),1))-1),""),УСПД!$N:$N,0),1),LEN(INDEX(УСПД!$M:$M,MATCH(IFERROR(1*LEFT(INDEX(ТУ!$CG:$CG,MATCH($U13*1,ТУ!$CP:$CP,0),1),SEARCH(" ",INDEX(ТУ!$CG:$CG,MATCH($U13*1,ТУ!$CP:$CP,0),1))-1),""),УСПД!$N:$N,0),1))-SEARCH(":",INDEX(УСПД!$M:$M,MATCH(IFERROR(1*LEFT(INDEX(ТУ!$CG:$CG,MATCH($U13*1,ТУ!$CP:$CP,0),1),SEARCH(" ",INDEX(ТУ!$CG:$CG,MATCH($U13*1,ТУ!$CP:$CP,0),1))-1),""),УСПД!$N:$N,0),1))))-1), RIGHT(INDEX(УСПД!$M:$M,MATCH(IFERROR(1*LEFT(INDEX(ТУ!$CG:$CG,MATCH($U13*1,ТУ!$CP:$CP,0),1),SEARCH(" ",INDEX(ТУ!$CG:$CG,MATCH($U13*1,ТУ!$CP:$CP,0),1))-1),""),УСПД!$N:$N,0),1),LEN(INDEX(УСПД!$M:$M,MATCH(IFERROR(1*LEFT(INDEX(ТУ!$CG:$CG,MATCH($U13*1,ТУ!$CP:$CP,0),1),SEARCH(" ",INDEX(ТУ!$CG:$CG,MATCH($U13*1,ТУ!$CP:$CP,0),1))-1),""),УСПД!$N:$N,0),1))-SEARCH(":",INDEX(УСПД!$M:$M,MATCH(IFERROR(1*LEFT(INDEX(ТУ!$CG:$CG,MATCH($U13*1,ТУ!$CP:$CP,0),1),SEARCH(" ",INDEX(ТУ!$CG:$CG,MATCH($U13*1,ТУ!$CP:$CP,0),1))-1),""),УСПД!$N:$N,0),1)))), ""))</f>
        <v/>
      </c>
      <c r="AL13" s="41"/>
      <c r="AM13" s="57" t="str">
        <f>IFERROR(IFERROR(INDEX(Tel!$B:$B,MATCH($AJ13,Tel!$E:$E,0),1),INDEX(Tel!$B:$B,MATCH($AJ13,Tel!$D:$D,0),1)),"")</f>
        <v/>
      </c>
      <c r="AN13" s="59" t="str">
        <f>IF(ISNUMBER(SEARCH("ТОПАЗ - ТОПАЗ УСПД",IFERROR(RIGHT(LEFT(INDEX(ТУ!$CG:$CG,MATCH($U13*1,ТУ!$CP:$CP,0),1),SEARCH(")",INDEX(ТУ!$CG:$CG,MATCH($U13*1,ТУ!$CP:$CP,0),1))-1),LEN(LEFT(INDEX(ТУ!$CG:$CG,MATCH($U13*1,ТУ!$CP:$CP,0),1),SEARCH(")",INDEX(ТУ!$CG:$CG,MATCH($U13*1,ТУ!$CP:$CP,0),1))-1))-SEARCH("(",INDEX(ТУ!$CG:$CG,MATCH($U13*1,ТУ!$CP:$CP,0),1))),""),1)),"RTU-327",
IF(ISNUMBER(SEARCH("TELEOFIS",$AP13)),"Модем",
""))</f>
        <v/>
      </c>
      <c r="AO13" s="27" t="str">
        <f t="shared" si="0"/>
        <v/>
      </c>
      <c r="AP13" s="57" t="str">
        <f>IF(ISNUMBER(SEARCH("Миландр - Милур GSM/GPRS модем",IFERROR(RIGHT(LEFT(INDEX(ТУ!$CG:$CG,MATCH($U13*1,ТУ!$CP:$CP,0),1),SEARCH(")",INDEX(ТУ!$CG:$CG,MATCH($U13*1,ТУ!$CP:$CP,0),1))-1),LEN(LEFT(INDEX(ТУ!$CG:$CG,MATCH($U13*1,ТУ!$CP:$CP,0),1),SEARCH(")",INDEX(ТУ!$CG:$CG,MATCH($U13*1,ТУ!$CP:$CP,0),1))-1))-SEARCH("(",INDEX(ТУ!$CG:$CG,MATCH($U13*1,ТУ!$CP:$CP,0),1))),""),1)), "TELEOFIS WRX708-L4",IFERROR(RIGHT(LEFT(INDEX(ТУ!$CG:$CG,MATCH($U13*1,ТУ!$CP:$CP,0),1),SEARCH(")",INDEX(ТУ!$CG:$CG,MATCH($U13*1,ТУ!$CP:$CP,0),1))-1),LEN(LEFT(INDEX(ТУ!$CG:$CG,MATCH($U13*1,ТУ!$CP:$CP,0),1),SEARCH(")",INDEX(ТУ!$CG:$CG,MATCH($U13*1,ТУ!$CP:$CP,0),1))-1))-SEARCH("(",INDEX(ТУ!$CG:$CG,MATCH($U13*1,ТУ!$CP:$CP,0),1))),""))</f>
        <v>Завод НАРТИС - УСПД ШЛ-ZB-L</v>
      </c>
      <c r="AQ13" s="57" t="str">
        <f>IFERROR(IF(INDEX(УСПД!$K:$K,MATCH($AS13*1,УСПД!$N:$N,0),1)=0,"",INDEX(УСПД!$K:$K,MATCH($AS13*1,УСПД!$N:$N,0),1)),"")</f>
        <v/>
      </c>
      <c r="AR13" s="57" t="str">
        <f>IFERROR(IF(INDEX(УСПД!$L:$L,MATCH($AS13*1,УСПД!$N:$N,0),1)=0,"",INDEX(УСПД!$L:$L,MATCH($AS13*1,УСПД!$N:$N,0),1)),"")</f>
        <v/>
      </c>
      <c r="AS13" s="60" t="str">
        <f>IFERROR(LEFT(INDEX(ТУ!$CG:$CG,MATCH($U13*1,ТУ!$CP:$CP,0),1),SEARCH(" ",INDEX(ТУ!$CG:$CG,MATCH($U13*1,ТУ!$CP:$CP,0),1))-1),"")</f>
        <v>112402012687</v>
      </c>
      <c r="AT13" s="59" t="s">
        <v>360</v>
      </c>
      <c r="AU13" s="59">
        <f>3</f>
        <v>3</v>
      </c>
      <c r="AV13" s="59" t="s">
        <v>368</v>
      </c>
      <c r="AW13" s="149" t="str">
        <f t="shared" si="19"/>
        <v/>
      </c>
      <c r="AX13" s="149">
        <f t="shared" si="20"/>
        <v>34</v>
      </c>
      <c r="AY13" s="149" t="str">
        <f t="shared" si="21"/>
        <v/>
      </c>
      <c r="AZ13" s="149" t="str">
        <f t="shared" si="22"/>
        <v/>
      </c>
      <c r="BA13" s="149">
        <f t="shared" si="23"/>
        <v>1</v>
      </c>
      <c r="BB13" s="154" t="str">
        <f>IF($AP13="",IFERROR(IFERROR(LEFT(RIGHT(INDEX(ТУ!$CE:$CE,MATCH($U13*1,ТУ!$CP:$CP,0),1),LEN(INDEX(ТУ!$CE:$CE,MATCH($U13*1,ТУ!$CP:$CP,0),1))-SEARCH(", ",INDEX(ТУ!$CE:$CE,MATCH($U13*1,ТУ!$CP:$CP,0),1),SEARCH(", ",INDEX(ТУ!$CE:$CE,MATCH($U13*1,ТУ!$CP:$CP,0),1))+1)-1),SEARCH(":",RIGHT(INDEX(ТУ!$CE:$CE,MATCH($U13*1,ТУ!$CP:$CP,0),1),LEN(INDEX(ТУ!$CE:$CE,MATCH($U13*1,ТУ!$CP:$CP,0),1))-SEARCH(", ",INDEX(ТУ!$CE:$CE,MATCH($U13*1,ТУ!$CP:$CP,0),1),SEARCH(", ",INDEX(ТУ!$CE:$CE,MATCH($U13*1,ТУ!$CP:$CP,0),1))+1)-1))-1),LEFT(INDEX(ТУ!$CE:$CE,MATCH($U13*1,ТУ!$CP:$CP,0),1),SEARCH(":",INDEX(ТУ!$CE:$CE,MATCH($U13*1,ТУ!$CP:$CP,0),1))-1)),""),IFERROR(IFERROR(LEFT(RIGHT(INDEX(УСПД!$M:$M,MATCH(IFERROR(1*LEFT(INDEX(ТУ!$CG:$CG,MATCH($U13*1,ТУ!$CP:$CP,0),1),SEARCH(" ",INDEX(ТУ!$CG:$CG,MATCH($U13*1,ТУ!$CP:$CP,0),1))-1),""),УСПД!$N:$N,0),1),LEN(INDEX(УСПД!$M:$M,MATCH(IFERROR(1*LEFT(INDEX(ТУ!$CG:$CG,MATCH($U13*1,ТУ!$CP:$CP,0),1),SEARCH(" ",INDEX(ТУ!$CG:$CG,MATCH($U13*1,ТУ!$CP:$CP,0),1))-1),""),УСПД!$N:$N,0),1))-SEARCH(", ",INDEX(УСПД!$M:$M,MATCH(IFERROR(1*LEFT(INDEX(ТУ!$CG:$CG,MATCH($U13*1,ТУ!$CP:$CP,0),1),SEARCH(" ",INDEX(ТУ!$CG:$CG,MATCH($U13*1,ТУ!$CP:$CP,0),1))-1),""),УСПД!$N:$N,0),1),SEARCH(", ",INDEX(УСПД!$M:$M,MATCH(IFERROR(1*LEFT(INDEX(ТУ!$CG:$CG,MATCH($U13*1,ТУ!$CP:$CP,0),1),SEARCH(" ",INDEX(ТУ!$CG:$CG,MATCH($U13*1,ТУ!$CP:$CP,0),1))-1),""),УСПД!$N:$N,0),1))+1)-1),SEARCH(":",RIGHT(INDEX(УСПД!$M:$M,MATCH(IFERROR(1*LEFT(INDEX(ТУ!$CG:$CG,MATCH($U13*1,ТУ!$CP:$CP,0),1),SEARCH(" ",INDEX(ТУ!$CG:$CG,MATCH($U13*1,ТУ!$CP:$CP,0),1))-1),""),УСПД!$N:$N,0),1),LEN(INDEX(УСПД!$M:$M,MATCH(IFERROR(1*LEFT(INDEX(ТУ!$CG:$CG,MATCH($U13*1,ТУ!$CP:$CP,0),1),SEARCH(" ",INDEX(ТУ!$CG:$CG,MATCH($U13*1,ТУ!$CP:$CP,0),1))-1),""),УСПД!$N:$N,0),1))-SEARCH(", ",INDEX(УСПД!$M:$M,MATCH(IFERROR(1*LEFT(INDEX(ТУ!$CG:$CG,MATCH($U13*1,ТУ!$CP:$CP,0),1),SEARCH(" ",INDEX(ТУ!$CG:$CG,MATCH($U13*1,ТУ!$CP:$CP,0),1))-1),""),УСПД!$N:$N,0),1),SEARCH(", ",INDEX(УСПД!$M:$M,MATCH(IFERROR(1*LEFT(INDEX(ТУ!$CG:$CG,MATCH($U13*1,ТУ!$CP:$CP,0),1),SEARCH(" ",INDEX(ТУ!$CG:$CG,MATCH($U13*1,ТУ!$CP:$CP,0),1))-1),""),УСПД!$N:$N,0),1))+1)-1))-1),LEFT(INDEX(УСПД!$M:$M,MATCH(IFERROR(1*LEFT(INDEX(ТУ!$CG:$CG,MATCH($U13*1,ТУ!$CP:$CP,0),1),SEARCH(" ",INDEX(ТУ!$CG:$CG,MATCH($U13*1,ТУ!$CP:$CP,0),1))-1),""),УСПД!$N:$N,0),1),SEARCH(":",INDEX(УСПД!$M:$M,MATCH(IFERROR(1*LEFT(INDEX(ТУ!$CG:$CG,MATCH($U13*1,ТУ!$CP:$CP,0),1),SEARCH(" ",INDEX(ТУ!$CG:$CG,MATCH($U13*1,ТУ!$CP:$CP,0),1))-1),""),УСПД!$N:$N,0),1))-1)),""))</f>
        <v/>
      </c>
      <c r="BC13" s="155" t="str">
        <f>INDEX(ТУ!$AF:$AF,MATCH($U13*1,ТУ!$CP:$CP,0),1)</f>
        <v>314</v>
      </c>
      <c r="BD13" s="155">
        <f>INDEX(ТУ!$X:$X,MATCH($U13*1,ТУ!$CP:$CP,0),1)</f>
        <v>0</v>
      </c>
      <c r="BE13" s="155">
        <f>INDEX(ТУ!$CL:$CL,MATCH($U13*1,ТУ!$CP:$CP,0),1)</f>
        <v>0</v>
      </c>
      <c r="BF13" s="147" t="str">
        <f>IFERROR(INDEX(естьАЦ!$A:$A,MATCH($U13*1,естьАЦ!$A:$A,0),1),"нет в АЦ")</f>
        <v>нет в АЦ</v>
      </c>
    </row>
    <row r="14" spans="1:58" ht="15" x14ac:dyDescent="0.25">
      <c r="A14" s="55">
        <f>3</f>
        <v>3</v>
      </c>
      <c r="B14" s="42" t="str">
        <f>IFERROR(IFERROR(INDEX(Справочники!$A$2:$P$79,MATCH(INDEX(ТУ!$E:$E,MATCH($U14*1,ТУ!$CP:$CP,0),1),Справочники!$P$2:$P$79,0),2),INDEX(Справочники!$A$2:$P$79,MATCH((INDEX(ТУ!$E:$E,MATCH($U14*1,ТУ!$CP:$CP,0),1))*1,Справочники!$P$2:$P$79,0),2)),"")</f>
        <v>11 р-н МКС (ЮЗОРУПЭ)</v>
      </c>
      <c r="C14" s="46" t="str">
        <f>IFERROR(TRIM(LEFT(INDEX(ТУ!$AF:$AF,MATCH($U14*1,ТУ!$CP:$CP,0),1),SEARCH("-",INDEX(ТУ!$AF:$AF,MATCH($U14*1,ТУ!$CP:$CP,0),1))-1)),IFERROR(LEFT(INDEX(ТУ!$X:$X,MATCH($U14*1,ТУ!$CP:$CP,0),1),SEARCH("-",INDEX(ТУ!$X:$X,MATCH($U14*1,ТУ!$CP:$CP,0),1))-1),"ТП"))</f>
        <v>ТП</v>
      </c>
      <c r="D14" s="47" t="str">
        <f>IF(TRIM(IF(ISNUMBER((IFERROR(RIGHT(INDEX(ТУ!$AF:$AF,MATCH($U14*1,ТУ!$CP:$CP,0),1),LEN(INDEX(ТУ!$AF:$AF,MATCH($U14*1,ТУ!$CP:$CP,0),1))-SEARCH("-",INDEX(ТУ!$AF:$AF,MATCH($U14*1,ТУ!$CP:$CP,0),1))),INDEX(ТУ!$AF:$AF,MATCH($U14*1,ТУ!$CP:$CP,0),1)))*1),IFERROR(RIGHT(INDEX(ТУ!$AF:$AF,MATCH($U14*1,ТУ!$CP:$CP,0),1),LEN(INDEX(ТУ!$AF:$AF,MATCH($U14*1,ТУ!$CP:$CP,0),1))-SEARCH("-",INDEX(ТУ!$AF:$AF,MATCH($U14*1,ТУ!$CP:$CP,0),1))),INDEX(ТУ!$AF:$AF,MATCH($U14*1,ТУ!$CP:$CP,0),1)),""))="",TRIM(IF(ISNUMBER((IFERROR(RIGHT(INDEX(ТУ!$X:$X,MATCH($U14*1,ТУ!$CP:$CP,0),1),LEN(INDEX(ТУ!$X:$X,MATCH($U14*1,ТУ!$CP:$CP,0),1))-SEARCH("-",INDEX(ТУ!$X:$X,MATCH($U14*1,ТУ!$CP:$CP,0),1))),INDEX(ТУ!$X:$X,MATCH($U14*1,ТУ!$CP:$CP,0),1)))*1),IFERROR(RIGHT(INDEX(ТУ!$X:$X,MATCH($U14*1,ТУ!$CP:$CP,0),1),LEN(INDEX(ТУ!$X:$X,MATCH($U14*1,ТУ!$CP:$CP,0),1))-SEARCH("-",INDEX(ТУ!$X:$X,MATCH($U14*1,ТУ!$CP:$CP,0),1))),INDEX(ТУ!$X:$X,MATCH($U14*1,ТУ!$CP:$CP,0),1)),"")),TRIM(IF(ISNUMBER((IFERROR(RIGHT(INDEX(ТУ!$AF:$AF,MATCH($U14*1,ТУ!$CP:$CP,0),1),LEN(INDEX(ТУ!$AF:$AF,MATCH($U14*1,ТУ!$CP:$CP,0),1))-SEARCH("-",INDEX(ТУ!$AF:$AF,MATCH($U14*1,ТУ!$CP:$CP,0),1))),INDEX(ТУ!$AF:$AF,MATCH($U14*1,ТУ!$CP:$CP,0),1)))*1),IFERROR(RIGHT(INDEX(ТУ!$AF:$AF,MATCH($U14*1,ТУ!$CP:$CP,0),1),LEN(INDEX(ТУ!$AF:$AF,MATCH($U14*1,ТУ!$CP:$CP,0),1))-SEARCH("-",INDEX(ТУ!$AF:$AF,MATCH($U14*1,ТУ!$CP:$CP,0),1))),INDEX(ТУ!$AF:$AF,MATCH($U14*1,ТУ!$CP:$CP,0),1)),"")))</f>
        <v/>
      </c>
      <c r="E14" s="25" t="str">
        <f t="shared" si="2"/>
        <v>МКС</v>
      </c>
      <c r="F14" s="20">
        <f t="shared" si="3"/>
        <v>85</v>
      </c>
      <c r="G14" s="21">
        <f t="shared" si="4"/>
        <v>5</v>
      </c>
      <c r="H14" s="25" t="str">
        <f t="shared" si="5"/>
        <v>ТП-</v>
      </c>
      <c r="I14" s="25" t="str">
        <f t="shared" si="6"/>
        <v>85500000</v>
      </c>
      <c r="J14" s="42" t="str">
        <f>INDEX(Справочники!$M:$M,MATCH(IF(INDEX(ТУ!$BO:$BO,MATCH($U14*1,ТУ!$CP:$CP,0),1)=1,1,INDEX(ТУ!$BO:$BO,MATCH($U14*1,ТУ!$CP:$CP,0),1)*100),Справочники!$N:$N,0),1)</f>
        <v>0.4 кВ</v>
      </c>
      <c r="K14" s="40">
        <f>1</f>
        <v>1</v>
      </c>
      <c r="L14" s="20" t="str">
        <f t="shared" si="7"/>
        <v>СШ-1</v>
      </c>
      <c r="M14" s="20">
        <f t="shared" si="8"/>
        <v>1</v>
      </c>
      <c r="N14" s="40"/>
      <c r="O14" s="56" t="str">
        <f t="shared" si="9"/>
        <v>Ввод-1-1</v>
      </c>
      <c r="P14" s="57" t="str">
        <f>IFERROR(IF(INDEX(ТУ!$AO:$AO,MATCH($U14*1,ТУ!$CP:$CP,0),1)=0,"",INDEX(ТУ!$AO:$AO,MATCH($U14*1,ТУ!$CP:$CP,0),1)),"")</f>
        <v>ячейка 1</v>
      </c>
      <c r="Q14" s="40">
        <f>IFERROR(IF(INDEX(ТУ!$BN:$BN,MATCH($U14*1,ТУ!$CP:$CP,0),1)=1,1,INDEX(ТУ!$BN:$BN,MATCH($U14*1,ТУ!$CP:$CP,0),1)*5),"")</f>
        <v>400</v>
      </c>
      <c r="R14" s="25">
        <f t="shared" si="10"/>
        <v>5</v>
      </c>
      <c r="S14" s="25">
        <f t="shared" si="11"/>
        <v>1</v>
      </c>
      <c r="T14" s="25">
        <f t="shared" si="12"/>
        <v>1</v>
      </c>
      <c r="U14" s="105" t="s">
        <v>608</v>
      </c>
      <c r="V14" s="43">
        <f>IF(INDEX(ТУ!$BH:$BH,MATCH($U14*1,ТУ!$CP:$CP,0),1)=0,"",INDEX(ТУ!$BH:$BH,MATCH($U14*1,ТУ!$CP:$CP,0),1))</f>
        <v>43761</v>
      </c>
      <c r="W14" s="43" t="str">
        <f>IF(INDEX(ТУ!$BI:$BI,MATCH($U14*1,ТУ!$CP:$CP,0),1)=0,"",INDEX(ТУ!$BI:$BI,MATCH($U14*1,ТУ!$CP:$CP,0),1))</f>
        <v>10.04.2018</v>
      </c>
      <c r="X14" s="58" t="str">
        <f t="shared" si="13"/>
        <v/>
      </c>
      <c r="Y14" s="25">
        <f t="shared" si="14"/>
        <v>35</v>
      </c>
      <c r="Z14" s="42" t="str">
        <f t="shared" si="15"/>
        <v/>
      </c>
      <c r="AA14" s="25" t="str">
        <f t="shared" si="16"/>
        <v/>
      </c>
      <c r="AB14" s="40" t="str">
        <f>IF(ISNUMBER(SEARCH("Приборы с поддержкой протокола СПОДЭС - Нартис-И300 (СПОДЭС)",INDEX(ТУ!$BD:$BD,MATCH($U14*1,ТУ!$CP:$CP,0),1))),"Нартис-И300",
IF(ISNUMBER(SEARCH("Приборы с поддержкой протокола СПОДЭС - Меркурий 234 (СПОДЭС)",INDEX(ТУ!$BD:$BD,MATCH($U14*1,ТУ!$CP:$CP,0),1))),"Меркурий 234 (СПОДЭС)",
IF(ISNUMBER(SEARCH("Приборы с поддержкой протокола СПОДЭС - Нартис-300 (СПОДЭС)",INDEX(ТУ!$BD:$BD,MATCH($U14*1,ТУ!$CP:$CP,0),1))),"Нартис-300",
IF(ISNUMBER(SEARCH("Инкотекс - Меркурий 234",INDEX(ТУ!$BD:$BD,MATCH($U14*1,ТУ!$CP:$CP,0),1))),"Меркурий 234",
IF(ISNUMBER(SEARCH("Инкотекс - Меркурий 206",INDEX(ТУ!$BD:$BD,MATCH($U14*1,ТУ!$CP:$CP,0),1))),"Меркурий 206",
IF(ISNUMBER(SEARCH("Приборы с поддержкой протокола СПОДЭС - Универсальный счетчик СПОДЭС 2 трехфазный",INDEX(ТУ!$BD:$BD,MATCH($U14*1,ТУ!$CP:$CP,0),1))),"Нартис-И300",
IF(ISNUMBER(SEARCH("Приборы с поддержкой протокола СПОДЭС - Универсальный счетчик СПОДЭС 2 однофазный",INDEX(ТУ!$BD:$BD,MATCH($U14*1,ТУ!$CP:$CP,0),1))),"Нартис-И100",
IF(ISNUMBER(SEARCH("Приборы с поддержкой протокола СПОДЭС - Нартис-И100 (СПОДЭС)",INDEX(ТУ!$BD:$BD,MATCH($U14*1,ТУ!$CP:$CP,0),1))),"Нартис-И100",
IF(ISNUMBER(SEARCH("Приборы с поддержкой протокола СПОДЭС - СЕ308 (СПОДЭС)",INDEX(ТУ!$BD:$BD,MATCH($U14*1,ТУ!$CP:$CP,0),1))),"СЕ308 (СПОДЭС)",
IF(ISNUMBER(SEARCH("Приборы с поддержкой протокола СПОДЭС - СЕ207 (СПОДЭС)",INDEX(ТУ!$BD:$BD,MATCH($U14*1,ТУ!$CP:$CP,0),1))),"СЕ207 (СПОДЭС)",
IF(ISNUMBER(SEARCH("Приборы с поддержкой протокола СПОДЭС - СТЭМ-300 (СПОДЭС)",INDEX(ТУ!$BD:$BD,MATCH($U14*1,ТУ!$CP:$CP,0),1))),"СТЭМ-300 (СПОДЭС)",
IF(ISNUMBER(SEARCH("ТехноЭнерго - ТЕ3000",INDEX(ТУ!$BD:$BD,MATCH($U14*1,ТУ!$CP:$CP,0),1))),"ТЕ3000",
IF(ISNUMBER(SEARCH("НЗиФ - СЭТ-4ТМ",INDEX(ТУ!$BD:$BD,MATCH($U14*1,ТУ!$CP:$CP,0),1))),"СЭТ-4ТМ",
INDEX(ТУ!$BD:$BD,MATCH($U14*1,ТУ!$CP:$CP,0),1)
)))))))))))))</f>
        <v>НЗиФ - ПСЧ-4ТМ.05</v>
      </c>
      <c r="AC14" s="40" t="s">
        <v>2</v>
      </c>
      <c r="AD14" s="40" t="str">
        <f>IF(ISNUMBER(IFERROR(LEFT(IF(INDEX(ТУ!$CI:$CI,MATCH($U14*1,ТУ!$CP:$CP,0),1)=0,"",INDEX(ТУ!$CI:$CI,MATCH($U14*1,ТУ!$CP:$CP,0),1)),SEARCH(" ",IF(INDEX(ТУ!$CI:$CI,MATCH($U14*1,ТУ!$CP:$CP,0),1)=0,"",INDEX(ТУ!$CI:$CI,MATCH($U14*1,ТУ!$CP:$CP,0),1)),1)-1),"")*1),IFERROR(LEFT(IF(INDEX(ТУ!$CI:$CI,MATCH($U14*1,ТУ!$CP:$CP,0),1)=0,"",INDEX(ТУ!$CI:$CI,MATCH($U14*1,ТУ!$CP:$CP,0),1)),SEARCH(" ",IF(INDEX(ТУ!$CI:$CI,MATCH($U14*1,ТУ!$CP:$CP,0),1)=0,"",INDEX(ТУ!$CI:$CI,MATCH($U14*1,ТУ!$CP:$CP,0),1)),1)-1),""),"")</f>
        <v/>
      </c>
      <c r="AE14" s="40" t="str">
        <f>IF(INDEX(ТУ!$CB:$CB,MATCH($U14*1,ТУ!$CP:$CP,0),1)=0,INDEX(Adr!$B:$B,MATCH($U14*1,Adr!$C:$C,0),1),INDEX(ТУ!$CB:$CB,MATCH($U14*1,ТУ!$CP:$CP,0),1))</f>
        <v>1</v>
      </c>
      <c r="AF14" s="45" t="str">
        <f>IF(INDEX(ТУ!$CD:$CD,MATCH($U14*1,ТУ!$CP:$CP,0),1)=0,"",INDEX(ТУ!$CD:$CD,MATCH($U14*1,ТУ!$CP:$CP,0),1))</f>
        <v>000000</v>
      </c>
      <c r="AG14" s="45">
        <f>0</f>
        <v>0</v>
      </c>
      <c r="AH14" s="26">
        <f t="shared" si="17"/>
        <v>85</v>
      </c>
      <c r="AI14" s="20" t="str">
        <f t="shared" si="18"/>
        <v>855000001</v>
      </c>
      <c r="AJ14" s="41" t="str">
        <f t="shared" si="1"/>
        <v/>
      </c>
      <c r="AK14" s="41" t="str">
        <f>IF($AP14="",IFERROR(IFERROR(LEFT(RIGHT(INDEX(ТУ!$CE:$CE,MATCH($U14*1,ТУ!$CP:$CP,0),1),LEN(INDEX(ТУ!$CE:$CE,MATCH($U14*1,ТУ!$CP:$CP,0),1))-SEARCH(":",INDEX(ТУ!$CE:$CE,MATCH($U14*1,ТУ!$CP:$CP,0),1))),SEARCH("/",RIGHT(INDEX(ТУ!$CE:$CE,MATCH($U14*1,ТУ!$CP:$CP,0),1),LEN(INDEX(ТУ!$CE:$CE,MATCH($U14*1,ТУ!$CP:$CP,0),1))-SEARCH(":",INDEX(ТУ!$CE:$CE,MATCH($U14*1,ТУ!$CP:$CP,0),1))))-1), RIGHT(INDEX(ТУ!$CE:$CE,MATCH($U14*1,ТУ!$CP:$CP,0),1),LEN(INDEX(ТУ!$CE:$CE,MATCH($U14*1,ТУ!$CP:$CP,0),1))-SEARCH(":",INDEX(ТУ!$CE:$CE,MATCH($U14*1,ТУ!$CP:$CP,0),1)))), ""),IFERROR(IFERROR(LEFT(RIGHT(INDEX(УСПД!$M:$M,MATCH(IFERROR(1*LEFT(INDEX(ТУ!$CG:$CG,MATCH($U14*1,ТУ!$CP:$CP,0),1),SEARCH(" ",INDEX(ТУ!$CG:$CG,MATCH($U14*1,ТУ!$CP:$CP,0),1))-1),""),УСПД!$N:$N,0),1),LEN(INDEX(УСПД!$M:$M,MATCH(IFERROR(1*LEFT(INDEX(ТУ!$CG:$CG,MATCH($U14*1,ТУ!$CP:$CP,0),1),SEARCH(" ",INDEX(ТУ!$CG:$CG,MATCH($U14*1,ТУ!$CP:$CP,0),1))-1),""),УСПД!$N:$N,0),1))-SEARCH(":",INDEX(УСПД!$M:$M,MATCH(IFERROR(1*LEFT(INDEX(ТУ!$CG:$CG,MATCH($U14*1,ТУ!$CP:$CP,0),1),SEARCH(" ",INDEX(ТУ!$CG:$CG,MATCH($U14*1,ТУ!$CP:$CP,0),1))-1),""),УСПД!$N:$N,0),1))),SEARCH("/",RIGHT(INDEX(УСПД!$M:$M,MATCH(IFERROR(1*LEFT(INDEX(ТУ!$CG:$CG,MATCH($U14*1,ТУ!$CP:$CP,0),1),SEARCH(" ",INDEX(ТУ!$CG:$CG,MATCH($U14*1,ТУ!$CP:$CP,0),1))-1),""),УСПД!$N:$N,0),1),LEN(INDEX(УСПД!$M:$M,MATCH(IFERROR(1*LEFT(INDEX(ТУ!$CG:$CG,MATCH($U14*1,ТУ!$CP:$CP,0),1),SEARCH(" ",INDEX(ТУ!$CG:$CG,MATCH($U14*1,ТУ!$CP:$CP,0),1))-1),""),УСПД!$N:$N,0),1))-SEARCH(":",INDEX(УСПД!$M:$M,MATCH(IFERROR(1*LEFT(INDEX(ТУ!$CG:$CG,MATCH($U14*1,ТУ!$CP:$CP,0),1),SEARCH(" ",INDEX(ТУ!$CG:$CG,MATCH($U14*1,ТУ!$CP:$CP,0),1))-1),""),УСПД!$N:$N,0),1))))-1), RIGHT(INDEX(УСПД!$M:$M,MATCH(IFERROR(1*LEFT(INDEX(ТУ!$CG:$CG,MATCH($U14*1,ТУ!$CP:$CP,0),1),SEARCH(" ",INDEX(ТУ!$CG:$CG,MATCH($U14*1,ТУ!$CP:$CP,0),1))-1),""),УСПД!$N:$N,0),1),LEN(INDEX(УСПД!$M:$M,MATCH(IFERROR(1*LEFT(INDEX(ТУ!$CG:$CG,MATCH($U14*1,ТУ!$CP:$CP,0),1),SEARCH(" ",INDEX(ТУ!$CG:$CG,MATCH($U14*1,ТУ!$CP:$CP,0),1))-1),""),УСПД!$N:$N,0),1))-SEARCH(":",INDEX(УСПД!$M:$M,MATCH(IFERROR(1*LEFT(INDEX(ТУ!$CG:$CG,MATCH($U14*1,ТУ!$CP:$CP,0),1),SEARCH(" ",INDEX(ТУ!$CG:$CG,MATCH($U14*1,ТУ!$CP:$CP,0),1))-1),""),УСПД!$N:$N,0),1)))), ""))</f>
        <v/>
      </c>
      <c r="AL14" s="41"/>
      <c r="AM14" s="57" t="str">
        <f>IFERROR(IFERROR(INDEX(Tel!$B:$B,MATCH($AJ14,Tel!$E:$E,0),1),INDEX(Tel!$B:$B,MATCH($AJ14,Tel!$D:$D,0),1)),"")</f>
        <v/>
      </c>
      <c r="AN14" s="59" t="str">
        <f>IF(ISNUMBER(SEARCH("ТОПАЗ - ТОПАЗ УСПД",IFERROR(RIGHT(LEFT(INDEX(ТУ!$CG:$CG,MATCH($U14*1,ТУ!$CP:$CP,0),1),SEARCH(")",INDEX(ТУ!$CG:$CG,MATCH($U14*1,ТУ!$CP:$CP,0),1))-1),LEN(LEFT(INDEX(ТУ!$CG:$CG,MATCH($U14*1,ТУ!$CP:$CP,0),1),SEARCH(")",INDEX(ТУ!$CG:$CG,MATCH($U14*1,ТУ!$CP:$CP,0),1))-1))-SEARCH("(",INDEX(ТУ!$CG:$CG,MATCH($U14*1,ТУ!$CP:$CP,0),1))),""),1)),"RTU-327",
IF(ISNUMBER(SEARCH("TELEOFIS",$AP14)),"Модем",
""))</f>
        <v/>
      </c>
      <c r="AO14" s="27" t="str">
        <f t="shared" si="0"/>
        <v/>
      </c>
      <c r="AP14" s="57" t="str">
        <f>IF(ISNUMBER(SEARCH("Миландр - Милур GSM/GPRS модем",IFERROR(RIGHT(LEFT(INDEX(ТУ!$CG:$CG,MATCH($U14*1,ТУ!$CP:$CP,0),1),SEARCH(")",INDEX(ТУ!$CG:$CG,MATCH($U14*1,ТУ!$CP:$CP,0),1))-1),LEN(LEFT(INDEX(ТУ!$CG:$CG,MATCH($U14*1,ТУ!$CP:$CP,0),1),SEARCH(")",INDEX(ТУ!$CG:$CG,MATCH($U14*1,ТУ!$CP:$CP,0),1))-1))-SEARCH("(",INDEX(ТУ!$CG:$CG,MATCH($U14*1,ТУ!$CP:$CP,0),1))),""),1)), "TELEOFIS WRX708-L4",IFERROR(RIGHT(LEFT(INDEX(ТУ!$CG:$CG,MATCH($U14*1,ТУ!$CP:$CP,0),1),SEARCH(")",INDEX(ТУ!$CG:$CG,MATCH($U14*1,ТУ!$CP:$CP,0),1))-1),LEN(LEFT(INDEX(ТУ!$CG:$CG,MATCH($U14*1,ТУ!$CP:$CP,0),1),SEARCH(")",INDEX(ТУ!$CG:$CG,MATCH($U14*1,ТУ!$CP:$CP,0),1))-1))-SEARCH("(",INDEX(ТУ!$CG:$CG,MATCH($U14*1,ТУ!$CP:$CP,0),1))),""))</f>
        <v>Связь Инжиниринг М - УМ-40 (RTU-327</v>
      </c>
      <c r="AQ14" s="57" t="str">
        <f>IFERROR(IF(INDEX(УСПД!$K:$K,MATCH($AS14*1,УСПД!$N:$N,0),1)=0,"",INDEX(УСПД!$K:$K,MATCH($AS14*1,УСПД!$N:$N,0),1)),"")</f>
        <v/>
      </c>
      <c r="AR14" s="57" t="str">
        <f>IFERROR(IF(INDEX(УСПД!$L:$L,MATCH($AS14*1,УСПД!$N:$N,0),1)=0,"",INDEX(УСПД!$L:$L,MATCH($AS14*1,УСПД!$N:$N,0),1)),"")</f>
        <v/>
      </c>
      <c r="AS14" s="60" t="str">
        <f>IFERROR(LEFT(INDEX(ТУ!$CG:$CG,MATCH($U14*1,ТУ!$CP:$CP,0),1),SEARCH(" ",INDEX(ТУ!$CG:$CG,MATCH($U14*1,ТУ!$CP:$CP,0),1))-1),"")</f>
        <v>200000314446</v>
      </c>
      <c r="AT14" s="59" t="s">
        <v>360</v>
      </c>
      <c r="AU14" s="59">
        <f>3</f>
        <v>3</v>
      </c>
      <c r="AV14" s="59" t="s">
        <v>368</v>
      </c>
      <c r="AW14" s="149">
        <f t="shared" si="19"/>
        <v>63</v>
      </c>
      <c r="AX14" s="149">
        <f t="shared" si="20"/>
        <v>34</v>
      </c>
      <c r="AY14" s="149" t="str">
        <f t="shared" si="21"/>
        <v/>
      </c>
      <c r="AZ14" s="149" t="str">
        <f t="shared" si="22"/>
        <v/>
      </c>
      <c r="BA14" s="149">
        <f t="shared" si="23"/>
        <v>1</v>
      </c>
      <c r="BB14" s="154" t="str">
        <f>IF($AP14="",IFERROR(IFERROR(LEFT(RIGHT(INDEX(ТУ!$CE:$CE,MATCH($U14*1,ТУ!$CP:$CP,0),1),LEN(INDEX(ТУ!$CE:$CE,MATCH($U14*1,ТУ!$CP:$CP,0),1))-SEARCH(", ",INDEX(ТУ!$CE:$CE,MATCH($U14*1,ТУ!$CP:$CP,0),1),SEARCH(", ",INDEX(ТУ!$CE:$CE,MATCH($U14*1,ТУ!$CP:$CP,0),1))+1)-1),SEARCH(":",RIGHT(INDEX(ТУ!$CE:$CE,MATCH($U14*1,ТУ!$CP:$CP,0),1),LEN(INDEX(ТУ!$CE:$CE,MATCH($U14*1,ТУ!$CP:$CP,0),1))-SEARCH(", ",INDEX(ТУ!$CE:$CE,MATCH($U14*1,ТУ!$CP:$CP,0),1),SEARCH(", ",INDEX(ТУ!$CE:$CE,MATCH($U14*1,ТУ!$CP:$CP,0),1))+1)-1))-1),LEFT(INDEX(ТУ!$CE:$CE,MATCH($U14*1,ТУ!$CP:$CP,0),1),SEARCH(":",INDEX(ТУ!$CE:$CE,MATCH($U14*1,ТУ!$CP:$CP,0),1))-1)),""),IFERROR(IFERROR(LEFT(RIGHT(INDEX(УСПД!$M:$M,MATCH(IFERROR(1*LEFT(INDEX(ТУ!$CG:$CG,MATCH($U14*1,ТУ!$CP:$CP,0),1),SEARCH(" ",INDEX(ТУ!$CG:$CG,MATCH($U14*1,ТУ!$CP:$CP,0),1))-1),""),УСПД!$N:$N,0),1),LEN(INDEX(УСПД!$M:$M,MATCH(IFERROR(1*LEFT(INDEX(ТУ!$CG:$CG,MATCH($U14*1,ТУ!$CP:$CP,0),1),SEARCH(" ",INDEX(ТУ!$CG:$CG,MATCH($U14*1,ТУ!$CP:$CP,0),1))-1),""),УСПД!$N:$N,0),1))-SEARCH(", ",INDEX(УСПД!$M:$M,MATCH(IFERROR(1*LEFT(INDEX(ТУ!$CG:$CG,MATCH($U14*1,ТУ!$CP:$CP,0),1),SEARCH(" ",INDEX(ТУ!$CG:$CG,MATCH($U14*1,ТУ!$CP:$CP,0),1))-1),""),УСПД!$N:$N,0),1),SEARCH(", ",INDEX(УСПД!$M:$M,MATCH(IFERROR(1*LEFT(INDEX(ТУ!$CG:$CG,MATCH($U14*1,ТУ!$CP:$CP,0),1),SEARCH(" ",INDEX(ТУ!$CG:$CG,MATCH($U14*1,ТУ!$CP:$CP,0),1))-1),""),УСПД!$N:$N,0),1))+1)-1),SEARCH(":",RIGHT(INDEX(УСПД!$M:$M,MATCH(IFERROR(1*LEFT(INDEX(ТУ!$CG:$CG,MATCH($U14*1,ТУ!$CP:$CP,0),1),SEARCH(" ",INDEX(ТУ!$CG:$CG,MATCH($U14*1,ТУ!$CP:$CP,0),1))-1),""),УСПД!$N:$N,0),1),LEN(INDEX(УСПД!$M:$M,MATCH(IFERROR(1*LEFT(INDEX(ТУ!$CG:$CG,MATCH($U14*1,ТУ!$CP:$CP,0),1),SEARCH(" ",INDEX(ТУ!$CG:$CG,MATCH($U14*1,ТУ!$CP:$CP,0),1))-1),""),УСПД!$N:$N,0),1))-SEARCH(", ",INDEX(УСПД!$M:$M,MATCH(IFERROR(1*LEFT(INDEX(ТУ!$CG:$CG,MATCH($U14*1,ТУ!$CP:$CP,0),1),SEARCH(" ",INDEX(ТУ!$CG:$CG,MATCH($U14*1,ТУ!$CP:$CP,0),1))-1),""),УСПД!$N:$N,0),1),SEARCH(", ",INDEX(УСПД!$M:$M,MATCH(IFERROR(1*LEFT(INDEX(ТУ!$CG:$CG,MATCH($U14*1,ТУ!$CP:$CP,0),1),SEARCH(" ",INDEX(ТУ!$CG:$CG,MATCH($U14*1,ТУ!$CP:$CP,0),1))-1),""),УСПД!$N:$N,0),1))+1)-1))-1),LEFT(INDEX(УСПД!$M:$M,MATCH(IFERROR(1*LEFT(INDEX(ТУ!$CG:$CG,MATCH($U14*1,ТУ!$CP:$CP,0),1),SEARCH(" ",INDEX(ТУ!$CG:$CG,MATCH($U14*1,ТУ!$CP:$CP,0),1))-1),""),УСПД!$N:$N,0),1),SEARCH(":",INDEX(УСПД!$M:$M,MATCH(IFERROR(1*LEFT(INDEX(ТУ!$CG:$CG,MATCH($U14*1,ТУ!$CP:$CP,0),1),SEARCH(" ",INDEX(ТУ!$CG:$CG,MATCH($U14*1,ТУ!$CP:$CP,0),1))-1),""),УСПД!$N:$N,0),1))-1)),""))</f>
        <v/>
      </c>
      <c r="BC14" s="155" t="str">
        <f>INDEX(ТУ!$AF:$AF,MATCH($U14*1,ТУ!$CP:$CP,0),1)</f>
        <v>ТП МКС (11 РЭР)</v>
      </c>
      <c r="BD14" s="155">
        <f>INDEX(ТУ!$X:$X,MATCH($U14*1,ТУ!$CP:$CP,0),1)</f>
        <v>0</v>
      </c>
      <c r="BE14" s="155" t="str">
        <f>INDEX(ТУ!$CL:$CL,MATCH($U14*1,ТУ!$CP:$CP,0),1)</f>
        <v>МКД</v>
      </c>
      <c r="BF14" s="147" t="str">
        <f>IFERROR(INDEX(естьАЦ!$A:$A,MATCH($U14*1,естьАЦ!$A:$A,0),1),"нет в АЦ")</f>
        <v>нет в АЦ</v>
      </c>
    </row>
    <row r="15" spans="1:58" ht="25.5" x14ac:dyDescent="0.25">
      <c r="A15" s="55">
        <f>3</f>
        <v>3</v>
      </c>
      <c r="B15" s="42" t="str">
        <f>IFERROR(IFERROR(INDEX(Справочники!$A$2:$P$79,MATCH(INDEX(ТУ!$E:$E,MATCH($U15*1,ТУ!$CP:$CP,0),1),Справочники!$P$2:$P$79,0),2),INDEX(Справочники!$A$2:$P$79,MATCH((INDEX(ТУ!$E:$E,MATCH($U15*1,ТУ!$CP:$CP,0),1))*1,Справочники!$P$2:$P$79,0),2)),"")</f>
        <v>14 р-н МКС (ВОРУПЭ)</v>
      </c>
      <c r="C15" s="46" t="str">
        <f>IFERROR(TRIM(LEFT(INDEX(ТУ!$AF:$AF,MATCH($U15*1,ТУ!$CP:$CP,0),1),SEARCH("-",INDEX(ТУ!$AF:$AF,MATCH($U15*1,ТУ!$CP:$CP,0),1))-1)),IFERROR(LEFT(INDEX(ТУ!$X:$X,MATCH($U15*1,ТУ!$CP:$CP,0),1),SEARCH("-",INDEX(ТУ!$X:$X,MATCH($U15*1,ТУ!$CP:$CP,0),1))-1),"ТП"))</f>
        <v>ТП</v>
      </c>
      <c r="D15" s="47" t="str">
        <f>IF(TRIM(IF(ISNUMBER((IFERROR(RIGHT(INDEX(ТУ!$AF:$AF,MATCH($U15*1,ТУ!$CP:$CP,0),1),LEN(INDEX(ТУ!$AF:$AF,MATCH($U15*1,ТУ!$CP:$CP,0),1))-SEARCH("-",INDEX(ТУ!$AF:$AF,MATCH($U15*1,ТУ!$CP:$CP,0),1))),INDEX(ТУ!$AF:$AF,MATCH($U15*1,ТУ!$CP:$CP,0),1)))*1),IFERROR(RIGHT(INDEX(ТУ!$AF:$AF,MATCH($U15*1,ТУ!$CP:$CP,0),1),LEN(INDEX(ТУ!$AF:$AF,MATCH($U15*1,ТУ!$CP:$CP,0),1))-SEARCH("-",INDEX(ТУ!$AF:$AF,MATCH($U15*1,ТУ!$CP:$CP,0),1))),INDEX(ТУ!$AF:$AF,MATCH($U15*1,ТУ!$CP:$CP,0),1)),""))="",TRIM(IF(ISNUMBER((IFERROR(RIGHT(INDEX(ТУ!$X:$X,MATCH($U15*1,ТУ!$CP:$CP,0),1),LEN(INDEX(ТУ!$X:$X,MATCH($U15*1,ТУ!$CP:$CP,0),1))-SEARCH("-",INDEX(ТУ!$X:$X,MATCH($U15*1,ТУ!$CP:$CP,0),1))),INDEX(ТУ!$X:$X,MATCH($U15*1,ТУ!$CP:$CP,0),1)))*1),IFERROR(RIGHT(INDEX(ТУ!$X:$X,MATCH($U15*1,ТУ!$CP:$CP,0),1),LEN(INDEX(ТУ!$X:$X,MATCH($U15*1,ТУ!$CP:$CP,0),1))-SEARCH("-",INDEX(ТУ!$X:$X,MATCH($U15*1,ТУ!$CP:$CP,0),1))),INDEX(ТУ!$X:$X,MATCH($U15*1,ТУ!$CP:$CP,0),1)),"")),TRIM(IF(ISNUMBER((IFERROR(RIGHT(INDEX(ТУ!$AF:$AF,MATCH($U15*1,ТУ!$CP:$CP,0),1),LEN(INDEX(ТУ!$AF:$AF,MATCH($U15*1,ТУ!$CP:$CP,0),1))-SEARCH("-",INDEX(ТУ!$AF:$AF,MATCH($U15*1,ТУ!$CP:$CP,0),1))),INDEX(ТУ!$AF:$AF,MATCH($U15*1,ТУ!$CP:$CP,0),1)))*1),IFERROR(RIGHT(INDEX(ТУ!$AF:$AF,MATCH($U15*1,ТУ!$CP:$CP,0),1),LEN(INDEX(ТУ!$AF:$AF,MATCH($U15*1,ТУ!$CP:$CP,0),1))-SEARCH("-",INDEX(ТУ!$AF:$AF,MATCH($U15*1,ТУ!$CP:$CP,0),1))),INDEX(ТУ!$AF:$AF,MATCH($U15*1,ТУ!$CP:$CP,0),1)),"")))</f>
        <v/>
      </c>
      <c r="E15" s="25" t="str">
        <f t="shared" si="2"/>
        <v>МКС</v>
      </c>
      <c r="F15" s="20">
        <f t="shared" si="3"/>
        <v>88</v>
      </c>
      <c r="G15" s="21">
        <f t="shared" si="4"/>
        <v>5</v>
      </c>
      <c r="H15" s="25" t="str">
        <f t="shared" si="5"/>
        <v>ТП-</v>
      </c>
      <c r="I15" s="25" t="str">
        <f t="shared" si="6"/>
        <v>88500000</v>
      </c>
      <c r="J15" s="42" t="str">
        <f>INDEX(Справочники!$M:$M,MATCH(IF(INDEX(ТУ!$BO:$BO,MATCH($U15*1,ТУ!$CP:$CP,0),1)=1,1,INDEX(ТУ!$BO:$BO,MATCH($U15*1,ТУ!$CP:$CP,0),1)*100),Справочники!$N:$N,0),1)</f>
        <v>0.4 кВ</v>
      </c>
      <c r="K15" s="40">
        <f>1</f>
        <v>1</v>
      </c>
      <c r="L15" s="20" t="str">
        <f t="shared" si="7"/>
        <v>СШ-1</v>
      </c>
      <c r="M15" s="20">
        <f t="shared" si="8"/>
        <v>1</v>
      </c>
      <c r="N15" s="40"/>
      <c r="O15" s="56" t="str">
        <f t="shared" si="9"/>
        <v>Ввод-1-1</v>
      </c>
      <c r="P15" s="57" t="str">
        <f>IFERROR(IF(INDEX(ТУ!$AO:$AO,MATCH($U15*1,ТУ!$CP:$CP,0),1)=0,"",INDEX(ТУ!$AO:$AO,MATCH($U15*1,ТУ!$CP:$CP,0),1)),"")</f>
        <v>ячейка 1</v>
      </c>
      <c r="Q15" s="40">
        <f>IFERROR(IF(INDEX(ТУ!$BN:$BN,MATCH($U15*1,ТУ!$CP:$CP,0),1)=1,1,INDEX(ТУ!$BN:$BN,MATCH($U15*1,ТУ!$CP:$CP,0),1)*5),"")</f>
        <v>1</v>
      </c>
      <c r="R15" s="25">
        <f t="shared" si="10"/>
        <v>1</v>
      </c>
      <c r="S15" s="25">
        <f t="shared" si="11"/>
        <v>1</v>
      </c>
      <c r="T15" s="25">
        <f t="shared" si="12"/>
        <v>1</v>
      </c>
      <c r="U15" s="105" t="s">
        <v>621</v>
      </c>
      <c r="V15" s="43">
        <f>IF(INDEX(ТУ!$BH:$BH,MATCH($U15*1,ТУ!$CP:$CP,0),1)=0,"",INDEX(ТУ!$BH:$BH,MATCH($U15*1,ТУ!$CP:$CP,0),1))</f>
        <v>44808</v>
      </c>
      <c r="W15" s="43" t="str">
        <f>IF(INDEX(ТУ!$BI:$BI,MATCH($U15*1,ТУ!$CP:$CP,0),1)=0,"",INDEX(ТУ!$BI:$BI,MATCH($U15*1,ТУ!$CP:$CP,0),1))</f>
        <v>15.02.2022</v>
      </c>
      <c r="X15" s="58" t="str">
        <f t="shared" si="13"/>
        <v/>
      </c>
      <c r="Y15" s="25">
        <f t="shared" si="14"/>
        <v>35</v>
      </c>
      <c r="Z15" s="42" t="str">
        <f t="shared" si="15"/>
        <v/>
      </c>
      <c r="AA15" s="25" t="str">
        <f t="shared" si="16"/>
        <v/>
      </c>
      <c r="AB15" s="40" t="str">
        <f>IF(ISNUMBER(SEARCH("Приборы с поддержкой протокола СПОДЭС - Нартис-И300 (СПОДЭС)",INDEX(ТУ!$BD:$BD,MATCH($U15*1,ТУ!$CP:$CP,0),1))),"Нартис-И300",
IF(ISNUMBER(SEARCH("Приборы с поддержкой протокола СПОДЭС - Меркурий 234 (СПОДЭС)",INDEX(ТУ!$BD:$BD,MATCH($U15*1,ТУ!$CP:$CP,0),1))),"Меркурий 234 (СПОДЭС)",
IF(ISNUMBER(SEARCH("Приборы с поддержкой протокола СПОДЭС - Нартис-300 (СПОДЭС)",INDEX(ТУ!$BD:$BD,MATCH($U15*1,ТУ!$CP:$CP,0),1))),"Нартис-300",
IF(ISNUMBER(SEARCH("Инкотекс - Меркурий 234",INDEX(ТУ!$BD:$BD,MATCH($U15*1,ТУ!$CP:$CP,0),1))),"Меркурий 234",
IF(ISNUMBER(SEARCH("Инкотекс - Меркурий 206",INDEX(ТУ!$BD:$BD,MATCH($U15*1,ТУ!$CP:$CP,0),1))),"Меркурий 206",
IF(ISNUMBER(SEARCH("Приборы с поддержкой протокола СПОДЭС - Универсальный счетчик СПОДЭС 2 трехфазный",INDEX(ТУ!$BD:$BD,MATCH($U15*1,ТУ!$CP:$CP,0),1))),"Нартис-И300",
IF(ISNUMBER(SEARCH("Приборы с поддержкой протокола СПОДЭС - Универсальный счетчик СПОДЭС 2 однофазный",INDEX(ТУ!$BD:$BD,MATCH($U15*1,ТУ!$CP:$CP,0),1))),"Нартис-И100",
IF(ISNUMBER(SEARCH("Приборы с поддержкой протокола СПОДЭС - Нартис-И100 (СПОДЭС)",INDEX(ТУ!$BD:$BD,MATCH($U15*1,ТУ!$CP:$CP,0),1))),"Нартис-И100",
IF(ISNUMBER(SEARCH("Приборы с поддержкой протокола СПОДЭС - СЕ308 (СПОДЭС)",INDEX(ТУ!$BD:$BD,MATCH($U15*1,ТУ!$CP:$CP,0),1))),"СЕ308 (СПОДЭС)",
IF(ISNUMBER(SEARCH("Приборы с поддержкой протокола СПОДЭС - СЕ207 (СПОДЭС)",INDEX(ТУ!$BD:$BD,MATCH($U15*1,ТУ!$CP:$CP,0),1))),"СЕ207 (СПОДЭС)",
IF(ISNUMBER(SEARCH("Приборы с поддержкой протокола СПОДЭС - СТЭМ-300 (СПОДЭС)",INDEX(ТУ!$BD:$BD,MATCH($U15*1,ТУ!$CP:$CP,0),1))),"СТЭМ-300 (СПОДЭС)",
IF(ISNUMBER(SEARCH("ТехноЭнерго - ТЕ3000",INDEX(ТУ!$BD:$BD,MATCH($U15*1,ТУ!$CP:$CP,0),1))),"ТЕ3000",
IF(ISNUMBER(SEARCH("НЗиФ - СЭТ-4ТМ",INDEX(ТУ!$BD:$BD,MATCH($U15*1,ТУ!$CP:$CP,0),1))),"СЭТ-4ТМ",
INDEX(ТУ!$BD:$BD,MATCH($U15*1,ТУ!$CP:$CP,0),1)
)))))))))))))</f>
        <v>Приборы с поддержкой протокола СПОДЭС - Меркурий 204 (СПОДЭС)</v>
      </c>
      <c r="AC15" s="40" t="s">
        <v>2</v>
      </c>
      <c r="AD15" s="40" t="str">
        <f>IF(ISNUMBER(IFERROR(LEFT(IF(INDEX(ТУ!$CI:$CI,MATCH($U15*1,ТУ!$CP:$CP,0),1)=0,"",INDEX(ТУ!$CI:$CI,MATCH($U15*1,ТУ!$CP:$CP,0),1)),SEARCH(" ",IF(INDEX(ТУ!$CI:$CI,MATCH($U15*1,ТУ!$CP:$CP,0),1)=0,"",INDEX(ТУ!$CI:$CI,MATCH($U15*1,ТУ!$CP:$CP,0),1)),1)-1),"")*1),IFERROR(LEFT(IF(INDEX(ТУ!$CI:$CI,MATCH($U15*1,ТУ!$CP:$CP,0),1)=0,"",INDEX(ТУ!$CI:$CI,MATCH($U15*1,ТУ!$CP:$CP,0),1)),SEARCH(" ",IF(INDEX(ТУ!$CI:$CI,MATCH($U15*1,ТУ!$CP:$CP,0),1)=0,"",INDEX(ТУ!$CI:$CI,MATCH($U15*1,ТУ!$CP:$CP,0),1)),1)-1),""),"")</f>
        <v/>
      </c>
      <c r="AE15" s="40">
        <f>IF(INDEX(ТУ!$CB:$CB,MATCH($U15*1,ТУ!$CP:$CP,0),1)=0,INDEX(Adr!$B:$B,MATCH($U15*1,Adr!$C:$C,0),1),INDEX(ТУ!$CB:$CB,MATCH($U15*1,ТУ!$CP:$CP,0),1))</f>
        <v>22</v>
      </c>
      <c r="AF15" s="45" t="str">
        <f>IF(INDEX(ТУ!$CD:$CD,MATCH($U15*1,ТУ!$CP:$CP,0),1)=0,"",INDEX(ТУ!$CD:$CD,MATCH($U15*1,ТУ!$CP:$CP,0),1))</f>
        <v>0000000000002080</v>
      </c>
      <c r="AG15" s="45">
        <f>0</f>
        <v>0</v>
      </c>
      <c r="AH15" s="26">
        <f t="shared" si="17"/>
        <v>88</v>
      </c>
      <c r="AI15" s="20" t="str">
        <f t="shared" si="18"/>
        <v>885000001</v>
      </c>
      <c r="AJ15" s="41" t="str">
        <f t="shared" si="1"/>
        <v>10.82.36.18</v>
      </c>
      <c r="AK15" s="41" t="str">
        <f>IF($AP15="",IFERROR(IFERROR(LEFT(RIGHT(INDEX(ТУ!$CE:$CE,MATCH($U15*1,ТУ!$CP:$CP,0),1),LEN(INDEX(ТУ!$CE:$CE,MATCH($U15*1,ТУ!$CP:$CP,0),1))-SEARCH(":",INDEX(ТУ!$CE:$CE,MATCH($U15*1,ТУ!$CP:$CP,0),1))),SEARCH("/",RIGHT(INDEX(ТУ!$CE:$CE,MATCH($U15*1,ТУ!$CP:$CP,0),1),LEN(INDEX(ТУ!$CE:$CE,MATCH($U15*1,ТУ!$CP:$CP,0),1))-SEARCH(":",INDEX(ТУ!$CE:$CE,MATCH($U15*1,ТУ!$CP:$CP,0),1))))-1), RIGHT(INDEX(ТУ!$CE:$CE,MATCH($U15*1,ТУ!$CP:$CP,0),1),LEN(INDEX(ТУ!$CE:$CE,MATCH($U15*1,ТУ!$CP:$CP,0),1))-SEARCH(":",INDEX(ТУ!$CE:$CE,MATCH($U15*1,ТУ!$CP:$CP,0),1)))), ""),IFERROR(IFERROR(LEFT(RIGHT(INDEX(УСПД!$M:$M,MATCH(IFERROR(1*LEFT(INDEX(ТУ!$CG:$CG,MATCH($U15*1,ТУ!$CP:$CP,0),1),SEARCH(" ",INDEX(ТУ!$CG:$CG,MATCH($U15*1,ТУ!$CP:$CP,0),1))-1),""),УСПД!$N:$N,0),1),LEN(INDEX(УСПД!$M:$M,MATCH(IFERROR(1*LEFT(INDEX(ТУ!$CG:$CG,MATCH($U15*1,ТУ!$CP:$CP,0),1),SEARCH(" ",INDEX(ТУ!$CG:$CG,MATCH($U15*1,ТУ!$CP:$CP,0),1))-1),""),УСПД!$N:$N,0),1))-SEARCH(":",INDEX(УСПД!$M:$M,MATCH(IFERROR(1*LEFT(INDEX(ТУ!$CG:$CG,MATCH($U15*1,ТУ!$CP:$CP,0),1),SEARCH(" ",INDEX(ТУ!$CG:$CG,MATCH($U15*1,ТУ!$CP:$CP,0),1))-1),""),УСПД!$N:$N,0),1))),SEARCH("/",RIGHT(INDEX(УСПД!$M:$M,MATCH(IFERROR(1*LEFT(INDEX(ТУ!$CG:$CG,MATCH($U15*1,ТУ!$CP:$CP,0),1),SEARCH(" ",INDEX(ТУ!$CG:$CG,MATCH($U15*1,ТУ!$CP:$CP,0),1))-1),""),УСПД!$N:$N,0),1),LEN(INDEX(УСПД!$M:$M,MATCH(IFERROR(1*LEFT(INDEX(ТУ!$CG:$CG,MATCH($U15*1,ТУ!$CP:$CP,0),1),SEARCH(" ",INDEX(ТУ!$CG:$CG,MATCH($U15*1,ТУ!$CP:$CP,0),1))-1),""),УСПД!$N:$N,0),1))-SEARCH(":",INDEX(УСПД!$M:$M,MATCH(IFERROR(1*LEFT(INDEX(ТУ!$CG:$CG,MATCH($U15*1,ТУ!$CP:$CP,0),1),SEARCH(" ",INDEX(ТУ!$CG:$CG,MATCH($U15*1,ТУ!$CP:$CP,0),1))-1),""),УСПД!$N:$N,0),1))))-1), RIGHT(INDEX(УСПД!$M:$M,MATCH(IFERROR(1*LEFT(INDEX(ТУ!$CG:$CG,MATCH($U15*1,ТУ!$CP:$CP,0),1),SEARCH(" ",INDEX(ТУ!$CG:$CG,MATCH($U15*1,ТУ!$CP:$CP,0),1))-1),""),УСПД!$N:$N,0),1),LEN(INDEX(УСПД!$M:$M,MATCH(IFERROR(1*LEFT(INDEX(ТУ!$CG:$CG,MATCH($U15*1,ТУ!$CP:$CP,0),1),SEARCH(" ",INDEX(ТУ!$CG:$CG,MATCH($U15*1,ТУ!$CP:$CP,0),1))-1),""),УСПД!$N:$N,0),1))-SEARCH(":",INDEX(УСПД!$M:$M,MATCH(IFERROR(1*LEFT(INDEX(ТУ!$CG:$CG,MATCH($U15*1,ТУ!$CP:$CP,0),1),SEARCH(" ",INDEX(ТУ!$CG:$CG,MATCH($U15*1,ТУ!$CP:$CP,0),1))-1),""),УСПД!$N:$N,0),1)))), ""))</f>
        <v>4001</v>
      </c>
      <c r="AL15" s="41"/>
      <c r="AM15" s="57" t="str">
        <f>IFERROR(IFERROR(INDEX(Tel!$B:$B,MATCH($AJ15,Tel!$E:$E,0),1),INDEX(Tel!$B:$B,MATCH($AJ15,Tel!$D:$D,0),1)),"")</f>
        <v/>
      </c>
      <c r="AN15" s="59" t="str">
        <f>IF(ISNUMBER(SEARCH("ТОПАЗ - ТОПАЗ УСПД",IFERROR(RIGHT(LEFT(INDEX(ТУ!$CG:$CG,MATCH($U15*1,ТУ!$CP:$CP,0),1),SEARCH(")",INDEX(ТУ!$CG:$CG,MATCH($U15*1,ТУ!$CP:$CP,0),1))-1),LEN(LEFT(INDEX(ТУ!$CG:$CG,MATCH($U15*1,ТУ!$CP:$CP,0),1),SEARCH(")",INDEX(ТУ!$CG:$CG,MATCH($U15*1,ТУ!$CP:$CP,0),1))-1))-SEARCH("(",INDEX(ТУ!$CG:$CG,MATCH($U15*1,ТУ!$CP:$CP,0),1))),""),1)),"RTU-327",
IF(ISNUMBER(SEARCH("TELEOFIS",$AP15)),"Модем",
""))</f>
        <v/>
      </c>
      <c r="AO15" s="27" t="str">
        <f t="shared" si="0"/>
        <v/>
      </c>
      <c r="AP15" s="57" t="str">
        <f>IF(ISNUMBER(SEARCH("Миландр - Милур GSM/GPRS модем",IFERROR(RIGHT(LEFT(INDEX(ТУ!$CG:$CG,MATCH($U15*1,ТУ!$CP:$CP,0),1),SEARCH(")",INDEX(ТУ!$CG:$CG,MATCH($U15*1,ТУ!$CP:$CP,0),1))-1),LEN(LEFT(INDEX(ТУ!$CG:$CG,MATCH($U15*1,ТУ!$CP:$CP,0),1),SEARCH(")",INDEX(ТУ!$CG:$CG,MATCH($U15*1,ТУ!$CP:$CP,0),1))-1))-SEARCH("(",INDEX(ТУ!$CG:$CG,MATCH($U15*1,ТУ!$CP:$CP,0),1))),""),1)), "TELEOFIS WRX708-L4",IFERROR(RIGHT(LEFT(INDEX(ТУ!$CG:$CG,MATCH($U15*1,ТУ!$CP:$CP,0),1),SEARCH(")",INDEX(ТУ!$CG:$CG,MATCH($U15*1,ТУ!$CP:$CP,0),1))-1),LEN(LEFT(INDEX(ТУ!$CG:$CG,MATCH($U15*1,ТУ!$CP:$CP,0),1),SEARCH(")",INDEX(ТУ!$CG:$CG,MATCH($U15*1,ТУ!$CP:$CP,0),1))-1))-SEARCH("(",INDEX(ТУ!$CG:$CG,MATCH($U15*1,ТУ!$CP:$CP,0),1))),""))</f>
        <v/>
      </c>
      <c r="AQ15" s="57" t="str">
        <f>IFERROR(IF(INDEX(УСПД!$K:$K,MATCH($AS15*1,УСПД!$N:$N,0),1)=0,"",INDEX(УСПД!$K:$K,MATCH($AS15*1,УСПД!$N:$N,0),1)),"")</f>
        <v/>
      </c>
      <c r="AR15" s="57" t="str">
        <f>IFERROR(IF(INDEX(УСПД!$L:$L,MATCH($AS15*1,УСПД!$N:$N,0),1)=0,"",INDEX(УСПД!$L:$L,MATCH($AS15*1,УСПД!$N:$N,0),1)),"")</f>
        <v/>
      </c>
      <c r="AS15" s="60" t="str">
        <f>IFERROR(LEFT(INDEX(ТУ!$CG:$CG,MATCH($U15*1,ТУ!$CP:$CP,0),1),SEARCH(" ",INDEX(ТУ!$CG:$CG,MATCH($U15*1,ТУ!$CP:$CP,0),1))-1),"")</f>
        <v/>
      </c>
      <c r="AT15" s="59" t="s">
        <v>360</v>
      </c>
      <c r="AU15" s="59">
        <f>3</f>
        <v>3</v>
      </c>
      <c r="AV15" s="59" t="s">
        <v>368</v>
      </c>
      <c r="AW15" s="149">
        <f t="shared" si="19"/>
        <v>66</v>
      </c>
      <c r="AX15" s="149">
        <f t="shared" si="20"/>
        <v>34</v>
      </c>
      <c r="AY15" s="149" t="str">
        <f t="shared" si="21"/>
        <v/>
      </c>
      <c r="AZ15" s="149" t="str">
        <f t="shared" si="22"/>
        <v/>
      </c>
      <c r="BA15" s="149">
        <f t="shared" si="23"/>
        <v>1</v>
      </c>
      <c r="BB15" s="154" t="str">
        <f>IF($AP15="",IFERROR(IFERROR(LEFT(RIGHT(INDEX(ТУ!$CE:$CE,MATCH($U15*1,ТУ!$CP:$CP,0),1),LEN(INDEX(ТУ!$CE:$CE,MATCH($U15*1,ТУ!$CP:$CP,0),1))-SEARCH(", ",INDEX(ТУ!$CE:$CE,MATCH($U15*1,ТУ!$CP:$CP,0),1),SEARCH(", ",INDEX(ТУ!$CE:$CE,MATCH($U15*1,ТУ!$CP:$CP,0),1))+1)-1),SEARCH(":",RIGHT(INDEX(ТУ!$CE:$CE,MATCH($U15*1,ТУ!$CP:$CP,0),1),LEN(INDEX(ТУ!$CE:$CE,MATCH($U15*1,ТУ!$CP:$CP,0),1))-SEARCH(", ",INDEX(ТУ!$CE:$CE,MATCH($U15*1,ТУ!$CP:$CP,0),1),SEARCH(", ",INDEX(ТУ!$CE:$CE,MATCH($U15*1,ТУ!$CP:$CP,0),1))+1)-1))-1),LEFT(INDEX(ТУ!$CE:$CE,MATCH($U15*1,ТУ!$CP:$CP,0),1),SEARCH(":",INDEX(ТУ!$CE:$CE,MATCH($U15*1,ТУ!$CP:$CP,0),1))-1)),""),IFERROR(IFERROR(LEFT(RIGHT(INDEX(УСПД!$M:$M,MATCH(IFERROR(1*LEFT(INDEX(ТУ!$CG:$CG,MATCH($U15*1,ТУ!$CP:$CP,0),1),SEARCH(" ",INDEX(ТУ!$CG:$CG,MATCH($U15*1,ТУ!$CP:$CP,0),1))-1),""),УСПД!$N:$N,0),1),LEN(INDEX(УСПД!$M:$M,MATCH(IFERROR(1*LEFT(INDEX(ТУ!$CG:$CG,MATCH($U15*1,ТУ!$CP:$CP,0),1),SEARCH(" ",INDEX(ТУ!$CG:$CG,MATCH($U15*1,ТУ!$CP:$CP,0),1))-1),""),УСПД!$N:$N,0),1))-SEARCH(", ",INDEX(УСПД!$M:$M,MATCH(IFERROR(1*LEFT(INDEX(ТУ!$CG:$CG,MATCH($U15*1,ТУ!$CP:$CP,0),1),SEARCH(" ",INDEX(ТУ!$CG:$CG,MATCH($U15*1,ТУ!$CP:$CP,0),1))-1),""),УСПД!$N:$N,0),1),SEARCH(", ",INDEX(УСПД!$M:$M,MATCH(IFERROR(1*LEFT(INDEX(ТУ!$CG:$CG,MATCH($U15*1,ТУ!$CP:$CP,0),1),SEARCH(" ",INDEX(ТУ!$CG:$CG,MATCH($U15*1,ТУ!$CP:$CP,0),1))-1),""),УСПД!$N:$N,0),1))+1)-1),SEARCH(":",RIGHT(INDEX(УСПД!$M:$M,MATCH(IFERROR(1*LEFT(INDEX(ТУ!$CG:$CG,MATCH($U15*1,ТУ!$CP:$CP,0),1),SEARCH(" ",INDEX(ТУ!$CG:$CG,MATCH($U15*1,ТУ!$CP:$CP,0),1))-1),""),УСПД!$N:$N,0),1),LEN(INDEX(УСПД!$M:$M,MATCH(IFERROR(1*LEFT(INDEX(ТУ!$CG:$CG,MATCH($U15*1,ТУ!$CP:$CP,0),1),SEARCH(" ",INDEX(ТУ!$CG:$CG,MATCH($U15*1,ТУ!$CP:$CP,0),1))-1),""),УСПД!$N:$N,0),1))-SEARCH(", ",INDEX(УСПД!$M:$M,MATCH(IFERROR(1*LEFT(INDEX(ТУ!$CG:$CG,MATCH($U15*1,ТУ!$CP:$CP,0),1),SEARCH(" ",INDEX(ТУ!$CG:$CG,MATCH($U15*1,ТУ!$CP:$CP,0),1))-1),""),УСПД!$N:$N,0),1),SEARCH(", ",INDEX(УСПД!$M:$M,MATCH(IFERROR(1*LEFT(INDEX(ТУ!$CG:$CG,MATCH($U15*1,ТУ!$CP:$CP,0),1),SEARCH(" ",INDEX(ТУ!$CG:$CG,MATCH($U15*1,ТУ!$CP:$CP,0),1))-1),""),УСПД!$N:$N,0),1))+1)-1))-1),LEFT(INDEX(УСПД!$M:$M,MATCH(IFERROR(1*LEFT(INDEX(ТУ!$CG:$CG,MATCH($U15*1,ТУ!$CP:$CP,0),1),SEARCH(" ",INDEX(ТУ!$CG:$CG,MATCH($U15*1,ТУ!$CP:$CP,0),1))-1),""),УСПД!$N:$N,0),1),SEARCH(":",INDEX(УСПД!$M:$M,MATCH(IFERROR(1*LEFT(INDEX(ТУ!$CG:$CG,MATCH($U15*1,ТУ!$CP:$CP,0),1),SEARCH(" ",INDEX(ТУ!$CG:$CG,MATCH($U15*1,ТУ!$CP:$CP,0),1))-1),""),УСПД!$N:$N,0),1))-1)),""))</f>
        <v>10.82.36.18</v>
      </c>
      <c r="BC15" s="155" t="str">
        <f>INDEX(ТУ!$AF:$AF,MATCH($U15*1,ТУ!$CP:$CP,0),1)</f>
        <v>ТП МКС (б/н)</v>
      </c>
      <c r="BD15" s="155">
        <f>INDEX(ТУ!$X:$X,MATCH($U15*1,ТУ!$CP:$CP,0),1)</f>
        <v>0</v>
      </c>
      <c r="BE15" s="155">
        <f>INDEX(ТУ!$CL:$CL,MATCH($U15*1,ТУ!$CP:$CP,0),1)</f>
        <v>0</v>
      </c>
      <c r="BF15" s="147" t="str">
        <f>IFERROR(INDEX(естьАЦ!$A:$A,MATCH($U15*1,естьАЦ!$A:$A,0),1),"нет в АЦ")</f>
        <v>нет в АЦ</v>
      </c>
    </row>
    <row r="16" spans="1:58" ht="15" x14ac:dyDescent="0.25">
      <c r="A16" s="55">
        <f>3</f>
        <v>3</v>
      </c>
      <c r="B16" s="42" t="str">
        <f>IFERROR(IFERROR(INDEX(Справочники!$A$2:$P$79,MATCH(INDEX(ТУ!$E:$E,MATCH($U16*1,ТУ!$CP:$CP,0),1),Справочники!$P$2:$P$79,0),2),INDEX(Справочники!$A$2:$P$79,MATCH((INDEX(ТУ!$E:$E,MATCH($U16*1,ТУ!$CP:$CP,0),1))*1,Справочники!$P$2:$P$79,0),2)),"")</f>
        <v>15 р-н МКС (ЮВОРУПЭ)</v>
      </c>
      <c r="C16" s="46" t="str">
        <f>IFERROR(TRIM(LEFT(INDEX(ТУ!$AF:$AF,MATCH($U16*1,ТУ!$CP:$CP,0),1),SEARCH("-",INDEX(ТУ!$AF:$AF,MATCH($U16*1,ТУ!$CP:$CP,0),1))-1)),IFERROR(LEFT(INDEX(ТУ!$X:$X,MATCH($U16*1,ТУ!$CP:$CP,0),1),SEARCH("-",INDEX(ТУ!$X:$X,MATCH($U16*1,ТУ!$CP:$CP,0),1))-1),"ТП"))</f>
        <v>ТП</v>
      </c>
      <c r="D16" s="47" t="str">
        <f>IF(TRIM(IF(ISNUMBER((IFERROR(RIGHT(INDEX(ТУ!$AF:$AF,MATCH($U16*1,ТУ!$CP:$CP,0),1),LEN(INDEX(ТУ!$AF:$AF,MATCH($U16*1,ТУ!$CP:$CP,0),1))-SEARCH("-",INDEX(ТУ!$AF:$AF,MATCH($U16*1,ТУ!$CP:$CP,0),1))),INDEX(ТУ!$AF:$AF,MATCH($U16*1,ТУ!$CP:$CP,0),1)))*1),IFERROR(RIGHT(INDEX(ТУ!$AF:$AF,MATCH($U16*1,ТУ!$CP:$CP,0),1),LEN(INDEX(ТУ!$AF:$AF,MATCH($U16*1,ТУ!$CP:$CP,0),1))-SEARCH("-",INDEX(ТУ!$AF:$AF,MATCH($U16*1,ТУ!$CP:$CP,0),1))),INDEX(ТУ!$AF:$AF,MATCH($U16*1,ТУ!$CP:$CP,0),1)),""))="",TRIM(IF(ISNUMBER((IFERROR(RIGHT(INDEX(ТУ!$X:$X,MATCH($U16*1,ТУ!$CP:$CP,0),1),LEN(INDEX(ТУ!$X:$X,MATCH($U16*1,ТУ!$CP:$CP,0),1))-SEARCH("-",INDEX(ТУ!$X:$X,MATCH($U16*1,ТУ!$CP:$CP,0),1))),INDEX(ТУ!$X:$X,MATCH($U16*1,ТУ!$CP:$CP,0),1)))*1),IFERROR(RIGHT(INDEX(ТУ!$X:$X,MATCH($U16*1,ТУ!$CP:$CP,0),1),LEN(INDEX(ТУ!$X:$X,MATCH($U16*1,ТУ!$CP:$CP,0),1))-SEARCH("-",INDEX(ТУ!$X:$X,MATCH($U16*1,ТУ!$CP:$CP,0),1))),INDEX(ТУ!$X:$X,MATCH($U16*1,ТУ!$CP:$CP,0),1)),"")),TRIM(IF(ISNUMBER((IFERROR(RIGHT(INDEX(ТУ!$AF:$AF,MATCH($U16*1,ТУ!$CP:$CP,0),1),LEN(INDEX(ТУ!$AF:$AF,MATCH($U16*1,ТУ!$CP:$CP,0),1))-SEARCH("-",INDEX(ТУ!$AF:$AF,MATCH($U16*1,ТУ!$CP:$CP,0),1))),INDEX(ТУ!$AF:$AF,MATCH($U16*1,ТУ!$CP:$CP,0),1)))*1),IFERROR(RIGHT(INDEX(ТУ!$AF:$AF,MATCH($U16*1,ТУ!$CP:$CP,0),1),LEN(INDEX(ТУ!$AF:$AF,MATCH($U16*1,ТУ!$CP:$CP,0),1))-SEARCH("-",INDEX(ТУ!$AF:$AF,MATCH($U16*1,ТУ!$CP:$CP,0),1))),INDEX(ТУ!$AF:$AF,MATCH($U16*1,ТУ!$CP:$CP,0),1)),"")))</f>
        <v>30656</v>
      </c>
      <c r="E16" s="25" t="str">
        <f t="shared" si="2"/>
        <v>МКС</v>
      </c>
      <c r="F16" s="20">
        <f t="shared" si="3"/>
        <v>89</v>
      </c>
      <c r="G16" s="21">
        <f t="shared" si="4"/>
        <v>5</v>
      </c>
      <c r="H16" s="25" t="str">
        <f t="shared" si="5"/>
        <v>ТП-30656</v>
      </c>
      <c r="I16" s="25" t="str">
        <f t="shared" si="6"/>
        <v>89530656</v>
      </c>
      <c r="J16" s="42" t="str">
        <f>INDEX(Справочники!$M:$M,MATCH(IF(INDEX(ТУ!$BO:$BO,MATCH($U16*1,ТУ!$CP:$CP,0),1)=1,1,INDEX(ТУ!$BO:$BO,MATCH($U16*1,ТУ!$CP:$CP,0),1)*100),Справочники!$N:$N,0),1)</f>
        <v>0.4 кВ</v>
      </c>
      <c r="K16" s="40">
        <f>1</f>
        <v>1</v>
      </c>
      <c r="L16" s="20" t="str">
        <f t="shared" si="7"/>
        <v>СШ-1</v>
      </c>
      <c r="M16" s="20">
        <f t="shared" si="8"/>
        <v>1</v>
      </c>
      <c r="N16" s="40"/>
      <c r="O16" s="56" t="str">
        <f t="shared" si="9"/>
        <v>Ввод-1-1</v>
      </c>
      <c r="P16" s="57" t="str">
        <f>IFERROR(IF(INDEX(ТУ!$AO:$AO,MATCH($U16*1,ТУ!$CP:$CP,0),1)=0,"",INDEX(ТУ!$AO:$AO,MATCH($U16*1,ТУ!$CP:$CP,0),1)),"")</f>
        <v>ВВ абонента 1</v>
      </c>
      <c r="Q16" s="40">
        <f>IFERROR(IF(INDEX(ТУ!$BN:$BN,MATCH($U16*1,ТУ!$CP:$CP,0),1)=1,1,INDEX(ТУ!$BN:$BN,MATCH($U16*1,ТУ!$CP:$CP,0),1)*5),"")</f>
        <v>1</v>
      </c>
      <c r="R16" s="25">
        <f t="shared" si="10"/>
        <v>1</v>
      </c>
      <c r="S16" s="25">
        <f t="shared" si="11"/>
        <v>1</v>
      </c>
      <c r="T16" s="25">
        <f t="shared" si="12"/>
        <v>1</v>
      </c>
      <c r="U16" s="105" t="s">
        <v>631</v>
      </c>
      <c r="V16" s="43">
        <f>IF(INDEX(ТУ!$BH:$BH,MATCH($U16*1,ТУ!$CP:$CP,0),1)=0,"",INDEX(ТУ!$BH:$BH,MATCH($U16*1,ТУ!$CP:$CP,0),1))</f>
        <v>44848</v>
      </c>
      <c r="W16" s="43" t="str">
        <f>IF(INDEX(ТУ!$BI:$BI,MATCH($U16*1,ТУ!$CP:$CP,0),1)=0,"",INDEX(ТУ!$BI:$BI,MATCH($U16*1,ТУ!$CP:$CP,0),1))</f>
        <v/>
      </c>
      <c r="X16" s="58" t="str">
        <f t="shared" si="13"/>
        <v>Меркурий-23X</v>
      </c>
      <c r="Y16" s="25">
        <f t="shared" si="14"/>
        <v>15</v>
      </c>
      <c r="Z16" s="42" t="str">
        <f t="shared" si="15"/>
        <v/>
      </c>
      <c r="AA16" s="25" t="str">
        <f t="shared" si="16"/>
        <v/>
      </c>
      <c r="AB16" s="40" t="str">
        <f>IF(ISNUMBER(SEARCH("Приборы с поддержкой протокола СПОДЭС - Нартис-И300 (СПОДЭС)",INDEX(ТУ!$BD:$BD,MATCH($U16*1,ТУ!$CP:$CP,0),1))),"Нартис-И300",
IF(ISNUMBER(SEARCH("Приборы с поддержкой протокола СПОДЭС - Меркурий 234 (СПОДЭС)",INDEX(ТУ!$BD:$BD,MATCH($U16*1,ТУ!$CP:$CP,0),1))),"Меркурий 234 (СПОДЭС)",
IF(ISNUMBER(SEARCH("Приборы с поддержкой протокола СПОДЭС - Нартис-300 (СПОДЭС)",INDEX(ТУ!$BD:$BD,MATCH($U16*1,ТУ!$CP:$CP,0),1))),"Нартис-300",
IF(ISNUMBER(SEARCH("Инкотекс - Меркурий 234",INDEX(ТУ!$BD:$BD,MATCH($U16*1,ТУ!$CP:$CP,0),1))),"Меркурий 234",
IF(ISNUMBER(SEARCH("Инкотекс - Меркурий 206",INDEX(ТУ!$BD:$BD,MATCH($U16*1,ТУ!$CP:$CP,0),1))),"Меркурий 206",
IF(ISNUMBER(SEARCH("Приборы с поддержкой протокола СПОДЭС - Универсальный счетчик СПОДЭС 2 трехфазный",INDEX(ТУ!$BD:$BD,MATCH($U16*1,ТУ!$CP:$CP,0),1))),"Нартис-И300",
IF(ISNUMBER(SEARCH("Приборы с поддержкой протокола СПОДЭС - Универсальный счетчик СПОДЭС 2 однофазный",INDEX(ТУ!$BD:$BD,MATCH($U16*1,ТУ!$CP:$CP,0),1))),"Нартис-И100",
IF(ISNUMBER(SEARCH("Приборы с поддержкой протокола СПОДЭС - Нартис-И100 (СПОДЭС)",INDEX(ТУ!$BD:$BD,MATCH($U16*1,ТУ!$CP:$CP,0),1))),"Нартис-И100",
IF(ISNUMBER(SEARCH("Приборы с поддержкой протокола СПОДЭС - СЕ308 (СПОДЭС)",INDEX(ТУ!$BD:$BD,MATCH($U16*1,ТУ!$CP:$CP,0),1))),"СЕ308 (СПОДЭС)",
IF(ISNUMBER(SEARCH("Приборы с поддержкой протокола СПОДЭС - СЕ207 (СПОДЭС)",INDEX(ТУ!$BD:$BD,MATCH($U16*1,ТУ!$CP:$CP,0),1))),"СЕ207 (СПОДЭС)",
IF(ISNUMBER(SEARCH("Приборы с поддержкой протокола СПОДЭС - СТЭМ-300 (СПОДЭС)",INDEX(ТУ!$BD:$BD,MATCH($U16*1,ТУ!$CP:$CP,0),1))),"СТЭМ-300 (СПОДЭС)",
IF(ISNUMBER(SEARCH("ТехноЭнерго - ТЕ3000",INDEX(ТУ!$BD:$BD,MATCH($U16*1,ТУ!$CP:$CP,0),1))),"ТЕ3000",
IF(ISNUMBER(SEARCH("НЗиФ - СЭТ-4ТМ",INDEX(ТУ!$BD:$BD,MATCH($U16*1,ТУ!$CP:$CP,0),1))),"СЭТ-4ТМ",
INDEX(ТУ!$BD:$BD,MATCH($U16*1,ТУ!$CP:$CP,0),1)
)))))))))))))</f>
        <v>Меркурий 234</v>
      </c>
      <c r="AC16" s="40" t="s">
        <v>2</v>
      </c>
      <c r="AD16" s="40" t="str">
        <f>IF(ISNUMBER(IFERROR(LEFT(IF(INDEX(ТУ!$CI:$CI,MATCH($U16*1,ТУ!$CP:$CP,0),1)=0,"",INDEX(ТУ!$CI:$CI,MATCH($U16*1,ТУ!$CP:$CP,0),1)),SEARCH(" ",IF(INDEX(ТУ!$CI:$CI,MATCH($U16*1,ТУ!$CP:$CP,0),1)=0,"",INDEX(ТУ!$CI:$CI,MATCH($U16*1,ТУ!$CP:$CP,0),1)),1)-1),"")*1),IFERROR(LEFT(IF(INDEX(ТУ!$CI:$CI,MATCH($U16*1,ТУ!$CP:$CP,0),1)=0,"",INDEX(ТУ!$CI:$CI,MATCH($U16*1,ТУ!$CP:$CP,0),1)),SEARCH(" ",IF(INDEX(ТУ!$CI:$CI,MATCH($U16*1,ТУ!$CP:$CP,0),1)=0,"",INDEX(ТУ!$CI:$CI,MATCH($U16*1,ТУ!$CP:$CP,0),1)),1)-1),""),"")</f>
        <v>77680001000038</v>
      </c>
      <c r="AE16" s="40" t="str">
        <f>IF(INDEX(ТУ!$CB:$CB,MATCH($U16*1,ТУ!$CP:$CP,0),1)=0,INDEX(Adr!$B:$B,MATCH($U16*1,Adr!$C:$C,0),1),INDEX(ТУ!$CB:$CB,MATCH($U16*1,ТУ!$CP:$CP,0),1))</f>
        <v>39</v>
      </c>
      <c r="AF16" s="45" t="str">
        <f>IF(INDEX(ТУ!$CD:$CD,MATCH($U16*1,ТУ!$CP:$CP,0),1)=0,"",INDEX(ТУ!$CD:$CD,MATCH($U16*1,ТУ!$CP:$CP,0),1))</f>
        <v>002080</v>
      </c>
      <c r="AG16" s="45">
        <f>0</f>
        <v>0</v>
      </c>
      <c r="AH16" s="26">
        <f t="shared" si="17"/>
        <v>89</v>
      </c>
      <c r="AI16" s="20" t="str">
        <f t="shared" si="18"/>
        <v>895306561</v>
      </c>
      <c r="AJ16" s="41" t="str">
        <f t="shared" si="1"/>
        <v/>
      </c>
      <c r="AK16" s="41" t="str">
        <f>IF($AP16="",IFERROR(IFERROR(LEFT(RIGHT(INDEX(ТУ!$CE:$CE,MATCH($U16*1,ТУ!$CP:$CP,0),1),LEN(INDEX(ТУ!$CE:$CE,MATCH($U16*1,ТУ!$CP:$CP,0),1))-SEARCH(":",INDEX(ТУ!$CE:$CE,MATCH($U16*1,ТУ!$CP:$CP,0),1))),SEARCH("/",RIGHT(INDEX(ТУ!$CE:$CE,MATCH($U16*1,ТУ!$CP:$CP,0),1),LEN(INDEX(ТУ!$CE:$CE,MATCH($U16*1,ТУ!$CP:$CP,0),1))-SEARCH(":",INDEX(ТУ!$CE:$CE,MATCH($U16*1,ТУ!$CP:$CP,0),1))))-1), RIGHT(INDEX(ТУ!$CE:$CE,MATCH($U16*1,ТУ!$CP:$CP,0),1),LEN(INDEX(ТУ!$CE:$CE,MATCH($U16*1,ТУ!$CP:$CP,0),1))-SEARCH(":",INDEX(ТУ!$CE:$CE,MATCH($U16*1,ТУ!$CP:$CP,0),1)))), ""),IFERROR(IFERROR(LEFT(RIGHT(INDEX(УСПД!$M:$M,MATCH(IFERROR(1*LEFT(INDEX(ТУ!$CG:$CG,MATCH($U16*1,ТУ!$CP:$CP,0),1),SEARCH(" ",INDEX(ТУ!$CG:$CG,MATCH($U16*1,ТУ!$CP:$CP,0),1))-1),""),УСПД!$N:$N,0),1),LEN(INDEX(УСПД!$M:$M,MATCH(IFERROR(1*LEFT(INDEX(ТУ!$CG:$CG,MATCH($U16*1,ТУ!$CP:$CP,0),1),SEARCH(" ",INDEX(ТУ!$CG:$CG,MATCH($U16*1,ТУ!$CP:$CP,0),1))-1),""),УСПД!$N:$N,0),1))-SEARCH(":",INDEX(УСПД!$M:$M,MATCH(IFERROR(1*LEFT(INDEX(ТУ!$CG:$CG,MATCH($U16*1,ТУ!$CP:$CP,0),1),SEARCH(" ",INDEX(ТУ!$CG:$CG,MATCH($U16*1,ТУ!$CP:$CP,0),1))-1),""),УСПД!$N:$N,0),1))),SEARCH("/",RIGHT(INDEX(УСПД!$M:$M,MATCH(IFERROR(1*LEFT(INDEX(ТУ!$CG:$CG,MATCH($U16*1,ТУ!$CP:$CP,0),1),SEARCH(" ",INDEX(ТУ!$CG:$CG,MATCH($U16*1,ТУ!$CP:$CP,0),1))-1),""),УСПД!$N:$N,0),1),LEN(INDEX(УСПД!$M:$M,MATCH(IFERROR(1*LEFT(INDEX(ТУ!$CG:$CG,MATCH($U16*1,ТУ!$CP:$CP,0),1),SEARCH(" ",INDEX(ТУ!$CG:$CG,MATCH($U16*1,ТУ!$CP:$CP,0),1))-1),""),УСПД!$N:$N,0),1))-SEARCH(":",INDEX(УСПД!$M:$M,MATCH(IFERROR(1*LEFT(INDEX(ТУ!$CG:$CG,MATCH($U16*1,ТУ!$CP:$CP,0),1),SEARCH(" ",INDEX(ТУ!$CG:$CG,MATCH($U16*1,ТУ!$CP:$CP,0),1))-1),""),УСПД!$N:$N,0),1))))-1), RIGHT(INDEX(УСПД!$M:$M,MATCH(IFERROR(1*LEFT(INDEX(ТУ!$CG:$CG,MATCH($U16*1,ТУ!$CP:$CP,0),1),SEARCH(" ",INDEX(ТУ!$CG:$CG,MATCH($U16*1,ТУ!$CP:$CP,0),1))-1),""),УСПД!$N:$N,0),1),LEN(INDEX(УСПД!$M:$M,MATCH(IFERROR(1*LEFT(INDEX(ТУ!$CG:$CG,MATCH($U16*1,ТУ!$CP:$CP,0),1),SEARCH(" ",INDEX(ТУ!$CG:$CG,MATCH($U16*1,ТУ!$CP:$CP,0),1))-1),""),УСПД!$N:$N,0),1))-SEARCH(":",INDEX(УСПД!$M:$M,MATCH(IFERROR(1*LEFT(INDEX(ТУ!$CG:$CG,MATCH($U16*1,ТУ!$CP:$CP,0),1),SEARCH(" ",INDEX(ТУ!$CG:$CG,MATCH($U16*1,ТУ!$CP:$CP,0),1))-1),""),УСПД!$N:$N,0),1)))), ""))</f>
        <v/>
      </c>
      <c r="AL16" s="41"/>
      <c r="AM16" s="57" t="str">
        <f>IFERROR(IFERROR(INDEX(Tel!$B:$B,MATCH($AJ16,Tel!$E:$E,0),1),INDEX(Tel!$B:$B,MATCH($AJ16,Tel!$D:$D,0),1)),"")</f>
        <v/>
      </c>
      <c r="AN16" s="59" t="str">
        <f>IF(ISNUMBER(SEARCH("ТОПАЗ - ТОПАЗ УСПД",IFERROR(RIGHT(LEFT(INDEX(ТУ!$CG:$CG,MATCH($U16*1,ТУ!$CP:$CP,0),1),SEARCH(")",INDEX(ТУ!$CG:$CG,MATCH($U16*1,ТУ!$CP:$CP,0),1))-1),LEN(LEFT(INDEX(ТУ!$CG:$CG,MATCH($U16*1,ТУ!$CP:$CP,0),1),SEARCH(")",INDEX(ТУ!$CG:$CG,MATCH($U16*1,ТУ!$CP:$CP,0),1))-1))-SEARCH("(",INDEX(ТУ!$CG:$CG,MATCH($U16*1,ТУ!$CP:$CP,0),1))),""),1)),"RTU-327",
IF(ISNUMBER(SEARCH("TELEOFIS",$AP16)),"Модем",
""))</f>
        <v>Модем</v>
      </c>
      <c r="AO16" s="27">
        <f t="shared" si="0"/>
        <v>0</v>
      </c>
      <c r="AP16" s="57" t="str">
        <f>IF(ISNUMBER(SEARCH("Миландр - Милур GSM/GPRS модем",IFERROR(RIGHT(LEFT(INDEX(ТУ!$CG:$CG,MATCH($U16*1,ТУ!$CP:$CP,0),1),SEARCH(")",INDEX(ТУ!$CG:$CG,MATCH($U16*1,ТУ!$CP:$CP,0),1))-1),LEN(LEFT(INDEX(ТУ!$CG:$CG,MATCH($U16*1,ТУ!$CP:$CP,0),1),SEARCH(")",INDEX(ТУ!$CG:$CG,MATCH($U16*1,ТУ!$CP:$CP,0),1))-1))-SEARCH("(",INDEX(ТУ!$CG:$CG,MATCH($U16*1,ТУ!$CP:$CP,0),1))),""),1)), "TELEOFIS WRX708-L4",IFERROR(RIGHT(LEFT(INDEX(ТУ!$CG:$CG,MATCH($U16*1,ТУ!$CP:$CP,0),1),SEARCH(")",INDEX(ТУ!$CG:$CG,MATCH($U16*1,ТУ!$CP:$CP,0),1))-1),LEN(LEFT(INDEX(ТУ!$CG:$CG,MATCH($U16*1,ТУ!$CP:$CP,0),1),SEARCH(")",INDEX(ТУ!$CG:$CG,MATCH($U16*1,ТУ!$CP:$CP,0),1))-1))-SEARCH("(",INDEX(ТУ!$CG:$CG,MATCH($U16*1,ТУ!$CP:$CP,0),1))),""))</f>
        <v>TELEOFIS WRX708-L4</v>
      </c>
      <c r="AQ16" s="57" t="str">
        <f>IFERROR(IF(INDEX(УСПД!$K:$K,MATCH($AS16*1,УСПД!$N:$N,0),1)=0,"",INDEX(УСПД!$K:$K,MATCH($AS16*1,УСПД!$N:$N,0),1)),"")</f>
        <v/>
      </c>
      <c r="AR16" s="57" t="str">
        <f>IFERROR(IF(INDEX(УСПД!$L:$L,MATCH($AS16*1,УСПД!$N:$N,0),1)=0,"",INDEX(УСПД!$L:$L,MATCH($AS16*1,УСПД!$N:$N,0),1)),"")</f>
        <v/>
      </c>
      <c r="AS16" s="60" t="str">
        <f>IFERROR(LEFT(INDEX(ТУ!$CG:$CG,MATCH($U16*1,ТУ!$CP:$CP,0),1),SEARCH(" ",INDEX(ТУ!$CG:$CG,MATCH($U16*1,ТУ!$CP:$CP,0),1))-1),"")</f>
        <v>356945321960938</v>
      </c>
      <c r="AT16" s="59" t="s">
        <v>360</v>
      </c>
      <c r="AU16" s="59">
        <f>3</f>
        <v>3</v>
      </c>
      <c r="AV16" s="59" t="s">
        <v>368</v>
      </c>
      <c r="AW16" s="149">
        <f t="shared" si="19"/>
        <v>67</v>
      </c>
      <c r="AX16" s="149">
        <f t="shared" si="20"/>
        <v>15</v>
      </c>
      <c r="AY16" s="149" t="str">
        <f t="shared" si="21"/>
        <v/>
      </c>
      <c r="AZ16" s="149">
        <f t="shared" si="22"/>
        <v>25</v>
      </c>
      <c r="BA16" s="149">
        <f t="shared" si="23"/>
        <v>1</v>
      </c>
      <c r="BB16" s="154" t="str">
        <f>IF($AP16="",IFERROR(IFERROR(LEFT(RIGHT(INDEX(ТУ!$CE:$CE,MATCH($U16*1,ТУ!$CP:$CP,0),1),LEN(INDEX(ТУ!$CE:$CE,MATCH($U16*1,ТУ!$CP:$CP,0),1))-SEARCH(", ",INDEX(ТУ!$CE:$CE,MATCH($U16*1,ТУ!$CP:$CP,0),1),SEARCH(", ",INDEX(ТУ!$CE:$CE,MATCH($U16*1,ТУ!$CP:$CP,0),1))+1)-1),SEARCH(":",RIGHT(INDEX(ТУ!$CE:$CE,MATCH($U16*1,ТУ!$CP:$CP,0),1),LEN(INDEX(ТУ!$CE:$CE,MATCH($U16*1,ТУ!$CP:$CP,0),1))-SEARCH(", ",INDEX(ТУ!$CE:$CE,MATCH($U16*1,ТУ!$CP:$CP,0),1),SEARCH(", ",INDEX(ТУ!$CE:$CE,MATCH($U16*1,ТУ!$CP:$CP,0),1))+1)-1))-1),LEFT(INDEX(ТУ!$CE:$CE,MATCH($U16*1,ТУ!$CP:$CP,0),1),SEARCH(":",INDEX(ТУ!$CE:$CE,MATCH($U16*1,ТУ!$CP:$CP,0),1))-1)),""),IFERROR(IFERROR(LEFT(RIGHT(INDEX(УСПД!$M:$M,MATCH(IFERROR(1*LEFT(INDEX(ТУ!$CG:$CG,MATCH($U16*1,ТУ!$CP:$CP,0),1),SEARCH(" ",INDEX(ТУ!$CG:$CG,MATCH($U16*1,ТУ!$CP:$CP,0),1))-1),""),УСПД!$N:$N,0),1),LEN(INDEX(УСПД!$M:$M,MATCH(IFERROR(1*LEFT(INDEX(ТУ!$CG:$CG,MATCH($U16*1,ТУ!$CP:$CP,0),1),SEARCH(" ",INDEX(ТУ!$CG:$CG,MATCH($U16*1,ТУ!$CP:$CP,0),1))-1),""),УСПД!$N:$N,0),1))-SEARCH(", ",INDEX(УСПД!$M:$M,MATCH(IFERROR(1*LEFT(INDEX(ТУ!$CG:$CG,MATCH($U16*1,ТУ!$CP:$CP,0),1),SEARCH(" ",INDEX(ТУ!$CG:$CG,MATCH($U16*1,ТУ!$CP:$CP,0),1))-1),""),УСПД!$N:$N,0),1),SEARCH(", ",INDEX(УСПД!$M:$M,MATCH(IFERROR(1*LEFT(INDEX(ТУ!$CG:$CG,MATCH($U16*1,ТУ!$CP:$CP,0),1),SEARCH(" ",INDEX(ТУ!$CG:$CG,MATCH($U16*1,ТУ!$CP:$CP,0),1))-1),""),УСПД!$N:$N,0),1))+1)-1),SEARCH(":",RIGHT(INDEX(УСПД!$M:$M,MATCH(IFERROR(1*LEFT(INDEX(ТУ!$CG:$CG,MATCH($U16*1,ТУ!$CP:$CP,0),1),SEARCH(" ",INDEX(ТУ!$CG:$CG,MATCH($U16*1,ТУ!$CP:$CP,0),1))-1),""),УСПД!$N:$N,0),1),LEN(INDEX(УСПД!$M:$M,MATCH(IFERROR(1*LEFT(INDEX(ТУ!$CG:$CG,MATCH($U16*1,ТУ!$CP:$CP,0),1),SEARCH(" ",INDEX(ТУ!$CG:$CG,MATCH($U16*1,ТУ!$CP:$CP,0),1))-1),""),УСПД!$N:$N,0),1))-SEARCH(", ",INDEX(УСПД!$M:$M,MATCH(IFERROR(1*LEFT(INDEX(ТУ!$CG:$CG,MATCH($U16*1,ТУ!$CP:$CP,0),1),SEARCH(" ",INDEX(ТУ!$CG:$CG,MATCH($U16*1,ТУ!$CP:$CP,0),1))-1),""),УСПД!$N:$N,0),1),SEARCH(", ",INDEX(УСПД!$M:$M,MATCH(IFERROR(1*LEFT(INDEX(ТУ!$CG:$CG,MATCH($U16*1,ТУ!$CP:$CP,0),1),SEARCH(" ",INDEX(ТУ!$CG:$CG,MATCH($U16*1,ТУ!$CP:$CP,0),1))-1),""),УСПД!$N:$N,0),1))+1)-1))-1),LEFT(INDEX(УСПД!$M:$M,MATCH(IFERROR(1*LEFT(INDEX(ТУ!$CG:$CG,MATCH($U16*1,ТУ!$CP:$CP,0),1),SEARCH(" ",INDEX(ТУ!$CG:$CG,MATCH($U16*1,ТУ!$CP:$CP,0),1))-1),""),УСПД!$N:$N,0),1),SEARCH(":",INDEX(УСПД!$M:$M,MATCH(IFERROR(1*LEFT(INDEX(ТУ!$CG:$CG,MATCH($U16*1,ТУ!$CP:$CP,0),1),SEARCH(" ",INDEX(ТУ!$CG:$CG,MATCH($U16*1,ТУ!$CP:$CP,0),1))-1),""),УСПД!$N:$N,0),1))-1)),""))</f>
        <v/>
      </c>
      <c r="BC16" s="155" t="str">
        <f>INDEX(ТУ!$AF:$AF,MATCH($U16*1,ТУ!$CP:$CP,0),1)</f>
        <v>ТП-30656</v>
      </c>
      <c r="BD16" s="155">
        <f>INDEX(ТУ!$X:$X,MATCH($U16*1,ТУ!$CP:$CP,0),1)</f>
        <v>0</v>
      </c>
      <c r="BE16" s="155" t="str">
        <f>INDEX(ТУ!$CL:$CL,MATCH($U16*1,ТУ!$CP:$CP,0),1)</f>
        <v>Не принят ПНР</v>
      </c>
      <c r="BF16" s="147" t="str">
        <f>IFERROR(INDEX(естьАЦ!$A:$A,MATCH($U16*1,естьАЦ!$A:$A,0),1),"нет в АЦ")</f>
        <v>нет в АЦ</v>
      </c>
    </row>
    <row r="17" spans="1:58" ht="15" x14ac:dyDescent="0.25">
      <c r="A17" s="55">
        <f>3</f>
        <v>3</v>
      </c>
      <c r="B17" s="42" t="str">
        <f>IFERROR(IFERROR(INDEX(Справочники!$A$2:$P$79,MATCH(INDEX(ТУ!$E:$E,MATCH($U17*1,ТУ!$CP:$CP,0),1),Справочники!$P$2:$P$79,0),2),INDEX(Справочники!$A$2:$P$79,MATCH((INDEX(ТУ!$E:$E,MATCH($U17*1,ТУ!$CP:$CP,0),1))*1,Справочники!$P$2:$P$79,0),2)),"")</f>
        <v>04 р-н МКС (ЮОРУПЭ)</v>
      </c>
      <c r="C17" s="46" t="str">
        <f>IFERROR(TRIM(LEFT(INDEX(ТУ!$AF:$AF,MATCH($U17*1,ТУ!$CP:$CP,0),1),SEARCH("-",INDEX(ТУ!$AF:$AF,MATCH($U17*1,ТУ!$CP:$CP,0),1))-1)),IFERROR(LEFT(INDEX(ТУ!$X:$X,MATCH($U17*1,ТУ!$CP:$CP,0),1),SEARCH("-",INDEX(ТУ!$X:$X,MATCH($U17*1,ТУ!$CP:$CP,0),1))-1),"ТП"))</f>
        <v>ТП</v>
      </c>
      <c r="D17" s="47" t="str">
        <f>IF(TRIM(IF(ISNUMBER((IFERROR(RIGHT(INDEX(ТУ!$AF:$AF,MATCH($U17*1,ТУ!$CP:$CP,0),1),LEN(INDEX(ТУ!$AF:$AF,MATCH($U17*1,ТУ!$CP:$CP,0),1))-SEARCH("-",INDEX(ТУ!$AF:$AF,MATCH($U17*1,ТУ!$CP:$CP,0),1))),INDEX(ТУ!$AF:$AF,MATCH($U17*1,ТУ!$CP:$CP,0),1)))*1),IFERROR(RIGHT(INDEX(ТУ!$AF:$AF,MATCH($U17*1,ТУ!$CP:$CP,0),1),LEN(INDEX(ТУ!$AF:$AF,MATCH($U17*1,ТУ!$CP:$CP,0),1))-SEARCH("-",INDEX(ТУ!$AF:$AF,MATCH($U17*1,ТУ!$CP:$CP,0),1))),INDEX(ТУ!$AF:$AF,MATCH($U17*1,ТУ!$CP:$CP,0),1)),""))="",TRIM(IF(ISNUMBER((IFERROR(RIGHT(INDEX(ТУ!$X:$X,MATCH($U17*1,ТУ!$CP:$CP,0),1),LEN(INDEX(ТУ!$X:$X,MATCH($U17*1,ТУ!$CP:$CP,0),1))-SEARCH("-",INDEX(ТУ!$X:$X,MATCH($U17*1,ТУ!$CP:$CP,0),1))),INDEX(ТУ!$X:$X,MATCH($U17*1,ТУ!$CP:$CP,0),1)))*1),IFERROR(RIGHT(INDEX(ТУ!$X:$X,MATCH($U17*1,ТУ!$CP:$CP,0),1),LEN(INDEX(ТУ!$X:$X,MATCH($U17*1,ТУ!$CP:$CP,0),1))-SEARCH("-",INDEX(ТУ!$X:$X,MATCH($U17*1,ТУ!$CP:$CP,0),1))),INDEX(ТУ!$X:$X,MATCH($U17*1,ТУ!$CP:$CP,0),1)),"")),TRIM(IF(ISNUMBER((IFERROR(RIGHT(INDEX(ТУ!$AF:$AF,MATCH($U17*1,ТУ!$CP:$CP,0),1),LEN(INDEX(ТУ!$AF:$AF,MATCH($U17*1,ТУ!$CP:$CP,0),1))-SEARCH("-",INDEX(ТУ!$AF:$AF,MATCH($U17*1,ТУ!$CP:$CP,0),1))),INDEX(ТУ!$AF:$AF,MATCH($U17*1,ТУ!$CP:$CP,0),1)))*1),IFERROR(RIGHT(INDEX(ТУ!$AF:$AF,MATCH($U17*1,ТУ!$CP:$CP,0),1),LEN(INDEX(ТУ!$AF:$AF,MATCH($U17*1,ТУ!$CP:$CP,0),1))-SEARCH("-",INDEX(ТУ!$AF:$AF,MATCH($U17*1,ТУ!$CP:$CP,0),1))),INDEX(ТУ!$AF:$AF,MATCH($U17*1,ТУ!$CP:$CP,0),1)),"")))</f>
        <v>15306</v>
      </c>
      <c r="E17" s="25" t="str">
        <f t="shared" si="2"/>
        <v>МКС</v>
      </c>
      <c r="F17" s="20">
        <f t="shared" si="3"/>
        <v>78</v>
      </c>
      <c r="G17" s="21">
        <f t="shared" si="4"/>
        <v>5</v>
      </c>
      <c r="H17" s="25" t="str">
        <f t="shared" si="5"/>
        <v>ТП-15306</v>
      </c>
      <c r="I17" s="25" t="str">
        <f t="shared" si="6"/>
        <v>78515306</v>
      </c>
      <c r="J17" s="42" t="str">
        <f>INDEX(Справочники!$M:$M,MATCH(IF(INDEX(ТУ!$BO:$BO,MATCH($U17*1,ТУ!$CP:$CP,0),1)=1,1,INDEX(ТУ!$BO:$BO,MATCH($U17*1,ТУ!$CP:$CP,0),1)*100),Справочники!$N:$N,0),1)</f>
        <v>0.4 кВ</v>
      </c>
      <c r="K17" s="40">
        <f>1</f>
        <v>1</v>
      </c>
      <c r="L17" s="20" t="str">
        <f t="shared" si="7"/>
        <v>СШ-1</v>
      </c>
      <c r="M17" s="20">
        <f t="shared" si="8"/>
        <v>1</v>
      </c>
      <c r="N17" s="40"/>
      <c r="O17" s="56" t="str">
        <f t="shared" si="9"/>
        <v>Ввод-1-1</v>
      </c>
      <c r="P17" s="57" t="str">
        <f>IFERROR(IF(INDEX(ТУ!$AO:$AO,MATCH($U17*1,ТУ!$CP:$CP,0),1)=0,"",INDEX(ТУ!$AO:$AO,MATCH($U17*1,ТУ!$CP:$CP,0),1)),"")</f>
        <v>ВВ абонента</v>
      </c>
      <c r="Q17" s="40">
        <f>IFERROR(IF(INDEX(ТУ!$BN:$BN,MATCH($U17*1,ТУ!$CP:$CP,0),1)=1,1,INDEX(ТУ!$BN:$BN,MATCH($U17*1,ТУ!$CP:$CP,0),1)*5),"")</f>
        <v>1</v>
      </c>
      <c r="R17" s="25">
        <f t="shared" si="10"/>
        <v>1</v>
      </c>
      <c r="S17" s="25">
        <f t="shared" si="11"/>
        <v>1</v>
      </c>
      <c r="T17" s="25">
        <f t="shared" si="12"/>
        <v>1</v>
      </c>
      <c r="U17" s="105" t="s">
        <v>643</v>
      </c>
      <c r="V17" s="43">
        <f>IF(INDEX(ТУ!$BH:$BH,MATCH($U17*1,ТУ!$CP:$CP,0),1)=0,"",INDEX(ТУ!$BH:$BH,MATCH($U17*1,ТУ!$CP:$CP,0),1))</f>
        <v>44854</v>
      </c>
      <c r="W17" s="43" t="str">
        <f>IF(INDEX(ТУ!$BI:$BI,MATCH($U17*1,ТУ!$CP:$CP,0),1)=0,"",INDEX(ТУ!$BI:$BI,MATCH($U17*1,ТУ!$CP:$CP,0),1))</f>
        <v>01.01.2022</v>
      </c>
      <c r="X17" s="58" t="str">
        <f t="shared" si="13"/>
        <v>Меркурий-23X</v>
      </c>
      <c r="Y17" s="25">
        <f t="shared" si="14"/>
        <v>15</v>
      </c>
      <c r="Z17" s="42" t="str">
        <f t="shared" si="15"/>
        <v/>
      </c>
      <c r="AA17" s="25" t="str">
        <f t="shared" si="16"/>
        <v/>
      </c>
      <c r="AB17" s="40" t="str">
        <f>IF(ISNUMBER(SEARCH("Приборы с поддержкой протокола СПОДЭС - Нартис-И300 (СПОДЭС)",INDEX(ТУ!$BD:$BD,MATCH($U17*1,ТУ!$CP:$CP,0),1))),"Нартис-И300",
IF(ISNUMBER(SEARCH("Приборы с поддержкой протокола СПОДЭС - Меркурий 234 (СПОДЭС)",INDEX(ТУ!$BD:$BD,MATCH($U17*1,ТУ!$CP:$CP,0),1))),"Меркурий 234 (СПОДЭС)",
IF(ISNUMBER(SEARCH("Приборы с поддержкой протокола СПОДЭС - Нартис-300 (СПОДЭС)",INDEX(ТУ!$BD:$BD,MATCH($U17*1,ТУ!$CP:$CP,0),1))),"Нартис-300",
IF(ISNUMBER(SEARCH("Инкотекс - Меркурий 234",INDEX(ТУ!$BD:$BD,MATCH($U17*1,ТУ!$CP:$CP,0),1))),"Меркурий 234",
IF(ISNUMBER(SEARCH("Инкотекс - Меркурий 206",INDEX(ТУ!$BD:$BD,MATCH($U17*1,ТУ!$CP:$CP,0),1))),"Меркурий 206",
IF(ISNUMBER(SEARCH("Приборы с поддержкой протокола СПОДЭС - Универсальный счетчик СПОДЭС 2 трехфазный",INDEX(ТУ!$BD:$BD,MATCH($U17*1,ТУ!$CP:$CP,0),1))),"Нартис-И300",
IF(ISNUMBER(SEARCH("Приборы с поддержкой протокола СПОДЭС - Универсальный счетчик СПОДЭС 2 однофазный",INDEX(ТУ!$BD:$BD,MATCH($U17*1,ТУ!$CP:$CP,0),1))),"Нартис-И100",
IF(ISNUMBER(SEARCH("Приборы с поддержкой протокола СПОДЭС - Нартис-И100 (СПОДЭС)",INDEX(ТУ!$BD:$BD,MATCH($U17*1,ТУ!$CP:$CP,0),1))),"Нартис-И100",
IF(ISNUMBER(SEARCH("Приборы с поддержкой протокола СПОДЭС - СЕ308 (СПОДЭС)",INDEX(ТУ!$BD:$BD,MATCH($U17*1,ТУ!$CP:$CP,0),1))),"СЕ308 (СПОДЭС)",
IF(ISNUMBER(SEARCH("Приборы с поддержкой протокола СПОДЭС - СЕ207 (СПОДЭС)",INDEX(ТУ!$BD:$BD,MATCH($U17*1,ТУ!$CP:$CP,0),1))),"СЕ207 (СПОДЭС)",
IF(ISNUMBER(SEARCH("Приборы с поддержкой протокола СПОДЭС - СТЭМ-300 (СПОДЭС)",INDEX(ТУ!$BD:$BD,MATCH($U17*1,ТУ!$CP:$CP,0),1))),"СТЭМ-300 (СПОДЭС)",
IF(ISNUMBER(SEARCH("ТехноЭнерго - ТЕ3000",INDEX(ТУ!$BD:$BD,MATCH($U17*1,ТУ!$CP:$CP,0),1))),"ТЕ3000",
IF(ISNUMBER(SEARCH("НЗиФ - СЭТ-4ТМ",INDEX(ТУ!$BD:$BD,MATCH($U17*1,ТУ!$CP:$CP,0),1))),"СЭТ-4ТМ",
INDEX(ТУ!$BD:$BD,MATCH($U17*1,ТУ!$CP:$CP,0),1)
)))))))))))))</f>
        <v>Меркурий 234</v>
      </c>
      <c r="AC17" s="40" t="s">
        <v>2</v>
      </c>
      <c r="AD17" s="40" t="str">
        <f>IF(ISNUMBER(IFERROR(LEFT(IF(INDEX(ТУ!$CI:$CI,MATCH($U17*1,ТУ!$CP:$CP,0),1)=0,"",INDEX(ТУ!$CI:$CI,MATCH($U17*1,ТУ!$CP:$CP,0),1)),SEARCH(" ",IF(INDEX(ТУ!$CI:$CI,MATCH($U17*1,ТУ!$CP:$CP,0),1)=0,"",INDEX(ТУ!$CI:$CI,MATCH($U17*1,ТУ!$CP:$CP,0),1)),1)-1),"")*1),IFERROR(LEFT(IF(INDEX(ТУ!$CI:$CI,MATCH($U17*1,ТУ!$CP:$CP,0),1)=0,"",INDEX(ТУ!$CI:$CI,MATCH($U17*1,ТУ!$CP:$CP,0),1)),SEARCH(" ",IF(INDEX(ТУ!$CI:$CI,MATCH($U17*1,ТУ!$CP:$CP,0),1)=0,"",INDEX(ТУ!$CI:$CI,MATCH($U17*1,ТУ!$CP:$CP,0),1)),1)-1),""),"")</f>
        <v>77670001013457</v>
      </c>
      <c r="AE17" s="40" t="str">
        <f>IF(INDEX(ТУ!$CB:$CB,MATCH($U17*1,ТУ!$CP:$CP,0),1)=0,INDEX(Adr!$B:$B,MATCH($U17*1,Adr!$C:$C,0),1),INDEX(ТУ!$CB:$CB,MATCH($U17*1,ТУ!$CP:$CP,0),1))</f>
        <v>64</v>
      </c>
      <c r="AF17" s="45" t="str">
        <f>IF(INDEX(ТУ!$CD:$CD,MATCH($U17*1,ТУ!$CP:$CP,0),1)=0,"",INDEX(ТУ!$CD:$CD,MATCH($U17*1,ТУ!$CP:$CP,0),1))</f>
        <v>222222</v>
      </c>
      <c r="AG17" s="45">
        <f>0</f>
        <v>0</v>
      </c>
      <c r="AH17" s="26">
        <f t="shared" si="17"/>
        <v>78</v>
      </c>
      <c r="AI17" s="20" t="str">
        <f t="shared" si="18"/>
        <v>785153061</v>
      </c>
      <c r="AJ17" s="41" t="str">
        <f t="shared" si="1"/>
        <v>10.82.60.213</v>
      </c>
      <c r="AK17" s="41" t="str">
        <f>IF($AP17="",IFERROR(IFERROR(LEFT(RIGHT(INDEX(ТУ!$CE:$CE,MATCH($U17*1,ТУ!$CP:$CP,0),1),LEN(INDEX(ТУ!$CE:$CE,MATCH($U17*1,ТУ!$CP:$CP,0),1))-SEARCH(":",INDEX(ТУ!$CE:$CE,MATCH($U17*1,ТУ!$CP:$CP,0),1))),SEARCH("/",RIGHT(INDEX(ТУ!$CE:$CE,MATCH($U17*1,ТУ!$CP:$CP,0),1),LEN(INDEX(ТУ!$CE:$CE,MATCH($U17*1,ТУ!$CP:$CP,0),1))-SEARCH(":",INDEX(ТУ!$CE:$CE,MATCH($U17*1,ТУ!$CP:$CP,0),1))))-1), RIGHT(INDEX(ТУ!$CE:$CE,MATCH($U17*1,ТУ!$CP:$CP,0),1),LEN(INDEX(ТУ!$CE:$CE,MATCH($U17*1,ТУ!$CP:$CP,0),1))-SEARCH(":",INDEX(ТУ!$CE:$CE,MATCH($U17*1,ТУ!$CP:$CP,0),1)))), ""),IFERROR(IFERROR(LEFT(RIGHT(INDEX(УСПД!$M:$M,MATCH(IFERROR(1*LEFT(INDEX(ТУ!$CG:$CG,MATCH($U17*1,ТУ!$CP:$CP,0),1),SEARCH(" ",INDEX(ТУ!$CG:$CG,MATCH($U17*1,ТУ!$CP:$CP,0),1))-1),""),УСПД!$N:$N,0),1),LEN(INDEX(УСПД!$M:$M,MATCH(IFERROR(1*LEFT(INDEX(ТУ!$CG:$CG,MATCH($U17*1,ТУ!$CP:$CP,0),1),SEARCH(" ",INDEX(ТУ!$CG:$CG,MATCH($U17*1,ТУ!$CP:$CP,0),1))-1),""),УСПД!$N:$N,0),1))-SEARCH(":",INDEX(УСПД!$M:$M,MATCH(IFERROR(1*LEFT(INDEX(ТУ!$CG:$CG,MATCH($U17*1,ТУ!$CP:$CP,0),1),SEARCH(" ",INDEX(ТУ!$CG:$CG,MATCH($U17*1,ТУ!$CP:$CP,0),1))-1),""),УСПД!$N:$N,0),1))),SEARCH("/",RIGHT(INDEX(УСПД!$M:$M,MATCH(IFERROR(1*LEFT(INDEX(ТУ!$CG:$CG,MATCH($U17*1,ТУ!$CP:$CP,0),1),SEARCH(" ",INDEX(ТУ!$CG:$CG,MATCH($U17*1,ТУ!$CP:$CP,0),1))-1),""),УСПД!$N:$N,0),1),LEN(INDEX(УСПД!$M:$M,MATCH(IFERROR(1*LEFT(INDEX(ТУ!$CG:$CG,MATCH($U17*1,ТУ!$CP:$CP,0),1),SEARCH(" ",INDEX(ТУ!$CG:$CG,MATCH($U17*1,ТУ!$CP:$CP,0),1))-1),""),УСПД!$N:$N,0),1))-SEARCH(":",INDEX(УСПД!$M:$M,MATCH(IFERROR(1*LEFT(INDEX(ТУ!$CG:$CG,MATCH($U17*1,ТУ!$CP:$CP,0),1),SEARCH(" ",INDEX(ТУ!$CG:$CG,MATCH($U17*1,ТУ!$CP:$CP,0),1))-1),""),УСПД!$N:$N,0),1))))-1), RIGHT(INDEX(УСПД!$M:$M,MATCH(IFERROR(1*LEFT(INDEX(ТУ!$CG:$CG,MATCH($U17*1,ТУ!$CP:$CP,0),1),SEARCH(" ",INDEX(ТУ!$CG:$CG,MATCH($U17*1,ТУ!$CP:$CP,0),1))-1),""),УСПД!$N:$N,0),1),LEN(INDEX(УСПД!$M:$M,MATCH(IFERROR(1*LEFT(INDEX(ТУ!$CG:$CG,MATCH($U17*1,ТУ!$CP:$CP,0),1),SEARCH(" ",INDEX(ТУ!$CG:$CG,MATCH($U17*1,ТУ!$CP:$CP,0),1))-1),""),УСПД!$N:$N,0),1))-SEARCH(":",INDEX(УСПД!$M:$M,MATCH(IFERROR(1*LEFT(INDEX(ТУ!$CG:$CG,MATCH($U17*1,ТУ!$CP:$CP,0),1),SEARCH(" ",INDEX(ТУ!$CG:$CG,MATCH($U17*1,ТУ!$CP:$CP,0),1))-1),""),УСПД!$N:$N,0),1)))), ""))</f>
        <v>4001</v>
      </c>
      <c r="AL17" s="41"/>
      <c r="AM17" s="57" t="str">
        <f>IFERROR(IFERROR(INDEX(Tel!$B:$B,MATCH($AJ17,Tel!$E:$E,0),1),INDEX(Tel!$B:$B,MATCH($AJ17,Tel!$D:$D,0),1)),"")</f>
        <v/>
      </c>
      <c r="AN17" s="59" t="str">
        <f>IF(ISNUMBER(SEARCH("ТОПАЗ - ТОПАЗ УСПД",IFERROR(RIGHT(LEFT(INDEX(ТУ!$CG:$CG,MATCH($U17*1,ТУ!$CP:$CP,0),1),SEARCH(")",INDEX(ТУ!$CG:$CG,MATCH($U17*1,ТУ!$CP:$CP,0),1))-1),LEN(LEFT(INDEX(ТУ!$CG:$CG,MATCH($U17*1,ТУ!$CP:$CP,0),1),SEARCH(")",INDEX(ТУ!$CG:$CG,MATCH($U17*1,ТУ!$CP:$CP,0),1))-1))-SEARCH("(",INDEX(ТУ!$CG:$CG,MATCH($U17*1,ТУ!$CP:$CP,0),1))),""),1)),"RTU-327",
IF(ISNUMBER(SEARCH("TELEOFIS",$AP17)),"Модем",
""))</f>
        <v/>
      </c>
      <c r="AO17" s="27" t="str">
        <f t="shared" si="0"/>
        <v/>
      </c>
      <c r="AP17" s="57" t="str">
        <f>IF(ISNUMBER(SEARCH("Миландр - Милур GSM/GPRS модем",IFERROR(RIGHT(LEFT(INDEX(ТУ!$CG:$CG,MATCH($U17*1,ТУ!$CP:$CP,0),1),SEARCH(")",INDEX(ТУ!$CG:$CG,MATCH($U17*1,ТУ!$CP:$CP,0),1))-1),LEN(LEFT(INDEX(ТУ!$CG:$CG,MATCH($U17*1,ТУ!$CP:$CP,0),1),SEARCH(")",INDEX(ТУ!$CG:$CG,MATCH($U17*1,ТУ!$CP:$CP,0),1))-1))-SEARCH("(",INDEX(ТУ!$CG:$CG,MATCH($U17*1,ТУ!$CP:$CP,0),1))),""),1)), "TELEOFIS WRX708-L4",IFERROR(RIGHT(LEFT(INDEX(ТУ!$CG:$CG,MATCH($U17*1,ТУ!$CP:$CP,0),1),SEARCH(")",INDEX(ТУ!$CG:$CG,MATCH($U17*1,ТУ!$CP:$CP,0),1))-1),LEN(LEFT(INDEX(ТУ!$CG:$CG,MATCH($U17*1,ТУ!$CP:$CP,0),1),SEARCH(")",INDEX(ТУ!$CG:$CG,MATCH($U17*1,ТУ!$CP:$CP,0),1))-1))-SEARCH("(",INDEX(ТУ!$CG:$CG,MATCH($U17*1,ТУ!$CP:$CP,0),1))),""))</f>
        <v/>
      </c>
      <c r="AQ17" s="57" t="str">
        <f>IFERROR(IF(INDEX(УСПД!$K:$K,MATCH($AS17*1,УСПД!$N:$N,0),1)=0,"",INDEX(УСПД!$K:$K,MATCH($AS17*1,УСПД!$N:$N,0),1)),"")</f>
        <v/>
      </c>
      <c r="AR17" s="57" t="str">
        <f>IFERROR(IF(INDEX(УСПД!$L:$L,MATCH($AS17*1,УСПД!$N:$N,0),1)=0,"",INDEX(УСПД!$L:$L,MATCH($AS17*1,УСПД!$N:$N,0),1)),"")</f>
        <v/>
      </c>
      <c r="AS17" s="60" t="str">
        <f>IFERROR(LEFT(INDEX(ТУ!$CG:$CG,MATCH($U17*1,ТУ!$CP:$CP,0),1),SEARCH(" ",INDEX(ТУ!$CG:$CG,MATCH($U17*1,ТУ!$CP:$CP,0),1))-1),"")</f>
        <v/>
      </c>
      <c r="AT17" s="59" t="s">
        <v>360</v>
      </c>
      <c r="AU17" s="59">
        <f>3</f>
        <v>3</v>
      </c>
      <c r="AV17" s="59" t="s">
        <v>368</v>
      </c>
      <c r="AW17" s="149">
        <f t="shared" si="19"/>
        <v>56</v>
      </c>
      <c r="AX17" s="149">
        <f t="shared" si="20"/>
        <v>15</v>
      </c>
      <c r="AY17" s="149" t="str">
        <f t="shared" si="21"/>
        <v/>
      </c>
      <c r="AZ17" s="149" t="str">
        <f t="shared" si="22"/>
        <v/>
      </c>
      <c r="BA17" s="149">
        <f t="shared" si="23"/>
        <v>1</v>
      </c>
      <c r="BB17" s="154" t="str">
        <f>IF($AP17="",IFERROR(IFERROR(LEFT(RIGHT(INDEX(ТУ!$CE:$CE,MATCH($U17*1,ТУ!$CP:$CP,0),1),LEN(INDEX(ТУ!$CE:$CE,MATCH($U17*1,ТУ!$CP:$CP,0),1))-SEARCH(", ",INDEX(ТУ!$CE:$CE,MATCH($U17*1,ТУ!$CP:$CP,0),1),SEARCH(", ",INDEX(ТУ!$CE:$CE,MATCH($U17*1,ТУ!$CP:$CP,0),1))+1)-1),SEARCH(":",RIGHT(INDEX(ТУ!$CE:$CE,MATCH($U17*1,ТУ!$CP:$CP,0),1),LEN(INDEX(ТУ!$CE:$CE,MATCH($U17*1,ТУ!$CP:$CP,0),1))-SEARCH(", ",INDEX(ТУ!$CE:$CE,MATCH($U17*1,ТУ!$CP:$CP,0),1),SEARCH(", ",INDEX(ТУ!$CE:$CE,MATCH($U17*1,ТУ!$CP:$CP,0),1))+1)-1))-1),LEFT(INDEX(ТУ!$CE:$CE,MATCH($U17*1,ТУ!$CP:$CP,0),1),SEARCH(":",INDEX(ТУ!$CE:$CE,MATCH($U17*1,ТУ!$CP:$CP,0),1))-1)),""),IFERROR(IFERROR(LEFT(RIGHT(INDEX(УСПД!$M:$M,MATCH(IFERROR(1*LEFT(INDEX(ТУ!$CG:$CG,MATCH($U17*1,ТУ!$CP:$CP,0),1),SEARCH(" ",INDEX(ТУ!$CG:$CG,MATCH($U17*1,ТУ!$CP:$CP,0),1))-1),""),УСПД!$N:$N,0),1),LEN(INDEX(УСПД!$M:$M,MATCH(IFERROR(1*LEFT(INDEX(ТУ!$CG:$CG,MATCH($U17*1,ТУ!$CP:$CP,0),1),SEARCH(" ",INDEX(ТУ!$CG:$CG,MATCH($U17*1,ТУ!$CP:$CP,0),1))-1),""),УСПД!$N:$N,0),1))-SEARCH(", ",INDEX(УСПД!$M:$M,MATCH(IFERROR(1*LEFT(INDEX(ТУ!$CG:$CG,MATCH($U17*1,ТУ!$CP:$CP,0),1),SEARCH(" ",INDEX(ТУ!$CG:$CG,MATCH($U17*1,ТУ!$CP:$CP,0),1))-1),""),УСПД!$N:$N,0),1),SEARCH(", ",INDEX(УСПД!$M:$M,MATCH(IFERROR(1*LEFT(INDEX(ТУ!$CG:$CG,MATCH($U17*1,ТУ!$CP:$CP,0),1),SEARCH(" ",INDEX(ТУ!$CG:$CG,MATCH($U17*1,ТУ!$CP:$CP,0),1))-1),""),УСПД!$N:$N,0),1))+1)-1),SEARCH(":",RIGHT(INDEX(УСПД!$M:$M,MATCH(IFERROR(1*LEFT(INDEX(ТУ!$CG:$CG,MATCH($U17*1,ТУ!$CP:$CP,0),1),SEARCH(" ",INDEX(ТУ!$CG:$CG,MATCH($U17*1,ТУ!$CP:$CP,0),1))-1),""),УСПД!$N:$N,0),1),LEN(INDEX(УСПД!$M:$M,MATCH(IFERROR(1*LEFT(INDEX(ТУ!$CG:$CG,MATCH($U17*1,ТУ!$CP:$CP,0),1),SEARCH(" ",INDEX(ТУ!$CG:$CG,MATCH($U17*1,ТУ!$CP:$CP,0),1))-1),""),УСПД!$N:$N,0),1))-SEARCH(", ",INDEX(УСПД!$M:$M,MATCH(IFERROR(1*LEFT(INDEX(ТУ!$CG:$CG,MATCH($U17*1,ТУ!$CP:$CP,0),1),SEARCH(" ",INDEX(ТУ!$CG:$CG,MATCH($U17*1,ТУ!$CP:$CP,0),1))-1),""),УСПД!$N:$N,0),1),SEARCH(", ",INDEX(УСПД!$M:$M,MATCH(IFERROR(1*LEFT(INDEX(ТУ!$CG:$CG,MATCH($U17*1,ТУ!$CP:$CP,0),1),SEARCH(" ",INDEX(ТУ!$CG:$CG,MATCH($U17*1,ТУ!$CP:$CP,0),1))-1),""),УСПД!$N:$N,0),1))+1)-1))-1),LEFT(INDEX(УСПД!$M:$M,MATCH(IFERROR(1*LEFT(INDEX(ТУ!$CG:$CG,MATCH($U17*1,ТУ!$CP:$CP,0),1),SEARCH(" ",INDEX(ТУ!$CG:$CG,MATCH($U17*1,ТУ!$CP:$CP,0),1))-1),""),УСПД!$N:$N,0),1),SEARCH(":",INDEX(УСПД!$M:$M,MATCH(IFERROR(1*LEFT(INDEX(ТУ!$CG:$CG,MATCH($U17*1,ТУ!$CP:$CP,0),1),SEARCH(" ",INDEX(ТУ!$CG:$CG,MATCH($U17*1,ТУ!$CP:$CP,0),1))-1),""),УСПД!$N:$N,0),1))-1)),""))</f>
        <v>10.82.60.213</v>
      </c>
      <c r="BC17" s="155" t="str">
        <f>INDEX(ТУ!$AF:$AF,MATCH($U17*1,ТУ!$CP:$CP,0),1)</f>
        <v>ТП-15306</v>
      </c>
      <c r="BD17" s="155">
        <f>INDEX(ТУ!$X:$X,MATCH($U17*1,ТУ!$CP:$CP,0),1)</f>
        <v>0</v>
      </c>
      <c r="BE17" s="155">
        <f>INDEX(ТУ!$CL:$CL,MATCH($U17*1,ТУ!$CP:$CP,0),1)</f>
        <v>0</v>
      </c>
      <c r="BF17" s="147" t="str">
        <f>IFERROR(INDEX(естьАЦ!$A:$A,MATCH($U17*1,естьАЦ!$A:$A,0),1),"нет в АЦ")</f>
        <v>нет в АЦ</v>
      </c>
    </row>
    <row r="18" spans="1:58" ht="25.5" x14ac:dyDescent="0.25">
      <c r="A18" s="55">
        <f>3</f>
        <v>3</v>
      </c>
      <c r="B18" s="42" t="str">
        <f>IFERROR(IFERROR(INDEX(Справочники!$A$2:$P$79,MATCH(INDEX(ТУ!$E:$E,MATCH($U18*1,ТУ!$CP:$CP,0),1),Справочники!$P$2:$P$79,0),2),INDEX(Справочники!$A$2:$P$79,MATCH((INDEX(ТУ!$E:$E,MATCH($U18*1,ТУ!$CP:$CP,0),1))*1,Справочники!$P$2:$P$79,0),2)),"")</f>
        <v>11 р-н МКС (ЮЗОРУПЭ)</v>
      </c>
      <c r="C18" s="46" t="str">
        <f>IFERROR(TRIM(LEFT(INDEX(ТУ!$AF:$AF,MATCH($U18*1,ТУ!$CP:$CP,0),1),SEARCH("-",INDEX(ТУ!$AF:$AF,MATCH($U18*1,ТУ!$CP:$CP,0),1))-1)),IFERROR(LEFT(INDEX(ТУ!$X:$X,MATCH($U18*1,ТУ!$CP:$CP,0),1),SEARCH("-",INDEX(ТУ!$X:$X,MATCH($U18*1,ТУ!$CP:$CP,0),1))-1),"ТП"))</f>
        <v>ТП</v>
      </c>
      <c r="D18" s="47" t="str">
        <f>IF(TRIM(IF(ISNUMBER((IFERROR(RIGHT(INDEX(ТУ!$AF:$AF,MATCH($U18*1,ТУ!$CP:$CP,0),1),LEN(INDEX(ТУ!$AF:$AF,MATCH($U18*1,ТУ!$CP:$CP,0),1))-SEARCH("-",INDEX(ТУ!$AF:$AF,MATCH($U18*1,ТУ!$CP:$CP,0),1))),INDEX(ТУ!$AF:$AF,MATCH($U18*1,ТУ!$CP:$CP,0),1)))*1),IFERROR(RIGHT(INDEX(ТУ!$AF:$AF,MATCH($U18*1,ТУ!$CP:$CP,0),1),LEN(INDEX(ТУ!$AF:$AF,MATCH($U18*1,ТУ!$CP:$CP,0),1))-SEARCH("-",INDEX(ТУ!$AF:$AF,MATCH($U18*1,ТУ!$CP:$CP,0),1))),INDEX(ТУ!$AF:$AF,MATCH($U18*1,ТУ!$CP:$CP,0),1)),""))="",TRIM(IF(ISNUMBER((IFERROR(RIGHT(INDEX(ТУ!$X:$X,MATCH($U18*1,ТУ!$CP:$CP,0),1),LEN(INDEX(ТУ!$X:$X,MATCH($U18*1,ТУ!$CP:$CP,0),1))-SEARCH("-",INDEX(ТУ!$X:$X,MATCH($U18*1,ТУ!$CP:$CP,0),1))),INDEX(ТУ!$X:$X,MATCH($U18*1,ТУ!$CP:$CP,0),1)))*1),IFERROR(RIGHT(INDEX(ТУ!$X:$X,MATCH($U18*1,ТУ!$CP:$CP,0),1),LEN(INDEX(ТУ!$X:$X,MATCH($U18*1,ТУ!$CP:$CP,0),1))-SEARCH("-",INDEX(ТУ!$X:$X,MATCH($U18*1,ТУ!$CP:$CP,0),1))),INDEX(ТУ!$X:$X,MATCH($U18*1,ТУ!$CP:$CP,0),1)),"")),TRIM(IF(ISNUMBER((IFERROR(RIGHT(INDEX(ТУ!$AF:$AF,MATCH($U18*1,ТУ!$CP:$CP,0),1),LEN(INDEX(ТУ!$AF:$AF,MATCH($U18*1,ТУ!$CP:$CP,0),1))-SEARCH("-",INDEX(ТУ!$AF:$AF,MATCH($U18*1,ТУ!$CP:$CP,0),1))),INDEX(ТУ!$AF:$AF,MATCH($U18*1,ТУ!$CP:$CP,0),1)))*1),IFERROR(RIGHT(INDEX(ТУ!$AF:$AF,MATCH($U18*1,ТУ!$CP:$CP,0),1),LEN(INDEX(ТУ!$AF:$AF,MATCH($U18*1,ТУ!$CP:$CP,0),1))-SEARCH("-",INDEX(ТУ!$AF:$AF,MATCH($U18*1,ТУ!$CP:$CP,0),1))),INDEX(ТУ!$AF:$AF,MATCH($U18*1,ТУ!$CP:$CP,0),1)),"")))</f>
        <v>11321</v>
      </c>
      <c r="E18" s="25" t="str">
        <f t="shared" si="2"/>
        <v>МКС</v>
      </c>
      <c r="F18" s="20">
        <f t="shared" si="3"/>
        <v>85</v>
      </c>
      <c r="G18" s="21">
        <f t="shared" si="4"/>
        <v>5</v>
      </c>
      <c r="H18" s="25" t="str">
        <f t="shared" si="5"/>
        <v>ТП-11321</v>
      </c>
      <c r="I18" s="25" t="str">
        <f t="shared" si="6"/>
        <v>85511321</v>
      </c>
      <c r="J18" s="42" t="str">
        <f>INDEX(Справочники!$M:$M,MATCH(IF(INDEX(ТУ!$BO:$BO,MATCH($U18*1,ТУ!$CP:$CP,0),1)=1,1,INDEX(ТУ!$BO:$BO,MATCH($U18*1,ТУ!$CP:$CP,0),1)*100),Справочники!$N:$N,0),1)</f>
        <v>0.4 кВ</v>
      </c>
      <c r="K18" s="40">
        <f>1</f>
        <v>1</v>
      </c>
      <c r="L18" s="20" t="str">
        <f t="shared" si="7"/>
        <v>СШ-1</v>
      </c>
      <c r="M18" s="20">
        <f t="shared" si="8"/>
        <v>1</v>
      </c>
      <c r="N18" s="40"/>
      <c r="O18" s="56" t="str">
        <f t="shared" si="9"/>
        <v>Ввод-1-1</v>
      </c>
      <c r="P18" s="57" t="str">
        <f>IFERROR(IF(INDEX(ТУ!$AO:$AO,MATCH($U18*1,ТУ!$CP:$CP,0),1)=0,"",INDEX(ТУ!$AO:$AO,MATCH($U18*1,ТУ!$CP:$CP,0),1)),"")</f>
        <v>Ввод абонента</v>
      </c>
      <c r="Q18" s="40">
        <f>IFERROR(IF(INDEX(ТУ!$BN:$BN,MATCH($U18*1,ТУ!$CP:$CP,0),1)=1,1,INDEX(ТУ!$BN:$BN,MATCH($U18*1,ТУ!$CP:$CP,0),1)*5),"")</f>
        <v>200</v>
      </c>
      <c r="R18" s="25">
        <f t="shared" si="10"/>
        <v>5</v>
      </c>
      <c r="S18" s="25">
        <f t="shared" si="11"/>
        <v>1</v>
      </c>
      <c r="T18" s="25">
        <f t="shared" si="12"/>
        <v>1</v>
      </c>
      <c r="U18" s="105" t="s">
        <v>657</v>
      </c>
      <c r="V18" s="43">
        <f>IF(INDEX(ТУ!$BH:$BH,MATCH($U18*1,ТУ!$CP:$CP,0),1)=0,"",INDEX(ТУ!$BH:$BH,MATCH($U18*1,ТУ!$CP:$CP,0),1))</f>
        <v>44872</v>
      </c>
      <c r="W18" s="43" t="str">
        <f>IF(INDEX(ТУ!$BI:$BI,MATCH($U18*1,ТУ!$CP:$CP,0),1)=0,"",INDEX(ТУ!$BI:$BI,MATCH($U18*1,ТУ!$CP:$CP,0),1))</f>
        <v>15.12.2021</v>
      </c>
      <c r="X18" s="58" t="str">
        <f t="shared" si="13"/>
        <v/>
      </c>
      <c r="Y18" s="25">
        <f t="shared" si="14"/>
        <v>35</v>
      </c>
      <c r="Z18" s="42" t="str">
        <f t="shared" si="15"/>
        <v/>
      </c>
      <c r="AA18" s="25" t="str">
        <f t="shared" si="16"/>
        <v/>
      </c>
      <c r="AB18" s="40" t="str">
        <f>IF(ISNUMBER(SEARCH("Приборы с поддержкой протокола СПОДЭС - Нартис-И300 (СПОДЭС)",INDEX(ТУ!$BD:$BD,MATCH($U18*1,ТУ!$CP:$CP,0),1))),"Нартис-И300",
IF(ISNUMBER(SEARCH("Приборы с поддержкой протокола СПОДЭС - Меркурий 234 (СПОДЭС)",INDEX(ТУ!$BD:$BD,MATCH($U18*1,ТУ!$CP:$CP,0),1))),"Меркурий 234 (СПОДЭС)",
IF(ISNUMBER(SEARCH("Приборы с поддержкой протокола СПОДЭС - Нартис-300 (СПОДЭС)",INDEX(ТУ!$BD:$BD,MATCH($U18*1,ТУ!$CP:$CP,0),1))),"Нартис-300",
IF(ISNUMBER(SEARCH("Инкотекс - Меркурий 234",INDEX(ТУ!$BD:$BD,MATCH($U18*1,ТУ!$CP:$CP,0),1))),"Меркурий 234",
IF(ISNUMBER(SEARCH("Инкотекс - Меркурий 206",INDEX(ТУ!$BD:$BD,MATCH($U18*1,ТУ!$CP:$CP,0),1))),"Меркурий 206",
IF(ISNUMBER(SEARCH("Приборы с поддержкой протокола СПОДЭС - Универсальный счетчик СПОДЭС 2 трехфазный",INDEX(ТУ!$BD:$BD,MATCH($U18*1,ТУ!$CP:$CP,0),1))),"Нартис-И300",
IF(ISNUMBER(SEARCH("Приборы с поддержкой протокола СПОДЭС - Универсальный счетчик СПОДЭС 2 однофазный",INDEX(ТУ!$BD:$BD,MATCH($U18*1,ТУ!$CP:$CP,0),1))),"Нартис-И100",
IF(ISNUMBER(SEARCH("Приборы с поддержкой протокола СПОДЭС - Нартис-И100 (СПОДЭС)",INDEX(ТУ!$BD:$BD,MATCH($U18*1,ТУ!$CP:$CP,0),1))),"Нартис-И100",
IF(ISNUMBER(SEARCH("Приборы с поддержкой протокола СПОДЭС - СЕ308 (СПОДЭС)",INDEX(ТУ!$BD:$BD,MATCH($U18*1,ТУ!$CP:$CP,0),1))),"СЕ308 (СПОДЭС)",
IF(ISNUMBER(SEARCH("Приборы с поддержкой протокола СПОДЭС - СЕ207 (СПОДЭС)",INDEX(ТУ!$BD:$BD,MATCH($U18*1,ТУ!$CP:$CP,0),1))),"СЕ207 (СПОДЭС)",
IF(ISNUMBER(SEARCH("Приборы с поддержкой протокола СПОДЭС - СТЭМ-300 (СПОДЭС)",INDEX(ТУ!$BD:$BD,MATCH($U18*1,ТУ!$CP:$CP,0),1))),"СТЭМ-300 (СПОДЭС)",
IF(ISNUMBER(SEARCH("ТехноЭнерго - ТЕ3000",INDEX(ТУ!$BD:$BD,MATCH($U18*1,ТУ!$CP:$CP,0),1))),"ТЕ3000",
IF(ISNUMBER(SEARCH("НЗиФ - СЭТ-4ТМ",INDEX(ТУ!$BD:$BD,MATCH($U18*1,ТУ!$CP:$CP,0),1))),"СЭТ-4ТМ",
INDEX(ТУ!$BD:$BD,MATCH($U18*1,ТУ!$CP:$CP,0),1)
)))))))))))))</f>
        <v>Приборы с поддержкой протокола СПОДЭС - КВАНТ ST2000-12 (СПОДЭС)</v>
      </c>
      <c r="AC18" s="40" t="s">
        <v>2</v>
      </c>
      <c r="AD18" s="40" t="str">
        <f>IF(ISNUMBER(IFERROR(LEFT(IF(INDEX(ТУ!$CI:$CI,MATCH($U18*1,ТУ!$CP:$CP,0),1)=0,"",INDEX(ТУ!$CI:$CI,MATCH($U18*1,ТУ!$CP:$CP,0),1)),SEARCH(" ",IF(INDEX(ТУ!$CI:$CI,MATCH($U18*1,ТУ!$CP:$CP,0),1)=0,"",INDEX(ТУ!$CI:$CI,MATCH($U18*1,ТУ!$CP:$CP,0),1)),1)-1),"")*1),IFERROR(LEFT(IF(INDEX(ТУ!$CI:$CI,MATCH($U18*1,ТУ!$CP:$CP,0),1)=0,"",INDEX(ТУ!$CI:$CI,MATCH($U18*1,ТУ!$CP:$CP,0),1)),SEARCH(" ",IF(INDEX(ТУ!$CI:$CI,MATCH($U18*1,ТУ!$CP:$CP,0),1)=0,"",INDEX(ТУ!$CI:$CI,MATCH($U18*1,ТУ!$CP:$CP,0),1)),1)-1),""),"")</f>
        <v>77700001012056</v>
      </c>
      <c r="AE18" s="40">
        <f>IF(INDEX(ТУ!$CB:$CB,MATCH($U18*1,ТУ!$CP:$CP,0),1)=0,INDEX(Adr!$B:$B,MATCH($U18*1,Adr!$C:$C,0),1),INDEX(ТУ!$CB:$CB,MATCH($U18*1,ТУ!$CP:$CP,0),1))</f>
        <v>4131</v>
      </c>
      <c r="AF18" s="45" t="str">
        <f>IF(INDEX(ТУ!$CD:$CD,MATCH($U18*1,ТУ!$CP:$CP,0),1)=0,"",INDEX(ТУ!$CD:$CD,MATCH($U18*1,ТУ!$CP:$CP,0),1))</f>
        <v>0000000000002080</v>
      </c>
      <c r="AG18" s="45">
        <f>0</f>
        <v>0</v>
      </c>
      <c r="AH18" s="26">
        <f t="shared" si="17"/>
        <v>85</v>
      </c>
      <c r="AI18" s="20" t="str">
        <f t="shared" si="18"/>
        <v>855113211</v>
      </c>
      <c r="AJ18" s="41" t="str">
        <f t="shared" si="1"/>
        <v>10.192.36.218</v>
      </c>
      <c r="AK18" s="41" t="str">
        <f>IF($AP18="",IFERROR(IFERROR(LEFT(RIGHT(INDEX(ТУ!$CE:$CE,MATCH($U18*1,ТУ!$CP:$CP,0),1),LEN(INDEX(ТУ!$CE:$CE,MATCH($U18*1,ТУ!$CP:$CP,0),1))-SEARCH(":",INDEX(ТУ!$CE:$CE,MATCH($U18*1,ТУ!$CP:$CP,0),1))),SEARCH("/",RIGHT(INDEX(ТУ!$CE:$CE,MATCH($U18*1,ТУ!$CP:$CP,0),1),LEN(INDEX(ТУ!$CE:$CE,MATCH($U18*1,ТУ!$CP:$CP,0),1))-SEARCH(":",INDEX(ТУ!$CE:$CE,MATCH($U18*1,ТУ!$CP:$CP,0),1))))-1), RIGHT(INDEX(ТУ!$CE:$CE,MATCH($U18*1,ТУ!$CP:$CP,0),1),LEN(INDEX(ТУ!$CE:$CE,MATCH($U18*1,ТУ!$CP:$CP,0),1))-SEARCH(":",INDEX(ТУ!$CE:$CE,MATCH($U18*1,ТУ!$CP:$CP,0),1)))), ""),IFERROR(IFERROR(LEFT(RIGHT(INDEX(УСПД!$M:$M,MATCH(IFERROR(1*LEFT(INDEX(ТУ!$CG:$CG,MATCH($U18*1,ТУ!$CP:$CP,0),1),SEARCH(" ",INDEX(ТУ!$CG:$CG,MATCH($U18*1,ТУ!$CP:$CP,0),1))-1),""),УСПД!$N:$N,0),1),LEN(INDEX(УСПД!$M:$M,MATCH(IFERROR(1*LEFT(INDEX(ТУ!$CG:$CG,MATCH($U18*1,ТУ!$CP:$CP,0),1),SEARCH(" ",INDEX(ТУ!$CG:$CG,MATCH($U18*1,ТУ!$CP:$CP,0),1))-1),""),УСПД!$N:$N,0),1))-SEARCH(":",INDEX(УСПД!$M:$M,MATCH(IFERROR(1*LEFT(INDEX(ТУ!$CG:$CG,MATCH($U18*1,ТУ!$CP:$CP,0),1),SEARCH(" ",INDEX(ТУ!$CG:$CG,MATCH($U18*1,ТУ!$CP:$CP,0),1))-1),""),УСПД!$N:$N,0),1))),SEARCH("/",RIGHT(INDEX(УСПД!$M:$M,MATCH(IFERROR(1*LEFT(INDEX(ТУ!$CG:$CG,MATCH($U18*1,ТУ!$CP:$CP,0),1),SEARCH(" ",INDEX(ТУ!$CG:$CG,MATCH($U18*1,ТУ!$CP:$CP,0),1))-1),""),УСПД!$N:$N,0),1),LEN(INDEX(УСПД!$M:$M,MATCH(IFERROR(1*LEFT(INDEX(ТУ!$CG:$CG,MATCH($U18*1,ТУ!$CP:$CP,0),1),SEARCH(" ",INDEX(ТУ!$CG:$CG,MATCH($U18*1,ТУ!$CP:$CP,0),1))-1),""),УСПД!$N:$N,0),1))-SEARCH(":",INDEX(УСПД!$M:$M,MATCH(IFERROR(1*LEFT(INDEX(ТУ!$CG:$CG,MATCH($U18*1,ТУ!$CP:$CP,0),1),SEARCH(" ",INDEX(ТУ!$CG:$CG,MATCH($U18*1,ТУ!$CP:$CP,0),1))-1),""),УСПД!$N:$N,0),1))))-1), RIGHT(INDEX(УСПД!$M:$M,MATCH(IFERROR(1*LEFT(INDEX(ТУ!$CG:$CG,MATCH($U18*1,ТУ!$CP:$CP,0),1),SEARCH(" ",INDEX(ТУ!$CG:$CG,MATCH($U18*1,ТУ!$CP:$CP,0),1))-1),""),УСПД!$N:$N,0),1),LEN(INDEX(УСПД!$M:$M,MATCH(IFERROR(1*LEFT(INDEX(ТУ!$CG:$CG,MATCH($U18*1,ТУ!$CP:$CP,0),1),SEARCH(" ",INDEX(ТУ!$CG:$CG,MATCH($U18*1,ТУ!$CP:$CP,0),1))-1),""),УСПД!$N:$N,0),1))-SEARCH(":",INDEX(УСПД!$M:$M,MATCH(IFERROR(1*LEFT(INDEX(ТУ!$CG:$CG,MATCH($U18*1,ТУ!$CP:$CP,0),1),SEARCH(" ",INDEX(ТУ!$CG:$CG,MATCH($U18*1,ТУ!$CP:$CP,0),1))-1),""),УСПД!$N:$N,0),1)))), ""))</f>
        <v>4001</v>
      </c>
      <c r="AL18" s="41"/>
      <c r="AM18" s="57" t="str">
        <f>IFERROR(IFERROR(INDEX(Tel!$B:$B,MATCH($AJ18,Tel!$E:$E,0),1),INDEX(Tel!$B:$B,MATCH($AJ18,Tel!$D:$D,0),1)),"")</f>
        <v/>
      </c>
      <c r="AN18" s="59" t="str">
        <f>IF(ISNUMBER(SEARCH("ТОПАЗ - ТОПАЗ УСПД",IFERROR(RIGHT(LEFT(INDEX(ТУ!$CG:$CG,MATCH($U18*1,ТУ!$CP:$CP,0),1),SEARCH(")",INDEX(ТУ!$CG:$CG,MATCH($U18*1,ТУ!$CP:$CP,0),1))-1),LEN(LEFT(INDEX(ТУ!$CG:$CG,MATCH($U18*1,ТУ!$CP:$CP,0),1),SEARCH(")",INDEX(ТУ!$CG:$CG,MATCH($U18*1,ТУ!$CP:$CP,0),1))-1))-SEARCH("(",INDEX(ТУ!$CG:$CG,MATCH($U18*1,ТУ!$CP:$CP,0),1))),""),1)),"RTU-327",
IF(ISNUMBER(SEARCH("TELEOFIS",$AP18)),"Модем",
""))</f>
        <v/>
      </c>
      <c r="AO18" s="27" t="str">
        <f t="shared" si="0"/>
        <v/>
      </c>
      <c r="AP18" s="57" t="str">
        <f>IF(ISNUMBER(SEARCH("Миландр - Милур GSM/GPRS модем",IFERROR(RIGHT(LEFT(INDEX(ТУ!$CG:$CG,MATCH($U18*1,ТУ!$CP:$CP,0),1),SEARCH(")",INDEX(ТУ!$CG:$CG,MATCH($U18*1,ТУ!$CP:$CP,0),1))-1),LEN(LEFT(INDEX(ТУ!$CG:$CG,MATCH($U18*1,ТУ!$CP:$CP,0),1),SEARCH(")",INDEX(ТУ!$CG:$CG,MATCH($U18*1,ТУ!$CP:$CP,0),1))-1))-SEARCH("(",INDEX(ТУ!$CG:$CG,MATCH($U18*1,ТУ!$CP:$CP,0),1))),""),1)), "TELEOFIS WRX708-L4",IFERROR(RIGHT(LEFT(INDEX(ТУ!$CG:$CG,MATCH($U18*1,ТУ!$CP:$CP,0),1),SEARCH(")",INDEX(ТУ!$CG:$CG,MATCH($U18*1,ТУ!$CP:$CP,0),1))-1),LEN(LEFT(INDEX(ТУ!$CG:$CG,MATCH($U18*1,ТУ!$CP:$CP,0),1),SEARCH(")",INDEX(ТУ!$CG:$CG,MATCH($U18*1,ТУ!$CP:$CP,0),1))-1))-SEARCH("(",INDEX(ТУ!$CG:$CG,MATCH($U18*1,ТУ!$CP:$CP,0),1))),""))</f>
        <v/>
      </c>
      <c r="AQ18" s="57" t="str">
        <f>IFERROR(IF(INDEX(УСПД!$K:$K,MATCH($AS18*1,УСПД!$N:$N,0),1)=0,"",INDEX(УСПД!$K:$K,MATCH($AS18*1,УСПД!$N:$N,0),1)),"")</f>
        <v/>
      </c>
      <c r="AR18" s="57" t="str">
        <f>IFERROR(IF(INDEX(УСПД!$L:$L,MATCH($AS18*1,УСПД!$N:$N,0),1)=0,"",INDEX(УСПД!$L:$L,MATCH($AS18*1,УСПД!$N:$N,0),1)),"")</f>
        <v/>
      </c>
      <c r="AS18" s="60" t="str">
        <f>IFERROR(LEFT(INDEX(ТУ!$CG:$CG,MATCH($U18*1,ТУ!$CP:$CP,0),1),SEARCH(" ",INDEX(ТУ!$CG:$CG,MATCH($U18*1,ТУ!$CP:$CP,0),1))-1),"")</f>
        <v/>
      </c>
      <c r="AT18" s="59" t="s">
        <v>360</v>
      </c>
      <c r="AU18" s="59">
        <f>3</f>
        <v>3</v>
      </c>
      <c r="AV18" s="59" t="s">
        <v>368</v>
      </c>
      <c r="AW18" s="149">
        <f t="shared" si="19"/>
        <v>63</v>
      </c>
      <c r="AX18" s="149">
        <f t="shared" si="20"/>
        <v>34</v>
      </c>
      <c r="AY18" s="149" t="str">
        <f t="shared" si="21"/>
        <v/>
      </c>
      <c r="AZ18" s="149" t="str">
        <f t="shared" si="22"/>
        <v/>
      </c>
      <c r="BA18" s="149">
        <f t="shared" si="23"/>
        <v>1</v>
      </c>
      <c r="BB18" s="154" t="str">
        <f>IF($AP18="",IFERROR(IFERROR(LEFT(RIGHT(INDEX(ТУ!$CE:$CE,MATCH($U18*1,ТУ!$CP:$CP,0),1),LEN(INDEX(ТУ!$CE:$CE,MATCH($U18*1,ТУ!$CP:$CP,0),1))-SEARCH(", ",INDEX(ТУ!$CE:$CE,MATCH($U18*1,ТУ!$CP:$CP,0),1),SEARCH(", ",INDEX(ТУ!$CE:$CE,MATCH($U18*1,ТУ!$CP:$CP,0),1))+1)-1),SEARCH(":",RIGHT(INDEX(ТУ!$CE:$CE,MATCH($U18*1,ТУ!$CP:$CP,0),1),LEN(INDEX(ТУ!$CE:$CE,MATCH($U18*1,ТУ!$CP:$CP,0),1))-SEARCH(", ",INDEX(ТУ!$CE:$CE,MATCH($U18*1,ТУ!$CP:$CP,0),1),SEARCH(", ",INDEX(ТУ!$CE:$CE,MATCH($U18*1,ТУ!$CP:$CP,0),1))+1)-1))-1),LEFT(INDEX(ТУ!$CE:$CE,MATCH($U18*1,ТУ!$CP:$CP,0),1),SEARCH(":",INDEX(ТУ!$CE:$CE,MATCH($U18*1,ТУ!$CP:$CP,0),1))-1)),""),IFERROR(IFERROR(LEFT(RIGHT(INDEX(УСПД!$M:$M,MATCH(IFERROR(1*LEFT(INDEX(ТУ!$CG:$CG,MATCH($U18*1,ТУ!$CP:$CP,0),1),SEARCH(" ",INDEX(ТУ!$CG:$CG,MATCH($U18*1,ТУ!$CP:$CP,0),1))-1),""),УСПД!$N:$N,0),1),LEN(INDEX(УСПД!$M:$M,MATCH(IFERROR(1*LEFT(INDEX(ТУ!$CG:$CG,MATCH($U18*1,ТУ!$CP:$CP,0),1),SEARCH(" ",INDEX(ТУ!$CG:$CG,MATCH($U18*1,ТУ!$CP:$CP,0),1))-1),""),УСПД!$N:$N,0),1))-SEARCH(", ",INDEX(УСПД!$M:$M,MATCH(IFERROR(1*LEFT(INDEX(ТУ!$CG:$CG,MATCH($U18*1,ТУ!$CP:$CP,0),1),SEARCH(" ",INDEX(ТУ!$CG:$CG,MATCH($U18*1,ТУ!$CP:$CP,0),1))-1),""),УСПД!$N:$N,0),1),SEARCH(", ",INDEX(УСПД!$M:$M,MATCH(IFERROR(1*LEFT(INDEX(ТУ!$CG:$CG,MATCH($U18*1,ТУ!$CP:$CP,0),1),SEARCH(" ",INDEX(ТУ!$CG:$CG,MATCH($U18*1,ТУ!$CP:$CP,0),1))-1),""),УСПД!$N:$N,0),1))+1)-1),SEARCH(":",RIGHT(INDEX(УСПД!$M:$M,MATCH(IFERROR(1*LEFT(INDEX(ТУ!$CG:$CG,MATCH($U18*1,ТУ!$CP:$CP,0),1),SEARCH(" ",INDEX(ТУ!$CG:$CG,MATCH($U18*1,ТУ!$CP:$CP,0),1))-1),""),УСПД!$N:$N,0),1),LEN(INDEX(УСПД!$M:$M,MATCH(IFERROR(1*LEFT(INDEX(ТУ!$CG:$CG,MATCH($U18*1,ТУ!$CP:$CP,0),1),SEARCH(" ",INDEX(ТУ!$CG:$CG,MATCH($U18*1,ТУ!$CP:$CP,0),1))-1),""),УСПД!$N:$N,0),1))-SEARCH(", ",INDEX(УСПД!$M:$M,MATCH(IFERROR(1*LEFT(INDEX(ТУ!$CG:$CG,MATCH($U18*1,ТУ!$CP:$CP,0),1),SEARCH(" ",INDEX(ТУ!$CG:$CG,MATCH($U18*1,ТУ!$CP:$CP,0),1))-1),""),УСПД!$N:$N,0),1),SEARCH(", ",INDEX(УСПД!$M:$M,MATCH(IFERROR(1*LEFT(INDEX(ТУ!$CG:$CG,MATCH($U18*1,ТУ!$CP:$CP,0),1),SEARCH(" ",INDEX(ТУ!$CG:$CG,MATCH($U18*1,ТУ!$CP:$CP,0),1))-1),""),УСПД!$N:$N,0),1))+1)-1))-1),LEFT(INDEX(УСПД!$M:$M,MATCH(IFERROR(1*LEFT(INDEX(ТУ!$CG:$CG,MATCH($U18*1,ТУ!$CP:$CP,0),1),SEARCH(" ",INDEX(ТУ!$CG:$CG,MATCH($U18*1,ТУ!$CP:$CP,0),1))-1),""),УСПД!$N:$N,0),1),SEARCH(":",INDEX(УСПД!$M:$M,MATCH(IFERROR(1*LEFT(INDEX(ТУ!$CG:$CG,MATCH($U18*1,ТУ!$CP:$CP,0),1),SEARCH(" ",INDEX(ТУ!$CG:$CG,MATCH($U18*1,ТУ!$CP:$CP,0),1))-1),""),УСПД!$N:$N,0),1))-1)),""))</f>
        <v>10.192.36.218</v>
      </c>
      <c r="BC18" s="155" t="str">
        <f>INDEX(ТУ!$AF:$AF,MATCH($U18*1,ТУ!$CP:$CP,0),1)</f>
        <v>ТП-11321</v>
      </c>
      <c r="BD18" s="155">
        <f>INDEX(ТУ!$X:$X,MATCH($U18*1,ТУ!$CP:$CP,0),1)</f>
        <v>0</v>
      </c>
      <c r="BE18" s="155">
        <f>INDEX(ТУ!$CL:$CL,MATCH($U18*1,ТУ!$CP:$CP,0),1)</f>
        <v>0</v>
      </c>
      <c r="BF18" s="147" t="str">
        <f>IFERROR(INDEX(естьАЦ!$A:$A,MATCH($U18*1,естьАЦ!$A:$A,0),1),"нет в АЦ")</f>
        <v>нет в АЦ</v>
      </c>
    </row>
    <row r="19" spans="1:58" ht="25.5" x14ac:dyDescent="0.25">
      <c r="A19" s="55">
        <f>3</f>
        <v>3</v>
      </c>
      <c r="B19" s="42" t="str">
        <f>IFERROR(IFERROR(INDEX(Справочники!$A$2:$P$79,MATCH(INDEX(ТУ!$E:$E,MATCH($U19*1,ТУ!$CP:$CP,0),1),Справочники!$P$2:$P$79,0),2),INDEX(Справочники!$A$2:$P$79,MATCH((INDEX(ТУ!$E:$E,MATCH($U19*1,ТУ!$CP:$CP,0),1))*1,Справочники!$P$2:$P$79,0),2)),"")</f>
        <v>16 р-н МКС (ЮОРУПЭ)</v>
      </c>
      <c r="C19" s="46" t="str">
        <f>IFERROR(TRIM(LEFT(INDEX(ТУ!$AF:$AF,MATCH($U19*1,ТУ!$CP:$CP,0),1),SEARCH("-",INDEX(ТУ!$AF:$AF,MATCH($U19*1,ТУ!$CP:$CP,0),1))-1)),IFERROR(LEFT(INDEX(ТУ!$X:$X,MATCH($U19*1,ТУ!$CP:$CP,0),1),SEARCH("-",INDEX(ТУ!$X:$X,MATCH($U19*1,ТУ!$CP:$CP,0),1))-1),"ТП"))</f>
        <v>ТП</v>
      </c>
      <c r="D19" s="47" t="str">
        <f>IF(TRIM(IF(ISNUMBER((IFERROR(RIGHT(INDEX(ТУ!$AF:$AF,MATCH($U19*1,ТУ!$CP:$CP,0),1),LEN(INDEX(ТУ!$AF:$AF,MATCH($U19*1,ТУ!$CP:$CP,0),1))-SEARCH("-",INDEX(ТУ!$AF:$AF,MATCH($U19*1,ТУ!$CP:$CP,0),1))),INDEX(ТУ!$AF:$AF,MATCH($U19*1,ТУ!$CP:$CP,0),1)))*1),IFERROR(RIGHT(INDEX(ТУ!$AF:$AF,MATCH($U19*1,ТУ!$CP:$CP,0),1),LEN(INDEX(ТУ!$AF:$AF,MATCH($U19*1,ТУ!$CP:$CP,0),1))-SEARCH("-",INDEX(ТУ!$AF:$AF,MATCH($U19*1,ТУ!$CP:$CP,0),1))),INDEX(ТУ!$AF:$AF,MATCH($U19*1,ТУ!$CP:$CP,0),1)),""))="",TRIM(IF(ISNUMBER((IFERROR(RIGHT(INDEX(ТУ!$X:$X,MATCH($U19*1,ТУ!$CP:$CP,0),1),LEN(INDEX(ТУ!$X:$X,MATCH($U19*1,ТУ!$CP:$CP,0),1))-SEARCH("-",INDEX(ТУ!$X:$X,MATCH($U19*1,ТУ!$CP:$CP,0),1))),INDEX(ТУ!$X:$X,MATCH($U19*1,ТУ!$CP:$CP,0),1)))*1),IFERROR(RIGHT(INDEX(ТУ!$X:$X,MATCH($U19*1,ТУ!$CP:$CP,0),1),LEN(INDEX(ТУ!$X:$X,MATCH($U19*1,ТУ!$CP:$CP,0),1))-SEARCH("-",INDEX(ТУ!$X:$X,MATCH($U19*1,ТУ!$CP:$CP,0),1))),INDEX(ТУ!$X:$X,MATCH($U19*1,ТУ!$CP:$CP,0),1)),"")),TRIM(IF(ISNUMBER((IFERROR(RIGHT(INDEX(ТУ!$AF:$AF,MATCH($U19*1,ТУ!$CP:$CP,0),1),LEN(INDEX(ТУ!$AF:$AF,MATCH($U19*1,ТУ!$CP:$CP,0),1))-SEARCH("-",INDEX(ТУ!$AF:$AF,MATCH($U19*1,ТУ!$CP:$CP,0),1))),INDEX(ТУ!$AF:$AF,MATCH($U19*1,ТУ!$CP:$CP,0),1)))*1),IFERROR(RIGHT(INDEX(ТУ!$AF:$AF,MATCH($U19*1,ТУ!$CP:$CP,0),1),LEN(INDEX(ТУ!$AF:$AF,MATCH($U19*1,ТУ!$CP:$CP,0),1))-SEARCH("-",INDEX(ТУ!$AF:$AF,MATCH($U19*1,ТУ!$CP:$CP,0),1))),INDEX(ТУ!$AF:$AF,MATCH($U19*1,ТУ!$CP:$CP,0),1)),"")))</f>
        <v>14979</v>
      </c>
      <c r="E19" s="25" t="str">
        <f t="shared" si="2"/>
        <v>МКС</v>
      </c>
      <c r="F19" s="20">
        <f t="shared" si="3"/>
        <v>90</v>
      </c>
      <c r="G19" s="21">
        <f t="shared" si="4"/>
        <v>5</v>
      </c>
      <c r="H19" s="25" t="str">
        <f t="shared" si="5"/>
        <v>ТП-14979</v>
      </c>
      <c r="I19" s="25" t="str">
        <f t="shared" si="6"/>
        <v>90514979</v>
      </c>
      <c r="J19" s="42" t="str">
        <f>INDEX(Справочники!$M:$M,MATCH(IF(INDEX(ТУ!$BO:$BO,MATCH($U19*1,ТУ!$CP:$CP,0),1)=1,1,INDEX(ТУ!$BO:$BO,MATCH($U19*1,ТУ!$CP:$CP,0),1)*100),Справочники!$N:$N,0),1)</f>
        <v>0.4 кВ</v>
      </c>
      <c r="K19" s="40">
        <f>1</f>
        <v>1</v>
      </c>
      <c r="L19" s="20" t="str">
        <f t="shared" si="7"/>
        <v>СШ-1</v>
      </c>
      <c r="M19" s="20">
        <f t="shared" si="8"/>
        <v>1</v>
      </c>
      <c r="N19" s="40"/>
      <c r="O19" s="56" t="str">
        <f t="shared" si="9"/>
        <v>Ввод-1-1</v>
      </c>
      <c r="P19" s="57" t="str">
        <f>IFERROR(IF(INDEX(ТУ!$AO:$AO,MATCH($U19*1,ТУ!$CP:$CP,0),1)=0,"",INDEX(ТУ!$AO:$AO,MATCH($U19*1,ТУ!$CP:$CP,0),1)),"")</f>
        <v>Ввод абонента</v>
      </c>
      <c r="Q19" s="40">
        <f>IFERROR(IF(INDEX(ТУ!$BN:$BN,MATCH($U19*1,ТУ!$CP:$CP,0),1)=1,1,INDEX(ТУ!$BN:$BN,MATCH($U19*1,ТУ!$CP:$CP,0),1)*5),"")</f>
        <v>1</v>
      </c>
      <c r="R19" s="25">
        <f t="shared" si="10"/>
        <v>1</v>
      </c>
      <c r="S19" s="25">
        <f t="shared" si="11"/>
        <v>1</v>
      </c>
      <c r="T19" s="25">
        <f t="shared" si="12"/>
        <v>1</v>
      </c>
      <c r="U19" s="105" t="s">
        <v>670</v>
      </c>
      <c r="V19" s="43">
        <f>IF(INDEX(ТУ!$BH:$BH,MATCH($U19*1,ТУ!$CP:$CP,0),1)=0,"",INDEX(ТУ!$BH:$BH,MATCH($U19*1,ТУ!$CP:$CP,0),1))</f>
        <v>44873</v>
      </c>
      <c r="W19" s="43" t="str">
        <f>IF(INDEX(ТУ!$BI:$BI,MATCH($U19*1,ТУ!$CP:$CP,0),1)=0,"",INDEX(ТУ!$BI:$BI,MATCH($U19*1,ТУ!$CP:$CP,0),1))</f>
        <v>28.08.2021</v>
      </c>
      <c r="X19" s="58" t="str">
        <f t="shared" si="13"/>
        <v/>
      </c>
      <c r="Y19" s="25">
        <f t="shared" si="14"/>
        <v>35</v>
      </c>
      <c r="Z19" s="42" t="str">
        <f t="shared" si="15"/>
        <v/>
      </c>
      <c r="AA19" s="25" t="str">
        <f t="shared" si="16"/>
        <v/>
      </c>
      <c r="AB19" s="40" t="str">
        <f>IF(ISNUMBER(SEARCH("Приборы с поддержкой протокола СПОДЭС - Нартис-И300 (СПОДЭС)",INDEX(ТУ!$BD:$BD,MATCH($U19*1,ТУ!$CP:$CP,0),1))),"Нартис-И300",
IF(ISNUMBER(SEARCH("Приборы с поддержкой протокола СПОДЭС - Меркурий 234 (СПОДЭС)",INDEX(ТУ!$BD:$BD,MATCH($U19*1,ТУ!$CP:$CP,0),1))),"Меркурий 234 (СПОДЭС)",
IF(ISNUMBER(SEARCH("Приборы с поддержкой протокола СПОДЭС - Нартис-300 (СПОДЭС)",INDEX(ТУ!$BD:$BD,MATCH($U19*1,ТУ!$CP:$CP,0),1))),"Нартис-300",
IF(ISNUMBER(SEARCH("Инкотекс - Меркурий 234",INDEX(ТУ!$BD:$BD,MATCH($U19*1,ТУ!$CP:$CP,0),1))),"Меркурий 234",
IF(ISNUMBER(SEARCH("Инкотекс - Меркурий 206",INDEX(ТУ!$BD:$BD,MATCH($U19*1,ТУ!$CP:$CP,0),1))),"Меркурий 206",
IF(ISNUMBER(SEARCH("Приборы с поддержкой протокола СПОДЭС - Универсальный счетчик СПОДЭС 2 трехфазный",INDEX(ТУ!$BD:$BD,MATCH($U19*1,ТУ!$CP:$CP,0),1))),"Нартис-И300",
IF(ISNUMBER(SEARCH("Приборы с поддержкой протокола СПОДЭС - Универсальный счетчик СПОДЭС 2 однофазный",INDEX(ТУ!$BD:$BD,MATCH($U19*1,ТУ!$CP:$CP,0),1))),"Нартис-И100",
IF(ISNUMBER(SEARCH("Приборы с поддержкой протокола СПОДЭС - Нартис-И100 (СПОДЭС)",INDEX(ТУ!$BD:$BD,MATCH($U19*1,ТУ!$CP:$CP,0),1))),"Нартис-И100",
IF(ISNUMBER(SEARCH("Приборы с поддержкой протокола СПОДЭС - СЕ308 (СПОДЭС)",INDEX(ТУ!$BD:$BD,MATCH($U19*1,ТУ!$CP:$CP,0),1))),"СЕ308 (СПОДЭС)",
IF(ISNUMBER(SEARCH("Приборы с поддержкой протокола СПОДЭС - СЕ207 (СПОДЭС)",INDEX(ТУ!$BD:$BD,MATCH($U19*1,ТУ!$CP:$CP,0),1))),"СЕ207 (СПОДЭС)",
IF(ISNUMBER(SEARCH("Приборы с поддержкой протокола СПОДЭС - СТЭМ-300 (СПОДЭС)",INDEX(ТУ!$BD:$BD,MATCH($U19*1,ТУ!$CP:$CP,0),1))),"СТЭМ-300 (СПОДЭС)",
IF(ISNUMBER(SEARCH("ТехноЭнерго - ТЕ3000",INDEX(ТУ!$BD:$BD,MATCH($U19*1,ТУ!$CP:$CP,0),1))),"ТЕ3000",
IF(ISNUMBER(SEARCH("НЗиФ - СЭТ-4ТМ",INDEX(ТУ!$BD:$BD,MATCH($U19*1,ТУ!$CP:$CP,0),1))),"СЭТ-4ТМ",
INDEX(ТУ!$BD:$BD,MATCH($U19*1,ТУ!$CP:$CP,0),1)
)))))))))))))</f>
        <v>Инкотекс - Меркурий 236 (Постоянная счетчика - 250, Учитываемые типы энергии - А+,А-,Р+,Р-)</v>
      </c>
      <c r="AC19" s="40" t="s">
        <v>2</v>
      </c>
      <c r="AD19" s="40" t="str">
        <f>IF(ISNUMBER(IFERROR(LEFT(IF(INDEX(ТУ!$CI:$CI,MATCH($U19*1,ТУ!$CP:$CP,0),1)=0,"",INDEX(ТУ!$CI:$CI,MATCH($U19*1,ТУ!$CP:$CP,0),1)),SEARCH(" ",IF(INDEX(ТУ!$CI:$CI,MATCH($U19*1,ТУ!$CP:$CP,0),1)=0,"",INDEX(ТУ!$CI:$CI,MATCH($U19*1,ТУ!$CP:$CP,0),1)),1)-1),"")*1),IFERROR(LEFT(IF(INDEX(ТУ!$CI:$CI,MATCH($U19*1,ТУ!$CP:$CP,0),1)=0,"",INDEX(ТУ!$CI:$CI,MATCH($U19*1,ТУ!$CP:$CP,0),1)),SEARCH(" ",IF(INDEX(ТУ!$CI:$CI,MATCH($U19*1,ТУ!$CP:$CP,0),1)=0,"",INDEX(ТУ!$CI:$CI,MATCH($U19*1,ТУ!$CP:$CP,0),1)),1)-1),""),"")</f>
        <v>77670001002666</v>
      </c>
      <c r="AE19" s="40" t="str">
        <f>IF(INDEX(ТУ!$CB:$CB,MATCH($U19*1,ТУ!$CP:$CP,0),1)=0,INDEX(Adr!$B:$B,MATCH($U19*1,Adr!$C:$C,0),1),INDEX(ТУ!$CB:$CB,MATCH($U19*1,ТУ!$CP:$CP,0),1))</f>
        <v>79</v>
      </c>
      <c r="AF19" s="45" t="str">
        <f>IF(INDEX(ТУ!$CD:$CD,MATCH($U19*1,ТУ!$CP:$CP,0),1)=0,"",INDEX(ТУ!$CD:$CD,MATCH($U19*1,ТУ!$CP:$CP,0),1))</f>
        <v>222222</v>
      </c>
      <c r="AG19" s="45">
        <f>0</f>
        <v>0</v>
      </c>
      <c r="AH19" s="26">
        <f t="shared" si="17"/>
        <v>90</v>
      </c>
      <c r="AI19" s="20" t="str">
        <f t="shared" si="18"/>
        <v>905149791</v>
      </c>
      <c r="AJ19" s="41" t="str">
        <f t="shared" si="1"/>
        <v/>
      </c>
      <c r="AK19" s="41" t="str">
        <f>IF($AP19="",IFERROR(IFERROR(LEFT(RIGHT(INDEX(ТУ!$CE:$CE,MATCH($U19*1,ТУ!$CP:$CP,0),1),LEN(INDEX(ТУ!$CE:$CE,MATCH($U19*1,ТУ!$CP:$CP,0),1))-SEARCH(":",INDEX(ТУ!$CE:$CE,MATCH($U19*1,ТУ!$CP:$CP,0),1))),SEARCH("/",RIGHT(INDEX(ТУ!$CE:$CE,MATCH($U19*1,ТУ!$CP:$CP,0),1),LEN(INDEX(ТУ!$CE:$CE,MATCH($U19*1,ТУ!$CP:$CP,0),1))-SEARCH(":",INDEX(ТУ!$CE:$CE,MATCH($U19*1,ТУ!$CP:$CP,0),1))))-1), RIGHT(INDEX(ТУ!$CE:$CE,MATCH($U19*1,ТУ!$CP:$CP,0),1),LEN(INDEX(ТУ!$CE:$CE,MATCH($U19*1,ТУ!$CP:$CP,0),1))-SEARCH(":",INDEX(ТУ!$CE:$CE,MATCH($U19*1,ТУ!$CP:$CP,0),1)))), ""),IFERROR(IFERROR(LEFT(RIGHT(INDEX(УСПД!$M:$M,MATCH(IFERROR(1*LEFT(INDEX(ТУ!$CG:$CG,MATCH($U19*1,ТУ!$CP:$CP,0),1),SEARCH(" ",INDEX(ТУ!$CG:$CG,MATCH($U19*1,ТУ!$CP:$CP,0),1))-1),""),УСПД!$N:$N,0),1),LEN(INDEX(УСПД!$M:$M,MATCH(IFERROR(1*LEFT(INDEX(ТУ!$CG:$CG,MATCH($U19*1,ТУ!$CP:$CP,0),1),SEARCH(" ",INDEX(ТУ!$CG:$CG,MATCH($U19*1,ТУ!$CP:$CP,0),1))-1),""),УСПД!$N:$N,0),1))-SEARCH(":",INDEX(УСПД!$M:$M,MATCH(IFERROR(1*LEFT(INDEX(ТУ!$CG:$CG,MATCH($U19*1,ТУ!$CP:$CP,0),1),SEARCH(" ",INDEX(ТУ!$CG:$CG,MATCH($U19*1,ТУ!$CP:$CP,0),1))-1),""),УСПД!$N:$N,0),1))),SEARCH("/",RIGHT(INDEX(УСПД!$M:$M,MATCH(IFERROR(1*LEFT(INDEX(ТУ!$CG:$CG,MATCH($U19*1,ТУ!$CP:$CP,0),1),SEARCH(" ",INDEX(ТУ!$CG:$CG,MATCH($U19*1,ТУ!$CP:$CP,0),1))-1),""),УСПД!$N:$N,0),1),LEN(INDEX(УСПД!$M:$M,MATCH(IFERROR(1*LEFT(INDEX(ТУ!$CG:$CG,MATCH($U19*1,ТУ!$CP:$CP,0),1),SEARCH(" ",INDEX(ТУ!$CG:$CG,MATCH($U19*1,ТУ!$CP:$CP,0),1))-1),""),УСПД!$N:$N,0),1))-SEARCH(":",INDEX(УСПД!$M:$M,MATCH(IFERROR(1*LEFT(INDEX(ТУ!$CG:$CG,MATCH($U19*1,ТУ!$CP:$CP,0),1),SEARCH(" ",INDEX(ТУ!$CG:$CG,MATCH($U19*1,ТУ!$CP:$CP,0),1))-1),""),УСПД!$N:$N,0),1))))-1), RIGHT(INDEX(УСПД!$M:$M,MATCH(IFERROR(1*LEFT(INDEX(ТУ!$CG:$CG,MATCH($U19*1,ТУ!$CP:$CP,0),1),SEARCH(" ",INDEX(ТУ!$CG:$CG,MATCH($U19*1,ТУ!$CP:$CP,0),1))-1),""),УСПД!$N:$N,0),1),LEN(INDEX(УСПД!$M:$M,MATCH(IFERROR(1*LEFT(INDEX(ТУ!$CG:$CG,MATCH($U19*1,ТУ!$CP:$CP,0),1),SEARCH(" ",INDEX(ТУ!$CG:$CG,MATCH($U19*1,ТУ!$CP:$CP,0),1))-1),""),УСПД!$N:$N,0),1))-SEARCH(":",INDEX(УСПД!$M:$M,MATCH(IFERROR(1*LEFT(INDEX(ТУ!$CG:$CG,MATCH($U19*1,ТУ!$CP:$CP,0),1),SEARCH(" ",INDEX(ТУ!$CG:$CG,MATCH($U19*1,ТУ!$CP:$CP,0),1))-1),""),УСПД!$N:$N,0),1)))), ""))</f>
        <v/>
      </c>
      <c r="AL19" s="41"/>
      <c r="AM19" s="57" t="str">
        <f>IFERROR(IFERROR(INDEX(Tel!$B:$B,MATCH($AJ19,Tel!$E:$E,0),1),INDEX(Tel!$B:$B,MATCH($AJ19,Tel!$D:$D,0),1)),"")</f>
        <v/>
      </c>
      <c r="AN19" s="59" t="str">
        <f>IF(ISNUMBER(SEARCH("ТОПАЗ - ТОПАЗ УСПД",IFERROR(RIGHT(LEFT(INDEX(ТУ!$CG:$CG,MATCH($U19*1,ТУ!$CP:$CP,0),1),SEARCH(")",INDEX(ТУ!$CG:$CG,MATCH($U19*1,ТУ!$CP:$CP,0),1))-1),LEN(LEFT(INDEX(ТУ!$CG:$CG,MATCH($U19*1,ТУ!$CP:$CP,0),1),SEARCH(")",INDEX(ТУ!$CG:$CG,MATCH($U19*1,ТУ!$CP:$CP,0),1))-1))-SEARCH("(",INDEX(ТУ!$CG:$CG,MATCH($U19*1,ТУ!$CP:$CP,0),1))),""),1)),"RTU-327",
IF(ISNUMBER(SEARCH("TELEOFIS",$AP19)),"Модем",
""))</f>
        <v>Модем</v>
      </c>
      <c r="AO19" s="27">
        <f t="shared" si="0"/>
        <v>0</v>
      </c>
      <c r="AP19" s="57" t="str">
        <f>IF(ISNUMBER(SEARCH("Миландр - Милур GSM/GPRS модем",IFERROR(RIGHT(LEFT(INDEX(ТУ!$CG:$CG,MATCH($U19*1,ТУ!$CP:$CP,0),1),SEARCH(")",INDEX(ТУ!$CG:$CG,MATCH($U19*1,ТУ!$CP:$CP,0),1))-1),LEN(LEFT(INDEX(ТУ!$CG:$CG,MATCH($U19*1,ТУ!$CP:$CP,0),1),SEARCH(")",INDEX(ТУ!$CG:$CG,MATCH($U19*1,ТУ!$CP:$CP,0),1))-1))-SEARCH("(",INDEX(ТУ!$CG:$CG,MATCH($U19*1,ТУ!$CP:$CP,0),1))),""),1)), "TELEOFIS WRX708-L4",IFERROR(RIGHT(LEFT(INDEX(ТУ!$CG:$CG,MATCH($U19*1,ТУ!$CP:$CP,0),1),SEARCH(")",INDEX(ТУ!$CG:$CG,MATCH($U19*1,ТУ!$CP:$CP,0),1))-1),LEN(LEFT(INDEX(ТУ!$CG:$CG,MATCH($U19*1,ТУ!$CP:$CP,0),1),SEARCH(")",INDEX(ТУ!$CG:$CG,MATCH($U19*1,ТУ!$CP:$CP,0),1))-1))-SEARCH("(",INDEX(ТУ!$CG:$CG,MATCH($U19*1,ТУ!$CP:$CP,0),1))),""))</f>
        <v>TELEOFIS WRX708-L4</v>
      </c>
      <c r="AQ19" s="57" t="str">
        <f>IFERROR(IF(INDEX(УСПД!$K:$K,MATCH($AS19*1,УСПД!$N:$N,0),1)=0,"",INDEX(УСПД!$K:$K,MATCH($AS19*1,УСПД!$N:$N,0),1)),"")</f>
        <v/>
      </c>
      <c r="AR19" s="57" t="str">
        <f>IFERROR(IF(INDEX(УСПД!$L:$L,MATCH($AS19*1,УСПД!$N:$N,0),1)=0,"",INDEX(УСПД!$L:$L,MATCH($AS19*1,УСПД!$N:$N,0),1)),"")</f>
        <v/>
      </c>
      <c r="AS19" s="60" t="str">
        <f>IFERROR(LEFT(INDEX(ТУ!$CG:$CG,MATCH($U19*1,ТУ!$CP:$CP,0),1),SEARCH(" ",INDEX(ТУ!$CG:$CG,MATCH($U19*1,ТУ!$CP:$CP,0),1))-1),"")</f>
        <v>352224458273869</v>
      </c>
      <c r="AT19" s="59" t="s">
        <v>360</v>
      </c>
      <c r="AU19" s="59">
        <f>3</f>
        <v>3</v>
      </c>
      <c r="AV19" s="59" t="s">
        <v>368</v>
      </c>
      <c r="AW19" s="149">
        <f t="shared" si="19"/>
        <v>68</v>
      </c>
      <c r="AX19" s="149">
        <f t="shared" si="20"/>
        <v>34</v>
      </c>
      <c r="AY19" s="149" t="str">
        <f t="shared" si="21"/>
        <v/>
      </c>
      <c r="AZ19" s="149">
        <f t="shared" si="22"/>
        <v>25</v>
      </c>
      <c r="BA19" s="149">
        <f t="shared" si="23"/>
        <v>1</v>
      </c>
      <c r="BB19" s="154" t="str">
        <f>IF($AP19="",IFERROR(IFERROR(LEFT(RIGHT(INDEX(ТУ!$CE:$CE,MATCH($U19*1,ТУ!$CP:$CP,0),1),LEN(INDEX(ТУ!$CE:$CE,MATCH($U19*1,ТУ!$CP:$CP,0),1))-SEARCH(", ",INDEX(ТУ!$CE:$CE,MATCH($U19*1,ТУ!$CP:$CP,0),1),SEARCH(", ",INDEX(ТУ!$CE:$CE,MATCH($U19*1,ТУ!$CP:$CP,0),1))+1)-1),SEARCH(":",RIGHT(INDEX(ТУ!$CE:$CE,MATCH($U19*1,ТУ!$CP:$CP,0),1),LEN(INDEX(ТУ!$CE:$CE,MATCH($U19*1,ТУ!$CP:$CP,0),1))-SEARCH(", ",INDEX(ТУ!$CE:$CE,MATCH($U19*1,ТУ!$CP:$CP,0),1),SEARCH(", ",INDEX(ТУ!$CE:$CE,MATCH($U19*1,ТУ!$CP:$CP,0),1))+1)-1))-1),LEFT(INDEX(ТУ!$CE:$CE,MATCH($U19*1,ТУ!$CP:$CP,0),1),SEARCH(":",INDEX(ТУ!$CE:$CE,MATCH($U19*1,ТУ!$CP:$CP,0),1))-1)),""),IFERROR(IFERROR(LEFT(RIGHT(INDEX(УСПД!$M:$M,MATCH(IFERROR(1*LEFT(INDEX(ТУ!$CG:$CG,MATCH($U19*1,ТУ!$CP:$CP,0),1),SEARCH(" ",INDEX(ТУ!$CG:$CG,MATCH($U19*1,ТУ!$CP:$CP,0),1))-1),""),УСПД!$N:$N,0),1),LEN(INDEX(УСПД!$M:$M,MATCH(IFERROR(1*LEFT(INDEX(ТУ!$CG:$CG,MATCH($U19*1,ТУ!$CP:$CP,0),1),SEARCH(" ",INDEX(ТУ!$CG:$CG,MATCH($U19*1,ТУ!$CP:$CP,0),1))-1),""),УСПД!$N:$N,0),1))-SEARCH(", ",INDEX(УСПД!$M:$M,MATCH(IFERROR(1*LEFT(INDEX(ТУ!$CG:$CG,MATCH($U19*1,ТУ!$CP:$CP,0),1),SEARCH(" ",INDEX(ТУ!$CG:$CG,MATCH($U19*1,ТУ!$CP:$CP,0),1))-1),""),УСПД!$N:$N,0),1),SEARCH(", ",INDEX(УСПД!$M:$M,MATCH(IFERROR(1*LEFT(INDEX(ТУ!$CG:$CG,MATCH($U19*1,ТУ!$CP:$CP,0),1),SEARCH(" ",INDEX(ТУ!$CG:$CG,MATCH($U19*1,ТУ!$CP:$CP,0),1))-1),""),УСПД!$N:$N,0),1))+1)-1),SEARCH(":",RIGHT(INDEX(УСПД!$M:$M,MATCH(IFERROR(1*LEFT(INDEX(ТУ!$CG:$CG,MATCH($U19*1,ТУ!$CP:$CP,0),1),SEARCH(" ",INDEX(ТУ!$CG:$CG,MATCH($U19*1,ТУ!$CP:$CP,0),1))-1),""),УСПД!$N:$N,0),1),LEN(INDEX(УСПД!$M:$M,MATCH(IFERROR(1*LEFT(INDEX(ТУ!$CG:$CG,MATCH($U19*1,ТУ!$CP:$CP,0),1),SEARCH(" ",INDEX(ТУ!$CG:$CG,MATCH($U19*1,ТУ!$CP:$CP,0),1))-1),""),УСПД!$N:$N,0),1))-SEARCH(", ",INDEX(УСПД!$M:$M,MATCH(IFERROR(1*LEFT(INDEX(ТУ!$CG:$CG,MATCH($U19*1,ТУ!$CP:$CP,0),1),SEARCH(" ",INDEX(ТУ!$CG:$CG,MATCH($U19*1,ТУ!$CP:$CP,0),1))-1),""),УСПД!$N:$N,0),1),SEARCH(", ",INDEX(УСПД!$M:$M,MATCH(IFERROR(1*LEFT(INDEX(ТУ!$CG:$CG,MATCH($U19*1,ТУ!$CP:$CP,0),1),SEARCH(" ",INDEX(ТУ!$CG:$CG,MATCH($U19*1,ТУ!$CP:$CP,0),1))-1),""),УСПД!$N:$N,0),1))+1)-1))-1),LEFT(INDEX(УСПД!$M:$M,MATCH(IFERROR(1*LEFT(INDEX(ТУ!$CG:$CG,MATCH($U19*1,ТУ!$CP:$CP,0),1),SEARCH(" ",INDEX(ТУ!$CG:$CG,MATCH($U19*1,ТУ!$CP:$CP,0),1))-1),""),УСПД!$N:$N,0),1),SEARCH(":",INDEX(УСПД!$M:$M,MATCH(IFERROR(1*LEFT(INDEX(ТУ!$CG:$CG,MATCH($U19*1,ТУ!$CP:$CP,0),1),SEARCH(" ",INDEX(ТУ!$CG:$CG,MATCH($U19*1,ТУ!$CP:$CP,0),1))-1),""),УСПД!$N:$N,0),1))-1)),""))</f>
        <v/>
      </c>
      <c r="BC19" s="155" t="str">
        <f>INDEX(ТУ!$AF:$AF,MATCH($U19*1,ТУ!$CP:$CP,0),1)</f>
        <v>ТП-14979</v>
      </c>
      <c r="BD19" s="155">
        <f>INDEX(ТУ!$X:$X,MATCH($U19*1,ТУ!$CP:$CP,0),1)</f>
        <v>0</v>
      </c>
      <c r="BE19" s="155">
        <f>INDEX(ТУ!$CL:$CL,MATCH($U19*1,ТУ!$CP:$CP,0),1)</f>
        <v>0</v>
      </c>
      <c r="BF19" s="147" t="str">
        <f>IFERROR(INDEX(естьАЦ!$A:$A,MATCH($U19*1,естьАЦ!$A:$A,0),1),"нет в АЦ")</f>
        <v>нет в АЦ</v>
      </c>
    </row>
    <row r="20" spans="1:58" ht="15" x14ac:dyDescent="0.25">
      <c r="A20" s="55">
        <f>3</f>
        <v>3</v>
      </c>
      <c r="B20" s="42" t="str">
        <f>IFERROR(IFERROR(INDEX(Справочники!$A$2:$P$79,MATCH(INDEX(ТУ!$E:$E,MATCH($U20*1,ТУ!$CP:$CP,0),1),Справочники!$P$2:$P$79,0),2),INDEX(Справочники!$A$2:$P$79,MATCH((INDEX(ТУ!$E:$E,MATCH($U20*1,ТУ!$CP:$CP,0),1))*1,Справочники!$P$2:$P$79,0),2)),"")</f>
        <v>02 р-н МКС (ЦОРУПЭ)</v>
      </c>
      <c r="C20" s="46" t="str">
        <f>IFERROR(TRIM(LEFT(INDEX(ТУ!$AF:$AF,MATCH($U20*1,ТУ!$CP:$CP,0),1),SEARCH("-",INDEX(ТУ!$AF:$AF,MATCH($U20*1,ТУ!$CP:$CP,0),1))-1)),IFERROR(LEFT(INDEX(ТУ!$X:$X,MATCH($U20*1,ТУ!$CP:$CP,0),1),SEARCH("-",INDEX(ТУ!$X:$X,MATCH($U20*1,ТУ!$CP:$CP,0),1))-1),"ТП"))</f>
        <v>ТП</v>
      </c>
      <c r="D20" s="47" t="str">
        <f>IF(TRIM(IF(ISNUMBER((IFERROR(RIGHT(INDEX(ТУ!$AF:$AF,MATCH($U20*1,ТУ!$CP:$CP,0),1),LEN(INDEX(ТУ!$AF:$AF,MATCH($U20*1,ТУ!$CP:$CP,0),1))-SEARCH("-",INDEX(ТУ!$AF:$AF,MATCH($U20*1,ТУ!$CP:$CP,0),1))),INDEX(ТУ!$AF:$AF,MATCH($U20*1,ТУ!$CP:$CP,0),1)))*1),IFERROR(RIGHT(INDEX(ТУ!$AF:$AF,MATCH($U20*1,ТУ!$CP:$CP,0),1),LEN(INDEX(ТУ!$AF:$AF,MATCH($U20*1,ТУ!$CP:$CP,0),1))-SEARCH("-",INDEX(ТУ!$AF:$AF,MATCH($U20*1,ТУ!$CP:$CP,0),1))),INDEX(ТУ!$AF:$AF,MATCH($U20*1,ТУ!$CP:$CP,0),1)),""))="",TRIM(IF(ISNUMBER((IFERROR(RIGHT(INDEX(ТУ!$X:$X,MATCH($U20*1,ТУ!$CP:$CP,0),1),LEN(INDEX(ТУ!$X:$X,MATCH($U20*1,ТУ!$CP:$CP,0),1))-SEARCH("-",INDEX(ТУ!$X:$X,MATCH($U20*1,ТУ!$CP:$CP,0),1))),INDEX(ТУ!$X:$X,MATCH($U20*1,ТУ!$CP:$CP,0),1)))*1),IFERROR(RIGHT(INDEX(ТУ!$X:$X,MATCH($U20*1,ТУ!$CP:$CP,0),1),LEN(INDEX(ТУ!$X:$X,MATCH($U20*1,ТУ!$CP:$CP,0),1))-SEARCH("-",INDEX(ТУ!$X:$X,MATCH($U20*1,ТУ!$CP:$CP,0),1))),INDEX(ТУ!$X:$X,MATCH($U20*1,ТУ!$CP:$CP,0),1)),"")),TRIM(IF(ISNUMBER((IFERROR(RIGHT(INDEX(ТУ!$AF:$AF,MATCH($U20*1,ТУ!$CP:$CP,0),1),LEN(INDEX(ТУ!$AF:$AF,MATCH($U20*1,ТУ!$CP:$CP,0),1))-SEARCH("-",INDEX(ТУ!$AF:$AF,MATCH($U20*1,ТУ!$CP:$CP,0),1))),INDEX(ТУ!$AF:$AF,MATCH($U20*1,ТУ!$CP:$CP,0),1)))*1),IFERROR(RIGHT(INDEX(ТУ!$AF:$AF,MATCH($U20*1,ТУ!$CP:$CP,0),1),LEN(INDEX(ТУ!$AF:$AF,MATCH($U20*1,ТУ!$CP:$CP,0),1))-SEARCH("-",INDEX(ТУ!$AF:$AF,MATCH($U20*1,ТУ!$CP:$CP,0),1))),INDEX(ТУ!$AF:$AF,MATCH($U20*1,ТУ!$CP:$CP,0),1)),"")))</f>
        <v>22300</v>
      </c>
      <c r="E20" s="25" t="str">
        <f t="shared" si="2"/>
        <v>МКС</v>
      </c>
      <c r="F20" s="20">
        <f t="shared" si="3"/>
        <v>76</v>
      </c>
      <c r="G20" s="21">
        <f t="shared" si="4"/>
        <v>5</v>
      </c>
      <c r="H20" s="25" t="str">
        <f t="shared" si="5"/>
        <v>ТП-22300</v>
      </c>
      <c r="I20" s="25" t="str">
        <f t="shared" si="6"/>
        <v>76522300</v>
      </c>
      <c r="J20" s="42" t="str">
        <f>INDEX(Справочники!$M:$M,MATCH(IF(INDEX(ТУ!$BO:$BO,MATCH($U20*1,ТУ!$CP:$CP,0),1)=1,1,INDEX(ТУ!$BO:$BO,MATCH($U20*1,ТУ!$CP:$CP,0),1)*100),Справочники!$N:$N,0),1)</f>
        <v>0.4 кВ</v>
      </c>
      <c r="K20" s="40">
        <f>1</f>
        <v>1</v>
      </c>
      <c r="L20" s="20" t="str">
        <f t="shared" si="7"/>
        <v>СШ-1</v>
      </c>
      <c r="M20" s="20">
        <f t="shared" si="8"/>
        <v>1</v>
      </c>
      <c r="N20" s="40"/>
      <c r="O20" s="56" t="str">
        <f t="shared" si="9"/>
        <v>Ввод-1-1</v>
      </c>
      <c r="P20" s="57" t="str">
        <f>IFERROR(IF(INDEX(ТУ!$AO:$AO,MATCH($U20*1,ТУ!$CP:$CP,0),1)=0,"",INDEX(ТУ!$AO:$AO,MATCH($U20*1,ТУ!$CP:$CP,0),1)),"")</f>
        <v>вв 81283+81284, луч Б</v>
      </c>
      <c r="Q20" s="40">
        <f>IFERROR(IF(INDEX(ТУ!$BN:$BN,MATCH($U20*1,ТУ!$CP:$CP,0),1)=1,1,INDEX(ТУ!$BN:$BN,MATCH($U20*1,ТУ!$CP:$CP,0),1)*5),"")</f>
        <v>1</v>
      </c>
      <c r="R20" s="25">
        <f t="shared" si="10"/>
        <v>1</v>
      </c>
      <c r="S20" s="25">
        <f t="shared" si="11"/>
        <v>1</v>
      </c>
      <c r="T20" s="25">
        <f t="shared" si="12"/>
        <v>1</v>
      </c>
      <c r="U20" s="105" t="s">
        <v>684</v>
      </c>
      <c r="V20" s="43">
        <f>IF(INDEX(ТУ!$BH:$BH,MATCH($U20*1,ТУ!$CP:$CP,0),1)=0,"",INDEX(ТУ!$BH:$BH,MATCH($U20*1,ТУ!$CP:$CP,0),1))</f>
        <v>44908</v>
      </c>
      <c r="W20" s="43" t="str">
        <f>IF(INDEX(ТУ!$BI:$BI,MATCH($U20*1,ТУ!$CP:$CP,0),1)=0,"",INDEX(ТУ!$BI:$BI,MATCH($U20*1,ТУ!$CP:$CP,0),1))</f>
        <v>07.04.2021</v>
      </c>
      <c r="X20" s="58" t="str">
        <f t="shared" si="13"/>
        <v/>
      </c>
      <c r="Y20" s="25">
        <f t="shared" si="14"/>
        <v>35</v>
      </c>
      <c r="Z20" s="42" t="str">
        <f t="shared" si="15"/>
        <v/>
      </c>
      <c r="AA20" s="25" t="str">
        <f t="shared" si="16"/>
        <v/>
      </c>
      <c r="AB20" s="40" t="str">
        <f>IF(ISNUMBER(SEARCH("Приборы с поддержкой протокола СПОДЭС - Нартис-И300 (СПОДЭС)",INDEX(ТУ!$BD:$BD,MATCH($U20*1,ТУ!$CP:$CP,0),1))),"Нартис-И300",
IF(ISNUMBER(SEARCH("Приборы с поддержкой протокола СПОДЭС - Меркурий 234 (СПОДЭС)",INDEX(ТУ!$BD:$BD,MATCH($U20*1,ТУ!$CP:$CP,0),1))),"Меркурий 234 (СПОДЭС)",
IF(ISNUMBER(SEARCH("Приборы с поддержкой протокола СПОДЭС - Нартис-300 (СПОДЭС)",INDEX(ТУ!$BD:$BD,MATCH($U20*1,ТУ!$CP:$CP,0),1))),"Нартис-300",
IF(ISNUMBER(SEARCH("Инкотекс - Меркурий 234",INDEX(ТУ!$BD:$BD,MATCH($U20*1,ТУ!$CP:$CP,0),1))),"Меркурий 234",
IF(ISNUMBER(SEARCH("Инкотекс - Меркурий 206",INDEX(ТУ!$BD:$BD,MATCH($U20*1,ТУ!$CP:$CP,0),1))),"Меркурий 206",
IF(ISNUMBER(SEARCH("Приборы с поддержкой протокола СПОДЭС - Универсальный счетчик СПОДЭС 2 трехфазный",INDEX(ТУ!$BD:$BD,MATCH($U20*1,ТУ!$CP:$CP,0),1))),"Нартис-И300",
IF(ISNUMBER(SEARCH("Приборы с поддержкой протокола СПОДЭС - Универсальный счетчик СПОДЭС 2 однофазный",INDEX(ТУ!$BD:$BD,MATCH($U20*1,ТУ!$CP:$CP,0),1))),"Нартис-И100",
IF(ISNUMBER(SEARCH("Приборы с поддержкой протокола СПОДЭС - Нартис-И100 (СПОДЭС)",INDEX(ТУ!$BD:$BD,MATCH($U20*1,ТУ!$CP:$CP,0),1))),"Нартис-И100",
IF(ISNUMBER(SEARCH("Приборы с поддержкой протокола СПОДЭС - СЕ308 (СПОДЭС)",INDEX(ТУ!$BD:$BD,MATCH($U20*1,ТУ!$CP:$CP,0),1))),"СЕ308 (СПОДЭС)",
IF(ISNUMBER(SEARCH("Приборы с поддержкой протокола СПОДЭС - СЕ207 (СПОДЭС)",INDEX(ТУ!$BD:$BD,MATCH($U20*1,ТУ!$CP:$CP,0),1))),"СЕ207 (СПОДЭС)",
IF(ISNUMBER(SEARCH("Приборы с поддержкой протокола СПОДЭС - СТЭМ-300 (СПОДЭС)",INDEX(ТУ!$BD:$BD,MATCH($U20*1,ТУ!$CP:$CP,0),1))),"СТЭМ-300 (СПОДЭС)",
IF(ISNUMBER(SEARCH("ТехноЭнерго - ТЕ3000",INDEX(ТУ!$BD:$BD,MATCH($U20*1,ТУ!$CP:$CP,0),1))),"ТЕ3000",
IF(ISNUMBER(SEARCH("НЗиФ - СЭТ-4ТМ",INDEX(ТУ!$BD:$BD,MATCH($U20*1,ТУ!$CP:$CP,0),1))),"СЭТ-4ТМ",
INDEX(ТУ!$BD:$BD,MATCH($U20*1,ТУ!$CP:$CP,0),1)
)))))))))))))</f>
        <v>Инкотекс - Меркурий 204</v>
      </c>
      <c r="AC20" s="40" t="s">
        <v>2</v>
      </c>
      <c r="AD20" s="40" t="str">
        <f>IF(ISNUMBER(IFERROR(LEFT(IF(INDEX(ТУ!$CI:$CI,MATCH($U20*1,ТУ!$CP:$CP,0),1)=0,"",INDEX(ТУ!$CI:$CI,MATCH($U20*1,ТУ!$CP:$CP,0),1)),SEARCH(" ",IF(INDEX(ТУ!$CI:$CI,MATCH($U20*1,ТУ!$CP:$CP,0),1)=0,"",INDEX(ТУ!$CI:$CI,MATCH($U20*1,ТУ!$CP:$CP,0),1)),1)-1),"")*1),IFERROR(LEFT(IF(INDEX(ТУ!$CI:$CI,MATCH($U20*1,ТУ!$CP:$CP,0),1)=0,"",INDEX(ТУ!$CI:$CI,MATCH($U20*1,ТУ!$CP:$CP,0),1)),SEARCH(" ",IF(INDEX(ТУ!$CI:$CI,MATCH($U20*1,ТУ!$CP:$CP,0),1)=0,"",INDEX(ТУ!$CI:$CI,MATCH($U20*1,ТУ!$CP:$CP,0),1)),1)-1),""),"")</f>
        <v>77620001010489</v>
      </c>
      <c r="AE20" s="40" t="str">
        <f>IF(INDEX(ТУ!$CB:$CB,MATCH($U20*1,ТУ!$CP:$CP,0),1)=0,INDEX(Adr!$B:$B,MATCH($U20*1,Adr!$C:$C,0),1),INDEX(ТУ!$CB:$CB,MATCH($U20*1,ТУ!$CP:$CP,0),1))</f>
        <v>58</v>
      </c>
      <c r="AF20" s="45" t="str">
        <f>IF(INDEX(ТУ!$CD:$CD,MATCH($U20*1,ТУ!$CP:$CP,0),1)=0,"",INDEX(ТУ!$CD:$CD,MATCH($U20*1,ТУ!$CP:$CP,0),1))</f>
        <v>222222</v>
      </c>
      <c r="AG20" s="45">
        <f>0</f>
        <v>0</v>
      </c>
      <c r="AH20" s="26">
        <f t="shared" si="17"/>
        <v>76</v>
      </c>
      <c r="AI20" s="20" t="str">
        <f t="shared" si="18"/>
        <v>765223001</v>
      </c>
      <c r="AJ20" s="41" t="str">
        <f t="shared" si="1"/>
        <v>10.211.140.124</v>
      </c>
      <c r="AK20" s="41" t="str">
        <f>IF($AP20="",IFERROR(IFERROR(LEFT(RIGHT(INDEX(ТУ!$CE:$CE,MATCH($U20*1,ТУ!$CP:$CP,0),1),LEN(INDEX(ТУ!$CE:$CE,MATCH($U20*1,ТУ!$CP:$CP,0),1))-SEARCH(":",INDEX(ТУ!$CE:$CE,MATCH($U20*1,ТУ!$CP:$CP,0),1))),SEARCH("/",RIGHT(INDEX(ТУ!$CE:$CE,MATCH($U20*1,ТУ!$CP:$CP,0),1),LEN(INDEX(ТУ!$CE:$CE,MATCH($U20*1,ТУ!$CP:$CP,0),1))-SEARCH(":",INDEX(ТУ!$CE:$CE,MATCH($U20*1,ТУ!$CP:$CP,0),1))))-1), RIGHT(INDEX(ТУ!$CE:$CE,MATCH($U20*1,ТУ!$CP:$CP,0),1),LEN(INDEX(ТУ!$CE:$CE,MATCH($U20*1,ТУ!$CP:$CP,0),1))-SEARCH(":",INDEX(ТУ!$CE:$CE,MATCH($U20*1,ТУ!$CP:$CP,0),1)))), ""),IFERROR(IFERROR(LEFT(RIGHT(INDEX(УСПД!$M:$M,MATCH(IFERROR(1*LEFT(INDEX(ТУ!$CG:$CG,MATCH($U20*1,ТУ!$CP:$CP,0),1),SEARCH(" ",INDEX(ТУ!$CG:$CG,MATCH($U20*1,ТУ!$CP:$CP,0),1))-1),""),УСПД!$N:$N,0),1),LEN(INDEX(УСПД!$M:$M,MATCH(IFERROR(1*LEFT(INDEX(ТУ!$CG:$CG,MATCH($U20*1,ТУ!$CP:$CP,0),1),SEARCH(" ",INDEX(ТУ!$CG:$CG,MATCH($U20*1,ТУ!$CP:$CP,0),1))-1),""),УСПД!$N:$N,0),1))-SEARCH(":",INDEX(УСПД!$M:$M,MATCH(IFERROR(1*LEFT(INDEX(ТУ!$CG:$CG,MATCH($U20*1,ТУ!$CP:$CP,0),1),SEARCH(" ",INDEX(ТУ!$CG:$CG,MATCH($U20*1,ТУ!$CP:$CP,0),1))-1),""),УСПД!$N:$N,0),1))),SEARCH("/",RIGHT(INDEX(УСПД!$M:$M,MATCH(IFERROR(1*LEFT(INDEX(ТУ!$CG:$CG,MATCH($U20*1,ТУ!$CP:$CP,0),1),SEARCH(" ",INDEX(ТУ!$CG:$CG,MATCH($U20*1,ТУ!$CP:$CP,0),1))-1),""),УСПД!$N:$N,0),1),LEN(INDEX(УСПД!$M:$M,MATCH(IFERROR(1*LEFT(INDEX(ТУ!$CG:$CG,MATCH($U20*1,ТУ!$CP:$CP,0),1),SEARCH(" ",INDEX(ТУ!$CG:$CG,MATCH($U20*1,ТУ!$CP:$CP,0),1))-1),""),УСПД!$N:$N,0),1))-SEARCH(":",INDEX(УСПД!$M:$M,MATCH(IFERROR(1*LEFT(INDEX(ТУ!$CG:$CG,MATCH($U20*1,ТУ!$CP:$CP,0),1),SEARCH(" ",INDEX(ТУ!$CG:$CG,MATCH($U20*1,ТУ!$CP:$CP,0),1))-1),""),УСПД!$N:$N,0),1))))-1), RIGHT(INDEX(УСПД!$M:$M,MATCH(IFERROR(1*LEFT(INDEX(ТУ!$CG:$CG,MATCH($U20*1,ТУ!$CP:$CP,0),1),SEARCH(" ",INDEX(ТУ!$CG:$CG,MATCH($U20*1,ТУ!$CP:$CP,0),1))-1),""),УСПД!$N:$N,0),1),LEN(INDEX(УСПД!$M:$M,MATCH(IFERROR(1*LEFT(INDEX(ТУ!$CG:$CG,MATCH($U20*1,ТУ!$CP:$CP,0),1),SEARCH(" ",INDEX(ТУ!$CG:$CG,MATCH($U20*1,ТУ!$CP:$CP,0),1))-1),""),УСПД!$N:$N,0),1))-SEARCH(":",INDEX(УСПД!$M:$M,MATCH(IFERROR(1*LEFT(INDEX(ТУ!$CG:$CG,MATCH($U20*1,ТУ!$CP:$CP,0),1),SEARCH(" ",INDEX(ТУ!$CG:$CG,MATCH($U20*1,ТУ!$CP:$CP,0),1))-1),""),УСПД!$N:$N,0),1)))), ""))</f>
        <v>4001</v>
      </c>
      <c r="AL20" s="41"/>
      <c r="AM20" s="57" t="str">
        <f>IFERROR(IFERROR(INDEX(Tel!$B:$B,MATCH($AJ20,Tel!$E:$E,0),1),INDEX(Tel!$B:$B,MATCH($AJ20,Tel!$D:$D,0),1)),"")</f>
        <v/>
      </c>
      <c r="AN20" s="59" t="str">
        <f>IF(ISNUMBER(SEARCH("ТОПАЗ - ТОПАЗ УСПД",IFERROR(RIGHT(LEFT(INDEX(ТУ!$CG:$CG,MATCH($U20*1,ТУ!$CP:$CP,0),1),SEARCH(")",INDEX(ТУ!$CG:$CG,MATCH($U20*1,ТУ!$CP:$CP,0),1))-1),LEN(LEFT(INDEX(ТУ!$CG:$CG,MATCH($U20*1,ТУ!$CP:$CP,0),1),SEARCH(")",INDEX(ТУ!$CG:$CG,MATCH($U20*1,ТУ!$CP:$CP,0),1))-1))-SEARCH("(",INDEX(ТУ!$CG:$CG,MATCH($U20*1,ТУ!$CP:$CP,0),1))),""),1)),"RTU-327",
IF(ISNUMBER(SEARCH("TELEOFIS",$AP20)),"Модем",
""))</f>
        <v/>
      </c>
      <c r="AO20" s="27" t="str">
        <f t="shared" si="0"/>
        <v/>
      </c>
      <c r="AP20" s="57" t="str">
        <f>IF(ISNUMBER(SEARCH("Миландр - Милур GSM/GPRS модем",IFERROR(RIGHT(LEFT(INDEX(ТУ!$CG:$CG,MATCH($U20*1,ТУ!$CP:$CP,0),1),SEARCH(")",INDEX(ТУ!$CG:$CG,MATCH($U20*1,ТУ!$CP:$CP,0),1))-1),LEN(LEFT(INDEX(ТУ!$CG:$CG,MATCH($U20*1,ТУ!$CP:$CP,0),1),SEARCH(")",INDEX(ТУ!$CG:$CG,MATCH($U20*1,ТУ!$CP:$CP,0),1))-1))-SEARCH("(",INDEX(ТУ!$CG:$CG,MATCH($U20*1,ТУ!$CP:$CP,0),1))),""),1)), "TELEOFIS WRX708-L4",IFERROR(RIGHT(LEFT(INDEX(ТУ!$CG:$CG,MATCH($U20*1,ТУ!$CP:$CP,0),1),SEARCH(")",INDEX(ТУ!$CG:$CG,MATCH($U20*1,ТУ!$CP:$CP,0),1))-1),LEN(LEFT(INDEX(ТУ!$CG:$CG,MATCH($U20*1,ТУ!$CP:$CP,0),1),SEARCH(")",INDEX(ТУ!$CG:$CG,MATCH($U20*1,ТУ!$CP:$CP,0),1))-1))-SEARCH("(",INDEX(ТУ!$CG:$CG,MATCH($U20*1,ТУ!$CP:$CP,0),1))),""))</f>
        <v/>
      </c>
      <c r="AQ20" s="57" t="str">
        <f>IFERROR(IF(INDEX(УСПД!$K:$K,MATCH($AS20*1,УСПД!$N:$N,0),1)=0,"",INDEX(УСПД!$K:$K,MATCH($AS20*1,УСПД!$N:$N,0),1)),"")</f>
        <v/>
      </c>
      <c r="AR20" s="57" t="str">
        <f>IFERROR(IF(INDEX(УСПД!$L:$L,MATCH($AS20*1,УСПД!$N:$N,0),1)=0,"",INDEX(УСПД!$L:$L,MATCH($AS20*1,УСПД!$N:$N,0),1)),"")</f>
        <v/>
      </c>
      <c r="AS20" s="60" t="str">
        <f>IFERROR(LEFT(INDEX(ТУ!$CG:$CG,MATCH($U20*1,ТУ!$CP:$CP,0),1),SEARCH(" ",INDEX(ТУ!$CG:$CG,MATCH($U20*1,ТУ!$CP:$CP,0),1))-1),"")</f>
        <v/>
      </c>
      <c r="AT20" s="59" t="s">
        <v>360</v>
      </c>
      <c r="AU20" s="59">
        <f>3</f>
        <v>3</v>
      </c>
      <c r="AV20" s="59" t="s">
        <v>368</v>
      </c>
      <c r="AW20" s="149">
        <f t="shared" si="19"/>
        <v>54</v>
      </c>
      <c r="AX20" s="149">
        <f t="shared" si="20"/>
        <v>34</v>
      </c>
      <c r="AY20" s="149" t="str">
        <f t="shared" si="21"/>
        <v/>
      </c>
      <c r="AZ20" s="149" t="str">
        <f t="shared" si="22"/>
        <v/>
      </c>
      <c r="BA20" s="149">
        <f t="shared" si="23"/>
        <v>1</v>
      </c>
      <c r="BB20" s="154" t="str">
        <f>IF($AP20="",IFERROR(IFERROR(LEFT(RIGHT(INDEX(ТУ!$CE:$CE,MATCH($U20*1,ТУ!$CP:$CP,0),1),LEN(INDEX(ТУ!$CE:$CE,MATCH($U20*1,ТУ!$CP:$CP,0),1))-SEARCH(", ",INDEX(ТУ!$CE:$CE,MATCH($U20*1,ТУ!$CP:$CP,0),1),SEARCH(", ",INDEX(ТУ!$CE:$CE,MATCH($U20*1,ТУ!$CP:$CP,0),1))+1)-1),SEARCH(":",RIGHT(INDEX(ТУ!$CE:$CE,MATCH($U20*1,ТУ!$CP:$CP,0),1),LEN(INDEX(ТУ!$CE:$CE,MATCH($U20*1,ТУ!$CP:$CP,0),1))-SEARCH(", ",INDEX(ТУ!$CE:$CE,MATCH($U20*1,ТУ!$CP:$CP,0),1),SEARCH(", ",INDEX(ТУ!$CE:$CE,MATCH($U20*1,ТУ!$CP:$CP,0),1))+1)-1))-1),LEFT(INDEX(ТУ!$CE:$CE,MATCH($U20*1,ТУ!$CP:$CP,0),1),SEARCH(":",INDEX(ТУ!$CE:$CE,MATCH($U20*1,ТУ!$CP:$CP,0),1))-1)),""),IFERROR(IFERROR(LEFT(RIGHT(INDEX(УСПД!$M:$M,MATCH(IFERROR(1*LEFT(INDEX(ТУ!$CG:$CG,MATCH($U20*1,ТУ!$CP:$CP,0),1),SEARCH(" ",INDEX(ТУ!$CG:$CG,MATCH($U20*1,ТУ!$CP:$CP,0),1))-1),""),УСПД!$N:$N,0),1),LEN(INDEX(УСПД!$M:$M,MATCH(IFERROR(1*LEFT(INDEX(ТУ!$CG:$CG,MATCH($U20*1,ТУ!$CP:$CP,0),1),SEARCH(" ",INDEX(ТУ!$CG:$CG,MATCH($U20*1,ТУ!$CP:$CP,0),1))-1),""),УСПД!$N:$N,0),1))-SEARCH(", ",INDEX(УСПД!$M:$M,MATCH(IFERROR(1*LEFT(INDEX(ТУ!$CG:$CG,MATCH($U20*1,ТУ!$CP:$CP,0),1),SEARCH(" ",INDEX(ТУ!$CG:$CG,MATCH($U20*1,ТУ!$CP:$CP,0),1))-1),""),УСПД!$N:$N,0),1),SEARCH(", ",INDEX(УСПД!$M:$M,MATCH(IFERROR(1*LEFT(INDEX(ТУ!$CG:$CG,MATCH($U20*1,ТУ!$CP:$CP,0),1),SEARCH(" ",INDEX(ТУ!$CG:$CG,MATCH($U20*1,ТУ!$CP:$CP,0),1))-1),""),УСПД!$N:$N,0),1))+1)-1),SEARCH(":",RIGHT(INDEX(УСПД!$M:$M,MATCH(IFERROR(1*LEFT(INDEX(ТУ!$CG:$CG,MATCH($U20*1,ТУ!$CP:$CP,0),1),SEARCH(" ",INDEX(ТУ!$CG:$CG,MATCH($U20*1,ТУ!$CP:$CP,0),1))-1),""),УСПД!$N:$N,0),1),LEN(INDEX(УСПД!$M:$M,MATCH(IFERROR(1*LEFT(INDEX(ТУ!$CG:$CG,MATCH($U20*1,ТУ!$CP:$CP,0),1),SEARCH(" ",INDEX(ТУ!$CG:$CG,MATCH($U20*1,ТУ!$CP:$CP,0),1))-1),""),УСПД!$N:$N,0),1))-SEARCH(", ",INDEX(УСПД!$M:$M,MATCH(IFERROR(1*LEFT(INDEX(ТУ!$CG:$CG,MATCH($U20*1,ТУ!$CP:$CP,0),1),SEARCH(" ",INDEX(ТУ!$CG:$CG,MATCH($U20*1,ТУ!$CP:$CP,0),1))-1),""),УСПД!$N:$N,0),1),SEARCH(", ",INDEX(УСПД!$M:$M,MATCH(IFERROR(1*LEFT(INDEX(ТУ!$CG:$CG,MATCH($U20*1,ТУ!$CP:$CP,0),1),SEARCH(" ",INDEX(ТУ!$CG:$CG,MATCH($U20*1,ТУ!$CP:$CP,0),1))-1),""),УСПД!$N:$N,0),1))+1)-1))-1),LEFT(INDEX(УСПД!$M:$M,MATCH(IFERROR(1*LEFT(INDEX(ТУ!$CG:$CG,MATCH($U20*1,ТУ!$CP:$CP,0),1),SEARCH(" ",INDEX(ТУ!$CG:$CG,MATCH($U20*1,ТУ!$CP:$CP,0),1))-1),""),УСПД!$N:$N,0),1),SEARCH(":",INDEX(УСПД!$M:$M,MATCH(IFERROR(1*LEFT(INDEX(ТУ!$CG:$CG,MATCH($U20*1,ТУ!$CP:$CP,0),1),SEARCH(" ",INDEX(ТУ!$CG:$CG,MATCH($U20*1,ТУ!$CP:$CP,0),1))-1),""),УСПД!$N:$N,0),1))-1)),""))</f>
        <v>10.211.140.124</v>
      </c>
      <c r="BC20" s="155" t="str">
        <f>INDEX(ТУ!$AF:$AF,MATCH($U20*1,ТУ!$CP:$CP,0),1)</f>
        <v>ТП-22300</v>
      </c>
      <c r="BD20" s="155">
        <f>INDEX(ТУ!$X:$X,MATCH($U20*1,ТУ!$CP:$CP,0),1)</f>
        <v>0</v>
      </c>
      <c r="BE20" s="155">
        <f>INDEX(ТУ!$CL:$CL,MATCH($U20*1,ТУ!$CP:$CP,0),1)</f>
        <v>0</v>
      </c>
      <c r="BF20" s="147" t="str">
        <f>IFERROR(INDEX(естьАЦ!$A:$A,MATCH($U20*1,естьАЦ!$A:$A,0),1),"нет в АЦ")</f>
        <v>нет в АЦ</v>
      </c>
    </row>
    <row r="21" spans="1:58" ht="15" x14ac:dyDescent="0.25">
      <c r="A21" s="55">
        <f>3</f>
        <v>3</v>
      </c>
      <c r="B21" s="42" t="str">
        <f>IFERROR(IFERROR(INDEX(Справочники!$A$2:$P$79,MATCH(INDEX(ТУ!$E:$E,MATCH($U21*1,ТУ!$CP:$CP,0),1),Справочники!$P$2:$P$79,0),2),INDEX(Справочники!$A$2:$P$79,MATCH((INDEX(ТУ!$E:$E,MATCH($U21*1,ТУ!$CP:$CP,0),1))*1,Справочники!$P$2:$P$79,0),2)),"")</f>
        <v>05 р-н МКС (СВОРУПЭ)</v>
      </c>
      <c r="C21" s="46" t="str">
        <f>IFERROR(TRIM(LEFT(INDEX(ТУ!$AF:$AF,MATCH($U21*1,ТУ!$CP:$CP,0),1),SEARCH("-",INDEX(ТУ!$AF:$AF,MATCH($U21*1,ТУ!$CP:$CP,0),1))-1)),IFERROR(LEFT(INDEX(ТУ!$X:$X,MATCH($U21*1,ТУ!$CP:$CP,0),1),SEARCH("-",INDEX(ТУ!$X:$X,MATCH($U21*1,ТУ!$CP:$CP,0),1))-1),"ТП"))</f>
        <v>ТП</v>
      </c>
      <c r="D21" s="47" t="str">
        <f>IF(TRIM(IF(ISNUMBER((IFERROR(RIGHT(INDEX(ТУ!$AF:$AF,MATCH($U21*1,ТУ!$CP:$CP,0),1),LEN(INDEX(ТУ!$AF:$AF,MATCH($U21*1,ТУ!$CP:$CP,0),1))-SEARCH("-",INDEX(ТУ!$AF:$AF,MATCH($U21*1,ТУ!$CP:$CP,0),1))),INDEX(ТУ!$AF:$AF,MATCH($U21*1,ТУ!$CP:$CP,0),1)))*1),IFERROR(RIGHT(INDEX(ТУ!$AF:$AF,MATCH($U21*1,ТУ!$CP:$CP,0),1),LEN(INDEX(ТУ!$AF:$AF,MATCH($U21*1,ТУ!$CP:$CP,0),1))-SEARCH("-",INDEX(ТУ!$AF:$AF,MATCH($U21*1,ТУ!$CP:$CP,0),1))),INDEX(ТУ!$AF:$AF,MATCH($U21*1,ТУ!$CP:$CP,0),1)),""))="",TRIM(IF(ISNUMBER((IFERROR(RIGHT(INDEX(ТУ!$X:$X,MATCH($U21*1,ТУ!$CP:$CP,0),1),LEN(INDEX(ТУ!$X:$X,MATCH($U21*1,ТУ!$CP:$CP,0),1))-SEARCH("-",INDEX(ТУ!$X:$X,MATCH($U21*1,ТУ!$CP:$CP,0),1))),INDEX(ТУ!$X:$X,MATCH($U21*1,ТУ!$CP:$CP,0),1)))*1),IFERROR(RIGHT(INDEX(ТУ!$X:$X,MATCH($U21*1,ТУ!$CP:$CP,0),1),LEN(INDEX(ТУ!$X:$X,MATCH($U21*1,ТУ!$CP:$CP,0),1))-SEARCH("-",INDEX(ТУ!$X:$X,MATCH($U21*1,ТУ!$CP:$CP,0),1))),INDEX(ТУ!$X:$X,MATCH($U21*1,ТУ!$CP:$CP,0),1)),"")),TRIM(IF(ISNUMBER((IFERROR(RIGHT(INDEX(ТУ!$AF:$AF,MATCH($U21*1,ТУ!$CP:$CP,0),1),LEN(INDEX(ТУ!$AF:$AF,MATCH($U21*1,ТУ!$CP:$CP,0),1))-SEARCH("-",INDEX(ТУ!$AF:$AF,MATCH($U21*1,ТУ!$CP:$CP,0),1))),INDEX(ТУ!$AF:$AF,MATCH($U21*1,ТУ!$CP:$CP,0),1)))*1),IFERROR(RIGHT(INDEX(ТУ!$AF:$AF,MATCH($U21*1,ТУ!$CP:$CP,0),1),LEN(INDEX(ТУ!$AF:$AF,MATCH($U21*1,ТУ!$CP:$CP,0),1))-SEARCH("-",INDEX(ТУ!$AF:$AF,MATCH($U21*1,ТУ!$CP:$CP,0),1))),INDEX(ТУ!$AF:$AF,MATCH($U21*1,ТУ!$CP:$CP,0),1)),"")))</f>
        <v>10698</v>
      </c>
      <c r="E21" s="25" t="str">
        <f t="shared" si="2"/>
        <v>МКС</v>
      </c>
      <c r="F21" s="20">
        <f t="shared" si="3"/>
        <v>79</v>
      </c>
      <c r="G21" s="21">
        <f t="shared" si="4"/>
        <v>5</v>
      </c>
      <c r="H21" s="25" t="str">
        <f t="shared" si="5"/>
        <v>ТП-10698</v>
      </c>
      <c r="I21" s="25" t="str">
        <f t="shared" si="6"/>
        <v>79510698</v>
      </c>
      <c r="J21" s="42" t="str">
        <f>INDEX(Справочники!$M:$M,MATCH(IF(INDEX(ТУ!$BO:$BO,MATCH($U21*1,ТУ!$CP:$CP,0),1)=1,1,INDEX(ТУ!$BO:$BO,MATCH($U21*1,ТУ!$CP:$CP,0),1)*100),Справочники!$N:$N,0),1)</f>
        <v>0.4 кВ</v>
      </c>
      <c r="K21" s="40">
        <f>1</f>
        <v>1</v>
      </c>
      <c r="L21" s="20" t="str">
        <f t="shared" si="7"/>
        <v>СШ-1</v>
      </c>
      <c r="M21" s="20">
        <f t="shared" si="8"/>
        <v>1</v>
      </c>
      <c r="N21" s="40"/>
      <c r="O21" s="56" t="str">
        <f t="shared" si="9"/>
        <v>Ввод-1-1</v>
      </c>
      <c r="P21" s="57" t="str">
        <f>IFERROR(IF(INDEX(ТУ!$AO:$AO,MATCH($U21*1,ТУ!$CP:$CP,0),1)=0,"",INDEX(ТУ!$AO:$AO,MATCH($U21*1,ТУ!$CP:$CP,0),1)),"")</f>
        <v>вв 17667 А</v>
      </c>
      <c r="Q21" s="40">
        <f>IFERROR(IF(INDEX(ТУ!$BN:$BN,MATCH($U21*1,ТУ!$CP:$CP,0),1)=1,1,INDEX(ТУ!$BN:$BN,MATCH($U21*1,ТУ!$CP:$CP,0),1)*5),"")</f>
        <v>1</v>
      </c>
      <c r="R21" s="25">
        <f t="shared" si="10"/>
        <v>1</v>
      </c>
      <c r="S21" s="25">
        <f t="shared" si="11"/>
        <v>1</v>
      </c>
      <c r="T21" s="25">
        <f t="shared" si="12"/>
        <v>1</v>
      </c>
      <c r="U21" s="105" t="s">
        <v>695</v>
      </c>
      <c r="V21" s="43">
        <f>IF(INDEX(ТУ!$BH:$BH,MATCH($U21*1,ТУ!$CP:$CP,0),1)=0,"",INDEX(ТУ!$BH:$BH,MATCH($U21*1,ТУ!$CP:$CP,0),1))</f>
        <v>44860</v>
      </c>
      <c r="W21" s="43" t="str">
        <f>IF(INDEX(ТУ!$BI:$BI,MATCH($U21*1,ТУ!$CP:$CP,0),1)=0,"",INDEX(ТУ!$BI:$BI,MATCH($U21*1,ТУ!$CP:$CP,0),1))</f>
        <v>27.08.2021</v>
      </c>
      <c r="X21" s="58" t="str">
        <f t="shared" si="13"/>
        <v/>
      </c>
      <c r="Y21" s="25">
        <f t="shared" si="14"/>
        <v>35</v>
      </c>
      <c r="Z21" s="42" t="str">
        <f t="shared" si="15"/>
        <v/>
      </c>
      <c r="AA21" s="25" t="str">
        <f t="shared" si="16"/>
        <v/>
      </c>
      <c r="AB21" s="40" t="str">
        <f>IF(ISNUMBER(SEARCH("Приборы с поддержкой протокола СПОДЭС - Нартис-И300 (СПОДЭС)",INDEX(ТУ!$BD:$BD,MATCH($U21*1,ТУ!$CP:$CP,0),1))),"Нартис-И300",
IF(ISNUMBER(SEARCH("Приборы с поддержкой протокола СПОДЭС - Меркурий 234 (СПОДЭС)",INDEX(ТУ!$BD:$BD,MATCH($U21*1,ТУ!$CP:$CP,0),1))),"Меркурий 234 (СПОДЭС)",
IF(ISNUMBER(SEARCH("Приборы с поддержкой протокола СПОДЭС - Нартис-300 (СПОДЭС)",INDEX(ТУ!$BD:$BD,MATCH($U21*1,ТУ!$CP:$CP,0),1))),"Нартис-300",
IF(ISNUMBER(SEARCH("Инкотекс - Меркурий 234",INDEX(ТУ!$BD:$BD,MATCH($U21*1,ТУ!$CP:$CP,0),1))),"Меркурий 234",
IF(ISNUMBER(SEARCH("Инкотекс - Меркурий 206",INDEX(ТУ!$BD:$BD,MATCH($U21*1,ТУ!$CP:$CP,0),1))),"Меркурий 206",
IF(ISNUMBER(SEARCH("Приборы с поддержкой протокола СПОДЭС - Универсальный счетчик СПОДЭС 2 трехфазный",INDEX(ТУ!$BD:$BD,MATCH($U21*1,ТУ!$CP:$CP,0),1))),"Нартис-И300",
IF(ISNUMBER(SEARCH("Приборы с поддержкой протокола СПОДЭС - Универсальный счетчик СПОДЭС 2 однофазный",INDEX(ТУ!$BD:$BD,MATCH($U21*1,ТУ!$CP:$CP,0),1))),"Нартис-И100",
IF(ISNUMBER(SEARCH("Приборы с поддержкой протокола СПОДЭС - Нартис-И100 (СПОДЭС)",INDEX(ТУ!$BD:$BD,MATCH($U21*1,ТУ!$CP:$CP,0),1))),"Нартис-И100",
IF(ISNUMBER(SEARCH("Приборы с поддержкой протокола СПОДЭС - СЕ308 (СПОДЭС)",INDEX(ТУ!$BD:$BD,MATCH($U21*1,ТУ!$CP:$CP,0),1))),"СЕ308 (СПОДЭС)",
IF(ISNUMBER(SEARCH("Приборы с поддержкой протокола СПОДЭС - СЕ207 (СПОДЭС)",INDEX(ТУ!$BD:$BD,MATCH($U21*1,ТУ!$CP:$CP,0),1))),"СЕ207 (СПОДЭС)",
IF(ISNUMBER(SEARCH("Приборы с поддержкой протокола СПОДЭС - СТЭМ-300 (СПОДЭС)",INDEX(ТУ!$BD:$BD,MATCH($U21*1,ТУ!$CP:$CP,0),1))),"СТЭМ-300 (СПОДЭС)",
IF(ISNUMBER(SEARCH("ТехноЭнерго - ТЕ3000",INDEX(ТУ!$BD:$BD,MATCH($U21*1,ТУ!$CP:$CP,0),1))),"ТЕ3000",
IF(ISNUMBER(SEARCH("НЗиФ - СЭТ-4ТМ",INDEX(ТУ!$BD:$BD,MATCH($U21*1,ТУ!$CP:$CP,0),1))),"СЭТ-4ТМ",
INDEX(ТУ!$BD:$BD,MATCH($U21*1,ТУ!$CP:$CP,0),1)
)))))))))))))</f>
        <v>Инкотекс - Меркурий 236</v>
      </c>
      <c r="AC21" s="40" t="s">
        <v>2</v>
      </c>
      <c r="AD21" s="40" t="str">
        <f>IF(ISNUMBER(IFERROR(LEFT(IF(INDEX(ТУ!$CI:$CI,MATCH($U21*1,ТУ!$CP:$CP,0),1)=0,"",INDEX(ТУ!$CI:$CI,MATCH($U21*1,ТУ!$CP:$CP,0),1)),SEARCH(" ",IF(INDEX(ТУ!$CI:$CI,MATCH($U21*1,ТУ!$CP:$CP,0),1)=0,"",INDEX(ТУ!$CI:$CI,MATCH($U21*1,ТУ!$CP:$CP,0),1)),1)-1),"")*1),IFERROR(LEFT(IF(INDEX(ТУ!$CI:$CI,MATCH($U21*1,ТУ!$CP:$CP,0),1)=0,"",INDEX(ТУ!$CI:$CI,MATCH($U21*1,ТУ!$CP:$CP,0),1)),SEARCH(" ",IF(INDEX(ТУ!$CI:$CI,MATCH($U21*1,ТУ!$CP:$CP,0),1)=0,"",INDEX(ТУ!$CI:$CI,MATCH($U21*1,ТУ!$CP:$CP,0),1)),1)-1),""),"")</f>
        <v>77610001010874</v>
      </c>
      <c r="AE21" s="40" t="str">
        <f>IF(INDEX(ТУ!$CB:$CB,MATCH($U21*1,ТУ!$CP:$CP,0),1)=0,INDEX(Adr!$B:$B,MATCH($U21*1,Adr!$C:$C,0),1),INDEX(ТУ!$CB:$CB,MATCH($U21*1,ТУ!$CP:$CP,0),1))</f>
        <v>39</v>
      </c>
      <c r="AF21" s="45" t="str">
        <f>IF(INDEX(ТУ!$CD:$CD,MATCH($U21*1,ТУ!$CP:$CP,0),1)=0,"",INDEX(ТУ!$CD:$CD,MATCH($U21*1,ТУ!$CP:$CP,0),1))</f>
        <v>222222</v>
      </c>
      <c r="AG21" s="45">
        <f>0</f>
        <v>0</v>
      </c>
      <c r="AH21" s="26">
        <f t="shared" si="17"/>
        <v>79</v>
      </c>
      <c r="AI21" s="20" t="str">
        <f t="shared" si="18"/>
        <v>795106981</v>
      </c>
      <c r="AJ21" s="41" t="str">
        <f t="shared" si="1"/>
        <v/>
      </c>
      <c r="AK21" s="41" t="str">
        <f>IF($AP21="",IFERROR(IFERROR(LEFT(RIGHT(INDEX(ТУ!$CE:$CE,MATCH($U21*1,ТУ!$CP:$CP,0),1),LEN(INDEX(ТУ!$CE:$CE,MATCH($U21*1,ТУ!$CP:$CP,0),1))-SEARCH(":",INDEX(ТУ!$CE:$CE,MATCH($U21*1,ТУ!$CP:$CP,0),1))),SEARCH("/",RIGHT(INDEX(ТУ!$CE:$CE,MATCH($U21*1,ТУ!$CP:$CP,0),1),LEN(INDEX(ТУ!$CE:$CE,MATCH($U21*1,ТУ!$CP:$CP,0),1))-SEARCH(":",INDEX(ТУ!$CE:$CE,MATCH($U21*1,ТУ!$CP:$CP,0),1))))-1), RIGHT(INDEX(ТУ!$CE:$CE,MATCH($U21*1,ТУ!$CP:$CP,0),1),LEN(INDEX(ТУ!$CE:$CE,MATCH($U21*1,ТУ!$CP:$CP,0),1))-SEARCH(":",INDEX(ТУ!$CE:$CE,MATCH($U21*1,ТУ!$CP:$CP,0),1)))), ""),IFERROR(IFERROR(LEFT(RIGHT(INDEX(УСПД!$M:$M,MATCH(IFERROR(1*LEFT(INDEX(ТУ!$CG:$CG,MATCH($U21*1,ТУ!$CP:$CP,0),1),SEARCH(" ",INDEX(ТУ!$CG:$CG,MATCH($U21*1,ТУ!$CP:$CP,0),1))-1),""),УСПД!$N:$N,0),1),LEN(INDEX(УСПД!$M:$M,MATCH(IFERROR(1*LEFT(INDEX(ТУ!$CG:$CG,MATCH($U21*1,ТУ!$CP:$CP,0),1),SEARCH(" ",INDEX(ТУ!$CG:$CG,MATCH($U21*1,ТУ!$CP:$CP,0),1))-1),""),УСПД!$N:$N,0),1))-SEARCH(":",INDEX(УСПД!$M:$M,MATCH(IFERROR(1*LEFT(INDEX(ТУ!$CG:$CG,MATCH($U21*1,ТУ!$CP:$CP,0),1),SEARCH(" ",INDEX(ТУ!$CG:$CG,MATCH($U21*1,ТУ!$CP:$CP,0),1))-1),""),УСПД!$N:$N,0),1))),SEARCH("/",RIGHT(INDEX(УСПД!$M:$M,MATCH(IFERROR(1*LEFT(INDEX(ТУ!$CG:$CG,MATCH($U21*1,ТУ!$CP:$CP,0),1),SEARCH(" ",INDEX(ТУ!$CG:$CG,MATCH($U21*1,ТУ!$CP:$CP,0),1))-1),""),УСПД!$N:$N,0),1),LEN(INDEX(УСПД!$M:$M,MATCH(IFERROR(1*LEFT(INDEX(ТУ!$CG:$CG,MATCH($U21*1,ТУ!$CP:$CP,0),1),SEARCH(" ",INDEX(ТУ!$CG:$CG,MATCH($U21*1,ТУ!$CP:$CP,0),1))-1),""),УСПД!$N:$N,0),1))-SEARCH(":",INDEX(УСПД!$M:$M,MATCH(IFERROR(1*LEFT(INDEX(ТУ!$CG:$CG,MATCH($U21*1,ТУ!$CP:$CP,0),1),SEARCH(" ",INDEX(ТУ!$CG:$CG,MATCH($U21*1,ТУ!$CP:$CP,0),1))-1),""),УСПД!$N:$N,0),1))))-1), RIGHT(INDEX(УСПД!$M:$M,MATCH(IFERROR(1*LEFT(INDEX(ТУ!$CG:$CG,MATCH($U21*1,ТУ!$CP:$CP,0),1),SEARCH(" ",INDEX(ТУ!$CG:$CG,MATCH($U21*1,ТУ!$CP:$CP,0),1))-1),""),УСПД!$N:$N,0),1),LEN(INDEX(УСПД!$M:$M,MATCH(IFERROR(1*LEFT(INDEX(ТУ!$CG:$CG,MATCH($U21*1,ТУ!$CP:$CP,0),1),SEARCH(" ",INDEX(ТУ!$CG:$CG,MATCH($U21*1,ТУ!$CP:$CP,0),1))-1),""),УСПД!$N:$N,0),1))-SEARCH(":",INDEX(УСПД!$M:$M,MATCH(IFERROR(1*LEFT(INDEX(ТУ!$CG:$CG,MATCH($U21*1,ТУ!$CP:$CP,0),1),SEARCH(" ",INDEX(ТУ!$CG:$CG,MATCH($U21*1,ТУ!$CP:$CP,0),1))-1),""),УСПД!$N:$N,0),1)))), ""))</f>
        <v/>
      </c>
      <c r="AL21" s="41"/>
      <c r="AM21" s="57" t="str">
        <f>IFERROR(IFERROR(INDEX(Tel!$B:$B,MATCH($AJ21,Tel!$E:$E,0),1),INDEX(Tel!$B:$B,MATCH($AJ21,Tel!$D:$D,0),1)),"")</f>
        <v/>
      </c>
      <c r="AN21" s="59" t="str">
        <f>IF(ISNUMBER(SEARCH("ТОПАЗ - ТОПАЗ УСПД",IFERROR(RIGHT(LEFT(INDEX(ТУ!$CG:$CG,MATCH($U21*1,ТУ!$CP:$CP,0),1),SEARCH(")",INDEX(ТУ!$CG:$CG,MATCH($U21*1,ТУ!$CP:$CP,0),1))-1),LEN(LEFT(INDEX(ТУ!$CG:$CG,MATCH($U21*1,ТУ!$CP:$CP,0),1),SEARCH(")",INDEX(ТУ!$CG:$CG,MATCH($U21*1,ТУ!$CP:$CP,0),1))-1))-SEARCH("(",INDEX(ТУ!$CG:$CG,MATCH($U21*1,ТУ!$CP:$CP,0),1))),""),1)),"RTU-327",
IF(ISNUMBER(SEARCH("TELEOFIS",$AP21)),"Модем",
""))</f>
        <v>Модем</v>
      </c>
      <c r="AO21" s="27">
        <f t="shared" si="0"/>
        <v>0</v>
      </c>
      <c r="AP21" s="57" t="str">
        <f>IF(ISNUMBER(SEARCH("Миландр - Милур GSM/GPRS модем",IFERROR(RIGHT(LEFT(INDEX(ТУ!$CG:$CG,MATCH($U21*1,ТУ!$CP:$CP,0),1),SEARCH(")",INDEX(ТУ!$CG:$CG,MATCH($U21*1,ТУ!$CP:$CP,0),1))-1),LEN(LEFT(INDEX(ТУ!$CG:$CG,MATCH($U21*1,ТУ!$CP:$CP,0),1),SEARCH(")",INDEX(ТУ!$CG:$CG,MATCH($U21*1,ТУ!$CP:$CP,0),1))-1))-SEARCH("(",INDEX(ТУ!$CG:$CG,MATCH($U21*1,ТУ!$CP:$CP,0),1))),""),1)), "TELEOFIS WRX708-L4",IFERROR(RIGHT(LEFT(INDEX(ТУ!$CG:$CG,MATCH($U21*1,ТУ!$CP:$CP,0),1),SEARCH(")",INDEX(ТУ!$CG:$CG,MATCH($U21*1,ТУ!$CP:$CP,0),1))-1),LEN(LEFT(INDEX(ТУ!$CG:$CG,MATCH($U21*1,ТУ!$CP:$CP,0),1),SEARCH(")",INDEX(ТУ!$CG:$CG,MATCH($U21*1,ТУ!$CP:$CP,0),1))-1))-SEARCH("(",INDEX(ТУ!$CG:$CG,MATCH($U21*1,ТУ!$CP:$CP,0),1))),""))</f>
        <v>TELEOFIS WRX708-L4</v>
      </c>
      <c r="AQ21" s="57" t="str">
        <f>IFERROR(IF(INDEX(УСПД!$K:$K,MATCH($AS21*1,УСПД!$N:$N,0),1)=0,"",INDEX(УСПД!$K:$K,MATCH($AS21*1,УСПД!$N:$N,0),1)),"")</f>
        <v/>
      </c>
      <c r="AR21" s="57" t="str">
        <f>IFERROR(IF(INDEX(УСПД!$L:$L,MATCH($AS21*1,УСПД!$N:$N,0),1)=0,"",INDEX(УСПД!$L:$L,MATCH($AS21*1,УСПД!$N:$N,0),1)),"")</f>
        <v/>
      </c>
      <c r="AS21" s="60" t="str">
        <f>IFERROR(LEFT(INDEX(ТУ!$CG:$CG,MATCH($U21*1,ТУ!$CP:$CP,0),1),SEARCH(" ",INDEX(ТУ!$CG:$CG,MATCH($U21*1,ТУ!$CP:$CP,0),1))-1),"")</f>
        <v>352224458257003</v>
      </c>
      <c r="AT21" s="59" t="s">
        <v>360</v>
      </c>
      <c r="AU21" s="59">
        <f>3</f>
        <v>3</v>
      </c>
      <c r="AV21" s="59" t="s">
        <v>368</v>
      </c>
      <c r="AW21" s="149">
        <f t="shared" si="19"/>
        <v>57</v>
      </c>
      <c r="AX21" s="149">
        <f t="shared" si="20"/>
        <v>34</v>
      </c>
      <c r="AY21" s="149" t="str">
        <f t="shared" si="21"/>
        <v/>
      </c>
      <c r="AZ21" s="149">
        <f t="shared" si="22"/>
        <v>25</v>
      </c>
      <c r="BA21" s="149">
        <f t="shared" si="23"/>
        <v>1</v>
      </c>
      <c r="BB21" s="154" t="str">
        <f>IF($AP21="",IFERROR(IFERROR(LEFT(RIGHT(INDEX(ТУ!$CE:$CE,MATCH($U21*1,ТУ!$CP:$CP,0),1),LEN(INDEX(ТУ!$CE:$CE,MATCH($U21*1,ТУ!$CP:$CP,0),1))-SEARCH(", ",INDEX(ТУ!$CE:$CE,MATCH($U21*1,ТУ!$CP:$CP,0),1),SEARCH(", ",INDEX(ТУ!$CE:$CE,MATCH($U21*1,ТУ!$CP:$CP,0),1))+1)-1),SEARCH(":",RIGHT(INDEX(ТУ!$CE:$CE,MATCH($U21*1,ТУ!$CP:$CP,0),1),LEN(INDEX(ТУ!$CE:$CE,MATCH($U21*1,ТУ!$CP:$CP,0),1))-SEARCH(", ",INDEX(ТУ!$CE:$CE,MATCH($U21*1,ТУ!$CP:$CP,0),1),SEARCH(", ",INDEX(ТУ!$CE:$CE,MATCH($U21*1,ТУ!$CP:$CP,0),1))+1)-1))-1),LEFT(INDEX(ТУ!$CE:$CE,MATCH($U21*1,ТУ!$CP:$CP,0),1),SEARCH(":",INDEX(ТУ!$CE:$CE,MATCH($U21*1,ТУ!$CP:$CP,0),1))-1)),""),IFERROR(IFERROR(LEFT(RIGHT(INDEX(УСПД!$M:$M,MATCH(IFERROR(1*LEFT(INDEX(ТУ!$CG:$CG,MATCH($U21*1,ТУ!$CP:$CP,0),1),SEARCH(" ",INDEX(ТУ!$CG:$CG,MATCH($U21*1,ТУ!$CP:$CP,0),1))-1),""),УСПД!$N:$N,0),1),LEN(INDEX(УСПД!$M:$M,MATCH(IFERROR(1*LEFT(INDEX(ТУ!$CG:$CG,MATCH($U21*1,ТУ!$CP:$CP,0),1),SEARCH(" ",INDEX(ТУ!$CG:$CG,MATCH($U21*1,ТУ!$CP:$CP,0),1))-1),""),УСПД!$N:$N,0),1))-SEARCH(", ",INDEX(УСПД!$M:$M,MATCH(IFERROR(1*LEFT(INDEX(ТУ!$CG:$CG,MATCH($U21*1,ТУ!$CP:$CP,0),1),SEARCH(" ",INDEX(ТУ!$CG:$CG,MATCH($U21*1,ТУ!$CP:$CP,0),1))-1),""),УСПД!$N:$N,0),1),SEARCH(", ",INDEX(УСПД!$M:$M,MATCH(IFERROR(1*LEFT(INDEX(ТУ!$CG:$CG,MATCH($U21*1,ТУ!$CP:$CP,0),1),SEARCH(" ",INDEX(ТУ!$CG:$CG,MATCH($U21*1,ТУ!$CP:$CP,0),1))-1),""),УСПД!$N:$N,0),1))+1)-1),SEARCH(":",RIGHT(INDEX(УСПД!$M:$M,MATCH(IFERROR(1*LEFT(INDEX(ТУ!$CG:$CG,MATCH($U21*1,ТУ!$CP:$CP,0),1),SEARCH(" ",INDEX(ТУ!$CG:$CG,MATCH($U21*1,ТУ!$CP:$CP,0),1))-1),""),УСПД!$N:$N,0),1),LEN(INDEX(УСПД!$M:$M,MATCH(IFERROR(1*LEFT(INDEX(ТУ!$CG:$CG,MATCH($U21*1,ТУ!$CP:$CP,0),1),SEARCH(" ",INDEX(ТУ!$CG:$CG,MATCH($U21*1,ТУ!$CP:$CP,0),1))-1),""),УСПД!$N:$N,0),1))-SEARCH(", ",INDEX(УСПД!$M:$M,MATCH(IFERROR(1*LEFT(INDEX(ТУ!$CG:$CG,MATCH($U21*1,ТУ!$CP:$CP,0),1),SEARCH(" ",INDEX(ТУ!$CG:$CG,MATCH($U21*1,ТУ!$CP:$CP,0),1))-1),""),УСПД!$N:$N,0),1),SEARCH(", ",INDEX(УСПД!$M:$M,MATCH(IFERROR(1*LEFT(INDEX(ТУ!$CG:$CG,MATCH($U21*1,ТУ!$CP:$CP,0),1),SEARCH(" ",INDEX(ТУ!$CG:$CG,MATCH($U21*1,ТУ!$CP:$CP,0),1))-1),""),УСПД!$N:$N,0),1))+1)-1))-1),LEFT(INDEX(УСПД!$M:$M,MATCH(IFERROR(1*LEFT(INDEX(ТУ!$CG:$CG,MATCH($U21*1,ТУ!$CP:$CP,0),1),SEARCH(" ",INDEX(ТУ!$CG:$CG,MATCH($U21*1,ТУ!$CP:$CP,0),1))-1),""),УСПД!$N:$N,0),1),SEARCH(":",INDEX(УСПД!$M:$M,MATCH(IFERROR(1*LEFT(INDEX(ТУ!$CG:$CG,MATCH($U21*1,ТУ!$CP:$CP,0),1),SEARCH(" ",INDEX(ТУ!$CG:$CG,MATCH($U21*1,ТУ!$CP:$CP,0),1))-1),""),УСПД!$N:$N,0),1))-1)),""))</f>
        <v/>
      </c>
      <c r="BC21" s="155" t="str">
        <f>INDEX(ТУ!$AF:$AF,MATCH($U21*1,ТУ!$CP:$CP,0),1)</f>
        <v>ТП-10698</v>
      </c>
      <c r="BD21" s="155">
        <f>INDEX(ТУ!$X:$X,MATCH($U21*1,ТУ!$CP:$CP,0),1)</f>
        <v>0</v>
      </c>
      <c r="BE21" s="155">
        <f>INDEX(ТУ!$CL:$CL,MATCH($U21*1,ТУ!$CP:$CP,0),1)</f>
        <v>0</v>
      </c>
      <c r="BF21" s="147" t="str">
        <f>IFERROR(INDEX(естьАЦ!$A:$A,MATCH($U21*1,естьАЦ!$A:$A,0),1),"нет в АЦ")</f>
        <v>нет в АЦ</v>
      </c>
    </row>
    <row r="22" spans="1:58" ht="15" x14ac:dyDescent="0.25">
      <c r="A22" s="55">
        <f>3</f>
        <v>3</v>
      </c>
      <c r="B22" s="42" t="str">
        <f>IFERROR(IFERROR(INDEX(Справочники!$A$2:$P$79,MATCH(INDEX(ТУ!$E:$E,MATCH($U22*1,ТУ!$CP:$CP,0),1),Справочники!$P$2:$P$79,0),2),INDEX(Справочники!$A$2:$P$79,MATCH((INDEX(ТУ!$E:$E,MATCH($U22*1,ТУ!$CP:$CP,0),1))*1,Справочники!$P$2:$P$79,0),2)),"")</f>
        <v>25 р-н МКС (ЗОРУПЭ)</v>
      </c>
      <c r="C22" s="46" t="str">
        <f>IFERROR(TRIM(LEFT(INDEX(ТУ!$AF:$AF,MATCH($U22*1,ТУ!$CP:$CP,0),1),SEARCH("-",INDEX(ТУ!$AF:$AF,MATCH($U22*1,ТУ!$CP:$CP,0),1))-1)),IFERROR(LEFT(INDEX(ТУ!$X:$X,MATCH($U22*1,ТУ!$CP:$CP,0),1),SEARCH("-",INDEX(ТУ!$X:$X,MATCH($U22*1,ТУ!$CP:$CP,0),1))-1),"ТП"))</f>
        <v>ТП</v>
      </c>
      <c r="D22" s="47" t="str">
        <f>IF(TRIM(IF(ISNUMBER((IFERROR(RIGHT(INDEX(ТУ!$AF:$AF,MATCH($U22*1,ТУ!$CP:$CP,0),1),LEN(INDEX(ТУ!$AF:$AF,MATCH($U22*1,ТУ!$CP:$CP,0),1))-SEARCH("-",INDEX(ТУ!$AF:$AF,MATCH($U22*1,ТУ!$CP:$CP,0),1))),INDEX(ТУ!$AF:$AF,MATCH($U22*1,ТУ!$CP:$CP,0),1)))*1),IFERROR(RIGHT(INDEX(ТУ!$AF:$AF,MATCH($U22*1,ТУ!$CP:$CP,0),1),LEN(INDEX(ТУ!$AF:$AF,MATCH($U22*1,ТУ!$CP:$CP,0),1))-SEARCH("-",INDEX(ТУ!$AF:$AF,MATCH($U22*1,ТУ!$CP:$CP,0),1))),INDEX(ТУ!$AF:$AF,MATCH($U22*1,ТУ!$CP:$CP,0),1)),""))="",TRIM(IF(ISNUMBER((IFERROR(RIGHT(INDEX(ТУ!$X:$X,MATCH($U22*1,ТУ!$CP:$CP,0),1),LEN(INDEX(ТУ!$X:$X,MATCH($U22*1,ТУ!$CP:$CP,0),1))-SEARCH("-",INDEX(ТУ!$X:$X,MATCH($U22*1,ТУ!$CP:$CP,0),1))),INDEX(ТУ!$X:$X,MATCH($U22*1,ТУ!$CP:$CP,0),1)))*1),IFERROR(RIGHT(INDEX(ТУ!$X:$X,MATCH($U22*1,ТУ!$CP:$CP,0),1),LEN(INDEX(ТУ!$X:$X,MATCH($U22*1,ТУ!$CP:$CP,0),1))-SEARCH("-",INDEX(ТУ!$X:$X,MATCH($U22*1,ТУ!$CP:$CP,0),1))),INDEX(ТУ!$X:$X,MATCH($U22*1,ТУ!$CP:$CP,0),1)),"")),TRIM(IF(ISNUMBER((IFERROR(RIGHT(INDEX(ТУ!$AF:$AF,MATCH($U22*1,ТУ!$CP:$CP,0),1),LEN(INDEX(ТУ!$AF:$AF,MATCH($U22*1,ТУ!$CP:$CP,0),1))-SEARCH("-",INDEX(ТУ!$AF:$AF,MATCH($U22*1,ТУ!$CP:$CP,0),1))),INDEX(ТУ!$AF:$AF,MATCH($U22*1,ТУ!$CP:$CP,0),1)))*1),IFERROR(RIGHT(INDEX(ТУ!$AF:$AF,MATCH($U22*1,ТУ!$CP:$CP,0),1),LEN(INDEX(ТУ!$AF:$AF,MATCH($U22*1,ТУ!$CP:$CP,0),1))-SEARCH("-",INDEX(ТУ!$AF:$AF,MATCH($U22*1,ТУ!$CP:$CP,0),1))),INDEX(ТУ!$AF:$AF,MATCH($U22*1,ТУ!$CP:$CP,0),1)),"")))</f>
        <v>25639</v>
      </c>
      <c r="E22" s="25" t="str">
        <f t="shared" si="2"/>
        <v>МКС</v>
      </c>
      <c r="F22" s="20">
        <f t="shared" si="3"/>
        <v>99</v>
      </c>
      <c r="G22" s="21">
        <f t="shared" si="4"/>
        <v>5</v>
      </c>
      <c r="H22" s="25" t="str">
        <f t="shared" si="5"/>
        <v>ТП-25639</v>
      </c>
      <c r="I22" s="25" t="str">
        <f t="shared" si="6"/>
        <v>99525639</v>
      </c>
      <c r="J22" s="42" t="str">
        <f>INDEX(Справочники!$M:$M,MATCH(IF(INDEX(ТУ!$BO:$BO,MATCH($U22*1,ТУ!$CP:$CP,0),1)=1,1,INDEX(ТУ!$BO:$BO,MATCH($U22*1,ТУ!$CP:$CP,0),1)*100),Справочники!$N:$N,0),1)</f>
        <v>0.4 кВ</v>
      </c>
      <c r="K22" s="40">
        <f>1</f>
        <v>1</v>
      </c>
      <c r="L22" s="20" t="str">
        <f t="shared" si="7"/>
        <v>СШ-1</v>
      </c>
      <c r="M22" s="20">
        <f t="shared" si="8"/>
        <v>1</v>
      </c>
      <c r="N22" s="40"/>
      <c r="O22" s="56" t="str">
        <f t="shared" si="9"/>
        <v>Ввод-1-1</v>
      </c>
      <c r="P22" s="57" t="str">
        <f>IFERROR(IF(INDEX(ТУ!$AO:$AO,MATCH($U22*1,ТУ!$CP:$CP,0),1)=0,"",INDEX(ТУ!$AO:$AO,MATCH($U22*1,ТУ!$CP:$CP,0),1)),"")</f>
        <v>ВВ абонента 1</v>
      </c>
      <c r="Q22" s="40">
        <f>IFERROR(IF(INDEX(ТУ!$BN:$BN,MATCH($U22*1,ТУ!$CP:$CP,0),1)=1,1,INDEX(ТУ!$BN:$BN,MATCH($U22*1,ТУ!$CP:$CP,0),1)*5),"")</f>
        <v>1</v>
      </c>
      <c r="R22" s="25">
        <f t="shared" si="10"/>
        <v>1</v>
      </c>
      <c r="S22" s="25">
        <f t="shared" si="11"/>
        <v>1</v>
      </c>
      <c r="T22" s="25">
        <f t="shared" si="12"/>
        <v>1</v>
      </c>
      <c r="U22" s="105" t="s">
        <v>705</v>
      </c>
      <c r="V22" s="43">
        <f>IF(INDEX(ТУ!$BH:$BH,MATCH($U22*1,ТУ!$CP:$CP,0),1)=0,"",INDEX(ТУ!$BH:$BH,MATCH($U22*1,ТУ!$CP:$CP,0),1))</f>
        <v>44908</v>
      </c>
      <c r="W22" s="43" t="str">
        <f>IF(INDEX(ТУ!$BI:$BI,MATCH($U22*1,ТУ!$CP:$CP,0),1)=0,"",INDEX(ТУ!$BI:$BI,MATCH($U22*1,ТУ!$CP:$CP,0),1))</f>
        <v>22.08.2022</v>
      </c>
      <c r="X22" s="58" t="str">
        <f t="shared" si="13"/>
        <v>Меркурий 203.2Т</v>
      </c>
      <c r="Y22" s="25">
        <f t="shared" si="14"/>
        <v>17</v>
      </c>
      <c r="Z22" s="42" t="str">
        <f t="shared" si="15"/>
        <v/>
      </c>
      <c r="AA22" s="25" t="str">
        <f t="shared" si="16"/>
        <v/>
      </c>
      <c r="AB22" s="40" t="str">
        <f>IF(ISNUMBER(SEARCH("Приборы с поддержкой протокола СПОДЭС - Нартис-И300 (СПОДЭС)",INDEX(ТУ!$BD:$BD,MATCH($U22*1,ТУ!$CP:$CP,0),1))),"Нартис-И300",
IF(ISNUMBER(SEARCH("Приборы с поддержкой протокола СПОДЭС - Меркурий 234 (СПОДЭС)",INDEX(ТУ!$BD:$BD,MATCH($U22*1,ТУ!$CP:$CP,0),1))),"Меркурий 234 (СПОДЭС)",
IF(ISNUMBER(SEARCH("Приборы с поддержкой протокола СПОДЭС - Нартис-300 (СПОДЭС)",INDEX(ТУ!$BD:$BD,MATCH($U22*1,ТУ!$CP:$CP,0),1))),"Нартис-300",
IF(ISNUMBER(SEARCH("Инкотекс - Меркурий 234",INDEX(ТУ!$BD:$BD,MATCH($U22*1,ТУ!$CP:$CP,0),1))),"Меркурий 234",
IF(ISNUMBER(SEARCH("Инкотекс - Меркурий 206",INDEX(ТУ!$BD:$BD,MATCH($U22*1,ТУ!$CP:$CP,0),1))),"Меркурий 206",
IF(ISNUMBER(SEARCH("Приборы с поддержкой протокола СПОДЭС - Универсальный счетчик СПОДЭС 2 трехфазный",INDEX(ТУ!$BD:$BD,MATCH($U22*1,ТУ!$CP:$CP,0),1))),"Нартис-И300",
IF(ISNUMBER(SEARCH("Приборы с поддержкой протокола СПОДЭС - Универсальный счетчик СПОДЭС 2 однофазный",INDEX(ТУ!$BD:$BD,MATCH($U22*1,ТУ!$CP:$CP,0),1))),"Нартис-И100",
IF(ISNUMBER(SEARCH("Приборы с поддержкой протокола СПОДЭС - Нартис-И100 (СПОДЭС)",INDEX(ТУ!$BD:$BD,MATCH($U22*1,ТУ!$CP:$CP,0),1))),"Нартис-И100",
IF(ISNUMBER(SEARCH("Приборы с поддержкой протокола СПОДЭС - СЕ308 (СПОДЭС)",INDEX(ТУ!$BD:$BD,MATCH($U22*1,ТУ!$CP:$CP,0),1))),"СЕ308 (СПОДЭС)",
IF(ISNUMBER(SEARCH("Приборы с поддержкой протокола СПОДЭС - СЕ207 (СПОДЭС)",INDEX(ТУ!$BD:$BD,MATCH($U22*1,ТУ!$CP:$CP,0),1))),"СЕ207 (СПОДЭС)",
IF(ISNUMBER(SEARCH("Приборы с поддержкой протокола СПОДЭС - СТЭМ-300 (СПОДЭС)",INDEX(ТУ!$BD:$BD,MATCH($U22*1,ТУ!$CP:$CP,0),1))),"СТЭМ-300 (СПОДЭС)",
IF(ISNUMBER(SEARCH("ТехноЭнерго - ТЕ3000",INDEX(ТУ!$BD:$BD,MATCH($U22*1,ТУ!$CP:$CP,0),1))),"ТЕ3000",
IF(ISNUMBER(SEARCH("НЗиФ - СЭТ-4ТМ",INDEX(ТУ!$BD:$BD,MATCH($U22*1,ТУ!$CP:$CP,0),1))),"СЭТ-4ТМ",
INDEX(ТУ!$BD:$BD,MATCH($U22*1,ТУ!$CP:$CP,0),1)
)))))))))))))</f>
        <v>Меркурий 206</v>
      </c>
      <c r="AC22" s="40" t="s">
        <v>2</v>
      </c>
      <c r="AD22" s="40" t="str">
        <f>IF(ISNUMBER(IFERROR(LEFT(IF(INDEX(ТУ!$CI:$CI,MATCH($U22*1,ТУ!$CP:$CP,0),1)=0,"",INDEX(ТУ!$CI:$CI,MATCH($U22*1,ТУ!$CP:$CP,0),1)),SEARCH(" ",IF(INDEX(ТУ!$CI:$CI,MATCH($U22*1,ТУ!$CP:$CP,0),1)=0,"",INDEX(ТУ!$CI:$CI,MATCH($U22*1,ТУ!$CP:$CP,0),1)),1)-1),"")*1),IFERROR(LEFT(IF(INDEX(ТУ!$CI:$CI,MATCH($U22*1,ТУ!$CP:$CP,0),1)=0,"",INDEX(ТУ!$CI:$CI,MATCH($U22*1,ТУ!$CP:$CP,0),1)),SEARCH(" ",IF(INDEX(ТУ!$CI:$CI,MATCH($U22*1,ТУ!$CP:$CP,0),1)=0,"",INDEX(ТУ!$CI:$CI,MATCH($U22*1,ТУ!$CP:$CP,0),1)),1)-1),""),"")</f>
        <v>77680001000049</v>
      </c>
      <c r="AE22" s="40" t="str">
        <f>IF(INDEX(ТУ!$CB:$CB,MATCH($U22*1,ТУ!$CP:$CP,0),1)=0,INDEX(Adr!$B:$B,MATCH($U22*1,Adr!$C:$C,0),1),INDEX(ТУ!$CB:$CB,MATCH($U22*1,ТУ!$CP:$CP,0),1))</f>
        <v>47030977</v>
      </c>
      <c r="AF22" s="45" t="str">
        <f>IF(INDEX(ТУ!$CD:$CD,MATCH($U22*1,ТУ!$CP:$CP,0),1)=0,"",INDEX(ТУ!$CD:$CD,MATCH($U22*1,ТУ!$CP:$CP,0),1))</f>
        <v/>
      </c>
      <c r="AG22" s="45">
        <f>0</f>
        <v>0</v>
      </c>
      <c r="AH22" s="26">
        <f t="shared" si="17"/>
        <v>99</v>
      </c>
      <c r="AI22" s="20" t="str">
        <f t="shared" si="18"/>
        <v>995256391</v>
      </c>
      <c r="AJ22" s="41" t="str">
        <f t="shared" si="1"/>
        <v/>
      </c>
      <c r="AK22" s="41" t="str">
        <f>IF($AP22="",IFERROR(IFERROR(LEFT(RIGHT(INDEX(ТУ!$CE:$CE,MATCH($U22*1,ТУ!$CP:$CP,0),1),LEN(INDEX(ТУ!$CE:$CE,MATCH($U22*1,ТУ!$CP:$CP,0),1))-SEARCH(":",INDEX(ТУ!$CE:$CE,MATCH($U22*1,ТУ!$CP:$CP,0),1))),SEARCH("/",RIGHT(INDEX(ТУ!$CE:$CE,MATCH($U22*1,ТУ!$CP:$CP,0),1),LEN(INDEX(ТУ!$CE:$CE,MATCH($U22*1,ТУ!$CP:$CP,0),1))-SEARCH(":",INDEX(ТУ!$CE:$CE,MATCH($U22*1,ТУ!$CP:$CP,0),1))))-1), RIGHT(INDEX(ТУ!$CE:$CE,MATCH($U22*1,ТУ!$CP:$CP,0),1),LEN(INDEX(ТУ!$CE:$CE,MATCH($U22*1,ТУ!$CP:$CP,0),1))-SEARCH(":",INDEX(ТУ!$CE:$CE,MATCH($U22*1,ТУ!$CP:$CP,0),1)))), ""),IFERROR(IFERROR(LEFT(RIGHT(INDEX(УСПД!$M:$M,MATCH(IFERROR(1*LEFT(INDEX(ТУ!$CG:$CG,MATCH($U22*1,ТУ!$CP:$CP,0),1),SEARCH(" ",INDEX(ТУ!$CG:$CG,MATCH($U22*1,ТУ!$CP:$CP,0),1))-1),""),УСПД!$N:$N,0),1),LEN(INDEX(УСПД!$M:$M,MATCH(IFERROR(1*LEFT(INDEX(ТУ!$CG:$CG,MATCH($U22*1,ТУ!$CP:$CP,0),1),SEARCH(" ",INDEX(ТУ!$CG:$CG,MATCH($U22*1,ТУ!$CP:$CP,0),1))-1),""),УСПД!$N:$N,0),1))-SEARCH(":",INDEX(УСПД!$M:$M,MATCH(IFERROR(1*LEFT(INDEX(ТУ!$CG:$CG,MATCH($U22*1,ТУ!$CP:$CP,0),1),SEARCH(" ",INDEX(ТУ!$CG:$CG,MATCH($U22*1,ТУ!$CP:$CP,0),1))-1),""),УСПД!$N:$N,0),1))),SEARCH("/",RIGHT(INDEX(УСПД!$M:$M,MATCH(IFERROR(1*LEFT(INDEX(ТУ!$CG:$CG,MATCH($U22*1,ТУ!$CP:$CP,0),1),SEARCH(" ",INDEX(ТУ!$CG:$CG,MATCH($U22*1,ТУ!$CP:$CP,0),1))-1),""),УСПД!$N:$N,0),1),LEN(INDEX(УСПД!$M:$M,MATCH(IFERROR(1*LEFT(INDEX(ТУ!$CG:$CG,MATCH($U22*1,ТУ!$CP:$CP,0),1),SEARCH(" ",INDEX(ТУ!$CG:$CG,MATCH($U22*1,ТУ!$CP:$CP,0),1))-1),""),УСПД!$N:$N,0),1))-SEARCH(":",INDEX(УСПД!$M:$M,MATCH(IFERROR(1*LEFT(INDEX(ТУ!$CG:$CG,MATCH($U22*1,ТУ!$CP:$CP,0),1),SEARCH(" ",INDEX(ТУ!$CG:$CG,MATCH($U22*1,ТУ!$CP:$CP,0),1))-1),""),УСПД!$N:$N,0),1))))-1), RIGHT(INDEX(УСПД!$M:$M,MATCH(IFERROR(1*LEFT(INDEX(ТУ!$CG:$CG,MATCH($U22*1,ТУ!$CP:$CP,0),1),SEARCH(" ",INDEX(ТУ!$CG:$CG,MATCH($U22*1,ТУ!$CP:$CP,0),1))-1),""),УСПД!$N:$N,0),1),LEN(INDEX(УСПД!$M:$M,MATCH(IFERROR(1*LEFT(INDEX(ТУ!$CG:$CG,MATCH($U22*1,ТУ!$CP:$CP,0),1),SEARCH(" ",INDEX(ТУ!$CG:$CG,MATCH($U22*1,ТУ!$CP:$CP,0),1))-1),""),УСПД!$N:$N,0),1))-SEARCH(":",INDEX(УСПД!$M:$M,MATCH(IFERROR(1*LEFT(INDEX(ТУ!$CG:$CG,MATCH($U22*1,ТУ!$CP:$CP,0),1),SEARCH(" ",INDEX(ТУ!$CG:$CG,MATCH($U22*1,ТУ!$CP:$CP,0),1))-1),""),УСПД!$N:$N,0),1)))), ""))</f>
        <v/>
      </c>
      <c r="AL22" s="41"/>
      <c r="AM22" s="57" t="str">
        <f>IFERROR(IFERROR(INDEX(Tel!$B:$B,MATCH($AJ22,Tel!$E:$E,0),1),INDEX(Tel!$B:$B,MATCH($AJ22,Tel!$D:$D,0),1)),"")</f>
        <v/>
      </c>
      <c r="AN22" s="59" t="str">
        <f>IF(ISNUMBER(SEARCH("ТОПАЗ - ТОПАЗ УСПД",IFERROR(RIGHT(LEFT(INDEX(ТУ!$CG:$CG,MATCH($U22*1,ТУ!$CP:$CP,0),1),SEARCH(")",INDEX(ТУ!$CG:$CG,MATCH($U22*1,ТУ!$CP:$CP,0),1))-1),LEN(LEFT(INDEX(ТУ!$CG:$CG,MATCH($U22*1,ТУ!$CP:$CP,0),1),SEARCH(")",INDEX(ТУ!$CG:$CG,MATCH($U22*1,ТУ!$CP:$CP,0),1))-1))-SEARCH("(",INDEX(ТУ!$CG:$CG,MATCH($U22*1,ТУ!$CP:$CP,0),1))),""),1)),"RTU-327",
IF(ISNUMBER(SEARCH("TELEOFIS",$AP22)),"Модем",
""))</f>
        <v>Модем</v>
      </c>
      <c r="AO22" s="27">
        <f t="shared" si="0"/>
        <v>0</v>
      </c>
      <c r="AP22" s="57" t="str">
        <f>IF(ISNUMBER(SEARCH("Миландр - Милур GSM/GPRS модем",IFERROR(RIGHT(LEFT(INDEX(ТУ!$CG:$CG,MATCH($U22*1,ТУ!$CP:$CP,0),1),SEARCH(")",INDEX(ТУ!$CG:$CG,MATCH($U22*1,ТУ!$CP:$CP,0),1))-1),LEN(LEFT(INDEX(ТУ!$CG:$CG,MATCH($U22*1,ТУ!$CP:$CP,0),1),SEARCH(")",INDEX(ТУ!$CG:$CG,MATCH($U22*1,ТУ!$CP:$CP,0),1))-1))-SEARCH("(",INDEX(ТУ!$CG:$CG,MATCH($U22*1,ТУ!$CP:$CP,0),1))),""),1)), "TELEOFIS WRX708-L4",IFERROR(RIGHT(LEFT(INDEX(ТУ!$CG:$CG,MATCH($U22*1,ТУ!$CP:$CP,0),1),SEARCH(")",INDEX(ТУ!$CG:$CG,MATCH($U22*1,ТУ!$CP:$CP,0),1))-1),LEN(LEFT(INDEX(ТУ!$CG:$CG,MATCH($U22*1,ТУ!$CP:$CP,0),1),SEARCH(")",INDEX(ТУ!$CG:$CG,MATCH($U22*1,ТУ!$CP:$CP,0),1))-1))-SEARCH("(",INDEX(ТУ!$CG:$CG,MATCH($U22*1,ТУ!$CP:$CP,0),1))),""))</f>
        <v>TELEOFIS WRX708-L4</v>
      </c>
      <c r="AQ22" s="57" t="str">
        <f>IFERROR(IF(INDEX(УСПД!$K:$K,MATCH($AS22*1,УСПД!$N:$N,0),1)=0,"",INDEX(УСПД!$K:$K,MATCH($AS22*1,УСПД!$N:$N,0),1)),"")</f>
        <v/>
      </c>
      <c r="AR22" s="57" t="str">
        <f>IFERROR(IF(INDEX(УСПД!$L:$L,MATCH($AS22*1,УСПД!$N:$N,0),1)=0,"",INDEX(УСПД!$L:$L,MATCH($AS22*1,УСПД!$N:$N,0),1)),"")</f>
        <v/>
      </c>
      <c r="AS22" s="60" t="str">
        <f>IFERROR(LEFT(INDEX(ТУ!$CG:$CG,MATCH($U22*1,ТУ!$CP:$CP,0),1),SEARCH(" ",INDEX(ТУ!$CG:$CG,MATCH($U22*1,ТУ!$CP:$CP,0),1))-1),"")</f>
        <v>352224459205811</v>
      </c>
      <c r="AT22" s="59" t="s">
        <v>360</v>
      </c>
      <c r="AU22" s="59">
        <f>3</f>
        <v>3</v>
      </c>
      <c r="AV22" s="59" t="s">
        <v>368</v>
      </c>
      <c r="AW22" s="149">
        <f t="shared" si="19"/>
        <v>77</v>
      </c>
      <c r="AX22" s="149">
        <f t="shared" si="20"/>
        <v>17</v>
      </c>
      <c r="AY22" s="149" t="str">
        <f t="shared" si="21"/>
        <v/>
      </c>
      <c r="AZ22" s="149">
        <f t="shared" si="22"/>
        <v>25</v>
      </c>
      <c r="BA22" s="149">
        <f t="shared" si="23"/>
        <v>1</v>
      </c>
      <c r="BB22" s="154" t="str">
        <f>IF($AP22="",IFERROR(IFERROR(LEFT(RIGHT(INDEX(ТУ!$CE:$CE,MATCH($U22*1,ТУ!$CP:$CP,0),1),LEN(INDEX(ТУ!$CE:$CE,MATCH($U22*1,ТУ!$CP:$CP,0),1))-SEARCH(", ",INDEX(ТУ!$CE:$CE,MATCH($U22*1,ТУ!$CP:$CP,0),1),SEARCH(", ",INDEX(ТУ!$CE:$CE,MATCH($U22*1,ТУ!$CP:$CP,0),1))+1)-1),SEARCH(":",RIGHT(INDEX(ТУ!$CE:$CE,MATCH($U22*1,ТУ!$CP:$CP,0),1),LEN(INDEX(ТУ!$CE:$CE,MATCH($U22*1,ТУ!$CP:$CP,0),1))-SEARCH(", ",INDEX(ТУ!$CE:$CE,MATCH($U22*1,ТУ!$CP:$CP,0),1),SEARCH(", ",INDEX(ТУ!$CE:$CE,MATCH($U22*1,ТУ!$CP:$CP,0),1))+1)-1))-1),LEFT(INDEX(ТУ!$CE:$CE,MATCH($U22*1,ТУ!$CP:$CP,0),1),SEARCH(":",INDEX(ТУ!$CE:$CE,MATCH($U22*1,ТУ!$CP:$CP,0),1))-1)),""),IFERROR(IFERROR(LEFT(RIGHT(INDEX(УСПД!$M:$M,MATCH(IFERROR(1*LEFT(INDEX(ТУ!$CG:$CG,MATCH($U22*1,ТУ!$CP:$CP,0),1),SEARCH(" ",INDEX(ТУ!$CG:$CG,MATCH($U22*1,ТУ!$CP:$CP,0),1))-1),""),УСПД!$N:$N,0),1),LEN(INDEX(УСПД!$M:$M,MATCH(IFERROR(1*LEFT(INDEX(ТУ!$CG:$CG,MATCH($U22*1,ТУ!$CP:$CP,0),1),SEARCH(" ",INDEX(ТУ!$CG:$CG,MATCH($U22*1,ТУ!$CP:$CP,0),1))-1),""),УСПД!$N:$N,0),1))-SEARCH(", ",INDEX(УСПД!$M:$M,MATCH(IFERROR(1*LEFT(INDEX(ТУ!$CG:$CG,MATCH($U22*1,ТУ!$CP:$CP,0),1),SEARCH(" ",INDEX(ТУ!$CG:$CG,MATCH($U22*1,ТУ!$CP:$CP,0),1))-1),""),УСПД!$N:$N,0),1),SEARCH(", ",INDEX(УСПД!$M:$M,MATCH(IFERROR(1*LEFT(INDEX(ТУ!$CG:$CG,MATCH($U22*1,ТУ!$CP:$CP,0),1),SEARCH(" ",INDEX(ТУ!$CG:$CG,MATCH($U22*1,ТУ!$CP:$CP,0),1))-1),""),УСПД!$N:$N,0),1))+1)-1),SEARCH(":",RIGHT(INDEX(УСПД!$M:$M,MATCH(IFERROR(1*LEFT(INDEX(ТУ!$CG:$CG,MATCH($U22*1,ТУ!$CP:$CP,0),1),SEARCH(" ",INDEX(ТУ!$CG:$CG,MATCH($U22*1,ТУ!$CP:$CP,0),1))-1),""),УСПД!$N:$N,0),1),LEN(INDEX(УСПД!$M:$M,MATCH(IFERROR(1*LEFT(INDEX(ТУ!$CG:$CG,MATCH($U22*1,ТУ!$CP:$CP,0),1),SEARCH(" ",INDEX(ТУ!$CG:$CG,MATCH($U22*1,ТУ!$CP:$CP,0),1))-1),""),УСПД!$N:$N,0),1))-SEARCH(", ",INDEX(УСПД!$M:$M,MATCH(IFERROR(1*LEFT(INDEX(ТУ!$CG:$CG,MATCH($U22*1,ТУ!$CP:$CP,0),1),SEARCH(" ",INDEX(ТУ!$CG:$CG,MATCH($U22*1,ТУ!$CP:$CP,0),1))-1),""),УСПД!$N:$N,0),1),SEARCH(", ",INDEX(УСПД!$M:$M,MATCH(IFERROR(1*LEFT(INDEX(ТУ!$CG:$CG,MATCH($U22*1,ТУ!$CP:$CP,0),1),SEARCH(" ",INDEX(ТУ!$CG:$CG,MATCH($U22*1,ТУ!$CP:$CP,0),1))-1),""),УСПД!$N:$N,0),1))+1)-1))-1),LEFT(INDEX(УСПД!$M:$M,MATCH(IFERROR(1*LEFT(INDEX(ТУ!$CG:$CG,MATCH($U22*1,ТУ!$CP:$CP,0),1),SEARCH(" ",INDEX(ТУ!$CG:$CG,MATCH($U22*1,ТУ!$CP:$CP,0),1))-1),""),УСПД!$N:$N,0),1),SEARCH(":",INDEX(УСПД!$M:$M,MATCH(IFERROR(1*LEFT(INDEX(ТУ!$CG:$CG,MATCH($U22*1,ТУ!$CP:$CP,0),1),SEARCH(" ",INDEX(ТУ!$CG:$CG,MATCH($U22*1,ТУ!$CP:$CP,0),1))-1),""),УСПД!$N:$N,0),1))-1)),""))</f>
        <v/>
      </c>
      <c r="BC22" s="155" t="str">
        <f>INDEX(ТУ!$AF:$AF,MATCH($U22*1,ТУ!$CP:$CP,0),1)</f>
        <v>ТП-25639</v>
      </c>
      <c r="BD22" s="155">
        <f>INDEX(ТУ!$X:$X,MATCH($U22*1,ТУ!$CP:$CP,0),1)</f>
        <v>0</v>
      </c>
      <c r="BE22" s="155">
        <f>INDEX(ТУ!$CL:$CL,MATCH($U22*1,ТУ!$CP:$CP,0),1)</f>
        <v>0</v>
      </c>
      <c r="BF22" s="147" t="str">
        <f>IFERROR(INDEX(естьАЦ!$A:$A,MATCH($U22*1,естьАЦ!$A:$A,0),1),"нет в АЦ")</f>
        <v>нет в АЦ</v>
      </c>
    </row>
    <row r="23" spans="1:58" ht="15" x14ac:dyDescent="0.25">
      <c r="A23" s="55">
        <f>3</f>
        <v>3</v>
      </c>
      <c r="B23" s="42" t="str">
        <f>IFERROR(IFERROR(INDEX(Справочники!$A$2:$P$79,MATCH(INDEX(ТУ!$E:$E,MATCH($U23*1,ТУ!$CP:$CP,0),1),Справочники!$P$2:$P$79,0),2),INDEX(Справочники!$A$2:$P$79,MATCH((INDEX(ТУ!$E:$E,MATCH($U23*1,ТУ!$CP:$CP,0),1))*1,Справочники!$P$2:$P$79,0),2)),"")</f>
        <v>04 р-н МКС (ЮОРУПЭ)</v>
      </c>
      <c r="C23" s="46" t="str">
        <f>IFERROR(TRIM(LEFT(INDEX(ТУ!$AF:$AF,MATCH($U23*1,ТУ!$CP:$CP,0),1),SEARCH("-",INDEX(ТУ!$AF:$AF,MATCH($U23*1,ТУ!$CP:$CP,0),1))-1)),IFERROR(LEFT(INDEX(ТУ!$X:$X,MATCH($U23*1,ТУ!$CP:$CP,0),1),SEARCH("-",INDEX(ТУ!$X:$X,MATCH($U23*1,ТУ!$CP:$CP,0),1))-1),"ТП"))</f>
        <v>ТП</v>
      </c>
      <c r="D23" s="47" t="str">
        <f>IF(TRIM(IF(ISNUMBER((IFERROR(RIGHT(INDEX(ТУ!$AF:$AF,MATCH($U23*1,ТУ!$CP:$CP,0),1),LEN(INDEX(ТУ!$AF:$AF,MATCH($U23*1,ТУ!$CP:$CP,0),1))-SEARCH("-",INDEX(ТУ!$AF:$AF,MATCH($U23*1,ТУ!$CP:$CP,0),1))),INDEX(ТУ!$AF:$AF,MATCH($U23*1,ТУ!$CP:$CP,0),1)))*1),IFERROR(RIGHT(INDEX(ТУ!$AF:$AF,MATCH($U23*1,ТУ!$CP:$CP,0),1),LEN(INDEX(ТУ!$AF:$AF,MATCH($U23*1,ТУ!$CP:$CP,0),1))-SEARCH("-",INDEX(ТУ!$AF:$AF,MATCH($U23*1,ТУ!$CP:$CP,0),1))),INDEX(ТУ!$AF:$AF,MATCH($U23*1,ТУ!$CP:$CP,0),1)),""))="",TRIM(IF(ISNUMBER((IFERROR(RIGHT(INDEX(ТУ!$X:$X,MATCH($U23*1,ТУ!$CP:$CP,0),1),LEN(INDEX(ТУ!$X:$X,MATCH($U23*1,ТУ!$CP:$CP,0),1))-SEARCH("-",INDEX(ТУ!$X:$X,MATCH($U23*1,ТУ!$CP:$CP,0),1))),INDEX(ТУ!$X:$X,MATCH($U23*1,ТУ!$CP:$CP,0),1)))*1),IFERROR(RIGHT(INDEX(ТУ!$X:$X,MATCH($U23*1,ТУ!$CP:$CP,0),1),LEN(INDEX(ТУ!$X:$X,MATCH($U23*1,ТУ!$CP:$CP,0),1))-SEARCH("-",INDEX(ТУ!$X:$X,MATCH($U23*1,ТУ!$CP:$CP,0),1))),INDEX(ТУ!$X:$X,MATCH($U23*1,ТУ!$CP:$CP,0),1)),"")),TRIM(IF(ISNUMBER((IFERROR(RIGHT(INDEX(ТУ!$AF:$AF,MATCH($U23*1,ТУ!$CP:$CP,0),1),LEN(INDEX(ТУ!$AF:$AF,MATCH($U23*1,ТУ!$CP:$CP,0),1))-SEARCH("-",INDEX(ТУ!$AF:$AF,MATCH($U23*1,ТУ!$CP:$CP,0),1))),INDEX(ТУ!$AF:$AF,MATCH($U23*1,ТУ!$CP:$CP,0),1)))*1),IFERROR(RIGHT(INDEX(ТУ!$AF:$AF,MATCH($U23*1,ТУ!$CP:$CP,0),1),LEN(INDEX(ТУ!$AF:$AF,MATCH($U23*1,ТУ!$CP:$CP,0),1))-SEARCH("-",INDEX(ТУ!$AF:$AF,MATCH($U23*1,ТУ!$CP:$CP,0),1))),INDEX(ТУ!$AF:$AF,MATCH($U23*1,ТУ!$CP:$CP,0),1)),"")))</f>
        <v>24980</v>
      </c>
      <c r="E23" s="25" t="str">
        <f t="shared" si="2"/>
        <v>МКС</v>
      </c>
      <c r="F23" s="20">
        <f t="shared" si="3"/>
        <v>78</v>
      </c>
      <c r="G23" s="21">
        <f t="shared" si="4"/>
        <v>5</v>
      </c>
      <c r="H23" s="25" t="str">
        <f t="shared" si="5"/>
        <v>ТП-24980</v>
      </c>
      <c r="I23" s="25" t="str">
        <f t="shared" si="6"/>
        <v>78524980</v>
      </c>
      <c r="J23" s="42" t="str">
        <f>INDEX(Справочники!$M:$M,MATCH(IF(INDEX(ТУ!$BO:$BO,MATCH($U23*1,ТУ!$CP:$CP,0),1)=1,1,INDEX(ТУ!$BO:$BO,MATCH($U23*1,ТУ!$CP:$CP,0),1)*100),Справочники!$N:$N,0),1)</f>
        <v>0.4 кВ</v>
      </c>
      <c r="K23" s="40">
        <f>1</f>
        <v>1</v>
      </c>
      <c r="L23" s="20" t="str">
        <f t="shared" si="7"/>
        <v>СШ-1</v>
      </c>
      <c r="M23" s="20">
        <f t="shared" si="8"/>
        <v>1</v>
      </c>
      <c r="N23" s="40"/>
      <c r="O23" s="56" t="str">
        <f t="shared" si="9"/>
        <v>Ввод-1-1</v>
      </c>
      <c r="P23" s="57" t="str">
        <f>IFERROR(IF(INDEX(ТУ!$AO:$AO,MATCH($U23*1,ТУ!$CP:$CP,0),1)=0,"",INDEX(ТУ!$AO:$AO,MATCH($U23*1,ТУ!$CP:$CP,0),1)),"")</f>
        <v>ВВ абонент 1.А</v>
      </c>
      <c r="Q23" s="40">
        <f>IFERROR(IF(INDEX(ТУ!$BN:$BN,MATCH($U23*1,ТУ!$CP:$CP,0),1)=1,1,INDEX(ТУ!$BN:$BN,MATCH($U23*1,ТУ!$CP:$CP,0),1)*5),"")</f>
        <v>300</v>
      </c>
      <c r="R23" s="25">
        <f t="shared" si="10"/>
        <v>5</v>
      </c>
      <c r="S23" s="25">
        <f t="shared" si="11"/>
        <v>1</v>
      </c>
      <c r="T23" s="25">
        <f t="shared" si="12"/>
        <v>1</v>
      </c>
      <c r="U23" s="105" t="s">
        <v>716</v>
      </c>
      <c r="V23" s="43">
        <f>IF(INDEX(ТУ!$BH:$BH,MATCH($U23*1,ТУ!$CP:$CP,0),1)=0,"",INDEX(ТУ!$BH:$BH,MATCH($U23*1,ТУ!$CP:$CP,0),1))</f>
        <v>45078</v>
      </c>
      <c r="W23" s="43" t="str">
        <f>IF(INDEX(ТУ!$BI:$BI,MATCH($U23*1,ТУ!$CP:$CP,0),1)=0,"",INDEX(ТУ!$BI:$BI,MATCH($U23*1,ТУ!$CP:$CP,0),1))</f>
        <v>05.06.2021</v>
      </c>
      <c r="X23" s="58" t="str">
        <f t="shared" si="13"/>
        <v/>
      </c>
      <c r="Y23" s="25">
        <f t="shared" si="14"/>
        <v>35</v>
      </c>
      <c r="Z23" s="42" t="str">
        <f t="shared" si="15"/>
        <v/>
      </c>
      <c r="AA23" s="25" t="str">
        <f t="shared" si="16"/>
        <v/>
      </c>
      <c r="AB23" s="40" t="str">
        <f>IF(ISNUMBER(SEARCH("Приборы с поддержкой протокола СПОДЭС - Нартис-И300 (СПОДЭС)",INDEX(ТУ!$BD:$BD,MATCH($U23*1,ТУ!$CP:$CP,0),1))),"Нартис-И300",
IF(ISNUMBER(SEARCH("Приборы с поддержкой протокола СПОДЭС - Меркурий 234 (СПОДЭС)",INDEX(ТУ!$BD:$BD,MATCH($U23*1,ТУ!$CP:$CP,0),1))),"Меркурий 234 (СПОДЭС)",
IF(ISNUMBER(SEARCH("Приборы с поддержкой протокола СПОДЭС - Нартис-300 (СПОДЭС)",INDEX(ТУ!$BD:$BD,MATCH($U23*1,ТУ!$CP:$CP,0),1))),"Нартис-300",
IF(ISNUMBER(SEARCH("Инкотекс - Меркурий 234",INDEX(ТУ!$BD:$BD,MATCH($U23*1,ТУ!$CP:$CP,0),1))),"Меркурий 234",
IF(ISNUMBER(SEARCH("Инкотекс - Меркурий 206",INDEX(ТУ!$BD:$BD,MATCH($U23*1,ТУ!$CP:$CP,0),1))),"Меркурий 206",
IF(ISNUMBER(SEARCH("Приборы с поддержкой протокола СПОДЭС - Универсальный счетчик СПОДЭС 2 трехфазный",INDEX(ТУ!$BD:$BD,MATCH($U23*1,ТУ!$CP:$CP,0),1))),"Нартис-И300",
IF(ISNUMBER(SEARCH("Приборы с поддержкой протокола СПОДЭС - Универсальный счетчик СПОДЭС 2 однофазный",INDEX(ТУ!$BD:$BD,MATCH($U23*1,ТУ!$CP:$CP,0),1))),"Нартис-И100",
IF(ISNUMBER(SEARCH("Приборы с поддержкой протокола СПОДЭС - Нартис-И100 (СПОДЭС)",INDEX(ТУ!$BD:$BD,MATCH($U23*1,ТУ!$CP:$CP,0),1))),"Нартис-И100",
IF(ISNUMBER(SEARCH("Приборы с поддержкой протокола СПОДЭС - СЕ308 (СПОДЭС)",INDEX(ТУ!$BD:$BD,MATCH($U23*1,ТУ!$CP:$CP,0),1))),"СЕ308 (СПОДЭС)",
IF(ISNUMBER(SEARCH("Приборы с поддержкой протокола СПОДЭС - СЕ207 (СПОДЭС)",INDEX(ТУ!$BD:$BD,MATCH($U23*1,ТУ!$CP:$CP,0),1))),"СЕ207 (СПОДЭС)",
IF(ISNUMBER(SEARCH("Приборы с поддержкой протокола СПОДЭС - СТЭМ-300 (СПОДЭС)",INDEX(ТУ!$BD:$BD,MATCH($U23*1,ТУ!$CP:$CP,0),1))),"СТЭМ-300 (СПОДЭС)",
IF(ISNUMBER(SEARCH("ТехноЭнерго - ТЕ3000",INDEX(ТУ!$BD:$BD,MATCH($U23*1,ТУ!$CP:$CP,0),1))),"ТЕ3000",
IF(ISNUMBER(SEARCH("НЗиФ - СЭТ-4ТМ",INDEX(ТУ!$BD:$BD,MATCH($U23*1,ТУ!$CP:$CP,0),1))),"СЭТ-4ТМ",
INDEX(ТУ!$BD:$BD,MATCH($U23*1,ТУ!$CP:$CP,0),1)
)))))))))))))</f>
        <v>Инкотекс - Меркурий 230</v>
      </c>
      <c r="AC23" s="40" t="s">
        <v>2</v>
      </c>
      <c r="AD23" s="40" t="str">
        <f>IF(ISNUMBER(IFERROR(LEFT(IF(INDEX(ТУ!$CI:$CI,MATCH($U23*1,ТУ!$CP:$CP,0),1)=0,"",INDEX(ТУ!$CI:$CI,MATCH($U23*1,ТУ!$CP:$CP,0),1)),SEARCH(" ",IF(INDEX(ТУ!$CI:$CI,MATCH($U23*1,ТУ!$CP:$CP,0),1)=0,"",INDEX(ТУ!$CI:$CI,MATCH($U23*1,ТУ!$CP:$CP,0),1)),1)-1),"")*1),IFERROR(LEFT(IF(INDEX(ТУ!$CI:$CI,MATCH($U23*1,ТУ!$CP:$CP,0),1)=0,"",INDEX(ТУ!$CI:$CI,MATCH($U23*1,ТУ!$CP:$CP,0),1)),SEARCH(" ",IF(INDEX(ТУ!$CI:$CI,MATCH($U23*1,ТУ!$CP:$CP,0),1)=0,"",INDEX(ТУ!$CI:$CI,MATCH($U23*1,ТУ!$CP:$CP,0),1)),1)-1),""),"")</f>
        <v/>
      </c>
      <c r="AE23" s="40" t="str">
        <f>IF(INDEX(ТУ!$CB:$CB,MATCH($U23*1,ТУ!$CP:$CP,0),1)=0,INDEX(Adr!$B:$B,MATCH($U23*1,Adr!$C:$C,0),1),INDEX(ТУ!$CB:$CB,MATCH($U23*1,ТУ!$CP:$CP,0),1))</f>
        <v>86</v>
      </c>
      <c r="AF23" s="45" t="str">
        <f>IF(INDEX(ТУ!$CD:$CD,MATCH($U23*1,ТУ!$CP:$CP,0),1)=0,"",INDEX(ТУ!$CD:$CD,MATCH($U23*1,ТУ!$CP:$CP,0),1))</f>
        <v>"222222"</v>
      </c>
      <c r="AG23" s="45">
        <f>0</f>
        <v>0</v>
      </c>
      <c r="AH23" s="26">
        <f t="shared" si="17"/>
        <v>78</v>
      </c>
      <c r="AI23" s="20" t="str">
        <f t="shared" si="18"/>
        <v>785249801</v>
      </c>
      <c r="AJ23" s="41" t="str">
        <f t="shared" si="1"/>
        <v>10.194.1.112</v>
      </c>
      <c r="AK23" s="41" t="str">
        <f>IF($AP23="",IFERROR(IFERROR(LEFT(RIGHT(INDEX(ТУ!$CE:$CE,MATCH($U23*1,ТУ!$CP:$CP,0),1),LEN(INDEX(ТУ!$CE:$CE,MATCH($U23*1,ТУ!$CP:$CP,0),1))-SEARCH(":",INDEX(ТУ!$CE:$CE,MATCH($U23*1,ТУ!$CP:$CP,0),1))),SEARCH("/",RIGHT(INDEX(ТУ!$CE:$CE,MATCH($U23*1,ТУ!$CP:$CP,0),1),LEN(INDEX(ТУ!$CE:$CE,MATCH($U23*1,ТУ!$CP:$CP,0),1))-SEARCH(":",INDEX(ТУ!$CE:$CE,MATCH($U23*1,ТУ!$CP:$CP,0),1))))-1), RIGHT(INDEX(ТУ!$CE:$CE,MATCH($U23*1,ТУ!$CP:$CP,0),1),LEN(INDEX(ТУ!$CE:$CE,MATCH($U23*1,ТУ!$CP:$CP,0),1))-SEARCH(":",INDEX(ТУ!$CE:$CE,MATCH($U23*1,ТУ!$CP:$CP,0),1)))), ""),IFERROR(IFERROR(LEFT(RIGHT(INDEX(УСПД!$M:$M,MATCH(IFERROR(1*LEFT(INDEX(ТУ!$CG:$CG,MATCH($U23*1,ТУ!$CP:$CP,0),1),SEARCH(" ",INDEX(ТУ!$CG:$CG,MATCH($U23*1,ТУ!$CP:$CP,0),1))-1),""),УСПД!$N:$N,0),1),LEN(INDEX(УСПД!$M:$M,MATCH(IFERROR(1*LEFT(INDEX(ТУ!$CG:$CG,MATCH($U23*1,ТУ!$CP:$CP,0),1),SEARCH(" ",INDEX(ТУ!$CG:$CG,MATCH($U23*1,ТУ!$CP:$CP,0),1))-1),""),УСПД!$N:$N,0),1))-SEARCH(":",INDEX(УСПД!$M:$M,MATCH(IFERROR(1*LEFT(INDEX(ТУ!$CG:$CG,MATCH($U23*1,ТУ!$CP:$CP,0),1),SEARCH(" ",INDEX(ТУ!$CG:$CG,MATCH($U23*1,ТУ!$CP:$CP,0),1))-1),""),УСПД!$N:$N,0),1))),SEARCH("/",RIGHT(INDEX(УСПД!$M:$M,MATCH(IFERROR(1*LEFT(INDEX(ТУ!$CG:$CG,MATCH($U23*1,ТУ!$CP:$CP,0),1),SEARCH(" ",INDEX(ТУ!$CG:$CG,MATCH($U23*1,ТУ!$CP:$CP,0),1))-1),""),УСПД!$N:$N,0),1),LEN(INDEX(УСПД!$M:$M,MATCH(IFERROR(1*LEFT(INDEX(ТУ!$CG:$CG,MATCH($U23*1,ТУ!$CP:$CP,0),1),SEARCH(" ",INDEX(ТУ!$CG:$CG,MATCH($U23*1,ТУ!$CP:$CP,0),1))-1),""),УСПД!$N:$N,0),1))-SEARCH(":",INDEX(УСПД!$M:$M,MATCH(IFERROR(1*LEFT(INDEX(ТУ!$CG:$CG,MATCH($U23*1,ТУ!$CP:$CP,0),1),SEARCH(" ",INDEX(ТУ!$CG:$CG,MATCH($U23*1,ТУ!$CP:$CP,0),1))-1),""),УСПД!$N:$N,0),1))))-1), RIGHT(INDEX(УСПД!$M:$M,MATCH(IFERROR(1*LEFT(INDEX(ТУ!$CG:$CG,MATCH($U23*1,ТУ!$CP:$CP,0),1),SEARCH(" ",INDEX(ТУ!$CG:$CG,MATCH($U23*1,ТУ!$CP:$CP,0),1))-1),""),УСПД!$N:$N,0),1),LEN(INDEX(УСПД!$M:$M,MATCH(IFERROR(1*LEFT(INDEX(ТУ!$CG:$CG,MATCH($U23*1,ТУ!$CP:$CP,0),1),SEARCH(" ",INDEX(ТУ!$CG:$CG,MATCH($U23*1,ТУ!$CP:$CP,0),1))-1),""),УСПД!$N:$N,0),1))-SEARCH(":",INDEX(УСПД!$M:$M,MATCH(IFERROR(1*LEFT(INDEX(ТУ!$CG:$CG,MATCH($U23*1,ТУ!$CP:$CP,0),1),SEARCH(" ",INDEX(ТУ!$CG:$CG,MATCH($U23*1,ТУ!$CP:$CP,0),1))-1),""),УСПД!$N:$N,0),1)))), ""))</f>
        <v>4002</v>
      </c>
      <c r="AL23" s="41"/>
      <c r="AM23" s="57" t="str">
        <f>IFERROR(IFERROR(INDEX(Tel!$B:$B,MATCH($AJ23,Tel!$E:$E,0),1),INDEX(Tel!$B:$B,MATCH($AJ23,Tel!$D:$D,0),1)),"")</f>
        <v/>
      </c>
      <c r="AN23" s="59" t="str">
        <f>IF(ISNUMBER(SEARCH("ТОПАЗ - ТОПАЗ УСПД",IFERROR(RIGHT(LEFT(INDEX(ТУ!$CG:$CG,MATCH($U23*1,ТУ!$CP:$CP,0),1),SEARCH(")",INDEX(ТУ!$CG:$CG,MATCH($U23*1,ТУ!$CP:$CP,0),1))-1),LEN(LEFT(INDEX(ТУ!$CG:$CG,MATCH($U23*1,ТУ!$CP:$CP,0),1),SEARCH(")",INDEX(ТУ!$CG:$CG,MATCH($U23*1,ТУ!$CP:$CP,0),1))-1))-SEARCH("(",INDEX(ТУ!$CG:$CG,MATCH($U23*1,ТУ!$CP:$CP,0),1))),""),1)),"RTU-327",
IF(ISNUMBER(SEARCH("TELEOFIS",$AP23)),"Модем",
""))</f>
        <v/>
      </c>
      <c r="AO23" s="27" t="str">
        <f t="shared" si="0"/>
        <v/>
      </c>
      <c r="AP23" s="57" t="str">
        <f>IF(ISNUMBER(SEARCH("Миландр - Милур GSM/GPRS модем",IFERROR(RIGHT(LEFT(INDEX(ТУ!$CG:$CG,MATCH($U23*1,ТУ!$CP:$CP,0),1),SEARCH(")",INDEX(ТУ!$CG:$CG,MATCH($U23*1,ТУ!$CP:$CP,0),1))-1),LEN(LEFT(INDEX(ТУ!$CG:$CG,MATCH($U23*1,ТУ!$CP:$CP,0),1),SEARCH(")",INDEX(ТУ!$CG:$CG,MATCH($U23*1,ТУ!$CP:$CP,0),1))-1))-SEARCH("(",INDEX(ТУ!$CG:$CG,MATCH($U23*1,ТУ!$CP:$CP,0),1))),""),1)), "TELEOFIS WRX708-L4",IFERROR(RIGHT(LEFT(INDEX(ТУ!$CG:$CG,MATCH($U23*1,ТУ!$CP:$CP,0),1),SEARCH(")",INDEX(ТУ!$CG:$CG,MATCH($U23*1,ТУ!$CP:$CP,0),1))-1),LEN(LEFT(INDEX(ТУ!$CG:$CG,MATCH($U23*1,ТУ!$CP:$CP,0),1),SEARCH(")",INDEX(ТУ!$CG:$CG,MATCH($U23*1,ТУ!$CP:$CP,0),1))-1))-SEARCH("(",INDEX(ТУ!$CG:$CG,MATCH($U23*1,ТУ!$CP:$CP,0),1))),""))</f>
        <v/>
      </c>
      <c r="AQ23" s="57" t="str">
        <f>IFERROR(IF(INDEX(УСПД!$K:$K,MATCH($AS23*1,УСПД!$N:$N,0),1)=0,"",INDEX(УСПД!$K:$K,MATCH($AS23*1,УСПД!$N:$N,0),1)),"")</f>
        <v/>
      </c>
      <c r="AR23" s="57" t="str">
        <f>IFERROR(IF(INDEX(УСПД!$L:$L,MATCH($AS23*1,УСПД!$N:$N,0),1)=0,"",INDEX(УСПД!$L:$L,MATCH($AS23*1,УСПД!$N:$N,0),1)),"")</f>
        <v/>
      </c>
      <c r="AS23" s="60" t="str">
        <f>IFERROR(LEFT(INDEX(ТУ!$CG:$CG,MATCH($U23*1,ТУ!$CP:$CP,0),1),SEARCH(" ",INDEX(ТУ!$CG:$CG,MATCH($U23*1,ТУ!$CP:$CP,0),1))-1),"")</f>
        <v/>
      </c>
      <c r="AT23" s="59" t="s">
        <v>360</v>
      </c>
      <c r="AU23" s="59">
        <f>3</f>
        <v>3</v>
      </c>
      <c r="AV23" s="59" t="s">
        <v>368</v>
      </c>
      <c r="AW23" s="149">
        <f t="shared" si="19"/>
        <v>56</v>
      </c>
      <c r="AX23" s="149">
        <f t="shared" si="20"/>
        <v>34</v>
      </c>
      <c r="AY23" s="149" t="str">
        <f t="shared" si="21"/>
        <v/>
      </c>
      <c r="AZ23" s="149" t="str">
        <f t="shared" si="22"/>
        <v/>
      </c>
      <c r="BA23" s="149">
        <f t="shared" si="23"/>
        <v>1</v>
      </c>
      <c r="BB23" s="154" t="str">
        <f>IF($AP23="",IFERROR(IFERROR(LEFT(RIGHT(INDEX(ТУ!$CE:$CE,MATCH($U23*1,ТУ!$CP:$CP,0),1),LEN(INDEX(ТУ!$CE:$CE,MATCH($U23*1,ТУ!$CP:$CP,0),1))-SEARCH(", ",INDEX(ТУ!$CE:$CE,MATCH($U23*1,ТУ!$CP:$CP,0),1),SEARCH(", ",INDEX(ТУ!$CE:$CE,MATCH($U23*1,ТУ!$CP:$CP,0),1))+1)-1),SEARCH(":",RIGHT(INDEX(ТУ!$CE:$CE,MATCH($U23*1,ТУ!$CP:$CP,0),1),LEN(INDEX(ТУ!$CE:$CE,MATCH($U23*1,ТУ!$CP:$CP,0),1))-SEARCH(", ",INDEX(ТУ!$CE:$CE,MATCH($U23*1,ТУ!$CP:$CP,0),1),SEARCH(", ",INDEX(ТУ!$CE:$CE,MATCH($U23*1,ТУ!$CP:$CP,0),1))+1)-1))-1),LEFT(INDEX(ТУ!$CE:$CE,MATCH($U23*1,ТУ!$CP:$CP,0),1),SEARCH(":",INDEX(ТУ!$CE:$CE,MATCH($U23*1,ТУ!$CP:$CP,0),1))-1)),""),IFERROR(IFERROR(LEFT(RIGHT(INDEX(УСПД!$M:$M,MATCH(IFERROR(1*LEFT(INDEX(ТУ!$CG:$CG,MATCH($U23*1,ТУ!$CP:$CP,0),1),SEARCH(" ",INDEX(ТУ!$CG:$CG,MATCH($U23*1,ТУ!$CP:$CP,0),1))-1),""),УСПД!$N:$N,0),1),LEN(INDEX(УСПД!$M:$M,MATCH(IFERROR(1*LEFT(INDEX(ТУ!$CG:$CG,MATCH($U23*1,ТУ!$CP:$CP,0),1),SEARCH(" ",INDEX(ТУ!$CG:$CG,MATCH($U23*1,ТУ!$CP:$CP,0),1))-1),""),УСПД!$N:$N,0),1))-SEARCH(", ",INDEX(УСПД!$M:$M,MATCH(IFERROR(1*LEFT(INDEX(ТУ!$CG:$CG,MATCH($U23*1,ТУ!$CP:$CP,0),1),SEARCH(" ",INDEX(ТУ!$CG:$CG,MATCH($U23*1,ТУ!$CP:$CP,0),1))-1),""),УСПД!$N:$N,0),1),SEARCH(", ",INDEX(УСПД!$M:$M,MATCH(IFERROR(1*LEFT(INDEX(ТУ!$CG:$CG,MATCH($U23*1,ТУ!$CP:$CP,0),1),SEARCH(" ",INDEX(ТУ!$CG:$CG,MATCH($U23*1,ТУ!$CP:$CP,0),1))-1),""),УСПД!$N:$N,0),1))+1)-1),SEARCH(":",RIGHT(INDEX(УСПД!$M:$M,MATCH(IFERROR(1*LEFT(INDEX(ТУ!$CG:$CG,MATCH($U23*1,ТУ!$CP:$CP,0),1),SEARCH(" ",INDEX(ТУ!$CG:$CG,MATCH($U23*1,ТУ!$CP:$CP,0),1))-1),""),УСПД!$N:$N,0),1),LEN(INDEX(УСПД!$M:$M,MATCH(IFERROR(1*LEFT(INDEX(ТУ!$CG:$CG,MATCH($U23*1,ТУ!$CP:$CP,0),1),SEARCH(" ",INDEX(ТУ!$CG:$CG,MATCH($U23*1,ТУ!$CP:$CP,0),1))-1),""),УСПД!$N:$N,0),1))-SEARCH(", ",INDEX(УСПД!$M:$M,MATCH(IFERROR(1*LEFT(INDEX(ТУ!$CG:$CG,MATCH($U23*1,ТУ!$CP:$CP,0),1),SEARCH(" ",INDEX(ТУ!$CG:$CG,MATCH($U23*1,ТУ!$CP:$CP,0),1))-1),""),УСПД!$N:$N,0),1),SEARCH(", ",INDEX(УСПД!$M:$M,MATCH(IFERROR(1*LEFT(INDEX(ТУ!$CG:$CG,MATCH($U23*1,ТУ!$CP:$CP,0),1),SEARCH(" ",INDEX(ТУ!$CG:$CG,MATCH($U23*1,ТУ!$CP:$CP,0),1))-1),""),УСПД!$N:$N,0),1))+1)-1))-1),LEFT(INDEX(УСПД!$M:$M,MATCH(IFERROR(1*LEFT(INDEX(ТУ!$CG:$CG,MATCH($U23*1,ТУ!$CP:$CP,0),1),SEARCH(" ",INDEX(ТУ!$CG:$CG,MATCH($U23*1,ТУ!$CP:$CP,0),1))-1),""),УСПД!$N:$N,0),1),SEARCH(":",INDEX(УСПД!$M:$M,MATCH(IFERROR(1*LEFT(INDEX(ТУ!$CG:$CG,MATCH($U23*1,ТУ!$CP:$CP,0),1),SEARCH(" ",INDEX(ТУ!$CG:$CG,MATCH($U23*1,ТУ!$CP:$CP,0),1))-1),""),УСПД!$N:$N,0),1))-1)),""))</f>
        <v>10.194.1.112</v>
      </c>
      <c r="BC23" s="155" t="str">
        <f>INDEX(ТУ!$AF:$AF,MATCH($U23*1,ТУ!$CP:$CP,0),1)</f>
        <v>ТП-24980</v>
      </c>
      <c r="BD23" s="155">
        <f>INDEX(ТУ!$X:$X,MATCH($U23*1,ТУ!$CP:$CP,0),1)</f>
        <v>0</v>
      </c>
      <c r="BE23" s="155">
        <f>INDEX(ТУ!$CL:$CL,MATCH($U23*1,ТУ!$CP:$CP,0),1)</f>
        <v>0</v>
      </c>
      <c r="BF23" s="147" t="str">
        <f>IFERROR(INDEX(естьАЦ!$A:$A,MATCH($U23*1,естьАЦ!$A:$A,0),1),"нет в АЦ")</f>
        <v>нет в АЦ</v>
      </c>
    </row>
    <row r="24" spans="1:58" ht="25.5" x14ac:dyDescent="0.25">
      <c r="A24" s="55">
        <f>3</f>
        <v>3</v>
      </c>
      <c r="B24" s="42" t="str">
        <f>IFERROR(IFERROR(INDEX(Справочники!$A$2:$P$79,MATCH(INDEX(ТУ!$E:$E,MATCH($U24*1,ТУ!$CP:$CP,0),1),Справочники!$P$2:$P$79,0),2),INDEX(Справочники!$A$2:$P$79,MATCH((INDEX(ТУ!$E:$E,MATCH($U24*1,ТУ!$CP:$CP,0),1))*1,Справочники!$P$2:$P$79,0),2)),"")</f>
        <v>21 р-н МКС (СОРУПЭ)</v>
      </c>
      <c r="C24" s="46" t="str">
        <f>IFERROR(TRIM(LEFT(INDEX(ТУ!$AF:$AF,MATCH($U24*1,ТУ!$CP:$CP,0),1),SEARCH("-",INDEX(ТУ!$AF:$AF,MATCH($U24*1,ТУ!$CP:$CP,0),1))-1)),IFERROR(LEFT(INDEX(ТУ!$X:$X,MATCH($U24*1,ТУ!$CP:$CP,0),1),SEARCH("-",INDEX(ТУ!$X:$X,MATCH($U24*1,ТУ!$CP:$CP,0),1))-1),"ТП"))</f>
        <v>ТП</v>
      </c>
      <c r="D24" s="47" t="str">
        <f>IF(TRIM(IF(ISNUMBER((IFERROR(RIGHT(INDEX(ТУ!$AF:$AF,MATCH($U24*1,ТУ!$CP:$CP,0),1),LEN(INDEX(ТУ!$AF:$AF,MATCH($U24*1,ТУ!$CP:$CP,0),1))-SEARCH("-",INDEX(ТУ!$AF:$AF,MATCH($U24*1,ТУ!$CP:$CP,0),1))),INDEX(ТУ!$AF:$AF,MATCH($U24*1,ТУ!$CP:$CP,0),1)))*1),IFERROR(RIGHT(INDEX(ТУ!$AF:$AF,MATCH($U24*1,ТУ!$CP:$CP,0),1),LEN(INDEX(ТУ!$AF:$AF,MATCH($U24*1,ТУ!$CP:$CP,0),1))-SEARCH("-",INDEX(ТУ!$AF:$AF,MATCH($U24*1,ТУ!$CP:$CP,0),1))),INDEX(ТУ!$AF:$AF,MATCH($U24*1,ТУ!$CP:$CP,0),1)),""))="",TRIM(IF(ISNUMBER((IFERROR(RIGHT(INDEX(ТУ!$X:$X,MATCH($U24*1,ТУ!$CP:$CP,0),1),LEN(INDEX(ТУ!$X:$X,MATCH($U24*1,ТУ!$CP:$CP,0),1))-SEARCH("-",INDEX(ТУ!$X:$X,MATCH($U24*1,ТУ!$CP:$CP,0),1))),INDEX(ТУ!$X:$X,MATCH($U24*1,ТУ!$CP:$CP,0),1)))*1),IFERROR(RIGHT(INDEX(ТУ!$X:$X,MATCH($U24*1,ТУ!$CP:$CP,0),1),LEN(INDEX(ТУ!$X:$X,MATCH($U24*1,ТУ!$CP:$CP,0),1))-SEARCH("-",INDEX(ТУ!$X:$X,MATCH($U24*1,ТУ!$CP:$CP,0),1))),INDEX(ТУ!$X:$X,MATCH($U24*1,ТУ!$CP:$CP,0),1)),"")),TRIM(IF(ISNUMBER((IFERROR(RIGHT(INDEX(ТУ!$AF:$AF,MATCH($U24*1,ТУ!$CP:$CP,0),1),LEN(INDEX(ТУ!$AF:$AF,MATCH($U24*1,ТУ!$CP:$CP,0),1))-SEARCH("-",INDEX(ТУ!$AF:$AF,MATCH($U24*1,ТУ!$CP:$CP,0),1))),INDEX(ТУ!$AF:$AF,MATCH($U24*1,ТУ!$CP:$CP,0),1)))*1),IFERROR(RIGHT(INDEX(ТУ!$AF:$AF,MATCH($U24*1,ТУ!$CP:$CP,0),1),LEN(INDEX(ТУ!$AF:$AF,MATCH($U24*1,ТУ!$CP:$CP,0),1))-SEARCH("-",INDEX(ТУ!$AF:$AF,MATCH($U24*1,ТУ!$CP:$CP,0),1))),INDEX(ТУ!$AF:$AF,MATCH($U24*1,ТУ!$CP:$CP,0),1)),"")))</f>
        <v>23138</v>
      </c>
      <c r="E24" s="25" t="str">
        <f t="shared" si="2"/>
        <v>МКС</v>
      </c>
      <c r="F24" s="20">
        <f t="shared" si="3"/>
        <v>95</v>
      </c>
      <c r="G24" s="21">
        <f t="shared" si="4"/>
        <v>5</v>
      </c>
      <c r="H24" s="25" t="str">
        <f t="shared" si="5"/>
        <v>ТП-23138</v>
      </c>
      <c r="I24" s="25" t="str">
        <f t="shared" si="6"/>
        <v>95523138</v>
      </c>
      <c r="J24" s="42" t="str">
        <f>INDEX(Справочники!$M:$M,MATCH(IF(INDEX(ТУ!$BO:$BO,MATCH($U24*1,ТУ!$CP:$CP,0),1)=1,1,INDEX(ТУ!$BO:$BO,MATCH($U24*1,ТУ!$CP:$CP,0),1)*100),Справочники!$N:$N,0),1)</f>
        <v>0.4 кВ</v>
      </c>
      <c r="K24" s="40">
        <f>1</f>
        <v>1</v>
      </c>
      <c r="L24" s="20" t="str">
        <f t="shared" si="7"/>
        <v>СШ-1</v>
      </c>
      <c r="M24" s="20">
        <f t="shared" si="8"/>
        <v>1</v>
      </c>
      <c r="N24" s="40"/>
      <c r="O24" s="56" t="str">
        <f t="shared" si="9"/>
        <v>Ввод-1-1</v>
      </c>
      <c r="P24" s="57" t="str">
        <f>IFERROR(IF(INDEX(ТУ!$AO:$AO,MATCH($U24*1,ТУ!$CP:$CP,0),1)=0,"",INDEX(ТУ!$AO:$AO,MATCH($U24*1,ТУ!$CP:$CP,0),1)),"")</f>
        <v>Фидер 1</v>
      </c>
      <c r="Q24" s="40">
        <f>IFERROR(IF(INDEX(ТУ!$BN:$BN,MATCH($U24*1,ТУ!$CP:$CP,0),1)=1,1,INDEX(ТУ!$BN:$BN,MATCH($U24*1,ТУ!$CP:$CP,0),1)*5),"")</f>
        <v>1</v>
      </c>
      <c r="R24" s="25">
        <f t="shared" si="10"/>
        <v>1</v>
      </c>
      <c r="S24" s="25">
        <f t="shared" si="11"/>
        <v>1</v>
      </c>
      <c r="T24" s="25">
        <f t="shared" si="12"/>
        <v>1</v>
      </c>
      <c r="U24" s="105" t="s">
        <v>728</v>
      </c>
      <c r="V24" s="43">
        <f>IF(INDEX(ТУ!$BH:$BH,MATCH($U24*1,ТУ!$CP:$CP,0),1)=0,"",INDEX(ТУ!$BH:$BH,MATCH($U24*1,ТУ!$CP:$CP,0),1))</f>
        <v>44752</v>
      </c>
      <c r="W24" s="43" t="str">
        <f>IF(INDEX(ТУ!$BI:$BI,MATCH($U24*1,ТУ!$CP:$CP,0),1)=0,"",INDEX(ТУ!$BI:$BI,MATCH($U24*1,ТУ!$CP:$CP,0),1))</f>
        <v>18.04.2022</v>
      </c>
      <c r="X24" s="58" t="str">
        <f t="shared" si="13"/>
        <v/>
      </c>
      <c r="Y24" s="25">
        <f t="shared" si="14"/>
        <v>35</v>
      </c>
      <c r="Z24" s="42" t="str">
        <f t="shared" si="15"/>
        <v/>
      </c>
      <c r="AA24" s="25" t="str">
        <f t="shared" si="16"/>
        <v/>
      </c>
      <c r="AB24" s="40" t="str">
        <f>IF(ISNUMBER(SEARCH("Приборы с поддержкой протокола СПОДЭС - Нартис-И300 (СПОДЭС)",INDEX(ТУ!$BD:$BD,MATCH($U24*1,ТУ!$CP:$CP,0),1))),"Нартис-И300",
IF(ISNUMBER(SEARCH("Приборы с поддержкой протокола СПОДЭС - Меркурий 234 (СПОДЭС)",INDEX(ТУ!$BD:$BD,MATCH($U24*1,ТУ!$CP:$CP,0),1))),"Меркурий 234 (СПОДЭС)",
IF(ISNUMBER(SEARCH("Приборы с поддержкой протокола СПОДЭС - Нартис-300 (СПОДЭС)",INDEX(ТУ!$BD:$BD,MATCH($U24*1,ТУ!$CP:$CP,0),1))),"Нартис-300",
IF(ISNUMBER(SEARCH("Инкотекс - Меркурий 234",INDEX(ТУ!$BD:$BD,MATCH($U24*1,ТУ!$CP:$CP,0),1))),"Меркурий 234",
IF(ISNUMBER(SEARCH("Инкотекс - Меркурий 206",INDEX(ТУ!$BD:$BD,MATCH($U24*1,ТУ!$CP:$CP,0),1))),"Меркурий 206",
IF(ISNUMBER(SEARCH("Приборы с поддержкой протокола СПОДЭС - Универсальный счетчик СПОДЭС 2 трехфазный",INDEX(ТУ!$BD:$BD,MATCH($U24*1,ТУ!$CP:$CP,0),1))),"Нартис-И300",
IF(ISNUMBER(SEARCH("Приборы с поддержкой протокола СПОДЭС - Универсальный счетчик СПОДЭС 2 однофазный",INDEX(ТУ!$BD:$BD,MATCH($U24*1,ТУ!$CP:$CP,0),1))),"Нартис-И100",
IF(ISNUMBER(SEARCH("Приборы с поддержкой протокола СПОДЭС - Нартис-И100 (СПОДЭС)",INDEX(ТУ!$BD:$BD,MATCH($U24*1,ТУ!$CP:$CP,0),1))),"Нартис-И100",
IF(ISNUMBER(SEARCH("Приборы с поддержкой протокола СПОДЭС - СЕ308 (СПОДЭС)",INDEX(ТУ!$BD:$BD,MATCH($U24*1,ТУ!$CP:$CP,0),1))),"СЕ308 (СПОДЭС)",
IF(ISNUMBER(SEARCH("Приборы с поддержкой протокола СПОДЭС - СЕ207 (СПОДЭС)",INDEX(ТУ!$BD:$BD,MATCH($U24*1,ТУ!$CP:$CP,0),1))),"СЕ207 (СПОДЭС)",
IF(ISNUMBER(SEARCH("Приборы с поддержкой протокола СПОДЭС - СТЭМ-300 (СПОДЭС)",INDEX(ТУ!$BD:$BD,MATCH($U24*1,ТУ!$CP:$CP,0),1))),"СТЭМ-300 (СПОДЭС)",
IF(ISNUMBER(SEARCH("ТехноЭнерго - ТЕ3000",INDEX(ТУ!$BD:$BD,MATCH($U24*1,ТУ!$CP:$CP,0),1))),"ТЕ3000",
IF(ISNUMBER(SEARCH("НЗиФ - СЭТ-4ТМ",INDEX(ТУ!$BD:$BD,MATCH($U24*1,ТУ!$CP:$CP,0),1))),"СЭТ-4ТМ",
INDEX(ТУ!$BD:$BD,MATCH($U24*1,ТУ!$CP:$CP,0),1)
)))))))))))))</f>
        <v>Приборы с поддержкой протокола СПОДЭС - МИР С-05 (СПОДЭС)</v>
      </c>
      <c r="AC24" s="40" t="s">
        <v>2</v>
      </c>
      <c r="AD24" s="40" t="str">
        <f>IF(ISNUMBER(IFERROR(LEFT(IF(INDEX(ТУ!$CI:$CI,MATCH($U24*1,ТУ!$CP:$CP,0),1)=0,"",INDEX(ТУ!$CI:$CI,MATCH($U24*1,ТУ!$CP:$CP,0),1)),SEARCH(" ",IF(INDEX(ТУ!$CI:$CI,MATCH($U24*1,ТУ!$CP:$CP,0),1)=0,"",INDEX(ТУ!$CI:$CI,MATCH($U24*1,ТУ!$CP:$CP,0),1)),1)-1),"")*1),IFERROR(LEFT(IF(INDEX(ТУ!$CI:$CI,MATCH($U24*1,ТУ!$CP:$CP,0),1)=0,"",INDEX(ТУ!$CI:$CI,MATCH($U24*1,ТУ!$CP:$CP,0),1)),SEARCH(" ",IF(INDEX(ТУ!$CI:$CI,MATCH($U24*1,ТУ!$CP:$CP,0),1)=0,"",INDEX(ТУ!$CI:$CI,MATCH($U24*1,ТУ!$CP:$CP,0),1)),1)-1),""),"")</f>
        <v/>
      </c>
      <c r="AE24" s="40">
        <f>IF(INDEX(ТУ!$CB:$CB,MATCH($U24*1,ТУ!$CP:$CP,0),1)=0,INDEX(Adr!$B:$B,MATCH($U24*1,Adr!$C:$C,0),1),INDEX(ТУ!$CB:$CB,MATCH($U24*1,ТУ!$CP:$CP,0),1))</f>
        <v>1327</v>
      </c>
      <c r="AF24" s="45" t="str">
        <f>IF(INDEX(ТУ!$CD:$CD,MATCH($U24*1,ТУ!$CP:$CP,0),1)=0,"",INDEX(ТУ!$CD:$CD,MATCH($U24*1,ТУ!$CP:$CP,0),1))</f>
        <v>00000000</v>
      </c>
      <c r="AG24" s="45">
        <f>0</f>
        <v>0</v>
      </c>
      <c r="AH24" s="26">
        <f t="shared" si="17"/>
        <v>95</v>
      </c>
      <c r="AI24" s="20" t="str">
        <f t="shared" si="18"/>
        <v>955231381</v>
      </c>
      <c r="AJ24" s="41" t="str">
        <f t="shared" si="1"/>
        <v>10.82.7.171</v>
      </c>
      <c r="AK24" s="41" t="str">
        <f>IF($AP24="",IFERROR(IFERROR(LEFT(RIGHT(INDEX(ТУ!$CE:$CE,MATCH($U24*1,ТУ!$CP:$CP,0),1),LEN(INDEX(ТУ!$CE:$CE,MATCH($U24*1,ТУ!$CP:$CP,0),1))-SEARCH(":",INDEX(ТУ!$CE:$CE,MATCH($U24*1,ТУ!$CP:$CP,0),1))),SEARCH("/",RIGHT(INDEX(ТУ!$CE:$CE,MATCH($U24*1,ТУ!$CP:$CP,0),1),LEN(INDEX(ТУ!$CE:$CE,MATCH($U24*1,ТУ!$CP:$CP,0),1))-SEARCH(":",INDEX(ТУ!$CE:$CE,MATCH($U24*1,ТУ!$CP:$CP,0),1))))-1), RIGHT(INDEX(ТУ!$CE:$CE,MATCH($U24*1,ТУ!$CP:$CP,0),1),LEN(INDEX(ТУ!$CE:$CE,MATCH($U24*1,ТУ!$CP:$CP,0),1))-SEARCH(":",INDEX(ТУ!$CE:$CE,MATCH($U24*1,ТУ!$CP:$CP,0),1)))), ""),IFERROR(IFERROR(LEFT(RIGHT(INDEX(УСПД!$M:$M,MATCH(IFERROR(1*LEFT(INDEX(ТУ!$CG:$CG,MATCH($U24*1,ТУ!$CP:$CP,0),1),SEARCH(" ",INDEX(ТУ!$CG:$CG,MATCH($U24*1,ТУ!$CP:$CP,0),1))-1),""),УСПД!$N:$N,0),1),LEN(INDEX(УСПД!$M:$M,MATCH(IFERROR(1*LEFT(INDEX(ТУ!$CG:$CG,MATCH($U24*1,ТУ!$CP:$CP,0),1),SEARCH(" ",INDEX(ТУ!$CG:$CG,MATCH($U24*1,ТУ!$CP:$CP,0),1))-1),""),УСПД!$N:$N,0),1))-SEARCH(":",INDEX(УСПД!$M:$M,MATCH(IFERROR(1*LEFT(INDEX(ТУ!$CG:$CG,MATCH($U24*1,ТУ!$CP:$CP,0),1),SEARCH(" ",INDEX(ТУ!$CG:$CG,MATCH($U24*1,ТУ!$CP:$CP,0),1))-1),""),УСПД!$N:$N,0),1))),SEARCH("/",RIGHT(INDEX(УСПД!$M:$M,MATCH(IFERROR(1*LEFT(INDEX(ТУ!$CG:$CG,MATCH($U24*1,ТУ!$CP:$CP,0),1),SEARCH(" ",INDEX(ТУ!$CG:$CG,MATCH($U24*1,ТУ!$CP:$CP,0),1))-1),""),УСПД!$N:$N,0),1),LEN(INDEX(УСПД!$M:$M,MATCH(IFERROR(1*LEFT(INDEX(ТУ!$CG:$CG,MATCH($U24*1,ТУ!$CP:$CP,0),1),SEARCH(" ",INDEX(ТУ!$CG:$CG,MATCH($U24*1,ТУ!$CP:$CP,0),1))-1),""),УСПД!$N:$N,0),1))-SEARCH(":",INDEX(УСПД!$M:$M,MATCH(IFERROR(1*LEFT(INDEX(ТУ!$CG:$CG,MATCH($U24*1,ТУ!$CP:$CP,0),1),SEARCH(" ",INDEX(ТУ!$CG:$CG,MATCH($U24*1,ТУ!$CP:$CP,0),1))-1),""),УСПД!$N:$N,0),1))))-1), RIGHT(INDEX(УСПД!$M:$M,MATCH(IFERROR(1*LEFT(INDEX(ТУ!$CG:$CG,MATCH($U24*1,ТУ!$CP:$CP,0),1),SEARCH(" ",INDEX(ТУ!$CG:$CG,MATCH($U24*1,ТУ!$CP:$CP,0),1))-1),""),УСПД!$N:$N,0),1),LEN(INDEX(УСПД!$M:$M,MATCH(IFERROR(1*LEFT(INDEX(ТУ!$CG:$CG,MATCH($U24*1,ТУ!$CP:$CP,0),1),SEARCH(" ",INDEX(ТУ!$CG:$CG,MATCH($U24*1,ТУ!$CP:$CP,0),1))-1),""),УСПД!$N:$N,0),1))-SEARCH(":",INDEX(УСПД!$M:$M,MATCH(IFERROR(1*LEFT(INDEX(ТУ!$CG:$CG,MATCH($U24*1,ТУ!$CP:$CP,0),1),SEARCH(" ",INDEX(ТУ!$CG:$CG,MATCH($U24*1,ТУ!$CP:$CP,0),1))-1),""),УСПД!$N:$N,0),1)))), ""))</f>
        <v>4001</v>
      </c>
      <c r="AL24" s="41"/>
      <c r="AM24" s="57" t="str">
        <f>IFERROR(IFERROR(INDEX(Tel!$B:$B,MATCH($AJ24,Tel!$E:$E,0),1),INDEX(Tel!$B:$B,MATCH($AJ24,Tel!$D:$D,0),1)),"")</f>
        <v/>
      </c>
      <c r="AN24" s="59" t="str">
        <f>IF(ISNUMBER(SEARCH("ТОПАЗ - ТОПАЗ УСПД",IFERROR(RIGHT(LEFT(INDEX(ТУ!$CG:$CG,MATCH($U24*1,ТУ!$CP:$CP,0),1),SEARCH(")",INDEX(ТУ!$CG:$CG,MATCH($U24*1,ТУ!$CP:$CP,0),1))-1),LEN(LEFT(INDEX(ТУ!$CG:$CG,MATCH($U24*1,ТУ!$CP:$CP,0),1),SEARCH(")",INDEX(ТУ!$CG:$CG,MATCH($U24*1,ТУ!$CP:$CP,0),1))-1))-SEARCH("(",INDEX(ТУ!$CG:$CG,MATCH($U24*1,ТУ!$CP:$CP,0),1))),""),1)),"RTU-327",
IF(ISNUMBER(SEARCH("TELEOFIS",$AP24)),"Модем",
""))</f>
        <v/>
      </c>
      <c r="AO24" s="27" t="str">
        <f t="shared" si="0"/>
        <v/>
      </c>
      <c r="AP24" s="57" t="str">
        <f>IF(ISNUMBER(SEARCH("Миландр - Милур GSM/GPRS модем",IFERROR(RIGHT(LEFT(INDEX(ТУ!$CG:$CG,MATCH($U24*1,ТУ!$CP:$CP,0),1),SEARCH(")",INDEX(ТУ!$CG:$CG,MATCH($U24*1,ТУ!$CP:$CP,0),1))-1),LEN(LEFT(INDEX(ТУ!$CG:$CG,MATCH($U24*1,ТУ!$CP:$CP,0),1),SEARCH(")",INDEX(ТУ!$CG:$CG,MATCH($U24*1,ТУ!$CP:$CP,0),1))-1))-SEARCH("(",INDEX(ТУ!$CG:$CG,MATCH($U24*1,ТУ!$CP:$CP,0),1))),""),1)), "TELEOFIS WRX708-L4",IFERROR(RIGHT(LEFT(INDEX(ТУ!$CG:$CG,MATCH($U24*1,ТУ!$CP:$CP,0),1),SEARCH(")",INDEX(ТУ!$CG:$CG,MATCH($U24*1,ТУ!$CP:$CP,0),1))-1),LEN(LEFT(INDEX(ТУ!$CG:$CG,MATCH($U24*1,ТУ!$CP:$CP,0),1),SEARCH(")",INDEX(ТУ!$CG:$CG,MATCH($U24*1,ТУ!$CP:$CP,0),1))-1))-SEARCH("(",INDEX(ТУ!$CG:$CG,MATCH($U24*1,ТУ!$CP:$CP,0),1))),""))</f>
        <v/>
      </c>
      <c r="AQ24" s="57" t="str">
        <f>IFERROR(IF(INDEX(УСПД!$K:$K,MATCH($AS24*1,УСПД!$N:$N,0),1)=0,"",INDEX(УСПД!$K:$K,MATCH($AS24*1,УСПД!$N:$N,0),1)),"")</f>
        <v/>
      </c>
      <c r="AR24" s="57" t="str">
        <f>IFERROR(IF(INDEX(УСПД!$L:$L,MATCH($AS24*1,УСПД!$N:$N,0),1)=0,"",INDEX(УСПД!$L:$L,MATCH($AS24*1,УСПД!$N:$N,0),1)),"")</f>
        <v/>
      </c>
      <c r="AS24" s="60" t="str">
        <f>IFERROR(LEFT(INDEX(ТУ!$CG:$CG,MATCH($U24*1,ТУ!$CP:$CP,0),1),SEARCH(" ",INDEX(ТУ!$CG:$CG,MATCH($U24*1,ТУ!$CP:$CP,0),1))-1),"")</f>
        <v/>
      </c>
      <c r="AT24" s="59" t="s">
        <v>360</v>
      </c>
      <c r="AU24" s="59">
        <f>3</f>
        <v>3</v>
      </c>
      <c r="AV24" s="59" t="s">
        <v>368</v>
      </c>
      <c r="AW24" s="149">
        <f t="shared" si="19"/>
        <v>73</v>
      </c>
      <c r="AX24" s="149">
        <f t="shared" si="20"/>
        <v>34</v>
      </c>
      <c r="AY24" s="149" t="str">
        <f t="shared" si="21"/>
        <v/>
      </c>
      <c r="AZ24" s="149" t="str">
        <f t="shared" si="22"/>
        <v/>
      </c>
      <c r="BA24" s="149">
        <f t="shared" si="23"/>
        <v>1</v>
      </c>
      <c r="BB24" s="154" t="str">
        <f>IF($AP24="",IFERROR(IFERROR(LEFT(RIGHT(INDEX(ТУ!$CE:$CE,MATCH($U24*1,ТУ!$CP:$CP,0),1),LEN(INDEX(ТУ!$CE:$CE,MATCH($U24*1,ТУ!$CP:$CP,0),1))-SEARCH(", ",INDEX(ТУ!$CE:$CE,MATCH($U24*1,ТУ!$CP:$CP,0),1),SEARCH(", ",INDEX(ТУ!$CE:$CE,MATCH($U24*1,ТУ!$CP:$CP,0),1))+1)-1),SEARCH(":",RIGHT(INDEX(ТУ!$CE:$CE,MATCH($U24*1,ТУ!$CP:$CP,0),1),LEN(INDEX(ТУ!$CE:$CE,MATCH($U24*1,ТУ!$CP:$CP,0),1))-SEARCH(", ",INDEX(ТУ!$CE:$CE,MATCH($U24*1,ТУ!$CP:$CP,0),1),SEARCH(", ",INDEX(ТУ!$CE:$CE,MATCH($U24*1,ТУ!$CP:$CP,0),1))+1)-1))-1),LEFT(INDEX(ТУ!$CE:$CE,MATCH($U24*1,ТУ!$CP:$CP,0),1),SEARCH(":",INDEX(ТУ!$CE:$CE,MATCH($U24*1,ТУ!$CP:$CP,0),1))-1)),""),IFERROR(IFERROR(LEFT(RIGHT(INDEX(УСПД!$M:$M,MATCH(IFERROR(1*LEFT(INDEX(ТУ!$CG:$CG,MATCH($U24*1,ТУ!$CP:$CP,0),1),SEARCH(" ",INDEX(ТУ!$CG:$CG,MATCH($U24*1,ТУ!$CP:$CP,0),1))-1),""),УСПД!$N:$N,0),1),LEN(INDEX(УСПД!$M:$M,MATCH(IFERROR(1*LEFT(INDEX(ТУ!$CG:$CG,MATCH($U24*1,ТУ!$CP:$CP,0),1),SEARCH(" ",INDEX(ТУ!$CG:$CG,MATCH($U24*1,ТУ!$CP:$CP,0),1))-1),""),УСПД!$N:$N,0),1))-SEARCH(", ",INDEX(УСПД!$M:$M,MATCH(IFERROR(1*LEFT(INDEX(ТУ!$CG:$CG,MATCH($U24*1,ТУ!$CP:$CP,0),1),SEARCH(" ",INDEX(ТУ!$CG:$CG,MATCH($U24*1,ТУ!$CP:$CP,0),1))-1),""),УСПД!$N:$N,0),1),SEARCH(", ",INDEX(УСПД!$M:$M,MATCH(IFERROR(1*LEFT(INDEX(ТУ!$CG:$CG,MATCH($U24*1,ТУ!$CP:$CP,0),1),SEARCH(" ",INDEX(ТУ!$CG:$CG,MATCH($U24*1,ТУ!$CP:$CP,0),1))-1),""),УСПД!$N:$N,0),1))+1)-1),SEARCH(":",RIGHT(INDEX(УСПД!$M:$M,MATCH(IFERROR(1*LEFT(INDEX(ТУ!$CG:$CG,MATCH($U24*1,ТУ!$CP:$CP,0),1),SEARCH(" ",INDEX(ТУ!$CG:$CG,MATCH($U24*1,ТУ!$CP:$CP,0),1))-1),""),УСПД!$N:$N,0),1),LEN(INDEX(УСПД!$M:$M,MATCH(IFERROR(1*LEFT(INDEX(ТУ!$CG:$CG,MATCH($U24*1,ТУ!$CP:$CP,0),1),SEARCH(" ",INDEX(ТУ!$CG:$CG,MATCH($U24*1,ТУ!$CP:$CP,0),1))-1),""),УСПД!$N:$N,0),1))-SEARCH(", ",INDEX(УСПД!$M:$M,MATCH(IFERROR(1*LEFT(INDEX(ТУ!$CG:$CG,MATCH($U24*1,ТУ!$CP:$CP,0),1),SEARCH(" ",INDEX(ТУ!$CG:$CG,MATCH($U24*1,ТУ!$CP:$CP,0),1))-1),""),УСПД!$N:$N,0),1),SEARCH(", ",INDEX(УСПД!$M:$M,MATCH(IFERROR(1*LEFT(INDEX(ТУ!$CG:$CG,MATCH($U24*1,ТУ!$CP:$CP,0),1),SEARCH(" ",INDEX(ТУ!$CG:$CG,MATCH($U24*1,ТУ!$CP:$CP,0),1))-1),""),УСПД!$N:$N,0),1))+1)-1))-1),LEFT(INDEX(УСПД!$M:$M,MATCH(IFERROR(1*LEFT(INDEX(ТУ!$CG:$CG,MATCH($U24*1,ТУ!$CP:$CP,0),1),SEARCH(" ",INDEX(ТУ!$CG:$CG,MATCH($U24*1,ТУ!$CP:$CP,0),1))-1),""),УСПД!$N:$N,0),1),SEARCH(":",INDEX(УСПД!$M:$M,MATCH(IFERROR(1*LEFT(INDEX(ТУ!$CG:$CG,MATCH($U24*1,ТУ!$CP:$CP,0),1),SEARCH(" ",INDEX(ТУ!$CG:$CG,MATCH($U24*1,ТУ!$CP:$CP,0),1))-1),""),УСПД!$N:$N,0),1))-1)),""))</f>
        <v>10.82.7.171</v>
      </c>
      <c r="BC24" s="155" t="str">
        <f>INDEX(ТУ!$AF:$AF,MATCH($U24*1,ТУ!$CP:$CP,0),1)</f>
        <v>ТП-23138</v>
      </c>
      <c r="BD24" s="155">
        <f>INDEX(ТУ!$X:$X,MATCH($U24*1,ТУ!$CP:$CP,0),1)</f>
        <v>0</v>
      </c>
      <c r="BE24" s="155">
        <f>INDEX(ТУ!$CL:$CL,MATCH($U24*1,ТУ!$CP:$CP,0),1)</f>
        <v>0</v>
      </c>
      <c r="BF24" s="147" t="str">
        <f>IFERROR(INDEX(естьАЦ!$A:$A,MATCH($U24*1,естьАЦ!$A:$A,0),1),"нет в АЦ")</f>
        <v>нет в АЦ</v>
      </c>
    </row>
    <row r="25" spans="1:58" ht="15" x14ac:dyDescent="0.25">
      <c r="A25" s="55">
        <f>3</f>
        <v>3</v>
      </c>
      <c r="B25" s="42" t="str">
        <f>IFERROR(IFERROR(INDEX(Справочники!$A$2:$P$79,MATCH(INDEX(ТУ!$E:$E,MATCH($U25*1,ТУ!$CP:$CP,0),1),Справочники!$P$2:$P$79,0),2),INDEX(Справочники!$A$2:$P$79,MATCH((INDEX(ТУ!$E:$E,MATCH($U25*1,ТУ!$CP:$CP,0),1))*1,Справочники!$P$2:$P$79,0),2)),"")</f>
        <v/>
      </c>
      <c r="C25" s="46" t="str">
        <f>IFERROR(TRIM(LEFT(INDEX(ТУ!$AF:$AF,MATCH($U25*1,ТУ!$CP:$CP,0),1),SEARCH("-",INDEX(ТУ!$AF:$AF,MATCH($U25*1,ТУ!$CP:$CP,0),1))-1)),IFERROR(LEFT(INDEX(ТУ!$X:$X,MATCH($U25*1,ТУ!$CP:$CP,0),1),SEARCH("-",INDEX(ТУ!$X:$X,MATCH($U25*1,ТУ!$CP:$CP,0),1))-1),"ТП"))</f>
        <v>ТП</v>
      </c>
      <c r="D25" s="47" t="str">
        <f>IF(TRIM(IF(ISNUMBER((IFERROR(RIGHT(INDEX(ТУ!$AF:$AF,MATCH($U25*1,ТУ!$CP:$CP,0),1),LEN(INDEX(ТУ!$AF:$AF,MATCH($U25*1,ТУ!$CP:$CP,0),1))-SEARCH("-",INDEX(ТУ!$AF:$AF,MATCH($U25*1,ТУ!$CP:$CP,0),1))),INDEX(ТУ!$AF:$AF,MATCH($U25*1,ТУ!$CP:$CP,0),1)))*1),IFERROR(RIGHT(INDEX(ТУ!$AF:$AF,MATCH($U25*1,ТУ!$CP:$CP,0),1),LEN(INDEX(ТУ!$AF:$AF,MATCH($U25*1,ТУ!$CP:$CP,0),1))-SEARCH("-",INDEX(ТУ!$AF:$AF,MATCH($U25*1,ТУ!$CP:$CP,0),1))),INDEX(ТУ!$AF:$AF,MATCH($U25*1,ТУ!$CP:$CP,0),1)),""))="",TRIM(IF(ISNUMBER((IFERROR(RIGHT(INDEX(ТУ!$X:$X,MATCH($U25*1,ТУ!$CP:$CP,0),1),LEN(INDEX(ТУ!$X:$X,MATCH($U25*1,ТУ!$CP:$CP,0),1))-SEARCH("-",INDEX(ТУ!$X:$X,MATCH($U25*1,ТУ!$CP:$CP,0),1))),INDEX(ТУ!$X:$X,MATCH($U25*1,ТУ!$CP:$CP,0),1)))*1),IFERROR(RIGHT(INDEX(ТУ!$X:$X,MATCH($U25*1,ТУ!$CP:$CP,0),1),LEN(INDEX(ТУ!$X:$X,MATCH($U25*1,ТУ!$CP:$CP,0),1))-SEARCH("-",INDEX(ТУ!$X:$X,MATCH($U25*1,ТУ!$CP:$CP,0),1))),INDEX(ТУ!$X:$X,MATCH($U25*1,ТУ!$CP:$CP,0),1)),"")),TRIM(IF(ISNUMBER((IFERROR(RIGHT(INDEX(ТУ!$AF:$AF,MATCH($U25*1,ТУ!$CP:$CP,0),1),LEN(INDEX(ТУ!$AF:$AF,MATCH($U25*1,ТУ!$CP:$CP,0),1))-SEARCH("-",INDEX(ТУ!$AF:$AF,MATCH($U25*1,ТУ!$CP:$CP,0),1))),INDEX(ТУ!$AF:$AF,MATCH($U25*1,ТУ!$CP:$CP,0),1)))*1),IFERROR(RIGHT(INDEX(ТУ!$AF:$AF,MATCH($U25*1,ТУ!$CP:$CP,0),1),LEN(INDEX(ТУ!$AF:$AF,MATCH($U25*1,ТУ!$CP:$CP,0),1))-SEARCH("-",INDEX(ТУ!$AF:$AF,MATCH($U25*1,ТУ!$CP:$CP,0),1))),INDEX(ТУ!$AF:$AF,MATCH($U25*1,ТУ!$CP:$CP,0),1)),"")))</f>
        <v/>
      </c>
      <c r="E25" s="25" t="str">
        <f t="shared" si="2"/>
        <v/>
      </c>
      <c r="F25" s="20" t="str">
        <f t="shared" si="3"/>
        <v/>
      </c>
      <c r="G25" s="21">
        <f t="shared" si="4"/>
        <v>5</v>
      </c>
      <c r="H25" s="25" t="str">
        <f t="shared" si="5"/>
        <v>ТП-</v>
      </c>
      <c r="I25" s="25" t="str">
        <f t="shared" si="6"/>
        <v>500000</v>
      </c>
      <c r="J25" s="42" t="e">
        <f>INDEX(Справочники!$M:$M,MATCH(IF(INDEX(ТУ!$BO:$BO,MATCH($U25*1,ТУ!$CP:$CP,0),1)=1,1,INDEX(ТУ!$BO:$BO,MATCH($U25*1,ТУ!$CP:$CP,0),1)*100),Справочники!$N:$N,0),1)</f>
        <v>#VALUE!</v>
      </c>
      <c r="K25" s="40">
        <f>1</f>
        <v>1</v>
      </c>
      <c r="L25" s="20" t="str">
        <f t="shared" si="7"/>
        <v>СШ-1</v>
      </c>
      <c r="M25" s="20">
        <f t="shared" si="8"/>
        <v>1</v>
      </c>
      <c r="N25" s="40"/>
      <c r="O25" s="56" t="str">
        <f t="shared" si="9"/>
        <v>Ввод-1-1</v>
      </c>
      <c r="P25" s="57" t="str">
        <f>IFERROR(IF(INDEX(ТУ!$AO:$AO,MATCH($U25*1,ТУ!$CP:$CP,0),1)=0,"",INDEX(ТУ!$AO:$AO,MATCH($U25*1,ТУ!$CP:$CP,0),1)),"")</f>
        <v/>
      </c>
      <c r="Q25" s="40" t="str">
        <f>IFERROR(IF(INDEX(ТУ!$BN:$BN,MATCH($U25*1,ТУ!$CP:$CP,0),1)=1,1,INDEX(ТУ!$BN:$BN,MATCH($U25*1,ТУ!$CP:$CP,0),1)*5),"")</f>
        <v/>
      </c>
      <c r="R25" s="25">
        <f t="shared" si="10"/>
        <v>5</v>
      </c>
      <c r="S25" s="25">
        <f t="shared" si="11"/>
        <v>1</v>
      </c>
      <c r="T25" s="25">
        <f t="shared" si="12"/>
        <v>1</v>
      </c>
      <c r="U25" s="105" t="s">
        <v>736</v>
      </c>
      <c r="V25" s="43" t="e">
        <f>IF(INDEX(ТУ!$BH:$BH,MATCH($U25*1,ТУ!$CP:$CP,0),1)=0,"",INDEX(ТУ!$BH:$BH,MATCH($U25*1,ТУ!$CP:$CP,0),1))</f>
        <v>#VALUE!</v>
      </c>
      <c r="W25" s="43" t="e">
        <f>IF(INDEX(ТУ!$BI:$BI,MATCH($U25*1,ТУ!$CP:$CP,0),1)=0,"",INDEX(ТУ!$BI:$BI,MATCH($U25*1,ТУ!$CP:$CP,0),1))</f>
        <v>#VALUE!</v>
      </c>
      <c r="X25" s="58" t="str">
        <f t="shared" si="13"/>
        <v/>
      </c>
      <c r="Y25" s="25">
        <f t="shared" si="14"/>
        <v>35</v>
      </c>
      <c r="Z25" s="42" t="str">
        <f t="shared" si="15"/>
        <v/>
      </c>
      <c r="AA25" s="25" t="str">
        <f t="shared" si="16"/>
        <v/>
      </c>
      <c r="AB25" s="40" t="e">
        <f>IF(ISNUMBER(SEARCH("Приборы с поддержкой протокола СПОДЭС - Нартис-И300 (СПОДЭС)",INDEX(ТУ!$BD:$BD,MATCH($U25*1,ТУ!$CP:$CP,0),1))),"Нартис-И300",
IF(ISNUMBER(SEARCH("Приборы с поддержкой протокола СПОДЭС - Меркурий 234 (СПОДЭС)",INDEX(ТУ!$BD:$BD,MATCH($U25*1,ТУ!$CP:$CP,0),1))),"Меркурий 234 (СПОДЭС)",
IF(ISNUMBER(SEARCH("Приборы с поддержкой протокола СПОДЭС - Нартис-300 (СПОДЭС)",INDEX(ТУ!$BD:$BD,MATCH($U25*1,ТУ!$CP:$CP,0),1))),"Нартис-300",
IF(ISNUMBER(SEARCH("Инкотекс - Меркурий 234",INDEX(ТУ!$BD:$BD,MATCH($U25*1,ТУ!$CP:$CP,0),1))),"Меркурий 234",
IF(ISNUMBER(SEARCH("Инкотекс - Меркурий 206",INDEX(ТУ!$BD:$BD,MATCH($U25*1,ТУ!$CP:$CP,0),1))),"Меркурий 206",
IF(ISNUMBER(SEARCH("Приборы с поддержкой протокола СПОДЭС - Универсальный счетчик СПОДЭС 2 трехфазный",INDEX(ТУ!$BD:$BD,MATCH($U25*1,ТУ!$CP:$CP,0),1))),"Нартис-И300",
IF(ISNUMBER(SEARCH("Приборы с поддержкой протокола СПОДЭС - Универсальный счетчик СПОДЭС 2 однофазный",INDEX(ТУ!$BD:$BD,MATCH($U25*1,ТУ!$CP:$CP,0),1))),"Нартис-И100",
IF(ISNUMBER(SEARCH("Приборы с поддержкой протокола СПОДЭС - Нартис-И100 (СПОДЭС)",INDEX(ТУ!$BD:$BD,MATCH($U25*1,ТУ!$CP:$CP,0),1))),"Нартис-И100",
IF(ISNUMBER(SEARCH("Приборы с поддержкой протокола СПОДЭС - СЕ308 (СПОДЭС)",INDEX(ТУ!$BD:$BD,MATCH($U25*1,ТУ!$CP:$CP,0),1))),"СЕ308 (СПОДЭС)",
IF(ISNUMBER(SEARCH("Приборы с поддержкой протокола СПОДЭС - СЕ207 (СПОДЭС)",INDEX(ТУ!$BD:$BD,MATCH($U25*1,ТУ!$CP:$CP,0),1))),"СЕ207 (СПОДЭС)",
IF(ISNUMBER(SEARCH("Приборы с поддержкой протокола СПОДЭС - СТЭМ-300 (СПОДЭС)",INDEX(ТУ!$BD:$BD,MATCH($U25*1,ТУ!$CP:$CP,0),1))),"СТЭМ-300 (СПОДЭС)",
IF(ISNUMBER(SEARCH("ТехноЭнерго - ТЕ3000",INDEX(ТУ!$BD:$BD,MATCH($U25*1,ТУ!$CP:$CP,0),1))),"ТЕ3000",
IF(ISNUMBER(SEARCH("НЗиФ - СЭТ-4ТМ",INDEX(ТУ!$BD:$BD,MATCH($U25*1,ТУ!$CP:$CP,0),1))),"СЭТ-4ТМ",
INDEX(ТУ!$BD:$BD,MATCH($U25*1,ТУ!$CP:$CP,0),1)
)))))))))))))</f>
        <v>#VALUE!</v>
      </c>
      <c r="AC25" s="40" t="s">
        <v>2</v>
      </c>
      <c r="AD25" s="40" t="str">
        <f>IF(ISNUMBER(IFERROR(LEFT(IF(INDEX(ТУ!$CI:$CI,MATCH($U25*1,ТУ!$CP:$CP,0),1)=0,"",INDEX(ТУ!$CI:$CI,MATCH($U25*1,ТУ!$CP:$CP,0),1)),SEARCH(" ",IF(INDEX(ТУ!$CI:$CI,MATCH($U25*1,ТУ!$CP:$CP,0),1)=0,"",INDEX(ТУ!$CI:$CI,MATCH($U25*1,ТУ!$CP:$CP,0),1)),1)-1),"")*1),IFERROR(LEFT(IF(INDEX(ТУ!$CI:$CI,MATCH($U25*1,ТУ!$CP:$CP,0),1)=0,"",INDEX(ТУ!$CI:$CI,MATCH($U25*1,ТУ!$CP:$CP,0),1)),SEARCH(" ",IF(INDEX(ТУ!$CI:$CI,MATCH($U25*1,ТУ!$CP:$CP,0),1)=0,"",INDEX(ТУ!$CI:$CI,MATCH($U25*1,ТУ!$CP:$CP,0),1)),1)-1),""),"")</f>
        <v/>
      </c>
      <c r="AE25" s="40" t="e">
        <f>IF(INDEX(ТУ!$CB:$CB,MATCH($U25*1,ТУ!$CP:$CP,0),1)=0,INDEX(Adr!$B:$B,MATCH($U25*1,Adr!$C:$C,0),1),INDEX(ТУ!$CB:$CB,MATCH($U25*1,ТУ!$CP:$CP,0),1))</f>
        <v>#VALUE!</v>
      </c>
      <c r="AF25" s="45" t="e">
        <f>IF(INDEX(ТУ!$CD:$CD,MATCH($U25*1,ТУ!$CP:$CP,0),1)=0,"",INDEX(ТУ!$CD:$CD,MATCH($U25*1,ТУ!$CP:$CP,0),1))</f>
        <v>#VALUE!</v>
      </c>
      <c r="AG25" s="45">
        <f>0</f>
        <v>0</v>
      </c>
      <c r="AH25" s="26" t="str">
        <f t="shared" si="17"/>
        <v/>
      </c>
      <c r="AI25" s="20" t="str">
        <f t="shared" si="18"/>
        <v>5000001</v>
      </c>
      <c r="AJ25" s="41" t="str">
        <f t="shared" si="1"/>
        <v/>
      </c>
      <c r="AK25" s="41" t="str">
        <f>IF($AP25="",IFERROR(IFERROR(LEFT(RIGHT(INDEX(ТУ!$CE:$CE,MATCH($U25*1,ТУ!$CP:$CP,0),1),LEN(INDEX(ТУ!$CE:$CE,MATCH($U25*1,ТУ!$CP:$CP,0),1))-SEARCH(":",INDEX(ТУ!$CE:$CE,MATCH($U25*1,ТУ!$CP:$CP,0),1))),SEARCH("/",RIGHT(INDEX(ТУ!$CE:$CE,MATCH($U25*1,ТУ!$CP:$CP,0),1),LEN(INDEX(ТУ!$CE:$CE,MATCH($U25*1,ТУ!$CP:$CP,0),1))-SEARCH(":",INDEX(ТУ!$CE:$CE,MATCH($U25*1,ТУ!$CP:$CP,0),1))))-1), RIGHT(INDEX(ТУ!$CE:$CE,MATCH($U25*1,ТУ!$CP:$CP,0),1),LEN(INDEX(ТУ!$CE:$CE,MATCH($U25*1,ТУ!$CP:$CP,0),1))-SEARCH(":",INDEX(ТУ!$CE:$CE,MATCH($U25*1,ТУ!$CP:$CP,0),1)))), ""),IFERROR(IFERROR(LEFT(RIGHT(INDEX(УСПД!$M:$M,MATCH(IFERROR(1*LEFT(INDEX(ТУ!$CG:$CG,MATCH($U25*1,ТУ!$CP:$CP,0),1),SEARCH(" ",INDEX(ТУ!$CG:$CG,MATCH($U25*1,ТУ!$CP:$CP,0),1))-1),""),УСПД!$N:$N,0),1),LEN(INDEX(УСПД!$M:$M,MATCH(IFERROR(1*LEFT(INDEX(ТУ!$CG:$CG,MATCH($U25*1,ТУ!$CP:$CP,0),1),SEARCH(" ",INDEX(ТУ!$CG:$CG,MATCH($U25*1,ТУ!$CP:$CP,0),1))-1),""),УСПД!$N:$N,0),1))-SEARCH(":",INDEX(УСПД!$M:$M,MATCH(IFERROR(1*LEFT(INDEX(ТУ!$CG:$CG,MATCH($U25*1,ТУ!$CP:$CP,0),1),SEARCH(" ",INDEX(ТУ!$CG:$CG,MATCH($U25*1,ТУ!$CP:$CP,0),1))-1),""),УСПД!$N:$N,0),1))),SEARCH("/",RIGHT(INDEX(УСПД!$M:$M,MATCH(IFERROR(1*LEFT(INDEX(ТУ!$CG:$CG,MATCH($U25*1,ТУ!$CP:$CP,0),1),SEARCH(" ",INDEX(ТУ!$CG:$CG,MATCH($U25*1,ТУ!$CP:$CP,0),1))-1),""),УСПД!$N:$N,0),1),LEN(INDEX(УСПД!$M:$M,MATCH(IFERROR(1*LEFT(INDEX(ТУ!$CG:$CG,MATCH($U25*1,ТУ!$CP:$CP,0),1),SEARCH(" ",INDEX(ТУ!$CG:$CG,MATCH($U25*1,ТУ!$CP:$CP,0),1))-1),""),УСПД!$N:$N,0),1))-SEARCH(":",INDEX(УСПД!$M:$M,MATCH(IFERROR(1*LEFT(INDEX(ТУ!$CG:$CG,MATCH($U25*1,ТУ!$CP:$CP,0),1),SEARCH(" ",INDEX(ТУ!$CG:$CG,MATCH($U25*1,ТУ!$CP:$CP,0),1))-1),""),УСПД!$N:$N,0),1))))-1), RIGHT(INDEX(УСПД!$M:$M,MATCH(IFERROR(1*LEFT(INDEX(ТУ!$CG:$CG,MATCH($U25*1,ТУ!$CP:$CP,0),1),SEARCH(" ",INDEX(ТУ!$CG:$CG,MATCH($U25*1,ТУ!$CP:$CP,0),1))-1),""),УСПД!$N:$N,0),1),LEN(INDEX(УСПД!$M:$M,MATCH(IFERROR(1*LEFT(INDEX(ТУ!$CG:$CG,MATCH($U25*1,ТУ!$CP:$CP,0),1),SEARCH(" ",INDEX(ТУ!$CG:$CG,MATCH($U25*1,ТУ!$CP:$CP,0),1))-1),""),УСПД!$N:$N,0),1))-SEARCH(":",INDEX(УСПД!$M:$M,MATCH(IFERROR(1*LEFT(INDEX(ТУ!$CG:$CG,MATCH($U25*1,ТУ!$CP:$CP,0),1),SEARCH(" ",INDEX(ТУ!$CG:$CG,MATCH($U25*1,ТУ!$CP:$CP,0),1))-1),""),УСПД!$N:$N,0),1)))), ""))</f>
        <v/>
      </c>
      <c r="AL25" s="41"/>
      <c r="AM25" s="57" t="str">
        <f>IFERROR(IFERROR(INDEX(Tel!$B:$B,MATCH($AJ25,Tel!$E:$E,0),1),INDEX(Tel!$B:$B,MATCH($AJ25,Tel!$D:$D,0),1)),"")</f>
        <v/>
      </c>
      <c r="AN25" s="59" t="str">
        <f>IF(ISNUMBER(SEARCH("ТОПАЗ - ТОПАЗ УСПД",IFERROR(RIGHT(LEFT(INDEX(ТУ!$CG:$CG,MATCH($U25*1,ТУ!$CP:$CP,0),1),SEARCH(")",INDEX(ТУ!$CG:$CG,MATCH($U25*1,ТУ!$CP:$CP,0),1))-1),LEN(LEFT(INDEX(ТУ!$CG:$CG,MATCH($U25*1,ТУ!$CP:$CP,0),1),SEARCH(")",INDEX(ТУ!$CG:$CG,MATCH($U25*1,ТУ!$CP:$CP,0),1))-1))-SEARCH("(",INDEX(ТУ!$CG:$CG,MATCH($U25*1,ТУ!$CP:$CP,0),1))),""),1)),"RTU-327",
IF(ISNUMBER(SEARCH("TELEOFIS",$AP25)),"Модем",
""))</f>
        <v/>
      </c>
      <c r="AO25" s="27" t="str">
        <f t="shared" si="0"/>
        <v/>
      </c>
      <c r="AP25" s="57" t="str">
        <f>IF(ISNUMBER(SEARCH("Миландр - Милур GSM/GPRS модем",IFERROR(RIGHT(LEFT(INDEX(ТУ!$CG:$CG,MATCH($U25*1,ТУ!$CP:$CP,0),1),SEARCH(")",INDEX(ТУ!$CG:$CG,MATCH($U25*1,ТУ!$CP:$CP,0),1))-1),LEN(LEFT(INDEX(ТУ!$CG:$CG,MATCH($U25*1,ТУ!$CP:$CP,0),1),SEARCH(")",INDEX(ТУ!$CG:$CG,MATCH($U25*1,ТУ!$CP:$CP,0),1))-1))-SEARCH("(",INDEX(ТУ!$CG:$CG,MATCH($U25*1,ТУ!$CP:$CP,0),1))),""),1)), "TELEOFIS WRX708-L4",IFERROR(RIGHT(LEFT(INDEX(ТУ!$CG:$CG,MATCH($U25*1,ТУ!$CP:$CP,0),1),SEARCH(")",INDEX(ТУ!$CG:$CG,MATCH($U25*1,ТУ!$CP:$CP,0),1))-1),LEN(LEFT(INDEX(ТУ!$CG:$CG,MATCH($U25*1,ТУ!$CP:$CP,0),1),SEARCH(")",INDEX(ТУ!$CG:$CG,MATCH($U25*1,ТУ!$CP:$CP,0),1))-1))-SEARCH("(",INDEX(ТУ!$CG:$CG,MATCH($U25*1,ТУ!$CP:$CP,0),1))),""))</f>
        <v/>
      </c>
      <c r="AQ25" s="57" t="str">
        <f>IFERROR(IF(INDEX(УСПД!$K:$K,MATCH($AS25*1,УСПД!$N:$N,0),1)=0,"",INDEX(УСПД!$K:$K,MATCH($AS25*1,УСПД!$N:$N,0),1)),"")</f>
        <v/>
      </c>
      <c r="AR25" s="57" t="str">
        <f>IFERROR(IF(INDEX(УСПД!$L:$L,MATCH($AS25*1,УСПД!$N:$N,0),1)=0,"",INDEX(УСПД!$L:$L,MATCH($AS25*1,УСПД!$N:$N,0),1)),"")</f>
        <v/>
      </c>
      <c r="AS25" s="60" t="str">
        <f>IFERROR(LEFT(INDEX(ТУ!$CG:$CG,MATCH($U25*1,ТУ!$CP:$CP,0),1),SEARCH(" ",INDEX(ТУ!$CG:$CG,MATCH($U25*1,ТУ!$CP:$CP,0),1))-1),"")</f>
        <v/>
      </c>
      <c r="AT25" s="59" t="s">
        <v>360</v>
      </c>
      <c r="AU25" s="59">
        <f>3</f>
        <v>3</v>
      </c>
      <c r="AV25" s="59" t="s">
        <v>368</v>
      </c>
      <c r="AW25" s="149" t="str">
        <f t="shared" si="19"/>
        <v/>
      </c>
      <c r="AX25" s="149">
        <f t="shared" si="20"/>
        <v>34</v>
      </c>
      <c r="AY25" s="149" t="str">
        <f t="shared" si="21"/>
        <v/>
      </c>
      <c r="AZ25" s="149" t="str">
        <f t="shared" si="22"/>
        <v/>
      </c>
      <c r="BA25" s="149" t="str">
        <f t="shared" si="23"/>
        <v/>
      </c>
      <c r="BB25" s="154" t="str">
        <f>IF($AP25="",IFERROR(IFERROR(LEFT(RIGHT(INDEX(ТУ!$CE:$CE,MATCH($U25*1,ТУ!$CP:$CP,0),1),LEN(INDEX(ТУ!$CE:$CE,MATCH($U25*1,ТУ!$CP:$CP,0),1))-SEARCH(", ",INDEX(ТУ!$CE:$CE,MATCH($U25*1,ТУ!$CP:$CP,0),1),SEARCH(", ",INDEX(ТУ!$CE:$CE,MATCH($U25*1,ТУ!$CP:$CP,0),1))+1)-1),SEARCH(":",RIGHT(INDEX(ТУ!$CE:$CE,MATCH($U25*1,ТУ!$CP:$CP,0),1),LEN(INDEX(ТУ!$CE:$CE,MATCH($U25*1,ТУ!$CP:$CP,0),1))-SEARCH(", ",INDEX(ТУ!$CE:$CE,MATCH($U25*1,ТУ!$CP:$CP,0),1),SEARCH(", ",INDEX(ТУ!$CE:$CE,MATCH($U25*1,ТУ!$CP:$CP,0),1))+1)-1))-1),LEFT(INDEX(ТУ!$CE:$CE,MATCH($U25*1,ТУ!$CP:$CP,0),1),SEARCH(":",INDEX(ТУ!$CE:$CE,MATCH($U25*1,ТУ!$CP:$CP,0),1))-1)),""),IFERROR(IFERROR(LEFT(RIGHT(INDEX(УСПД!$M:$M,MATCH(IFERROR(1*LEFT(INDEX(ТУ!$CG:$CG,MATCH($U25*1,ТУ!$CP:$CP,0),1),SEARCH(" ",INDEX(ТУ!$CG:$CG,MATCH($U25*1,ТУ!$CP:$CP,0),1))-1),""),УСПД!$N:$N,0),1),LEN(INDEX(УСПД!$M:$M,MATCH(IFERROR(1*LEFT(INDEX(ТУ!$CG:$CG,MATCH($U25*1,ТУ!$CP:$CP,0),1),SEARCH(" ",INDEX(ТУ!$CG:$CG,MATCH($U25*1,ТУ!$CP:$CP,0),1))-1),""),УСПД!$N:$N,0),1))-SEARCH(", ",INDEX(УСПД!$M:$M,MATCH(IFERROR(1*LEFT(INDEX(ТУ!$CG:$CG,MATCH($U25*1,ТУ!$CP:$CP,0),1),SEARCH(" ",INDEX(ТУ!$CG:$CG,MATCH($U25*1,ТУ!$CP:$CP,0),1))-1),""),УСПД!$N:$N,0),1),SEARCH(", ",INDEX(УСПД!$M:$M,MATCH(IFERROR(1*LEFT(INDEX(ТУ!$CG:$CG,MATCH($U25*1,ТУ!$CP:$CP,0),1),SEARCH(" ",INDEX(ТУ!$CG:$CG,MATCH($U25*1,ТУ!$CP:$CP,0),1))-1),""),УСПД!$N:$N,0),1))+1)-1),SEARCH(":",RIGHT(INDEX(УСПД!$M:$M,MATCH(IFERROR(1*LEFT(INDEX(ТУ!$CG:$CG,MATCH($U25*1,ТУ!$CP:$CP,0),1),SEARCH(" ",INDEX(ТУ!$CG:$CG,MATCH($U25*1,ТУ!$CP:$CP,0),1))-1),""),УСПД!$N:$N,0),1),LEN(INDEX(УСПД!$M:$M,MATCH(IFERROR(1*LEFT(INDEX(ТУ!$CG:$CG,MATCH($U25*1,ТУ!$CP:$CP,0),1),SEARCH(" ",INDEX(ТУ!$CG:$CG,MATCH($U25*1,ТУ!$CP:$CP,0),1))-1),""),УСПД!$N:$N,0),1))-SEARCH(", ",INDEX(УСПД!$M:$M,MATCH(IFERROR(1*LEFT(INDEX(ТУ!$CG:$CG,MATCH($U25*1,ТУ!$CP:$CP,0),1),SEARCH(" ",INDEX(ТУ!$CG:$CG,MATCH($U25*1,ТУ!$CP:$CP,0),1))-1),""),УСПД!$N:$N,0),1),SEARCH(", ",INDEX(УСПД!$M:$M,MATCH(IFERROR(1*LEFT(INDEX(ТУ!$CG:$CG,MATCH($U25*1,ТУ!$CP:$CP,0),1),SEARCH(" ",INDEX(ТУ!$CG:$CG,MATCH($U25*1,ТУ!$CP:$CP,0),1))-1),""),УСПД!$N:$N,0),1))+1)-1))-1),LEFT(INDEX(УСПД!$M:$M,MATCH(IFERROR(1*LEFT(INDEX(ТУ!$CG:$CG,MATCH($U25*1,ТУ!$CP:$CP,0),1),SEARCH(" ",INDEX(ТУ!$CG:$CG,MATCH($U25*1,ТУ!$CP:$CP,0),1))-1),""),УСПД!$N:$N,0),1),SEARCH(":",INDEX(УСПД!$M:$M,MATCH(IFERROR(1*LEFT(INDEX(ТУ!$CG:$CG,MATCH($U25*1,ТУ!$CP:$CP,0),1),SEARCH(" ",INDEX(ТУ!$CG:$CG,MATCH($U25*1,ТУ!$CP:$CP,0),1))-1),""),УСПД!$N:$N,0),1))-1)),""))</f>
        <v/>
      </c>
      <c r="BC25" s="155" t="e">
        <f>INDEX(ТУ!$AF:$AF,MATCH($U25*1,ТУ!$CP:$CP,0),1)</f>
        <v>#VALUE!</v>
      </c>
      <c r="BD25" s="155" t="e">
        <f>INDEX(ТУ!$X:$X,MATCH($U25*1,ТУ!$CP:$CP,0),1)</f>
        <v>#VALUE!</v>
      </c>
      <c r="BE25" s="155" t="e">
        <f>INDEX(ТУ!$CL:$CL,MATCH($U25*1,ТУ!$CP:$CP,0),1)</f>
        <v>#VALUE!</v>
      </c>
      <c r="BF25" s="147" t="str">
        <f>IFERROR(INDEX(естьАЦ!$A:$A,MATCH($U25*1,естьАЦ!$A:$A,0),1),"нет в АЦ")</f>
        <v>нет в АЦ</v>
      </c>
    </row>
    <row r="26" spans="1:58" ht="15" x14ac:dyDescent="0.25">
      <c r="A26" s="55">
        <f>3</f>
        <v>3</v>
      </c>
      <c r="B26" s="42" t="str">
        <f>IFERROR(IFERROR(INDEX(Справочники!$A$2:$P$79,MATCH(INDEX(ТУ!$E:$E,MATCH($U26*1,ТУ!$CP:$CP,0),1),Справочники!$P$2:$P$79,0),2),INDEX(Справочники!$A$2:$P$79,MATCH((INDEX(ТУ!$E:$E,MATCH($U26*1,ТУ!$CP:$CP,0),1))*1,Справочники!$P$2:$P$79,0),2)),"")</f>
        <v/>
      </c>
      <c r="C26" s="46" t="str">
        <f>IFERROR(TRIM(LEFT(INDEX(ТУ!$AF:$AF,MATCH($U26*1,ТУ!$CP:$CP,0),1),SEARCH("-",INDEX(ТУ!$AF:$AF,MATCH($U26*1,ТУ!$CP:$CP,0),1))-1)),IFERROR(LEFT(INDEX(ТУ!$X:$X,MATCH($U26*1,ТУ!$CP:$CP,0),1),SEARCH("-",INDEX(ТУ!$X:$X,MATCH($U26*1,ТУ!$CP:$CP,0),1))-1),"ТП"))</f>
        <v>ТП</v>
      </c>
      <c r="D26" s="47" t="str">
        <f>IF(TRIM(IF(ISNUMBER((IFERROR(RIGHT(INDEX(ТУ!$AF:$AF,MATCH($U26*1,ТУ!$CP:$CP,0),1),LEN(INDEX(ТУ!$AF:$AF,MATCH($U26*1,ТУ!$CP:$CP,0),1))-SEARCH("-",INDEX(ТУ!$AF:$AF,MATCH($U26*1,ТУ!$CP:$CP,0),1))),INDEX(ТУ!$AF:$AF,MATCH($U26*1,ТУ!$CP:$CP,0),1)))*1),IFERROR(RIGHT(INDEX(ТУ!$AF:$AF,MATCH($U26*1,ТУ!$CP:$CP,0),1),LEN(INDEX(ТУ!$AF:$AF,MATCH($U26*1,ТУ!$CP:$CP,0),1))-SEARCH("-",INDEX(ТУ!$AF:$AF,MATCH($U26*1,ТУ!$CP:$CP,0),1))),INDEX(ТУ!$AF:$AF,MATCH($U26*1,ТУ!$CP:$CP,0),1)),""))="",TRIM(IF(ISNUMBER((IFERROR(RIGHT(INDEX(ТУ!$X:$X,MATCH($U26*1,ТУ!$CP:$CP,0),1),LEN(INDEX(ТУ!$X:$X,MATCH($U26*1,ТУ!$CP:$CP,0),1))-SEARCH("-",INDEX(ТУ!$X:$X,MATCH($U26*1,ТУ!$CP:$CP,0),1))),INDEX(ТУ!$X:$X,MATCH($U26*1,ТУ!$CP:$CP,0),1)))*1),IFERROR(RIGHT(INDEX(ТУ!$X:$X,MATCH($U26*1,ТУ!$CP:$CP,0),1),LEN(INDEX(ТУ!$X:$X,MATCH($U26*1,ТУ!$CP:$CP,0),1))-SEARCH("-",INDEX(ТУ!$X:$X,MATCH($U26*1,ТУ!$CP:$CP,0),1))),INDEX(ТУ!$X:$X,MATCH($U26*1,ТУ!$CP:$CP,0),1)),"")),TRIM(IF(ISNUMBER((IFERROR(RIGHT(INDEX(ТУ!$AF:$AF,MATCH($U26*1,ТУ!$CP:$CP,0),1),LEN(INDEX(ТУ!$AF:$AF,MATCH($U26*1,ТУ!$CP:$CP,0),1))-SEARCH("-",INDEX(ТУ!$AF:$AF,MATCH($U26*1,ТУ!$CP:$CP,0),1))),INDEX(ТУ!$AF:$AF,MATCH($U26*1,ТУ!$CP:$CP,0),1)))*1),IFERROR(RIGHT(INDEX(ТУ!$AF:$AF,MATCH($U26*1,ТУ!$CP:$CP,0),1),LEN(INDEX(ТУ!$AF:$AF,MATCH($U26*1,ТУ!$CP:$CP,0),1))-SEARCH("-",INDEX(ТУ!$AF:$AF,MATCH($U26*1,ТУ!$CP:$CP,0),1))),INDEX(ТУ!$AF:$AF,MATCH($U26*1,ТУ!$CP:$CP,0),1)),"")))</f>
        <v/>
      </c>
      <c r="E26" s="25" t="str">
        <f t="shared" si="2"/>
        <v/>
      </c>
      <c r="F26" s="20" t="str">
        <f t="shared" si="3"/>
        <v/>
      </c>
      <c r="G26" s="21">
        <f t="shared" si="4"/>
        <v>5</v>
      </c>
      <c r="H26" s="25" t="str">
        <f t="shared" si="5"/>
        <v>ТП-</v>
      </c>
      <c r="I26" s="25" t="str">
        <f t="shared" si="6"/>
        <v>500000</v>
      </c>
      <c r="J26" s="42" t="e">
        <f>INDEX(Справочники!$M:$M,MATCH(IF(INDEX(ТУ!$BO:$BO,MATCH($U26*1,ТУ!$CP:$CP,0),1)=1,1,INDEX(ТУ!$BO:$BO,MATCH($U26*1,ТУ!$CP:$CP,0),1)*100),Справочники!$N:$N,0),1)</f>
        <v>#VALUE!</v>
      </c>
      <c r="K26" s="40">
        <f>1</f>
        <v>1</v>
      </c>
      <c r="L26" s="20" t="str">
        <f t="shared" si="7"/>
        <v>СШ-1</v>
      </c>
      <c r="M26" s="20">
        <f t="shared" si="8"/>
        <v>2</v>
      </c>
      <c r="N26" s="40"/>
      <c r="O26" s="56" t="str">
        <f t="shared" si="9"/>
        <v>Ввод-1-2</v>
      </c>
      <c r="P26" s="57" t="str">
        <f>IFERROR(IF(INDEX(ТУ!$AO:$AO,MATCH($U26*1,ТУ!$CP:$CP,0),1)=0,"",INDEX(ТУ!$AO:$AO,MATCH($U26*1,ТУ!$CP:$CP,0),1)),"")</f>
        <v/>
      </c>
      <c r="Q26" s="40" t="str">
        <f>IFERROR(IF(INDEX(ТУ!$BN:$BN,MATCH($U26*1,ТУ!$CP:$CP,0),1)=1,1,INDEX(ТУ!$BN:$BN,MATCH($U26*1,ТУ!$CP:$CP,0),1)*5),"")</f>
        <v/>
      </c>
      <c r="R26" s="25">
        <f t="shared" si="10"/>
        <v>5</v>
      </c>
      <c r="S26" s="25">
        <f t="shared" si="11"/>
        <v>1</v>
      </c>
      <c r="T26" s="25">
        <f t="shared" si="12"/>
        <v>1</v>
      </c>
      <c r="U26" s="105" t="s">
        <v>741</v>
      </c>
      <c r="V26" s="43" t="e">
        <f>IF(INDEX(ТУ!$BH:$BH,MATCH($U26*1,ТУ!$CP:$CP,0),1)=0,"",INDEX(ТУ!$BH:$BH,MATCH($U26*1,ТУ!$CP:$CP,0),1))</f>
        <v>#VALUE!</v>
      </c>
      <c r="W26" s="43" t="e">
        <f>IF(INDEX(ТУ!$BI:$BI,MATCH($U26*1,ТУ!$CP:$CP,0),1)=0,"",INDEX(ТУ!$BI:$BI,MATCH($U26*1,ТУ!$CP:$CP,0),1))</f>
        <v>#VALUE!</v>
      </c>
      <c r="X26" s="58" t="str">
        <f t="shared" si="13"/>
        <v/>
      </c>
      <c r="Y26" s="25">
        <f t="shared" si="14"/>
        <v>35</v>
      </c>
      <c r="Z26" s="42" t="str">
        <f t="shared" si="15"/>
        <v/>
      </c>
      <c r="AA26" s="25" t="str">
        <f t="shared" si="16"/>
        <v/>
      </c>
      <c r="AB26" s="40" t="e">
        <f>IF(ISNUMBER(SEARCH("Приборы с поддержкой протокола СПОДЭС - Нартис-И300 (СПОДЭС)",INDEX(ТУ!$BD:$BD,MATCH($U26*1,ТУ!$CP:$CP,0),1))),"Нартис-И300",
IF(ISNUMBER(SEARCH("Приборы с поддержкой протокола СПОДЭС - Меркурий 234 (СПОДЭС)",INDEX(ТУ!$BD:$BD,MATCH($U26*1,ТУ!$CP:$CP,0),1))),"Меркурий 234 (СПОДЭС)",
IF(ISNUMBER(SEARCH("Приборы с поддержкой протокола СПОДЭС - Нартис-300 (СПОДЭС)",INDEX(ТУ!$BD:$BD,MATCH($U26*1,ТУ!$CP:$CP,0),1))),"Нартис-300",
IF(ISNUMBER(SEARCH("Инкотекс - Меркурий 234",INDEX(ТУ!$BD:$BD,MATCH($U26*1,ТУ!$CP:$CP,0),1))),"Меркурий 234",
IF(ISNUMBER(SEARCH("Инкотекс - Меркурий 206",INDEX(ТУ!$BD:$BD,MATCH($U26*1,ТУ!$CP:$CP,0),1))),"Меркурий 206",
IF(ISNUMBER(SEARCH("Приборы с поддержкой протокола СПОДЭС - Универсальный счетчик СПОДЭС 2 трехфазный",INDEX(ТУ!$BD:$BD,MATCH($U26*1,ТУ!$CP:$CP,0),1))),"Нартис-И300",
IF(ISNUMBER(SEARCH("Приборы с поддержкой протокола СПОДЭС - Универсальный счетчик СПОДЭС 2 однофазный",INDEX(ТУ!$BD:$BD,MATCH($U26*1,ТУ!$CP:$CP,0),1))),"Нартис-И100",
IF(ISNUMBER(SEARCH("Приборы с поддержкой протокола СПОДЭС - Нартис-И100 (СПОДЭС)",INDEX(ТУ!$BD:$BD,MATCH($U26*1,ТУ!$CP:$CP,0),1))),"Нартис-И100",
IF(ISNUMBER(SEARCH("Приборы с поддержкой протокола СПОДЭС - СЕ308 (СПОДЭС)",INDEX(ТУ!$BD:$BD,MATCH($U26*1,ТУ!$CP:$CP,0),1))),"СЕ308 (СПОДЭС)",
IF(ISNUMBER(SEARCH("Приборы с поддержкой протокола СПОДЭС - СЕ207 (СПОДЭС)",INDEX(ТУ!$BD:$BD,MATCH($U26*1,ТУ!$CP:$CP,0),1))),"СЕ207 (СПОДЭС)",
IF(ISNUMBER(SEARCH("Приборы с поддержкой протокола СПОДЭС - СТЭМ-300 (СПОДЭС)",INDEX(ТУ!$BD:$BD,MATCH($U26*1,ТУ!$CP:$CP,0),1))),"СТЭМ-300 (СПОДЭС)",
IF(ISNUMBER(SEARCH("ТехноЭнерго - ТЕ3000",INDEX(ТУ!$BD:$BD,MATCH($U26*1,ТУ!$CP:$CP,0),1))),"ТЕ3000",
IF(ISNUMBER(SEARCH("НЗиФ - СЭТ-4ТМ",INDEX(ТУ!$BD:$BD,MATCH($U26*1,ТУ!$CP:$CP,0),1))),"СЭТ-4ТМ",
INDEX(ТУ!$BD:$BD,MATCH($U26*1,ТУ!$CP:$CP,0),1)
)))))))))))))</f>
        <v>#VALUE!</v>
      </c>
      <c r="AC26" s="40" t="s">
        <v>2</v>
      </c>
      <c r="AD26" s="40" t="str">
        <f>IF(ISNUMBER(IFERROR(LEFT(IF(INDEX(ТУ!$CI:$CI,MATCH($U26*1,ТУ!$CP:$CP,0),1)=0,"",INDEX(ТУ!$CI:$CI,MATCH($U26*1,ТУ!$CP:$CP,0),1)),SEARCH(" ",IF(INDEX(ТУ!$CI:$CI,MATCH($U26*1,ТУ!$CP:$CP,0),1)=0,"",INDEX(ТУ!$CI:$CI,MATCH($U26*1,ТУ!$CP:$CP,0),1)),1)-1),"")*1),IFERROR(LEFT(IF(INDEX(ТУ!$CI:$CI,MATCH($U26*1,ТУ!$CP:$CP,0),1)=0,"",INDEX(ТУ!$CI:$CI,MATCH($U26*1,ТУ!$CP:$CP,0),1)),SEARCH(" ",IF(INDEX(ТУ!$CI:$CI,MATCH($U26*1,ТУ!$CP:$CP,0),1)=0,"",INDEX(ТУ!$CI:$CI,MATCH($U26*1,ТУ!$CP:$CP,0),1)),1)-1),""),"")</f>
        <v/>
      </c>
      <c r="AE26" s="40" t="e">
        <f>IF(INDEX(ТУ!$CB:$CB,MATCH($U26*1,ТУ!$CP:$CP,0),1)=0,INDEX(Adr!$B:$B,MATCH($U26*1,Adr!$C:$C,0),1),INDEX(ТУ!$CB:$CB,MATCH($U26*1,ТУ!$CP:$CP,0),1))</f>
        <v>#VALUE!</v>
      </c>
      <c r="AF26" s="45" t="e">
        <f>IF(INDEX(ТУ!$CD:$CD,MATCH($U26*1,ТУ!$CP:$CP,0),1)=0,"",INDEX(ТУ!$CD:$CD,MATCH($U26*1,ТУ!$CP:$CP,0),1))</f>
        <v>#VALUE!</v>
      </c>
      <c r="AG26" s="45">
        <f>0</f>
        <v>0</v>
      </c>
      <c r="AH26" s="26" t="str">
        <f t="shared" si="17"/>
        <v/>
      </c>
      <c r="AI26" s="20" t="str">
        <f t="shared" si="18"/>
        <v>5000001</v>
      </c>
      <c r="AJ26" s="41" t="str">
        <f t="shared" si="1"/>
        <v/>
      </c>
      <c r="AK26" s="41" t="str">
        <f>IF($AP26="",IFERROR(IFERROR(LEFT(RIGHT(INDEX(ТУ!$CE:$CE,MATCH($U26*1,ТУ!$CP:$CP,0),1),LEN(INDEX(ТУ!$CE:$CE,MATCH($U26*1,ТУ!$CP:$CP,0),1))-SEARCH(":",INDEX(ТУ!$CE:$CE,MATCH($U26*1,ТУ!$CP:$CP,0),1))),SEARCH("/",RIGHT(INDEX(ТУ!$CE:$CE,MATCH($U26*1,ТУ!$CP:$CP,0),1),LEN(INDEX(ТУ!$CE:$CE,MATCH($U26*1,ТУ!$CP:$CP,0),1))-SEARCH(":",INDEX(ТУ!$CE:$CE,MATCH($U26*1,ТУ!$CP:$CP,0),1))))-1), RIGHT(INDEX(ТУ!$CE:$CE,MATCH($U26*1,ТУ!$CP:$CP,0),1),LEN(INDEX(ТУ!$CE:$CE,MATCH($U26*1,ТУ!$CP:$CP,0),1))-SEARCH(":",INDEX(ТУ!$CE:$CE,MATCH($U26*1,ТУ!$CP:$CP,0),1)))), ""),IFERROR(IFERROR(LEFT(RIGHT(INDEX(УСПД!$M:$M,MATCH(IFERROR(1*LEFT(INDEX(ТУ!$CG:$CG,MATCH($U26*1,ТУ!$CP:$CP,0),1),SEARCH(" ",INDEX(ТУ!$CG:$CG,MATCH($U26*1,ТУ!$CP:$CP,0),1))-1),""),УСПД!$N:$N,0),1),LEN(INDEX(УСПД!$M:$M,MATCH(IFERROR(1*LEFT(INDEX(ТУ!$CG:$CG,MATCH($U26*1,ТУ!$CP:$CP,0),1),SEARCH(" ",INDEX(ТУ!$CG:$CG,MATCH($U26*1,ТУ!$CP:$CP,0),1))-1),""),УСПД!$N:$N,0),1))-SEARCH(":",INDEX(УСПД!$M:$M,MATCH(IFERROR(1*LEFT(INDEX(ТУ!$CG:$CG,MATCH($U26*1,ТУ!$CP:$CP,0),1),SEARCH(" ",INDEX(ТУ!$CG:$CG,MATCH($U26*1,ТУ!$CP:$CP,0),1))-1),""),УСПД!$N:$N,0),1))),SEARCH("/",RIGHT(INDEX(УСПД!$M:$M,MATCH(IFERROR(1*LEFT(INDEX(ТУ!$CG:$CG,MATCH($U26*1,ТУ!$CP:$CP,0),1),SEARCH(" ",INDEX(ТУ!$CG:$CG,MATCH($U26*1,ТУ!$CP:$CP,0),1))-1),""),УСПД!$N:$N,0),1),LEN(INDEX(УСПД!$M:$M,MATCH(IFERROR(1*LEFT(INDEX(ТУ!$CG:$CG,MATCH($U26*1,ТУ!$CP:$CP,0),1),SEARCH(" ",INDEX(ТУ!$CG:$CG,MATCH($U26*1,ТУ!$CP:$CP,0),1))-1),""),УСПД!$N:$N,0),1))-SEARCH(":",INDEX(УСПД!$M:$M,MATCH(IFERROR(1*LEFT(INDEX(ТУ!$CG:$CG,MATCH($U26*1,ТУ!$CP:$CP,0),1),SEARCH(" ",INDEX(ТУ!$CG:$CG,MATCH($U26*1,ТУ!$CP:$CP,0),1))-1),""),УСПД!$N:$N,0),1))))-1), RIGHT(INDEX(УСПД!$M:$M,MATCH(IFERROR(1*LEFT(INDEX(ТУ!$CG:$CG,MATCH($U26*1,ТУ!$CP:$CP,0),1),SEARCH(" ",INDEX(ТУ!$CG:$CG,MATCH($U26*1,ТУ!$CP:$CP,0),1))-1),""),УСПД!$N:$N,0),1),LEN(INDEX(УСПД!$M:$M,MATCH(IFERROR(1*LEFT(INDEX(ТУ!$CG:$CG,MATCH($U26*1,ТУ!$CP:$CP,0),1),SEARCH(" ",INDEX(ТУ!$CG:$CG,MATCH($U26*1,ТУ!$CP:$CP,0),1))-1),""),УСПД!$N:$N,0),1))-SEARCH(":",INDEX(УСПД!$M:$M,MATCH(IFERROR(1*LEFT(INDEX(ТУ!$CG:$CG,MATCH($U26*1,ТУ!$CP:$CP,0),1),SEARCH(" ",INDEX(ТУ!$CG:$CG,MATCH($U26*1,ТУ!$CP:$CP,0),1))-1),""),УСПД!$N:$N,0),1)))), ""))</f>
        <v/>
      </c>
      <c r="AL26" s="41"/>
      <c r="AM26" s="57" t="str">
        <f>IFERROR(IFERROR(INDEX(Tel!$B:$B,MATCH($AJ26,Tel!$E:$E,0),1),INDEX(Tel!$B:$B,MATCH($AJ26,Tel!$D:$D,0),1)),"")</f>
        <v/>
      </c>
      <c r="AN26" s="59" t="str">
        <f>IF(ISNUMBER(SEARCH("ТОПАЗ - ТОПАЗ УСПД",IFERROR(RIGHT(LEFT(INDEX(ТУ!$CG:$CG,MATCH($U26*1,ТУ!$CP:$CP,0),1),SEARCH(")",INDEX(ТУ!$CG:$CG,MATCH($U26*1,ТУ!$CP:$CP,0),1))-1),LEN(LEFT(INDEX(ТУ!$CG:$CG,MATCH($U26*1,ТУ!$CP:$CP,0),1),SEARCH(")",INDEX(ТУ!$CG:$CG,MATCH($U26*1,ТУ!$CP:$CP,0),1))-1))-SEARCH("(",INDEX(ТУ!$CG:$CG,MATCH($U26*1,ТУ!$CP:$CP,0),1))),""),1)),"RTU-327",
IF(ISNUMBER(SEARCH("TELEOFIS",$AP26)),"Модем",
""))</f>
        <v/>
      </c>
      <c r="AO26" s="27" t="str">
        <f t="shared" si="0"/>
        <v/>
      </c>
      <c r="AP26" s="57" t="str">
        <f>IF(ISNUMBER(SEARCH("Миландр - Милур GSM/GPRS модем",IFERROR(RIGHT(LEFT(INDEX(ТУ!$CG:$CG,MATCH($U26*1,ТУ!$CP:$CP,0),1),SEARCH(")",INDEX(ТУ!$CG:$CG,MATCH($U26*1,ТУ!$CP:$CP,0),1))-1),LEN(LEFT(INDEX(ТУ!$CG:$CG,MATCH($U26*1,ТУ!$CP:$CP,0),1),SEARCH(")",INDEX(ТУ!$CG:$CG,MATCH($U26*1,ТУ!$CP:$CP,0),1))-1))-SEARCH("(",INDEX(ТУ!$CG:$CG,MATCH($U26*1,ТУ!$CP:$CP,0),1))),""),1)), "TELEOFIS WRX708-L4",IFERROR(RIGHT(LEFT(INDEX(ТУ!$CG:$CG,MATCH($U26*1,ТУ!$CP:$CP,0),1),SEARCH(")",INDEX(ТУ!$CG:$CG,MATCH($U26*1,ТУ!$CP:$CP,0),1))-1),LEN(LEFT(INDEX(ТУ!$CG:$CG,MATCH($U26*1,ТУ!$CP:$CP,0),1),SEARCH(")",INDEX(ТУ!$CG:$CG,MATCH($U26*1,ТУ!$CP:$CP,0),1))-1))-SEARCH("(",INDEX(ТУ!$CG:$CG,MATCH($U26*1,ТУ!$CP:$CP,0),1))),""))</f>
        <v/>
      </c>
      <c r="AQ26" s="57" t="str">
        <f>IFERROR(IF(INDEX(УСПД!$K:$K,MATCH($AS26*1,УСПД!$N:$N,0),1)=0,"",INDEX(УСПД!$K:$K,MATCH($AS26*1,УСПД!$N:$N,0),1)),"")</f>
        <v/>
      </c>
      <c r="AR26" s="57" t="str">
        <f>IFERROR(IF(INDEX(УСПД!$L:$L,MATCH($AS26*1,УСПД!$N:$N,0),1)=0,"",INDEX(УСПД!$L:$L,MATCH($AS26*1,УСПД!$N:$N,0),1)),"")</f>
        <v/>
      </c>
      <c r="AS26" s="60" t="str">
        <f>IFERROR(LEFT(INDEX(ТУ!$CG:$CG,MATCH($U26*1,ТУ!$CP:$CP,0),1),SEARCH(" ",INDEX(ТУ!$CG:$CG,MATCH($U26*1,ТУ!$CP:$CP,0),1))-1),"")</f>
        <v/>
      </c>
      <c r="AT26" s="59" t="s">
        <v>360</v>
      </c>
      <c r="AU26" s="59">
        <f>3</f>
        <v>3</v>
      </c>
      <c r="AV26" s="59" t="s">
        <v>368</v>
      </c>
      <c r="AW26" s="149" t="str">
        <f t="shared" si="19"/>
        <v/>
      </c>
      <c r="AX26" s="149">
        <f t="shared" si="20"/>
        <v>34</v>
      </c>
      <c r="AY26" s="149" t="str">
        <f t="shared" si="21"/>
        <v/>
      </c>
      <c r="AZ26" s="149" t="str">
        <f t="shared" si="22"/>
        <v/>
      </c>
      <c r="BA26" s="149" t="str">
        <f t="shared" si="23"/>
        <v/>
      </c>
      <c r="BB26" s="154" t="str">
        <f>IF($AP26="",IFERROR(IFERROR(LEFT(RIGHT(INDEX(ТУ!$CE:$CE,MATCH($U26*1,ТУ!$CP:$CP,0),1),LEN(INDEX(ТУ!$CE:$CE,MATCH($U26*1,ТУ!$CP:$CP,0),1))-SEARCH(", ",INDEX(ТУ!$CE:$CE,MATCH($U26*1,ТУ!$CP:$CP,0),1),SEARCH(", ",INDEX(ТУ!$CE:$CE,MATCH($U26*1,ТУ!$CP:$CP,0),1))+1)-1),SEARCH(":",RIGHT(INDEX(ТУ!$CE:$CE,MATCH($U26*1,ТУ!$CP:$CP,0),1),LEN(INDEX(ТУ!$CE:$CE,MATCH($U26*1,ТУ!$CP:$CP,0),1))-SEARCH(", ",INDEX(ТУ!$CE:$CE,MATCH($U26*1,ТУ!$CP:$CP,0),1),SEARCH(", ",INDEX(ТУ!$CE:$CE,MATCH($U26*1,ТУ!$CP:$CP,0),1))+1)-1))-1),LEFT(INDEX(ТУ!$CE:$CE,MATCH($U26*1,ТУ!$CP:$CP,0),1),SEARCH(":",INDEX(ТУ!$CE:$CE,MATCH($U26*1,ТУ!$CP:$CP,0),1))-1)),""),IFERROR(IFERROR(LEFT(RIGHT(INDEX(УСПД!$M:$M,MATCH(IFERROR(1*LEFT(INDEX(ТУ!$CG:$CG,MATCH($U26*1,ТУ!$CP:$CP,0),1),SEARCH(" ",INDEX(ТУ!$CG:$CG,MATCH($U26*1,ТУ!$CP:$CP,0),1))-1),""),УСПД!$N:$N,0),1),LEN(INDEX(УСПД!$M:$M,MATCH(IFERROR(1*LEFT(INDEX(ТУ!$CG:$CG,MATCH($U26*1,ТУ!$CP:$CP,0),1),SEARCH(" ",INDEX(ТУ!$CG:$CG,MATCH($U26*1,ТУ!$CP:$CP,0),1))-1),""),УСПД!$N:$N,0),1))-SEARCH(", ",INDEX(УСПД!$M:$M,MATCH(IFERROR(1*LEFT(INDEX(ТУ!$CG:$CG,MATCH($U26*1,ТУ!$CP:$CP,0),1),SEARCH(" ",INDEX(ТУ!$CG:$CG,MATCH($U26*1,ТУ!$CP:$CP,0),1))-1),""),УСПД!$N:$N,0),1),SEARCH(", ",INDEX(УСПД!$M:$M,MATCH(IFERROR(1*LEFT(INDEX(ТУ!$CG:$CG,MATCH($U26*1,ТУ!$CP:$CP,0),1),SEARCH(" ",INDEX(ТУ!$CG:$CG,MATCH($U26*1,ТУ!$CP:$CP,0),1))-1),""),УСПД!$N:$N,0),1))+1)-1),SEARCH(":",RIGHT(INDEX(УСПД!$M:$M,MATCH(IFERROR(1*LEFT(INDEX(ТУ!$CG:$CG,MATCH($U26*1,ТУ!$CP:$CP,0),1),SEARCH(" ",INDEX(ТУ!$CG:$CG,MATCH($U26*1,ТУ!$CP:$CP,0),1))-1),""),УСПД!$N:$N,0),1),LEN(INDEX(УСПД!$M:$M,MATCH(IFERROR(1*LEFT(INDEX(ТУ!$CG:$CG,MATCH($U26*1,ТУ!$CP:$CP,0),1),SEARCH(" ",INDEX(ТУ!$CG:$CG,MATCH($U26*1,ТУ!$CP:$CP,0),1))-1),""),УСПД!$N:$N,0),1))-SEARCH(", ",INDEX(УСПД!$M:$M,MATCH(IFERROR(1*LEFT(INDEX(ТУ!$CG:$CG,MATCH($U26*1,ТУ!$CP:$CP,0),1),SEARCH(" ",INDEX(ТУ!$CG:$CG,MATCH($U26*1,ТУ!$CP:$CP,0),1))-1),""),УСПД!$N:$N,0),1),SEARCH(", ",INDEX(УСПД!$M:$M,MATCH(IFERROR(1*LEFT(INDEX(ТУ!$CG:$CG,MATCH($U26*1,ТУ!$CP:$CP,0),1),SEARCH(" ",INDEX(ТУ!$CG:$CG,MATCH($U26*1,ТУ!$CP:$CP,0),1))-1),""),УСПД!$N:$N,0),1))+1)-1))-1),LEFT(INDEX(УСПД!$M:$M,MATCH(IFERROR(1*LEFT(INDEX(ТУ!$CG:$CG,MATCH($U26*1,ТУ!$CP:$CP,0),1),SEARCH(" ",INDEX(ТУ!$CG:$CG,MATCH($U26*1,ТУ!$CP:$CP,0),1))-1),""),УСПД!$N:$N,0),1),SEARCH(":",INDEX(УСПД!$M:$M,MATCH(IFERROR(1*LEFT(INDEX(ТУ!$CG:$CG,MATCH($U26*1,ТУ!$CP:$CP,0),1),SEARCH(" ",INDEX(ТУ!$CG:$CG,MATCH($U26*1,ТУ!$CP:$CP,0),1))-1),""),УСПД!$N:$N,0),1))-1)),""))</f>
        <v/>
      </c>
      <c r="BC26" s="155" t="e">
        <f>INDEX(ТУ!$AF:$AF,MATCH($U26*1,ТУ!$CP:$CP,0),1)</f>
        <v>#VALUE!</v>
      </c>
      <c r="BD26" s="155" t="e">
        <f>INDEX(ТУ!$X:$X,MATCH($U26*1,ТУ!$CP:$CP,0),1)</f>
        <v>#VALUE!</v>
      </c>
      <c r="BE26" s="155" t="e">
        <f>INDEX(ТУ!$CL:$CL,MATCH($U26*1,ТУ!$CP:$CP,0),1)</f>
        <v>#VALUE!</v>
      </c>
      <c r="BF26" s="147" t="str">
        <f>IFERROR(INDEX(естьАЦ!$A:$A,MATCH($U26*1,естьАЦ!$A:$A,0),1),"нет в АЦ")</f>
        <v>нет в АЦ</v>
      </c>
    </row>
    <row r="27" spans="1:58" ht="15" x14ac:dyDescent="0.25">
      <c r="A27" s="55">
        <f>3</f>
        <v>3</v>
      </c>
      <c r="B27" s="42" t="str">
        <f>IFERROR(IFERROR(INDEX(Справочники!$A$2:$P$79,MATCH(INDEX(ТУ!$E:$E,MATCH($U27*1,ТУ!$CP:$CP,0),1),Справочники!$P$2:$P$79,0),2),INDEX(Справочники!$A$2:$P$79,MATCH((INDEX(ТУ!$E:$E,MATCH($U27*1,ТУ!$CP:$CP,0),1))*1,Справочники!$P$2:$P$79,0),2)),"")</f>
        <v>12 р-н МКС (СОРУПЭ)</v>
      </c>
      <c r="C27" s="46" t="str">
        <f>IFERROR(TRIM(LEFT(INDEX(ТУ!$AF:$AF,MATCH($U27*1,ТУ!$CP:$CP,0),1),SEARCH("-",INDEX(ТУ!$AF:$AF,MATCH($U27*1,ТУ!$CP:$CP,0),1))-1)),IFERROR(LEFT(INDEX(ТУ!$X:$X,MATCH($U27*1,ТУ!$CP:$CP,0),1),SEARCH("-",INDEX(ТУ!$X:$X,MATCH($U27*1,ТУ!$CP:$CP,0),1))-1),"ТП"))</f>
        <v>ТП</v>
      </c>
      <c r="D27" s="47" t="str">
        <f>IF(TRIM(IF(ISNUMBER((IFERROR(RIGHT(INDEX(ТУ!$AF:$AF,MATCH($U27*1,ТУ!$CP:$CP,0),1),LEN(INDEX(ТУ!$AF:$AF,MATCH($U27*1,ТУ!$CP:$CP,0),1))-SEARCH("-",INDEX(ТУ!$AF:$AF,MATCH($U27*1,ТУ!$CP:$CP,0),1))),INDEX(ТУ!$AF:$AF,MATCH($U27*1,ТУ!$CP:$CP,0),1)))*1),IFERROR(RIGHT(INDEX(ТУ!$AF:$AF,MATCH($U27*1,ТУ!$CP:$CP,0),1),LEN(INDEX(ТУ!$AF:$AF,MATCH($U27*1,ТУ!$CP:$CP,0),1))-SEARCH("-",INDEX(ТУ!$AF:$AF,MATCH($U27*1,ТУ!$CP:$CP,0),1))),INDEX(ТУ!$AF:$AF,MATCH($U27*1,ТУ!$CP:$CP,0),1)),""))="",TRIM(IF(ISNUMBER((IFERROR(RIGHT(INDEX(ТУ!$X:$X,MATCH($U27*1,ТУ!$CP:$CP,0),1),LEN(INDEX(ТУ!$X:$X,MATCH($U27*1,ТУ!$CP:$CP,0),1))-SEARCH("-",INDEX(ТУ!$X:$X,MATCH($U27*1,ТУ!$CP:$CP,0),1))),INDEX(ТУ!$X:$X,MATCH($U27*1,ТУ!$CP:$CP,0),1)))*1),IFERROR(RIGHT(INDEX(ТУ!$X:$X,MATCH($U27*1,ТУ!$CP:$CP,0),1),LEN(INDEX(ТУ!$X:$X,MATCH($U27*1,ТУ!$CP:$CP,0),1))-SEARCH("-",INDEX(ТУ!$X:$X,MATCH($U27*1,ТУ!$CP:$CP,0),1))),INDEX(ТУ!$X:$X,MATCH($U27*1,ТУ!$CP:$CP,0),1)),"")),TRIM(IF(ISNUMBER((IFERROR(RIGHT(INDEX(ТУ!$AF:$AF,MATCH($U27*1,ТУ!$CP:$CP,0),1),LEN(INDEX(ТУ!$AF:$AF,MATCH($U27*1,ТУ!$CP:$CP,0),1))-SEARCH("-",INDEX(ТУ!$AF:$AF,MATCH($U27*1,ТУ!$CP:$CP,0),1))),INDEX(ТУ!$AF:$AF,MATCH($U27*1,ТУ!$CP:$CP,0),1)))*1),IFERROR(RIGHT(INDEX(ТУ!$AF:$AF,MATCH($U27*1,ТУ!$CP:$CP,0),1),LEN(INDEX(ТУ!$AF:$AF,MATCH($U27*1,ТУ!$CP:$CP,0),1))-SEARCH("-",INDEX(ТУ!$AF:$AF,MATCH($U27*1,ТУ!$CP:$CP,0),1))),INDEX(ТУ!$AF:$AF,MATCH($U27*1,ТУ!$CP:$CP,0),1)),"")))</f>
        <v>11540</v>
      </c>
      <c r="E27" s="25" t="str">
        <f t="shared" si="2"/>
        <v>МКС</v>
      </c>
      <c r="F27" s="20">
        <f t="shared" si="3"/>
        <v>86</v>
      </c>
      <c r="G27" s="21">
        <f t="shared" si="4"/>
        <v>5</v>
      </c>
      <c r="H27" s="25" t="str">
        <f t="shared" si="5"/>
        <v>ТП-11540</v>
      </c>
      <c r="I27" s="25" t="str">
        <f t="shared" si="6"/>
        <v>86511540</v>
      </c>
      <c r="J27" s="42" t="str">
        <f>INDEX(Справочники!$M:$M,MATCH(IF(INDEX(ТУ!$BO:$BO,MATCH($U27*1,ТУ!$CP:$CP,0),1)=1,1,INDEX(ТУ!$BO:$BO,MATCH($U27*1,ТУ!$CP:$CP,0),1)*100),Справочники!$N:$N,0),1)</f>
        <v>0.4 кВ</v>
      </c>
      <c r="K27" s="40">
        <f>1</f>
        <v>1</v>
      </c>
      <c r="L27" s="20" t="str">
        <f t="shared" si="7"/>
        <v>СШ-1</v>
      </c>
      <c r="M27" s="20">
        <f t="shared" si="8"/>
        <v>1</v>
      </c>
      <c r="N27" s="40"/>
      <c r="O27" s="56" t="str">
        <f t="shared" si="9"/>
        <v>Ввод-1-1</v>
      </c>
      <c r="P27" s="57" t="str">
        <f>IFERROR(IF(INDEX(ТУ!$AO:$AO,MATCH($U27*1,ТУ!$CP:$CP,0),1)=0,"",INDEX(ТУ!$AO:$AO,MATCH($U27*1,ТУ!$CP:$CP,0),1)),"")</f>
        <v>вв 26053 школа-интернат столовая</v>
      </c>
      <c r="Q27" s="40">
        <f>IFERROR(IF(INDEX(ТУ!$BN:$BN,MATCH($U27*1,ТУ!$CP:$CP,0),1)=1,1,INDEX(ТУ!$BN:$BN,MATCH($U27*1,ТУ!$CP:$CP,0),1)*5),"")</f>
        <v>150</v>
      </c>
      <c r="R27" s="25">
        <f t="shared" si="10"/>
        <v>5</v>
      </c>
      <c r="S27" s="25">
        <f t="shared" si="11"/>
        <v>1</v>
      </c>
      <c r="T27" s="25">
        <f t="shared" si="12"/>
        <v>1</v>
      </c>
      <c r="U27" s="105" t="s">
        <v>748</v>
      </c>
      <c r="V27" s="43">
        <f>IF(INDEX(ТУ!$BH:$BH,MATCH($U27*1,ТУ!$CP:$CP,0),1)=0,"",INDEX(ТУ!$BH:$BH,MATCH($U27*1,ТУ!$CP:$CP,0),1))</f>
        <v>44549</v>
      </c>
      <c r="W27" s="43" t="str">
        <f>IF(INDEX(ТУ!$BI:$BI,MATCH($U27*1,ТУ!$CP:$CP,0),1)=0,"",INDEX(ТУ!$BI:$BI,MATCH($U27*1,ТУ!$CP:$CP,0),1))</f>
        <v>18.11.2021</v>
      </c>
      <c r="X27" s="58" t="str">
        <f t="shared" si="13"/>
        <v>Меркурий-23X</v>
      </c>
      <c r="Y27" s="25">
        <f t="shared" si="14"/>
        <v>15</v>
      </c>
      <c r="Z27" s="42" t="str">
        <f t="shared" si="15"/>
        <v/>
      </c>
      <c r="AA27" s="25" t="str">
        <f t="shared" si="16"/>
        <v/>
      </c>
      <c r="AB27" s="40" t="str">
        <f>IF(ISNUMBER(SEARCH("Приборы с поддержкой протокола СПОДЭС - Нартис-И300 (СПОДЭС)",INDEX(ТУ!$BD:$BD,MATCH($U27*1,ТУ!$CP:$CP,0),1))),"Нартис-И300",
IF(ISNUMBER(SEARCH("Приборы с поддержкой протокола СПОДЭС - Меркурий 234 (СПОДЭС)",INDEX(ТУ!$BD:$BD,MATCH($U27*1,ТУ!$CP:$CP,0),1))),"Меркурий 234 (СПОДЭС)",
IF(ISNUMBER(SEARCH("Приборы с поддержкой протокола СПОДЭС - Нартис-300 (СПОДЭС)",INDEX(ТУ!$BD:$BD,MATCH($U27*1,ТУ!$CP:$CP,0),1))),"Нартис-300",
IF(ISNUMBER(SEARCH("Инкотекс - Меркурий 234",INDEX(ТУ!$BD:$BD,MATCH($U27*1,ТУ!$CP:$CP,0),1))),"Меркурий 234",
IF(ISNUMBER(SEARCH("Инкотекс - Меркурий 206",INDEX(ТУ!$BD:$BD,MATCH($U27*1,ТУ!$CP:$CP,0),1))),"Меркурий 206",
IF(ISNUMBER(SEARCH("Приборы с поддержкой протокола СПОДЭС - Универсальный счетчик СПОДЭС 2 трехфазный",INDEX(ТУ!$BD:$BD,MATCH($U27*1,ТУ!$CP:$CP,0),1))),"Нартис-И300",
IF(ISNUMBER(SEARCH("Приборы с поддержкой протокола СПОДЭС - Универсальный счетчик СПОДЭС 2 однофазный",INDEX(ТУ!$BD:$BD,MATCH($U27*1,ТУ!$CP:$CP,0),1))),"Нартис-И100",
IF(ISNUMBER(SEARCH("Приборы с поддержкой протокола СПОДЭС - Нартис-И100 (СПОДЭС)",INDEX(ТУ!$BD:$BD,MATCH($U27*1,ТУ!$CP:$CP,0),1))),"Нартис-И100",
IF(ISNUMBER(SEARCH("Приборы с поддержкой протокола СПОДЭС - СЕ308 (СПОДЭС)",INDEX(ТУ!$BD:$BD,MATCH($U27*1,ТУ!$CP:$CP,0),1))),"СЕ308 (СПОДЭС)",
IF(ISNUMBER(SEARCH("Приборы с поддержкой протокола СПОДЭС - СЕ207 (СПОДЭС)",INDEX(ТУ!$BD:$BD,MATCH($U27*1,ТУ!$CP:$CP,0),1))),"СЕ207 (СПОДЭС)",
IF(ISNUMBER(SEARCH("Приборы с поддержкой протокола СПОДЭС - СТЭМ-300 (СПОДЭС)",INDEX(ТУ!$BD:$BD,MATCH($U27*1,ТУ!$CP:$CP,0),1))),"СТЭМ-300 (СПОДЭС)",
IF(ISNUMBER(SEARCH("ТехноЭнерго - ТЕ3000",INDEX(ТУ!$BD:$BD,MATCH($U27*1,ТУ!$CP:$CP,0),1))),"ТЕ3000",
IF(ISNUMBER(SEARCH("НЗиФ - СЭТ-4ТМ",INDEX(ТУ!$BD:$BD,MATCH($U27*1,ТУ!$CP:$CP,0),1))),"СЭТ-4ТМ",
INDEX(ТУ!$BD:$BD,MATCH($U27*1,ТУ!$CP:$CP,0),1)
)))))))))))))</f>
        <v>Меркурий 234</v>
      </c>
      <c r="AC27" s="40" t="s">
        <v>2</v>
      </c>
      <c r="AD27" s="40" t="str">
        <f>IF(ISNUMBER(IFERROR(LEFT(IF(INDEX(ТУ!$CI:$CI,MATCH($U27*1,ТУ!$CP:$CP,0),1)=0,"",INDEX(ТУ!$CI:$CI,MATCH($U27*1,ТУ!$CP:$CP,0),1)),SEARCH(" ",IF(INDEX(ТУ!$CI:$CI,MATCH($U27*1,ТУ!$CP:$CP,0),1)=0,"",INDEX(ТУ!$CI:$CI,MATCH($U27*1,ТУ!$CP:$CP,0),1)),1)-1),"")*1),IFERROR(LEFT(IF(INDEX(ТУ!$CI:$CI,MATCH($U27*1,ТУ!$CP:$CP,0),1)=0,"",INDEX(ТУ!$CI:$CI,MATCH($U27*1,ТУ!$CP:$CP,0),1)),SEARCH(" ",IF(INDEX(ТУ!$CI:$CI,MATCH($U27*1,ТУ!$CP:$CP,0),1)=0,"",INDEX(ТУ!$CI:$CI,MATCH($U27*1,ТУ!$CP:$CP,0),1)),1)-1),""),"")</f>
        <v>77630001013183</v>
      </c>
      <c r="AE27" s="40" t="str">
        <f>IF(INDEX(ТУ!$CB:$CB,MATCH($U27*1,ТУ!$CP:$CP,0),1)=0,INDEX(Adr!$B:$B,MATCH($U27*1,Adr!$C:$C,0),1),INDEX(ТУ!$CB:$CB,MATCH($U27*1,ТУ!$CP:$CP,0),1))</f>
        <v>81</v>
      </c>
      <c r="AF27" s="45" t="str">
        <f>IF(INDEX(ТУ!$CD:$CD,MATCH($U27*1,ТУ!$CP:$CP,0),1)=0,"",INDEX(ТУ!$CD:$CD,MATCH($U27*1,ТУ!$CP:$CP,0),1))</f>
        <v>"222222"</v>
      </c>
      <c r="AG27" s="45">
        <f>0</f>
        <v>0</v>
      </c>
      <c r="AH27" s="26">
        <f t="shared" si="17"/>
        <v>86</v>
      </c>
      <c r="AI27" s="20" t="str">
        <f t="shared" si="18"/>
        <v>865115401</v>
      </c>
      <c r="AJ27" s="41" t="str">
        <f t="shared" si="1"/>
        <v>10.210.228.49</v>
      </c>
      <c r="AK27" s="41" t="str">
        <f>IF($AP27="",IFERROR(IFERROR(LEFT(RIGHT(INDEX(ТУ!$CE:$CE,MATCH($U27*1,ТУ!$CP:$CP,0),1),LEN(INDEX(ТУ!$CE:$CE,MATCH($U27*1,ТУ!$CP:$CP,0),1))-SEARCH(":",INDEX(ТУ!$CE:$CE,MATCH($U27*1,ТУ!$CP:$CP,0),1))),SEARCH("/",RIGHT(INDEX(ТУ!$CE:$CE,MATCH($U27*1,ТУ!$CP:$CP,0),1),LEN(INDEX(ТУ!$CE:$CE,MATCH($U27*1,ТУ!$CP:$CP,0),1))-SEARCH(":",INDEX(ТУ!$CE:$CE,MATCH($U27*1,ТУ!$CP:$CP,0),1))))-1), RIGHT(INDEX(ТУ!$CE:$CE,MATCH($U27*1,ТУ!$CP:$CP,0),1),LEN(INDEX(ТУ!$CE:$CE,MATCH($U27*1,ТУ!$CP:$CP,0),1))-SEARCH(":",INDEX(ТУ!$CE:$CE,MATCH($U27*1,ТУ!$CP:$CP,0),1)))), ""),IFERROR(IFERROR(LEFT(RIGHT(INDEX(УСПД!$M:$M,MATCH(IFERROR(1*LEFT(INDEX(ТУ!$CG:$CG,MATCH($U27*1,ТУ!$CP:$CP,0),1),SEARCH(" ",INDEX(ТУ!$CG:$CG,MATCH($U27*1,ТУ!$CP:$CP,0),1))-1),""),УСПД!$N:$N,0),1),LEN(INDEX(УСПД!$M:$M,MATCH(IFERROR(1*LEFT(INDEX(ТУ!$CG:$CG,MATCH($U27*1,ТУ!$CP:$CP,0),1),SEARCH(" ",INDEX(ТУ!$CG:$CG,MATCH($U27*1,ТУ!$CP:$CP,0),1))-1),""),УСПД!$N:$N,0),1))-SEARCH(":",INDEX(УСПД!$M:$M,MATCH(IFERROR(1*LEFT(INDEX(ТУ!$CG:$CG,MATCH($U27*1,ТУ!$CP:$CP,0),1),SEARCH(" ",INDEX(ТУ!$CG:$CG,MATCH($U27*1,ТУ!$CP:$CP,0),1))-1),""),УСПД!$N:$N,0),1))),SEARCH("/",RIGHT(INDEX(УСПД!$M:$M,MATCH(IFERROR(1*LEFT(INDEX(ТУ!$CG:$CG,MATCH($U27*1,ТУ!$CP:$CP,0),1),SEARCH(" ",INDEX(ТУ!$CG:$CG,MATCH($U27*1,ТУ!$CP:$CP,0),1))-1),""),УСПД!$N:$N,0),1),LEN(INDEX(УСПД!$M:$M,MATCH(IFERROR(1*LEFT(INDEX(ТУ!$CG:$CG,MATCH($U27*1,ТУ!$CP:$CP,0),1),SEARCH(" ",INDEX(ТУ!$CG:$CG,MATCH($U27*1,ТУ!$CP:$CP,0),1))-1),""),УСПД!$N:$N,0),1))-SEARCH(":",INDEX(УСПД!$M:$M,MATCH(IFERROR(1*LEFT(INDEX(ТУ!$CG:$CG,MATCH($U27*1,ТУ!$CP:$CP,0),1),SEARCH(" ",INDEX(ТУ!$CG:$CG,MATCH($U27*1,ТУ!$CP:$CP,0),1))-1),""),УСПД!$N:$N,0),1))))-1), RIGHT(INDEX(УСПД!$M:$M,MATCH(IFERROR(1*LEFT(INDEX(ТУ!$CG:$CG,MATCH($U27*1,ТУ!$CP:$CP,0),1),SEARCH(" ",INDEX(ТУ!$CG:$CG,MATCH($U27*1,ТУ!$CP:$CP,0),1))-1),""),УСПД!$N:$N,0),1),LEN(INDEX(УСПД!$M:$M,MATCH(IFERROR(1*LEFT(INDEX(ТУ!$CG:$CG,MATCH($U27*1,ТУ!$CP:$CP,0),1),SEARCH(" ",INDEX(ТУ!$CG:$CG,MATCH($U27*1,ТУ!$CP:$CP,0),1))-1),""),УСПД!$N:$N,0),1))-SEARCH(":",INDEX(УСПД!$M:$M,MATCH(IFERROR(1*LEFT(INDEX(ТУ!$CG:$CG,MATCH($U27*1,ТУ!$CP:$CP,0),1),SEARCH(" ",INDEX(ТУ!$CG:$CG,MATCH($U27*1,ТУ!$CP:$CP,0),1))-1),""),УСПД!$N:$N,0),1)))), ""))</f>
        <v>4001</v>
      </c>
      <c r="AL27" s="41"/>
      <c r="AM27" s="57" t="str">
        <f>IFERROR(IFERROR(INDEX(Tel!$B:$B,MATCH($AJ27,Tel!$E:$E,0),1),INDEX(Tel!$B:$B,MATCH($AJ27,Tel!$D:$D,0),1)),"")</f>
        <v/>
      </c>
      <c r="AN27" s="59" t="str">
        <f>IF(ISNUMBER(SEARCH("ТОПАЗ - ТОПАЗ УСПД",IFERROR(RIGHT(LEFT(INDEX(ТУ!$CG:$CG,MATCH($U27*1,ТУ!$CP:$CP,0),1),SEARCH(")",INDEX(ТУ!$CG:$CG,MATCH($U27*1,ТУ!$CP:$CP,0),1))-1),LEN(LEFT(INDEX(ТУ!$CG:$CG,MATCH($U27*1,ТУ!$CP:$CP,0),1),SEARCH(")",INDEX(ТУ!$CG:$CG,MATCH($U27*1,ТУ!$CP:$CP,0),1))-1))-SEARCH("(",INDEX(ТУ!$CG:$CG,MATCH($U27*1,ТУ!$CP:$CP,0),1))),""),1)),"RTU-327",
IF(ISNUMBER(SEARCH("TELEOFIS",$AP27)),"Модем",
""))</f>
        <v/>
      </c>
      <c r="AO27" s="27" t="str">
        <f t="shared" si="0"/>
        <v/>
      </c>
      <c r="AP27" s="57" t="str">
        <f>IF(ISNUMBER(SEARCH("Миландр - Милур GSM/GPRS модем",IFERROR(RIGHT(LEFT(INDEX(ТУ!$CG:$CG,MATCH($U27*1,ТУ!$CP:$CP,0),1),SEARCH(")",INDEX(ТУ!$CG:$CG,MATCH($U27*1,ТУ!$CP:$CP,0),1))-1),LEN(LEFT(INDEX(ТУ!$CG:$CG,MATCH($U27*1,ТУ!$CP:$CP,0),1),SEARCH(")",INDEX(ТУ!$CG:$CG,MATCH($U27*1,ТУ!$CP:$CP,0),1))-1))-SEARCH("(",INDEX(ТУ!$CG:$CG,MATCH($U27*1,ТУ!$CP:$CP,0),1))),""),1)), "TELEOFIS WRX708-L4",IFERROR(RIGHT(LEFT(INDEX(ТУ!$CG:$CG,MATCH($U27*1,ТУ!$CP:$CP,0),1),SEARCH(")",INDEX(ТУ!$CG:$CG,MATCH($U27*1,ТУ!$CP:$CP,0),1))-1),LEN(LEFT(INDEX(ТУ!$CG:$CG,MATCH($U27*1,ТУ!$CP:$CP,0),1),SEARCH(")",INDEX(ТУ!$CG:$CG,MATCH($U27*1,ТУ!$CP:$CP,0),1))-1))-SEARCH("(",INDEX(ТУ!$CG:$CG,MATCH($U27*1,ТУ!$CP:$CP,0),1))),""))</f>
        <v/>
      </c>
      <c r="AQ27" s="57" t="str">
        <f>IFERROR(IF(INDEX(УСПД!$K:$K,MATCH($AS27*1,УСПД!$N:$N,0),1)=0,"",INDEX(УСПД!$K:$K,MATCH($AS27*1,УСПД!$N:$N,0),1)),"")</f>
        <v/>
      </c>
      <c r="AR27" s="57" t="str">
        <f>IFERROR(IF(INDEX(УСПД!$L:$L,MATCH($AS27*1,УСПД!$N:$N,0),1)=0,"",INDEX(УСПД!$L:$L,MATCH($AS27*1,УСПД!$N:$N,0),1)),"")</f>
        <v/>
      </c>
      <c r="AS27" s="60" t="str">
        <f>IFERROR(LEFT(INDEX(ТУ!$CG:$CG,MATCH($U27*1,ТУ!$CP:$CP,0),1),SEARCH(" ",INDEX(ТУ!$CG:$CG,MATCH($U27*1,ТУ!$CP:$CP,0),1))-1),"")</f>
        <v/>
      </c>
      <c r="AT27" s="59" t="s">
        <v>360</v>
      </c>
      <c r="AU27" s="59">
        <f>3</f>
        <v>3</v>
      </c>
      <c r="AV27" s="59" t="s">
        <v>368</v>
      </c>
      <c r="AW27" s="149">
        <f t="shared" si="19"/>
        <v>64</v>
      </c>
      <c r="AX27" s="149">
        <f t="shared" si="20"/>
        <v>15</v>
      </c>
      <c r="AY27" s="149" t="str">
        <f t="shared" si="21"/>
        <v/>
      </c>
      <c r="AZ27" s="149" t="str">
        <f t="shared" si="22"/>
        <v/>
      </c>
      <c r="BA27" s="149">
        <f t="shared" si="23"/>
        <v>1</v>
      </c>
      <c r="BB27" s="154" t="str">
        <f>IF($AP27="",IFERROR(IFERROR(LEFT(RIGHT(INDEX(ТУ!$CE:$CE,MATCH($U27*1,ТУ!$CP:$CP,0),1),LEN(INDEX(ТУ!$CE:$CE,MATCH($U27*1,ТУ!$CP:$CP,0),1))-SEARCH(", ",INDEX(ТУ!$CE:$CE,MATCH($U27*1,ТУ!$CP:$CP,0),1),SEARCH(", ",INDEX(ТУ!$CE:$CE,MATCH($U27*1,ТУ!$CP:$CP,0),1))+1)-1),SEARCH(":",RIGHT(INDEX(ТУ!$CE:$CE,MATCH($U27*1,ТУ!$CP:$CP,0),1),LEN(INDEX(ТУ!$CE:$CE,MATCH($U27*1,ТУ!$CP:$CP,0),1))-SEARCH(", ",INDEX(ТУ!$CE:$CE,MATCH($U27*1,ТУ!$CP:$CP,0),1),SEARCH(", ",INDEX(ТУ!$CE:$CE,MATCH($U27*1,ТУ!$CP:$CP,0),1))+1)-1))-1),LEFT(INDEX(ТУ!$CE:$CE,MATCH($U27*1,ТУ!$CP:$CP,0),1),SEARCH(":",INDEX(ТУ!$CE:$CE,MATCH($U27*1,ТУ!$CP:$CP,0),1))-1)),""),IFERROR(IFERROR(LEFT(RIGHT(INDEX(УСПД!$M:$M,MATCH(IFERROR(1*LEFT(INDEX(ТУ!$CG:$CG,MATCH($U27*1,ТУ!$CP:$CP,0),1),SEARCH(" ",INDEX(ТУ!$CG:$CG,MATCH($U27*1,ТУ!$CP:$CP,0),1))-1),""),УСПД!$N:$N,0),1),LEN(INDEX(УСПД!$M:$M,MATCH(IFERROR(1*LEFT(INDEX(ТУ!$CG:$CG,MATCH($U27*1,ТУ!$CP:$CP,0),1),SEARCH(" ",INDEX(ТУ!$CG:$CG,MATCH($U27*1,ТУ!$CP:$CP,0),1))-1),""),УСПД!$N:$N,0),1))-SEARCH(", ",INDEX(УСПД!$M:$M,MATCH(IFERROR(1*LEFT(INDEX(ТУ!$CG:$CG,MATCH($U27*1,ТУ!$CP:$CP,0),1),SEARCH(" ",INDEX(ТУ!$CG:$CG,MATCH($U27*1,ТУ!$CP:$CP,0),1))-1),""),УСПД!$N:$N,0),1),SEARCH(", ",INDEX(УСПД!$M:$M,MATCH(IFERROR(1*LEFT(INDEX(ТУ!$CG:$CG,MATCH($U27*1,ТУ!$CP:$CP,0),1),SEARCH(" ",INDEX(ТУ!$CG:$CG,MATCH($U27*1,ТУ!$CP:$CP,0),1))-1),""),УСПД!$N:$N,0),1))+1)-1),SEARCH(":",RIGHT(INDEX(УСПД!$M:$M,MATCH(IFERROR(1*LEFT(INDEX(ТУ!$CG:$CG,MATCH($U27*1,ТУ!$CP:$CP,0),1),SEARCH(" ",INDEX(ТУ!$CG:$CG,MATCH($U27*1,ТУ!$CP:$CP,0),1))-1),""),УСПД!$N:$N,0),1),LEN(INDEX(УСПД!$M:$M,MATCH(IFERROR(1*LEFT(INDEX(ТУ!$CG:$CG,MATCH($U27*1,ТУ!$CP:$CP,0),1),SEARCH(" ",INDEX(ТУ!$CG:$CG,MATCH($U27*1,ТУ!$CP:$CP,0),1))-1),""),УСПД!$N:$N,0),1))-SEARCH(", ",INDEX(УСПД!$M:$M,MATCH(IFERROR(1*LEFT(INDEX(ТУ!$CG:$CG,MATCH($U27*1,ТУ!$CP:$CP,0),1),SEARCH(" ",INDEX(ТУ!$CG:$CG,MATCH($U27*1,ТУ!$CP:$CP,0),1))-1),""),УСПД!$N:$N,0),1),SEARCH(", ",INDEX(УСПД!$M:$M,MATCH(IFERROR(1*LEFT(INDEX(ТУ!$CG:$CG,MATCH($U27*1,ТУ!$CP:$CP,0),1),SEARCH(" ",INDEX(ТУ!$CG:$CG,MATCH($U27*1,ТУ!$CP:$CP,0),1))-1),""),УСПД!$N:$N,0),1))+1)-1))-1),LEFT(INDEX(УСПД!$M:$M,MATCH(IFERROR(1*LEFT(INDEX(ТУ!$CG:$CG,MATCH($U27*1,ТУ!$CP:$CP,0),1),SEARCH(" ",INDEX(ТУ!$CG:$CG,MATCH($U27*1,ТУ!$CP:$CP,0),1))-1),""),УСПД!$N:$N,0),1),SEARCH(":",INDEX(УСПД!$M:$M,MATCH(IFERROR(1*LEFT(INDEX(ТУ!$CG:$CG,MATCH($U27*1,ТУ!$CP:$CP,0),1),SEARCH(" ",INDEX(ТУ!$CG:$CG,MATCH($U27*1,ТУ!$CP:$CP,0),1))-1),""),УСПД!$N:$N,0),1))-1)),""))</f>
        <v>10.210.228.49</v>
      </c>
      <c r="BC27" s="155" t="str">
        <f>INDEX(ТУ!$AF:$AF,MATCH($U27*1,ТУ!$CP:$CP,0),1)</f>
        <v>ТП-11540</v>
      </c>
      <c r="BD27" s="155">
        <f>INDEX(ТУ!$X:$X,MATCH($U27*1,ТУ!$CP:$CP,0),1)</f>
        <v>0</v>
      </c>
      <c r="BE27" s="155">
        <f>INDEX(ТУ!$CL:$CL,MATCH($U27*1,ТУ!$CP:$CP,0),1)</f>
        <v>0</v>
      </c>
      <c r="BF27" s="147" t="str">
        <f>IFERROR(INDEX(естьАЦ!$A:$A,MATCH($U27*1,естьАЦ!$A:$A,0),1),"нет в АЦ")</f>
        <v>нет в АЦ</v>
      </c>
    </row>
    <row r="28" spans="1:58" ht="25.5" x14ac:dyDescent="0.25">
      <c r="A28" s="55">
        <f>3</f>
        <v>3</v>
      </c>
      <c r="B28" s="42" t="str">
        <f>IFERROR(IFERROR(INDEX(Справочники!$A$2:$P$79,MATCH(INDEX(ТУ!$E:$E,MATCH($U28*1,ТУ!$CP:$CP,0),1),Справочники!$P$2:$P$79,0),2),INDEX(Справочники!$A$2:$P$79,MATCH((INDEX(ТУ!$E:$E,MATCH($U28*1,ТУ!$CP:$CP,0),1))*1,Справочники!$P$2:$P$79,0),2)),"")</f>
        <v>06 р-н МКС (ЦОРУПЭ)</v>
      </c>
      <c r="C28" s="46" t="str">
        <f>IFERROR(TRIM(LEFT(INDEX(ТУ!$AF:$AF,MATCH($U28*1,ТУ!$CP:$CP,0),1),SEARCH("-",INDEX(ТУ!$AF:$AF,MATCH($U28*1,ТУ!$CP:$CP,0),1))-1)),IFERROR(LEFT(INDEX(ТУ!$X:$X,MATCH($U28*1,ТУ!$CP:$CP,0),1),SEARCH("-",INDEX(ТУ!$X:$X,MATCH($U28*1,ТУ!$CP:$CP,0),1))-1),"ТП"))</f>
        <v>ТП</v>
      </c>
      <c r="D28" s="47" t="str">
        <f>IF(TRIM(IF(ISNUMBER((IFERROR(RIGHT(INDEX(ТУ!$AF:$AF,MATCH($U28*1,ТУ!$CP:$CP,0),1),LEN(INDEX(ТУ!$AF:$AF,MATCH($U28*1,ТУ!$CP:$CP,0),1))-SEARCH("-",INDEX(ТУ!$AF:$AF,MATCH($U28*1,ТУ!$CP:$CP,0),1))),INDEX(ТУ!$AF:$AF,MATCH($U28*1,ТУ!$CP:$CP,0),1)))*1),IFERROR(RIGHT(INDEX(ТУ!$AF:$AF,MATCH($U28*1,ТУ!$CP:$CP,0),1),LEN(INDEX(ТУ!$AF:$AF,MATCH($U28*1,ТУ!$CP:$CP,0),1))-SEARCH("-",INDEX(ТУ!$AF:$AF,MATCH($U28*1,ТУ!$CP:$CP,0),1))),INDEX(ТУ!$AF:$AF,MATCH($U28*1,ТУ!$CP:$CP,0),1)),""))="",TRIM(IF(ISNUMBER((IFERROR(RIGHT(INDEX(ТУ!$X:$X,MATCH($U28*1,ТУ!$CP:$CP,0),1),LEN(INDEX(ТУ!$X:$X,MATCH($U28*1,ТУ!$CP:$CP,0),1))-SEARCH("-",INDEX(ТУ!$X:$X,MATCH($U28*1,ТУ!$CP:$CP,0),1))),INDEX(ТУ!$X:$X,MATCH($U28*1,ТУ!$CP:$CP,0),1)))*1),IFERROR(RIGHT(INDEX(ТУ!$X:$X,MATCH($U28*1,ТУ!$CP:$CP,0),1),LEN(INDEX(ТУ!$X:$X,MATCH($U28*1,ТУ!$CP:$CP,0),1))-SEARCH("-",INDEX(ТУ!$X:$X,MATCH($U28*1,ТУ!$CP:$CP,0),1))),INDEX(ТУ!$X:$X,MATCH($U28*1,ТУ!$CP:$CP,0),1)),"")),TRIM(IF(ISNUMBER((IFERROR(RIGHT(INDEX(ТУ!$AF:$AF,MATCH($U28*1,ТУ!$CP:$CP,0),1),LEN(INDEX(ТУ!$AF:$AF,MATCH($U28*1,ТУ!$CP:$CP,0),1))-SEARCH("-",INDEX(ТУ!$AF:$AF,MATCH($U28*1,ТУ!$CP:$CP,0),1))),INDEX(ТУ!$AF:$AF,MATCH($U28*1,ТУ!$CP:$CP,0),1)))*1),IFERROR(RIGHT(INDEX(ТУ!$AF:$AF,MATCH($U28*1,ТУ!$CP:$CP,0),1),LEN(INDEX(ТУ!$AF:$AF,MATCH($U28*1,ТУ!$CP:$CP,0),1))-SEARCH("-",INDEX(ТУ!$AF:$AF,MATCH($U28*1,ТУ!$CP:$CP,0),1))),INDEX(ТУ!$AF:$AF,MATCH($U28*1,ТУ!$CP:$CP,0),1)),"")))</f>
        <v>146</v>
      </c>
      <c r="E28" s="25" t="str">
        <f t="shared" si="2"/>
        <v>МКС</v>
      </c>
      <c r="F28" s="20">
        <f t="shared" si="3"/>
        <v>80</v>
      </c>
      <c r="G28" s="21">
        <f t="shared" si="4"/>
        <v>5</v>
      </c>
      <c r="H28" s="25" t="str">
        <f t="shared" si="5"/>
        <v>ТП-146</v>
      </c>
      <c r="I28" s="25" t="str">
        <f t="shared" si="6"/>
        <v>80500146</v>
      </c>
      <c r="J28" s="42" t="str">
        <f>INDEX(Справочники!$M:$M,MATCH(IF(INDEX(ТУ!$BO:$BO,MATCH($U28*1,ТУ!$CP:$CP,0),1)=1,1,INDEX(ТУ!$BO:$BO,MATCH($U28*1,ТУ!$CP:$CP,0),1)*100),Справочники!$N:$N,0),1)</f>
        <v>0.4 кВ</v>
      </c>
      <c r="K28" s="40">
        <f>1</f>
        <v>1</v>
      </c>
      <c r="L28" s="20" t="str">
        <f t="shared" si="7"/>
        <v>СШ-1</v>
      </c>
      <c r="M28" s="20">
        <f t="shared" si="8"/>
        <v>1</v>
      </c>
      <c r="N28" s="40"/>
      <c r="O28" s="56" t="str">
        <f t="shared" si="9"/>
        <v>Ввод-1-1</v>
      </c>
      <c r="P28" s="57" t="str">
        <f>IFERROR(IF(INDEX(ТУ!$AO:$AO,MATCH($U28*1,ТУ!$CP:$CP,0),1)=0,"",INDEX(ТУ!$AO:$AO,MATCH($U28*1,ТУ!$CP:$CP,0),1)),"")</f>
        <v>вв 59186</v>
      </c>
      <c r="Q28" s="40">
        <f>IFERROR(IF(INDEX(ТУ!$BN:$BN,MATCH($U28*1,ТУ!$CP:$CP,0),1)=1,1,INDEX(ТУ!$BN:$BN,MATCH($U28*1,ТУ!$CP:$CP,0),1)*5),"")</f>
        <v>300</v>
      </c>
      <c r="R28" s="25">
        <f t="shared" si="10"/>
        <v>5</v>
      </c>
      <c r="S28" s="25">
        <f t="shared" si="11"/>
        <v>1</v>
      </c>
      <c r="T28" s="25">
        <f t="shared" si="12"/>
        <v>1</v>
      </c>
      <c r="U28" s="105" t="s">
        <v>759</v>
      </c>
      <c r="V28" s="43">
        <f>IF(INDEX(ТУ!$BH:$BH,MATCH($U28*1,ТУ!$CP:$CP,0),1)=0,"",INDEX(ТУ!$BH:$BH,MATCH($U28*1,ТУ!$CP:$CP,0),1))</f>
        <v>44271</v>
      </c>
      <c r="W28" s="43" t="str">
        <f>IF(INDEX(ТУ!$BI:$BI,MATCH($U28*1,ТУ!$CP:$CP,0),1)=0,"",INDEX(ТУ!$BI:$BI,MATCH($U28*1,ТУ!$CP:$CP,0),1))</f>
        <v>04.02.2021</v>
      </c>
      <c r="X28" s="58" t="str">
        <f t="shared" si="13"/>
        <v/>
      </c>
      <c r="Y28" s="25">
        <f t="shared" si="14"/>
        <v>35</v>
      </c>
      <c r="Z28" s="42" t="str">
        <f t="shared" si="15"/>
        <v/>
      </c>
      <c r="AA28" s="25" t="str">
        <f t="shared" si="16"/>
        <v/>
      </c>
      <c r="AB28" s="40" t="str">
        <f>IF(ISNUMBER(SEARCH("Приборы с поддержкой протокола СПОДЭС - Нартис-И300 (СПОДЭС)",INDEX(ТУ!$BD:$BD,MATCH($U28*1,ТУ!$CP:$CP,0),1))),"Нартис-И300",
IF(ISNUMBER(SEARCH("Приборы с поддержкой протокола СПОДЭС - Меркурий 234 (СПОДЭС)",INDEX(ТУ!$BD:$BD,MATCH($U28*1,ТУ!$CP:$CP,0),1))),"Меркурий 234 (СПОДЭС)",
IF(ISNUMBER(SEARCH("Приборы с поддержкой протокола СПОДЭС - Нартис-300 (СПОДЭС)",INDEX(ТУ!$BD:$BD,MATCH($U28*1,ТУ!$CP:$CP,0),1))),"Нартис-300",
IF(ISNUMBER(SEARCH("Инкотекс - Меркурий 234",INDEX(ТУ!$BD:$BD,MATCH($U28*1,ТУ!$CP:$CP,0),1))),"Меркурий 234",
IF(ISNUMBER(SEARCH("Инкотекс - Меркурий 206",INDEX(ТУ!$BD:$BD,MATCH($U28*1,ТУ!$CP:$CP,0),1))),"Меркурий 206",
IF(ISNUMBER(SEARCH("Приборы с поддержкой протокола СПОДЭС - Универсальный счетчик СПОДЭС 2 трехфазный",INDEX(ТУ!$BD:$BD,MATCH($U28*1,ТУ!$CP:$CP,0),1))),"Нартис-И300",
IF(ISNUMBER(SEARCH("Приборы с поддержкой протокола СПОДЭС - Универсальный счетчик СПОДЭС 2 однофазный",INDEX(ТУ!$BD:$BD,MATCH($U28*1,ТУ!$CP:$CP,0),1))),"Нартис-И100",
IF(ISNUMBER(SEARCH("Приборы с поддержкой протокола СПОДЭС - Нартис-И100 (СПОДЭС)",INDEX(ТУ!$BD:$BD,MATCH($U28*1,ТУ!$CP:$CP,0),1))),"Нартис-И100",
IF(ISNUMBER(SEARCH("Приборы с поддержкой протокола СПОДЭС - СЕ308 (СПОДЭС)",INDEX(ТУ!$BD:$BD,MATCH($U28*1,ТУ!$CP:$CP,0),1))),"СЕ308 (СПОДЭС)",
IF(ISNUMBER(SEARCH("Приборы с поддержкой протокола СПОДЭС - СЕ207 (СПОДЭС)",INDEX(ТУ!$BD:$BD,MATCH($U28*1,ТУ!$CP:$CP,0),1))),"СЕ207 (СПОДЭС)",
IF(ISNUMBER(SEARCH("Приборы с поддержкой протокола СПОДЭС - СТЭМ-300 (СПОДЭС)",INDEX(ТУ!$BD:$BD,MATCH($U28*1,ТУ!$CP:$CP,0),1))),"СТЭМ-300 (СПОДЭС)",
IF(ISNUMBER(SEARCH("ТехноЭнерго - ТЕ3000",INDEX(ТУ!$BD:$BD,MATCH($U28*1,ТУ!$CP:$CP,0),1))),"ТЕ3000",
IF(ISNUMBER(SEARCH("НЗиФ - СЭТ-4ТМ",INDEX(ТУ!$BD:$BD,MATCH($U28*1,ТУ!$CP:$CP,0),1))),"СЭТ-4ТМ",
INDEX(ТУ!$BD:$BD,MATCH($U28*1,ТУ!$CP:$CP,0),1)
)))))))))))))</f>
        <v>Инкотекс - Меркурий 230 (Постоянная счетчика - 1000, Учитываемые типы энергии - А+,А-,Р+,Р-)</v>
      </c>
      <c r="AC28" s="40" t="s">
        <v>2</v>
      </c>
      <c r="AD28" s="40" t="str">
        <f>IF(ISNUMBER(IFERROR(LEFT(IF(INDEX(ТУ!$CI:$CI,MATCH($U28*1,ТУ!$CP:$CP,0),1)=0,"",INDEX(ТУ!$CI:$CI,MATCH($U28*1,ТУ!$CP:$CP,0),1)),SEARCH(" ",IF(INDEX(ТУ!$CI:$CI,MATCH($U28*1,ТУ!$CP:$CP,0),1)=0,"",INDEX(ТУ!$CI:$CI,MATCH($U28*1,ТУ!$CP:$CP,0),1)),1)-1),"")*1),IFERROR(LEFT(IF(INDEX(ТУ!$CI:$CI,MATCH($U28*1,ТУ!$CP:$CP,0),1)=0,"",INDEX(ТУ!$CI:$CI,MATCH($U28*1,ТУ!$CP:$CP,0),1)),SEARCH(" ",IF(INDEX(ТУ!$CI:$CI,MATCH($U28*1,ТУ!$CP:$CP,0),1)=0,"",INDEX(ТУ!$CI:$CI,MATCH($U28*1,ТУ!$CP:$CP,0),1)),1)-1),""),"")</f>
        <v>77620001006916</v>
      </c>
      <c r="AE28" s="40" t="str">
        <f>IF(INDEX(ТУ!$CB:$CB,MATCH($U28*1,ТУ!$CP:$CP,0),1)=0,INDEX(Adr!$B:$B,MATCH($U28*1,Adr!$C:$C,0),1),INDEX(ТУ!$CB:$CB,MATCH($U28*1,ТУ!$CP:$CP,0),1))</f>
        <v>83</v>
      </c>
      <c r="AF28" s="45" t="str">
        <f>IF(INDEX(ТУ!$CD:$CD,MATCH($U28*1,ТУ!$CP:$CP,0),1)=0,"",INDEX(ТУ!$CD:$CD,MATCH($U28*1,ТУ!$CP:$CP,0),1))</f>
        <v>"222222"</v>
      </c>
      <c r="AG28" s="45">
        <f>0</f>
        <v>0</v>
      </c>
      <c r="AH28" s="26">
        <f t="shared" si="17"/>
        <v>80</v>
      </c>
      <c r="AI28" s="20" t="str">
        <f t="shared" si="18"/>
        <v>805001461</v>
      </c>
      <c r="AJ28" s="41" t="str">
        <f t="shared" si="1"/>
        <v>10.82.243.154</v>
      </c>
      <c r="AK28" s="41" t="str">
        <f>IF($AP28="",IFERROR(IFERROR(LEFT(RIGHT(INDEX(ТУ!$CE:$CE,MATCH($U28*1,ТУ!$CP:$CP,0),1),LEN(INDEX(ТУ!$CE:$CE,MATCH($U28*1,ТУ!$CP:$CP,0),1))-SEARCH(":",INDEX(ТУ!$CE:$CE,MATCH($U28*1,ТУ!$CP:$CP,0),1))),SEARCH("/",RIGHT(INDEX(ТУ!$CE:$CE,MATCH($U28*1,ТУ!$CP:$CP,0),1),LEN(INDEX(ТУ!$CE:$CE,MATCH($U28*1,ТУ!$CP:$CP,0),1))-SEARCH(":",INDEX(ТУ!$CE:$CE,MATCH($U28*1,ТУ!$CP:$CP,0),1))))-1), RIGHT(INDEX(ТУ!$CE:$CE,MATCH($U28*1,ТУ!$CP:$CP,0),1),LEN(INDEX(ТУ!$CE:$CE,MATCH($U28*1,ТУ!$CP:$CP,0),1))-SEARCH(":",INDEX(ТУ!$CE:$CE,MATCH($U28*1,ТУ!$CP:$CP,0),1)))), ""),IFERROR(IFERROR(LEFT(RIGHT(INDEX(УСПД!$M:$M,MATCH(IFERROR(1*LEFT(INDEX(ТУ!$CG:$CG,MATCH($U28*1,ТУ!$CP:$CP,0),1),SEARCH(" ",INDEX(ТУ!$CG:$CG,MATCH($U28*1,ТУ!$CP:$CP,0),1))-1),""),УСПД!$N:$N,0),1),LEN(INDEX(УСПД!$M:$M,MATCH(IFERROR(1*LEFT(INDEX(ТУ!$CG:$CG,MATCH($U28*1,ТУ!$CP:$CP,0),1),SEARCH(" ",INDEX(ТУ!$CG:$CG,MATCH($U28*1,ТУ!$CP:$CP,0),1))-1),""),УСПД!$N:$N,0),1))-SEARCH(":",INDEX(УСПД!$M:$M,MATCH(IFERROR(1*LEFT(INDEX(ТУ!$CG:$CG,MATCH($U28*1,ТУ!$CP:$CP,0),1),SEARCH(" ",INDEX(ТУ!$CG:$CG,MATCH($U28*1,ТУ!$CP:$CP,0),1))-1),""),УСПД!$N:$N,0),1))),SEARCH("/",RIGHT(INDEX(УСПД!$M:$M,MATCH(IFERROR(1*LEFT(INDEX(ТУ!$CG:$CG,MATCH($U28*1,ТУ!$CP:$CP,0),1),SEARCH(" ",INDEX(ТУ!$CG:$CG,MATCH($U28*1,ТУ!$CP:$CP,0),1))-1),""),УСПД!$N:$N,0),1),LEN(INDEX(УСПД!$M:$M,MATCH(IFERROR(1*LEFT(INDEX(ТУ!$CG:$CG,MATCH($U28*1,ТУ!$CP:$CP,0),1),SEARCH(" ",INDEX(ТУ!$CG:$CG,MATCH($U28*1,ТУ!$CP:$CP,0),1))-1),""),УСПД!$N:$N,0),1))-SEARCH(":",INDEX(УСПД!$M:$M,MATCH(IFERROR(1*LEFT(INDEX(ТУ!$CG:$CG,MATCH($U28*1,ТУ!$CP:$CP,0),1),SEARCH(" ",INDEX(ТУ!$CG:$CG,MATCH($U28*1,ТУ!$CP:$CP,0),1))-1),""),УСПД!$N:$N,0),1))))-1), RIGHT(INDEX(УСПД!$M:$M,MATCH(IFERROR(1*LEFT(INDEX(ТУ!$CG:$CG,MATCH($U28*1,ТУ!$CP:$CP,0),1),SEARCH(" ",INDEX(ТУ!$CG:$CG,MATCH($U28*1,ТУ!$CP:$CP,0),1))-1),""),УСПД!$N:$N,0),1),LEN(INDEX(УСПД!$M:$M,MATCH(IFERROR(1*LEFT(INDEX(ТУ!$CG:$CG,MATCH($U28*1,ТУ!$CP:$CP,0),1),SEARCH(" ",INDEX(ТУ!$CG:$CG,MATCH($U28*1,ТУ!$CP:$CP,0),1))-1),""),УСПД!$N:$N,0),1))-SEARCH(":",INDEX(УСПД!$M:$M,MATCH(IFERROR(1*LEFT(INDEX(ТУ!$CG:$CG,MATCH($U28*1,ТУ!$CP:$CP,0),1),SEARCH(" ",INDEX(ТУ!$CG:$CG,MATCH($U28*1,ТУ!$CP:$CP,0),1))-1),""),УСПД!$N:$N,0),1)))), ""))</f>
        <v>4001</v>
      </c>
      <c r="AL28" s="41"/>
      <c r="AM28" s="57" t="str">
        <f>IFERROR(IFERROR(INDEX(Tel!$B:$B,MATCH($AJ28,Tel!$E:$E,0),1),INDEX(Tel!$B:$B,MATCH($AJ28,Tel!$D:$D,0),1)),"")</f>
        <v/>
      </c>
      <c r="AN28" s="59" t="str">
        <f>IF(ISNUMBER(SEARCH("ТОПАЗ - ТОПАЗ УСПД",IFERROR(RIGHT(LEFT(INDEX(ТУ!$CG:$CG,MATCH($U28*1,ТУ!$CP:$CP,0),1),SEARCH(")",INDEX(ТУ!$CG:$CG,MATCH($U28*1,ТУ!$CP:$CP,0),1))-1),LEN(LEFT(INDEX(ТУ!$CG:$CG,MATCH($U28*1,ТУ!$CP:$CP,0),1),SEARCH(")",INDEX(ТУ!$CG:$CG,MATCH($U28*1,ТУ!$CP:$CP,0),1))-1))-SEARCH("(",INDEX(ТУ!$CG:$CG,MATCH($U28*1,ТУ!$CP:$CP,0),1))),""),1)),"RTU-327",
IF(ISNUMBER(SEARCH("TELEOFIS",$AP28)),"Модем",
""))</f>
        <v/>
      </c>
      <c r="AO28" s="27" t="str">
        <f t="shared" si="0"/>
        <v/>
      </c>
      <c r="AP28" s="57" t="str">
        <f>IF(ISNUMBER(SEARCH("Миландр - Милур GSM/GPRS модем",IFERROR(RIGHT(LEFT(INDEX(ТУ!$CG:$CG,MATCH($U28*1,ТУ!$CP:$CP,0),1),SEARCH(")",INDEX(ТУ!$CG:$CG,MATCH($U28*1,ТУ!$CP:$CP,0),1))-1),LEN(LEFT(INDEX(ТУ!$CG:$CG,MATCH($U28*1,ТУ!$CP:$CP,0),1),SEARCH(")",INDEX(ТУ!$CG:$CG,MATCH($U28*1,ТУ!$CP:$CP,0),1))-1))-SEARCH("(",INDEX(ТУ!$CG:$CG,MATCH($U28*1,ТУ!$CP:$CP,0),1))),""),1)), "TELEOFIS WRX708-L4",IFERROR(RIGHT(LEFT(INDEX(ТУ!$CG:$CG,MATCH($U28*1,ТУ!$CP:$CP,0),1),SEARCH(")",INDEX(ТУ!$CG:$CG,MATCH($U28*1,ТУ!$CP:$CP,0),1))-1),LEN(LEFT(INDEX(ТУ!$CG:$CG,MATCH($U28*1,ТУ!$CP:$CP,0),1),SEARCH(")",INDEX(ТУ!$CG:$CG,MATCH($U28*1,ТУ!$CP:$CP,0),1))-1))-SEARCH("(",INDEX(ТУ!$CG:$CG,MATCH($U28*1,ТУ!$CP:$CP,0),1))),""))</f>
        <v/>
      </c>
      <c r="AQ28" s="57" t="str">
        <f>IFERROR(IF(INDEX(УСПД!$K:$K,MATCH($AS28*1,УСПД!$N:$N,0),1)=0,"",INDEX(УСПД!$K:$K,MATCH($AS28*1,УСПД!$N:$N,0),1)),"")</f>
        <v/>
      </c>
      <c r="AR28" s="57" t="str">
        <f>IFERROR(IF(INDEX(УСПД!$L:$L,MATCH($AS28*1,УСПД!$N:$N,0),1)=0,"",INDEX(УСПД!$L:$L,MATCH($AS28*1,УСПД!$N:$N,0),1)),"")</f>
        <v/>
      </c>
      <c r="AS28" s="60" t="str">
        <f>IFERROR(LEFT(INDEX(ТУ!$CG:$CG,MATCH($U28*1,ТУ!$CP:$CP,0),1),SEARCH(" ",INDEX(ТУ!$CG:$CG,MATCH($U28*1,ТУ!$CP:$CP,0),1))-1),"")</f>
        <v/>
      </c>
      <c r="AT28" s="59" t="s">
        <v>360</v>
      </c>
      <c r="AU28" s="59">
        <f>3</f>
        <v>3</v>
      </c>
      <c r="AV28" s="59" t="s">
        <v>368</v>
      </c>
      <c r="AW28" s="149">
        <f t="shared" si="19"/>
        <v>58</v>
      </c>
      <c r="AX28" s="149">
        <f t="shared" si="20"/>
        <v>34</v>
      </c>
      <c r="AY28" s="149" t="str">
        <f t="shared" si="21"/>
        <v/>
      </c>
      <c r="AZ28" s="149" t="str">
        <f t="shared" si="22"/>
        <v/>
      </c>
      <c r="BA28" s="149">
        <f t="shared" si="23"/>
        <v>1</v>
      </c>
      <c r="BB28" s="154" t="str">
        <f>IF($AP28="",IFERROR(IFERROR(LEFT(RIGHT(INDEX(ТУ!$CE:$CE,MATCH($U28*1,ТУ!$CP:$CP,0),1),LEN(INDEX(ТУ!$CE:$CE,MATCH($U28*1,ТУ!$CP:$CP,0),1))-SEARCH(", ",INDEX(ТУ!$CE:$CE,MATCH($U28*1,ТУ!$CP:$CP,0),1),SEARCH(", ",INDEX(ТУ!$CE:$CE,MATCH($U28*1,ТУ!$CP:$CP,0),1))+1)-1),SEARCH(":",RIGHT(INDEX(ТУ!$CE:$CE,MATCH($U28*1,ТУ!$CP:$CP,0),1),LEN(INDEX(ТУ!$CE:$CE,MATCH($U28*1,ТУ!$CP:$CP,0),1))-SEARCH(", ",INDEX(ТУ!$CE:$CE,MATCH($U28*1,ТУ!$CP:$CP,0),1),SEARCH(", ",INDEX(ТУ!$CE:$CE,MATCH($U28*1,ТУ!$CP:$CP,0),1))+1)-1))-1),LEFT(INDEX(ТУ!$CE:$CE,MATCH($U28*1,ТУ!$CP:$CP,0),1),SEARCH(":",INDEX(ТУ!$CE:$CE,MATCH($U28*1,ТУ!$CP:$CP,0),1))-1)),""),IFERROR(IFERROR(LEFT(RIGHT(INDEX(УСПД!$M:$M,MATCH(IFERROR(1*LEFT(INDEX(ТУ!$CG:$CG,MATCH($U28*1,ТУ!$CP:$CP,0),1),SEARCH(" ",INDEX(ТУ!$CG:$CG,MATCH($U28*1,ТУ!$CP:$CP,0),1))-1),""),УСПД!$N:$N,0),1),LEN(INDEX(УСПД!$M:$M,MATCH(IFERROR(1*LEFT(INDEX(ТУ!$CG:$CG,MATCH($U28*1,ТУ!$CP:$CP,0),1),SEARCH(" ",INDEX(ТУ!$CG:$CG,MATCH($U28*1,ТУ!$CP:$CP,0),1))-1),""),УСПД!$N:$N,0),1))-SEARCH(", ",INDEX(УСПД!$M:$M,MATCH(IFERROR(1*LEFT(INDEX(ТУ!$CG:$CG,MATCH($U28*1,ТУ!$CP:$CP,0),1),SEARCH(" ",INDEX(ТУ!$CG:$CG,MATCH($U28*1,ТУ!$CP:$CP,0),1))-1),""),УСПД!$N:$N,0),1),SEARCH(", ",INDEX(УСПД!$M:$M,MATCH(IFERROR(1*LEFT(INDEX(ТУ!$CG:$CG,MATCH($U28*1,ТУ!$CP:$CP,0),1),SEARCH(" ",INDEX(ТУ!$CG:$CG,MATCH($U28*1,ТУ!$CP:$CP,0),1))-1),""),УСПД!$N:$N,0),1))+1)-1),SEARCH(":",RIGHT(INDEX(УСПД!$M:$M,MATCH(IFERROR(1*LEFT(INDEX(ТУ!$CG:$CG,MATCH($U28*1,ТУ!$CP:$CP,0),1),SEARCH(" ",INDEX(ТУ!$CG:$CG,MATCH($U28*1,ТУ!$CP:$CP,0),1))-1),""),УСПД!$N:$N,0),1),LEN(INDEX(УСПД!$M:$M,MATCH(IFERROR(1*LEFT(INDEX(ТУ!$CG:$CG,MATCH($U28*1,ТУ!$CP:$CP,0),1),SEARCH(" ",INDEX(ТУ!$CG:$CG,MATCH($U28*1,ТУ!$CP:$CP,0),1))-1),""),УСПД!$N:$N,0),1))-SEARCH(", ",INDEX(УСПД!$M:$M,MATCH(IFERROR(1*LEFT(INDEX(ТУ!$CG:$CG,MATCH($U28*1,ТУ!$CP:$CP,0),1),SEARCH(" ",INDEX(ТУ!$CG:$CG,MATCH($U28*1,ТУ!$CP:$CP,0),1))-1),""),УСПД!$N:$N,0),1),SEARCH(", ",INDEX(УСПД!$M:$M,MATCH(IFERROR(1*LEFT(INDEX(ТУ!$CG:$CG,MATCH($U28*1,ТУ!$CP:$CP,0),1),SEARCH(" ",INDEX(ТУ!$CG:$CG,MATCH($U28*1,ТУ!$CP:$CP,0),1))-1),""),УСПД!$N:$N,0),1))+1)-1))-1),LEFT(INDEX(УСПД!$M:$M,MATCH(IFERROR(1*LEFT(INDEX(ТУ!$CG:$CG,MATCH($U28*1,ТУ!$CP:$CP,0),1),SEARCH(" ",INDEX(ТУ!$CG:$CG,MATCH($U28*1,ТУ!$CP:$CP,0),1))-1),""),УСПД!$N:$N,0),1),SEARCH(":",INDEX(УСПД!$M:$M,MATCH(IFERROR(1*LEFT(INDEX(ТУ!$CG:$CG,MATCH($U28*1,ТУ!$CP:$CP,0),1),SEARCH(" ",INDEX(ТУ!$CG:$CG,MATCH($U28*1,ТУ!$CP:$CP,0),1))-1),""),УСПД!$N:$N,0),1))-1)),""))</f>
        <v>10.82.243.154</v>
      </c>
      <c r="BC28" s="155" t="str">
        <f>INDEX(ТУ!$AF:$AF,MATCH($U28*1,ТУ!$CP:$CP,0),1)</f>
        <v>ТП-146</v>
      </c>
      <c r="BD28" s="155">
        <f>INDEX(ТУ!$X:$X,MATCH($U28*1,ТУ!$CP:$CP,0),1)</f>
        <v>0</v>
      </c>
      <c r="BE28" s="155">
        <f>INDEX(ТУ!$CL:$CL,MATCH($U28*1,ТУ!$CP:$CP,0),1)</f>
        <v>0</v>
      </c>
      <c r="BF28" s="147" t="str">
        <f>IFERROR(INDEX(естьАЦ!$A:$A,MATCH($U28*1,естьАЦ!$A:$A,0),1),"нет в АЦ")</f>
        <v>нет в АЦ</v>
      </c>
    </row>
    <row r="29" spans="1:58" ht="15" x14ac:dyDescent="0.25">
      <c r="A29" s="55">
        <f>3</f>
        <v>3</v>
      </c>
      <c r="B29" s="42" t="str">
        <f>IFERROR(IFERROR(INDEX(Справочники!$A$2:$P$79,MATCH(INDEX(ТУ!$E:$E,MATCH($U29*1,ТУ!$CP:$CP,0),1),Справочники!$P$2:$P$79,0),2),INDEX(Справочники!$A$2:$P$79,MATCH((INDEX(ТУ!$E:$E,MATCH($U29*1,ТУ!$CP:$CP,0),1))*1,Справочники!$P$2:$P$79,0),2)),"")</f>
        <v>19 р-н МКС (СЗОРУПЭ)</v>
      </c>
      <c r="C29" s="46" t="str">
        <f>IFERROR(TRIM(LEFT(INDEX(ТУ!$AF:$AF,MATCH($U29*1,ТУ!$CP:$CP,0),1),SEARCH("-",INDEX(ТУ!$AF:$AF,MATCH($U29*1,ТУ!$CP:$CP,0),1))-1)),IFERROR(LEFT(INDEX(ТУ!$X:$X,MATCH($U29*1,ТУ!$CP:$CP,0),1),SEARCH("-",INDEX(ТУ!$X:$X,MATCH($U29*1,ТУ!$CP:$CP,0),1))-1),"ТП"))</f>
        <v>ТП</v>
      </c>
      <c r="D29" s="47" t="str">
        <f>IF(TRIM(IF(ISNUMBER((IFERROR(RIGHT(INDEX(ТУ!$AF:$AF,MATCH($U29*1,ТУ!$CP:$CP,0),1),LEN(INDEX(ТУ!$AF:$AF,MATCH($U29*1,ТУ!$CP:$CP,0),1))-SEARCH("-",INDEX(ТУ!$AF:$AF,MATCH($U29*1,ТУ!$CP:$CP,0),1))),INDEX(ТУ!$AF:$AF,MATCH($U29*1,ТУ!$CP:$CP,0),1)))*1),IFERROR(RIGHT(INDEX(ТУ!$AF:$AF,MATCH($U29*1,ТУ!$CP:$CP,0),1),LEN(INDEX(ТУ!$AF:$AF,MATCH($U29*1,ТУ!$CP:$CP,0),1))-SEARCH("-",INDEX(ТУ!$AF:$AF,MATCH($U29*1,ТУ!$CP:$CP,0),1))),INDEX(ТУ!$AF:$AF,MATCH($U29*1,ТУ!$CP:$CP,0),1)),""))="",TRIM(IF(ISNUMBER((IFERROR(RIGHT(INDEX(ТУ!$X:$X,MATCH($U29*1,ТУ!$CP:$CP,0),1),LEN(INDEX(ТУ!$X:$X,MATCH($U29*1,ТУ!$CP:$CP,0),1))-SEARCH("-",INDEX(ТУ!$X:$X,MATCH($U29*1,ТУ!$CP:$CP,0),1))),INDEX(ТУ!$X:$X,MATCH($U29*1,ТУ!$CP:$CP,0),1)))*1),IFERROR(RIGHT(INDEX(ТУ!$X:$X,MATCH($U29*1,ТУ!$CP:$CP,0),1),LEN(INDEX(ТУ!$X:$X,MATCH($U29*1,ТУ!$CP:$CP,0),1))-SEARCH("-",INDEX(ТУ!$X:$X,MATCH($U29*1,ТУ!$CP:$CP,0),1))),INDEX(ТУ!$X:$X,MATCH($U29*1,ТУ!$CP:$CP,0),1)),"")),TRIM(IF(ISNUMBER((IFERROR(RIGHT(INDEX(ТУ!$AF:$AF,MATCH($U29*1,ТУ!$CP:$CP,0),1),LEN(INDEX(ТУ!$AF:$AF,MATCH($U29*1,ТУ!$CP:$CP,0),1))-SEARCH("-",INDEX(ТУ!$AF:$AF,MATCH($U29*1,ТУ!$CP:$CP,0),1))),INDEX(ТУ!$AF:$AF,MATCH($U29*1,ТУ!$CP:$CP,0),1)))*1),IFERROR(RIGHT(INDEX(ТУ!$AF:$AF,MATCH($U29*1,ТУ!$CP:$CP,0),1),LEN(INDEX(ТУ!$AF:$AF,MATCH($U29*1,ТУ!$CP:$CP,0),1))-SEARCH("-",INDEX(ТУ!$AF:$AF,MATCH($U29*1,ТУ!$CP:$CP,0),1))),INDEX(ТУ!$AF:$AF,MATCH($U29*1,ТУ!$CP:$CP,0),1)),"")))</f>
        <v>22648</v>
      </c>
      <c r="E29" s="25" t="str">
        <f t="shared" si="2"/>
        <v>МКС</v>
      </c>
      <c r="F29" s="20">
        <f t="shared" si="3"/>
        <v>93</v>
      </c>
      <c r="G29" s="21">
        <f t="shared" si="4"/>
        <v>5</v>
      </c>
      <c r="H29" s="25" t="str">
        <f t="shared" si="5"/>
        <v>ТП-22648</v>
      </c>
      <c r="I29" s="25" t="str">
        <f t="shared" si="6"/>
        <v>93522648</v>
      </c>
      <c r="J29" s="42" t="str">
        <f>INDEX(Справочники!$M:$M,MATCH(IF(INDEX(ТУ!$BO:$BO,MATCH($U29*1,ТУ!$CP:$CP,0),1)=1,1,INDEX(ТУ!$BO:$BO,MATCH($U29*1,ТУ!$CP:$CP,0),1)*100),Справочники!$N:$N,0),1)</f>
        <v>0.4 кВ</v>
      </c>
      <c r="K29" s="40">
        <f>1</f>
        <v>1</v>
      </c>
      <c r="L29" s="20" t="str">
        <f t="shared" si="7"/>
        <v>СШ-1</v>
      </c>
      <c r="M29" s="20">
        <f t="shared" si="8"/>
        <v>1</v>
      </c>
      <c r="N29" s="40"/>
      <c r="O29" s="56" t="str">
        <f t="shared" si="9"/>
        <v>Ввод-1-1</v>
      </c>
      <c r="P29" s="57" t="str">
        <f>IFERROR(IF(INDEX(ТУ!$AO:$AO,MATCH($U29*1,ТУ!$CP:$CP,0),1)=0,"",INDEX(ТУ!$AO:$AO,MATCH($U29*1,ТУ!$CP:$CP,0),1)),"")</f>
        <v>вв от опоры МГС А</v>
      </c>
      <c r="Q29" s="40">
        <f>IFERROR(IF(INDEX(ТУ!$BN:$BN,MATCH($U29*1,ТУ!$CP:$CP,0),1)=1,1,INDEX(ТУ!$BN:$BN,MATCH($U29*1,ТУ!$CP:$CP,0),1)*5),"")</f>
        <v>1</v>
      </c>
      <c r="R29" s="25">
        <f t="shared" si="10"/>
        <v>1</v>
      </c>
      <c r="S29" s="25">
        <f t="shared" si="11"/>
        <v>1</v>
      </c>
      <c r="T29" s="25">
        <f t="shared" si="12"/>
        <v>1</v>
      </c>
      <c r="U29" s="105" t="s">
        <v>770</v>
      </c>
      <c r="V29" s="43">
        <f>IF(INDEX(ТУ!$BH:$BH,MATCH($U29*1,ТУ!$CP:$CP,0),1)=0,"",INDEX(ТУ!$BH:$BH,MATCH($U29*1,ТУ!$CP:$CP,0),1))</f>
        <v>44591</v>
      </c>
      <c r="W29" s="43" t="str">
        <f>IF(INDEX(ТУ!$BI:$BI,MATCH($U29*1,ТУ!$CP:$CP,0),1)=0,"",INDEX(ТУ!$BI:$BI,MATCH($U29*1,ТУ!$CP:$CP,0),1))</f>
        <v>15.11.2021</v>
      </c>
      <c r="X29" s="58" t="str">
        <f t="shared" si="13"/>
        <v>Меркурий-23X</v>
      </c>
      <c r="Y29" s="25">
        <f t="shared" si="14"/>
        <v>15</v>
      </c>
      <c r="Z29" s="42" t="str">
        <f t="shared" si="15"/>
        <v/>
      </c>
      <c r="AA29" s="25" t="str">
        <f t="shared" si="16"/>
        <v/>
      </c>
      <c r="AB29" s="40" t="str">
        <f>IF(ISNUMBER(SEARCH("Приборы с поддержкой протокола СПОДЭС - Нартис-И300 (СПОДЭС)",INDEX(ТУ!$BD:$BD,MATCH($U29*1,ТУ!$CP:$CP,0),1))),"Нартис-И300",
IF(ISNUMBER(SEARCH("Приборы с поддержкой протокола СПОДЭС - Меркурий 234 (СПОДЭС)",INDEX(ТУ!$BD:$BD,MATCH($U29*1,ТУ!$CP:$CP,0),1))),"Меркурий 234 (СПОДЭС)",
IF(ISNUMBER(SEARCH("Приборы с поддержкой протокола СПОДЭС - Нартис-300 (СПОДЭС)",INDEX(ТУ!$BD:$BD,MATCH($U29*1,ТУ!$CP:$CP,0),1))),"Нартис-300",
IF(ISNUMBER(SEARCH("Инкотекс - Меркурий 234",INDEX(ТУ!$BD:$BD,MATCH($U29*1,ТУ!$CP:$CP,0),1))),"Меркурий 234",
IF(ISNUMBER(SEARCH("Инкотекс - Меркурий 206",INDEX(ТУ!$BD:$BD,MATCH($U29*1,ТУ!$CP:$CP,0),1))),"Меркурий 206",
IF(ISNUMBER(SEARCH("Приборы с поддержкой протокола СПОДЭС - Универсальный счетчик СПОДЭС 2 трехфазный",INDEX(ТУ!$BD:$BD,MATCH($U29*1,ТУ!$CP:$CP,0),1))),"Нартис-И300",
IF(ISNUMBER(SEARCH("Приборы с поддержкой протокола СПОДЭС - Универсальный счетчик СПОДЭС 2 однофазный",INDEX(ТУ!$BD:$BD,MATCH($U29*1,ТУ!$CP:$CP,0),1))),"Нартис-И100",
IF(ISNUMBER(SEARCH("Приборы с поддержкой протокола СПОДЭС - Нартис-И100 (СПОДЭС)",INDEX(ТУ!$BD:$BD,MATCH($U29*1,ТУ!$CP:$CP,0),1))),"Нартис-И100",
IF(ISNUMBER(SEARCH("Приборы с поддержкой протокола СПОДЭС - СЕ308 (СПОДЭС)",INDEX(ТУ!$BD:$BD,MATCH($U29*1,ТУ!$CP:$CP,0),1))),"СЕ308 (СПОДЭС)",
IF(ISNUMBER(SEARCH("Приборы с поддержкой протокола СПОДЭС - СЕ207 (СПОДЭС)",INDEX(ТУ!$BD:$BD,MATCH($U29*1,ТУ!$CP:$CP,0),1))),"СЕ207 (СПОДЭС)",
IF(ISNUMBER(SEARCH("Приборы с поддержкой протокола СПОДЭС - СТЭМ-300 (СПОДЭС)",INDEX(ТУ!$BD:$BD,MATCH($U29*1,ТУ!$CP:$CP,0),1))),"СТЭМ-300 (СПОДЭС)",
IF(ISNUMBER(SEARCH("ТехноЭнерго - ТЕ3000",INDEX(ТУ!$BD:$BD,MATCH($U29*1,ТУ!$CP:$CP,0),1))),"ТЕ3000",
IF(ISNUMBER(SEARCH("НЗиФ - СЭТ-4ТМ",INDEX(ТУ!$BD:$BD,MATCH($U29*1,ТУ!$CP:$CP,0),1))),"СЭТ-4ТМ",
INDEX(ТУ!$BD:$BD,MATCH($U29*1,ТУ!$CP:$CP,0),1)
)))))))))))))</f>
        <v>Меркурий 234</v>
      </c>
      <c r="AC29" s="40" t="s">
        <v>2</v>
      </c>
      <c r="AD29" s="40" t="str">
        <f>IF(ISNUMBER(IFERROR(LEFT(IF(INDEX(ТУ!$CI:$CI,MATCH($U29*1,ТУ!$CP:$CP,0),1)=0,"",INDEX(ТУ!$CI:$CI,MATCH($U29*1,ТУ!$CP:$CP,0),1)),SEARCH(" ",IF(INDEX(ТУ!$CI:$CI,MATCH($U29*1,ТУ!$CP:$CP,0),1)=0,"",INDEX(ТУ!$CI:$CI,MATCH($U29*1,ТУ!$CP:$CP,0),1)),1)-1),"")*1),IFERROR(LEFT(IF(INDEX(ТУ!$CI:$CI,MATCH($U29*1,ТУ!$CP:$CP,0),1)=0,"",INDEX(ТУ!$CI:$CI,MATCH($U29*1,ТУ!$CP:$CP,0),1)),SEARCH(" ",IF(INDEX(ТУ!$CI:$CI,MATCH($U29*1,ТУ!$CP:$CP,0),1)=0,"",INDEX(ТУ!$CI:$CI,MATCH($U29*1,ТУ!$CP:$CP,0),1)),1)-1),""),"")</f>
        <v/>
      </c>
      <c r="AE29" s="40" t="str">
        <f>IF(INDEX(ТУ!$CB:$CB,MATCH($U29*1,ТУ!$CP:$CP,0),1)=0,INDEX(Adr!$B:$B,MATCH($U29*1,Adr!$C:$C,0),1),INDEX(ТУ!$CB:$CB,MATCH($U29*1,ТУ!$CP:$CP,0),1))</f>
        <v>5</v>
      </c>
      <c r="AF29" s="45" t="str">
        <f>IF(INDEX(ТУ!$CD:$CD,MATCH($U29*1,ТУ!$CP:$CP,0),1)=0,"",INDEX(ТУ!$CD:$CD,MATCH($U29*1,ТУ!$CP:$CP,0),1))</f>
        <v/>
      </c>
      <c r="AG29" s="45">
        <f>0</f>
        <v>0</v>
      </c>
      <c r="AH29" s="26">
        <f t="shared" si="17"/>
        <v>93</v>
      </c>
      <c r="AI29" s="20" t="str">
        <f t="shared" si="18"/>
        <v>935226481</v>
      </c>
      <c r="AJ29" s="41" t="str">
        <f t="shared" si="1"/>
        <v>10.78.177.232</v>
      </c>
      <c r="AK29" s="41" t="str">
        <f>IF($AP29="",IFERROR(IFERROR(LEFT(RIGHT(INDEX(ТУ!$CE:$CE,MATCH($U29*1,ТУ!$CP:$CP,0),1),LEN(INDEX(ТУ!$CE:$CE,MATCH($U29*1,ТУ!$CP:$CP,0),1))-SEARCH(":",INDEX(ТУ!$CE:$CE,MATCH($U29*1,ТУ!$CP:$CP,0),1))),SEARCH("/",RIGHT(INDEX(ТУ!$CE:$CE,MATCH($U29*1,ТУ!$CP:$CP,0),1),LEN(INDEX(ТУ!$CE:$CE,MATCH($U29*1,ТУ!$CP:$CP,0),1))-SEARCH(":",INDEX(ТУ!$CE:$CE,MATCH($U29*1,ТУ!$CP:$CP,0),1))))-1), RIGHT(INDEX(ТУ!$CE:$CE,MATCH($U29*1,ТУ!$CP:$CP,0),1),LEN(INDEX(ТУ!$CE:$CE,MATCH($U29*1,ТУ!$CP:$CP,0),1))-SEARCH(":",INDEX(ТУ!$CE:$CE,MATCH($U29*1,ТУ!$CP:$CP,0),1)))), ""),IFERROR(IFERROR(LEFT(RIGHT(INDEX(УСПД!$M:$M,MATCH(IFERROR(1*LEFT(INDEX(ТУ!$CG:$CG,MATCH($U29*1,ТУ!$CP:$CP,0),1),SEARCH(" ",INDEX(ТУ!$CG:$CG,MATCH($U29*1,ТУ!$CP:$CP,0),1))-1),""),УСПД!$N:$N,0),1),LEN(INDEX(УСПД!$M:$M,MATCH(IFERROR(1*LEFT(INDEX(ТУ!$CG:$CG,MATCH($U29*1,ТУ!$CP:$CP,0),1),SEARCH(" ",INDEX(ТУ!$CG:$CG,MATCH($U29*1,ТУ!$CP:$CP,0),1))-1),""),УСПД!$N:$N,0),1))-SEARCH(":",INDEX(УСПД!$M:$M,MATCH(IFERROR(1*LEFT(INDEX(ТУ!$CG:$CG,MATCH($U29*1,ТУ!$CP:$CP,0),1),SEARCH(" ",INDEX(ТУ!$CG:$CG,MATCH($U29*1,ТУ!$CP:$CP,0),1))-1),""),УСПД!$N:$N,0),1))),SEARCH("/",RIGHT(INDEX(УСПД!$M:$M,MATCH(IFERROR(1*LEFT(INDEX(ТУ!$CG:$CG,MATCH($U29*1,ТУ!$CP:$CP,0),1),SEARCH(" ",INDEX(ТУ!$CG:$CG,MATCH($U29*1,ТУ!$CP:$CP,0),1))-1),""),УСПД!$N:$N,0),1),LEN(INDEX(УСПД!$M:$M,MATCH(IFERROR(1*LEFT(INDEX(ТУ!$CG:$CG,MATCH($U29*1,ТУ!$CP:$CP,0),1),SEARCH(" ",INDEX(ТУ!$CG:$CG,MATCH($U29*1,ТУ!$CP:$CP,0),1))-1),""),УСПД!$N:$N,0),1))-SEARCH(":",INDEX(УСПД!$M:$M,MATCH(IFERROR(1*LEFT(INDEX(ТУ!$CG:$CG,MATCH($U29*1,ТУ!$CP:$CP,0),1),SEARCH(" ",INDEX(ТУ!$CG:$CG,MATCH($U29*1,ТУ!$CP:$CP,0),1))-1),""),УСПД!$N:$N,0),1))))-1), RIGHT(INDEX(УСПД!$M:$M,MATCH(IFERROR(1*LEFT(INDEX(ТУ!$CG:$CG,MATCH($U29*1,ТУ!$CP:$CP,0),1),SEARCH(" ",INDEX(ТУ!$CG:$CG,MATCH($U29*1,ТУ!$CP:$CP,0),1))-1),""),УСПД!$N:$N,0),1),LEN(INDEX(УСПД!$M:$M,MATCH(IFERROR(1*LEFT(INDEX(ТУ!$CG:$CG,MATCH($U29*1,ТУ!$CP:$CP,0),1),SEARCH(" ",INDEX(ТУ!$CG:$CG,MATCH($U29*1,ТУ!$CP:$CP,0),1))-1),""),УСПД!$N:$N,0),1))-SEARCH(":",INDEX(УСПД!$M:$M,MATCH(IFERROR(1*LEFT(INDEX(ТУ!$CG:$CG,MATCH($U29*1,ТУ!$CP:$CP,0),1),SEARCH(" ",INDEX(ТУ!$CG:$CG,MATCH($U29*1,ТУ!$CP:$CP,0),1))-1),""),УСПД!$N:$N,0),1)))), ""))</f>
        <v>4001</v>
      </c>
      <c r="AL29" s="41"/>
      <c r="AM29" s="57" t="str">
        <f>IFERROR(IFERROR(INDEX(Tel!$B:$B,MATCH($AJ29,Tel!$E:$E,0),1),INDEX(Tel!$B:$B,MATCH($AJ29,Tel!$D:$D,0),1)),"")</f>
        <v/>
      </c>
      <c r="AN29" s="59" t="str">
        <f>IF(ISNUMBER(SEARCH("ТОПАЗ - ТОПАЗ УСПД",IFERROR(RIGHT(LEFT(INDEX(ТУ!$CG:$CG,MATCH($U29*1,ТУ!$CP:$CP,0),1),SEARCH(")",INDEX(ТУ!$CG:$CG,MATCH($U29*1,ТУ!$CP:$CP,0),1))-1),LEN(LEFT(INDEX(ТУ!$CG:$CG,MATCH($U29*1,ТУ!$CP:$CP,0),1),SEARCH(")",INDEX(ТУ!$CG:$CG,MATCH($U29*1,ТУ!$CP:$CP,0),1))-1))-SEARCH("(",INDEX(ТУ!$CG:$CG,MATCH($U29*1,ТУ!$CP:$CP,0),1))),""),1)),"RTU-327",
IF(ISNUMBER(SEARCH("TELEOFIS",$AP29)),"Модем",
""))</f>
        <v/>
      </c>
      <c r="AO29" s="27" t="str">
        <f t="shared" si="0"/>
        <v/>
      </c>
      <c r="AP29" s="57" t="str">
        <f>IF(ISNUMBER(SEARCH("Миландр - Милур GSM/GPRS модем",IFERROR(RIGHT(LEFT(INDEX(ТУ!$CG:$CG,MATCH($U29*1,ТУ!$CP:$CP,0),1),SEARCH(")",INDEX(ТУ!$CG:$CG,MATCH($U29*1,ТУ!$CP:$CP,0),1))-1),LEN(LEFT(INDEX(ТУ!$CG:$CG,MATCH($U29*1,ТУ!$CP:$CP,0),1),SEARCH(")",INDEX(ТУ!$CG:$CG,MATCH($U29*1,ТУ!$CP:$CP,0),1))-1))-SEARCH("(",INDEX(ТУ!$CG:$CG,MATCH($U29*1,ТУ!$CP:$CP,0),1))),""),1)), "TELEOFIS WRX708-L4",IFERROR(RIGHT(LEFT(INDEX(ТУ!$CG:$CG,MATCH($U29*1,ТУ!$CP:$CP,0),1),SEARCH(")",INDEX(ТУ!$CG:$CG,MATCH($U29*1,ТУ!$CP:$CP,0),1))-1),LEN(LEFT(INDEX(ТУ!$CG:$CG,MATCH($U29*1,ТУ!$CP:$CP,0),1),SEARCH(")",INDEX(ТУ!$CG:$CG,MATCH($U29*1,ТУ!$CP:$CP,0),1))-1))-SEARCH("(",INDEX(ТУ!$CG:$CG,MATCH($U29*1,ТУ!$CP:$CP,0),1))),""))</f>
        <v/>
      </c>
      <c r="AQ29" s="57" t="str">
        <f>IFERROR(IF(INDEX(УСПД!$K:$K,MATCH($AS29*1,УСПД!$N:$N,0),1)=0,"",INDEX(УСПД!$K:$K,MATCH($AS29*1,УСПД!$N:$N,0),1)),"")</f>
        <v/>
      </c>
      <c r="AR29" s="57" t="str">
        <f>IFERROR(IF(INDEX(УСПД!$L:$L,MATCH($AS29*1,УСПД!$N:$N,0),1)=0,"",INDEX(УСПД!$L:$L,MATCH($AS29*1,УСПД!$N:$N,0),1)),"")</f>
        <v/>
      </c>
      <c r="AS29" s="60" t="str">
        <f>IFERROR(LEFT(INDEX(ТУ!$CG:$CG,MATCH($U29*1,ТУ!$CP:$CP,0),1),SEARCH(" ",INDEX(ТУ!$CG:$CG,MATCH($U29*1,ТУ!$CP:$CP,0),1))-1),"")</f>
        <v/>
      </c>
      <c r="AT29" s="59" t="s">
        <v>360</v>
      </c>
      <c r="AU29" s="59">
        <f>3</f>
        <v>3</v>
      </c>
      <c r="AV29" s="59" t="s">
        <v>368</v>
      </c>
      <c r="AW29" s="149">
        <f t="shared" si="19"/>
        <v>71</v>
      </c>
      <c r="AX29" s="149">
        <f t="shared" si="20"/>
        <v>15</v>
      </c>
      <c r="AY29" s="149" t="str">
        <f t="shared" si="21"/>
        <v/>
      </c>
      <c r="AZ29" s="149" t="str">
        <f t="shared" si="22"/>
        <v/>
      </c>
      <c r="BA29" s="149">
        <f t="shared" si="23"/>
        <v>1</v>
      </c>
      <c r="BB29" s="154" t="str">
        <f>IF($AP29="",IFERROR(IFERROR(LEFT(RIGHT(INDEX(ТУ!$CE:$CE,MATCH($U29*1,ТУ!$CP:$CP,0),1),LEN(INDEX(ТУ!$CE:$CE,MATCH($U29*1,ТУ!$CP:$CP,0),1))-SEARCH(", ",INDEX(ТУ!$CE:$CE,MATCH($U29*1,ТУ!$CP:$CP,0),1),SEARCH(", ",INDEX(ТУ!$CE:$CE,MATCH($U29*1,ТУ!$CP:$CP,0),1))+1)-1),SEARCH(":",RIGHT(INDEX(ТУ!$CE:$CE,MATCH($U29*1,ТУ!$CP:$CP,0),1),LEN(INDEX(ТУ!$CE:$CE,MATCH($U29*1,ТУ!$CP:$CP,0),1))-SEARCH(", ",INDEX(ТУ!$CE:$CE,MATCH($U29*1,ТУ!$CP:$CP,0),1),SEARCH(", ",INDEX(ТУ!$CE:$CE,MATCH($U29*1,ТУ!$CP:$CP,0),1))+1)-1))-1),LEFT(INDEX(ТУ!$CE:$CE,MATCH($U29*1,ТУ!$CP:$CP,0),1),SEARCH(":",INDEX(ТУ!$CE:$CE,MATCH($U29*1,ТУ!$CP:$CP,0),1))-1)),""),IFERROR(IFERROR(LEFT(RIGHT(INDEX(УСПД!$M:$M,MATCH(IFERROR(1*LEFT(INDEX(ТУ!$CG:$CG,MATCH($U29*1,ТУ!$CP:$CP,0),1),SEARCH(" ",INDEX(ТУ!$CG:$CG,MATCH($U29*1,ТУ!$CP:$CP,0),1))-1),""),УСПД!$N:$N,0),1),LEN(INDEX(УСПД!$M:$M,MATCH(IFERROR(1*LEFT(INDEX(ТУ!$CG:$CG,MATCH($U29*1,ТУ!$CP:$CP,0),1),SEARCH(" ",INDEX(ТУ!$CG:$CG,MATCH($U29*1,ТУ!$CP:$CP,0),1))-1),""),УСПД!$N:$N,0),1))-SEARCH(", ",INDEX(УСПД!$M:$M,MATCH(IFERROR(1*LEFT(INDEX(ТУ!$CG:$CG,MATCH($U29*1,ТУ!$CP:$CP,0),1),SEARCH(" ",INDEX(ТУ!$CG:$CG,MATCH($U29*1,ТУ!$CP:$CP,0),1))-1),""),УСПД!$N:$N,0),1),SEARCH(", ",INDEX(УСПД!$M:$M,MATCH(IFERROR(1*LEFT(INDEX(ТУ!$CG:$CG,MATCH($U29*1,ТУ!$CP:$CP,0),1),SEARCH(" ",INDEX(ТУ!$CG:$CG,MATCH($U29*1,ТУ!$CP:$CP,0),1))-1),""),УСПД!$N:$N,0),1))+1)-1),SEARCH(":",RIGHT(INDEX(УСПД!$M:$M,MATCH(IFERROR(1*LEFT(INDEX(ТУ!$CG:$CG,MATCH($U29*1,ТУ!$CP:$CP,0),1),SEARCH(" ",INDEX(ТУ!$CG:$CG,MATCH($U29*1,ТУ!$CP:$CP,0),1))-1),""),УСПД!$N:$N,0),1),LEN(INDEX(УСПД!$M:$M,MATCH(IFERROR(1*LEFT(INDEX(ТУ!$CG:$CG,MATCH($U29*1,ТУ!$CP:$CP,0),1),SEARCH(" ",INDEX(ТУ!$CG:$CG,MATCH($U29*1,ТУ!$CP:$CP,0),1))-1),""),УСПД!$N:$N,0),1))-SEARCH(", ",INDEX(УСПД!$M:$M,MATCH(IFERROR(1*LEFT(INDEX(ТУ!$CG:$CG,MATCH($U29*1,ТУ!$CP:$CP,0),1),SEARCH(" ",INDEX(ТУ!$CG:$CG,MATCH($U29*1,ТУ!$CP:$CP,0),1))-1),""),УСПД!$N:$N,0),1),SEARCH(", ",INDEX(УСПД!$M:$M,MATCH(IFERROR(1*LEFT(INDEX(ТУ!$CG:$CG,MATCH($U29*1,ТУ!$CP:$CP,0),1),SEARCH(" ",INDEX(ТУ!$CG:$CG,MATCH($U29*1,ТУ!$CP:$CP,0),1))-1),""),УСПД!$N:$N,0),1))+1)-1))-1),LEFT(INDEX(УСПД!$M:$M,MATCH(IFERROR(1*LEFT(INDEX(ТУ!$CG:$CG,MATCH($U29*1,ТУ!$CP:$CP,0),1),SEARCH(" ",INDEX(ТУ!$CG:$CG,MATCH($U29*1,ТУ!$CP:$CP,0),1))-1),""),УСПД!$N:$N,0),1),SEARCH(":",INDEX(УСПД!$M:$M,MATCH(IFERROR(1*LEFT(INDEX(ТУ!$CG:$CG,MATCH($U29*1,ТУ!$CP:$CP,0),1),SEARCH(" ",INDEX(ТУ!$CG:$CG,MATCH($U29*1,ТУ!$CP:$CP,0),1))-1),""),УСПД!$N:$N,0),1))-1)),""))</f>
        <v>10.78.177.232</v>
      </c>
      <c r="BC29" s="155" t="str">
        <f>INDEX(ТУ!$AF:$AF,MATCH($U29*1,ТУ!$CP:$CP,0),1)</f>
        <v>ТП-22648</v>
      </c>
      <c r="BD29" s="155">
        <f>INDEX(ТУ!$X:$X,MATCH($U29*1,ТУ!$CP:$CP,0),1)</f>
        <v>0</v>
      </c>
      <c r="BE29" s="155" t="str">
        <f>INDEX(ТУ!$CL:$CL,MATCH($U29*1,ТУ!$CP:$CP,0),1)</f>
        <v>Не принят ПНР</v>
      </c>
      <c r="BF29" s="147" t="str">
        <f>IFERROR(INDEX(естьАЦ!$A:$A,MATCH($U29*1,естьАЦ!$A:$A,0),1),"нет в АЦ")</f>
        <v>нет в АЦ</v>
      </c>
    </row>
    <row r="30" spans="1:58" ht="15" x14ac:dyDescent="0.25">
      <c r="A30" s="55">
        <f>3</f>
        <v>3</v>
      </c>
      <c r="B30" s="42" t="str">
        <f>IFERROR(IFERROR(INDEX(Справочники!$A$2:$P$79,MATCH(INDEX(ТУ!$E:$E,MATCH($U30*1,ТУ!$CP:$CP,0),1),Справочники!$P$2:$P$79,0),2),INDEX(Справочники!$A$2:$P$79,MATCH((INDEX(ТУ!$E:$E,MATCH($U30*1,ТУ!$CP:$CP,0),1))*1,Справочники!$P$2:$P$79,0),2)),"")</f>
        <v>17 р-н МКС (ЗОРУПЭ)</v>
      </c>
      <c r="C30" s="46" t="str">
        <f>IFERROR(TRIM(LEFT(INDEX(ТУ!$AF:$AF,MATCH($U30*1,ТУ!$CP:$CP,0),1),SEARCH("-",INDEX(ТУ!$AF:$AF,MATCH($U30*1,ТУ!$CP:$CP,0),1))-1)),IFERROR(LEFT(INDEX(ТУ!$X:$X,MATCH($U30*1,ТУ!$CP:$CP,0),1),SEARCH("-",INDEX(ТУ!$X:$X,MATCH($U30*1,ТУ!$CP:$CP,0),1))-1),"ТП"))</f>
        <v>ТП</v>
      </c>
      <c r="D30" s="47" t="str">
        <f>IF(TRIM(IF(ISNUMBER((IFERROR(RIGHT(INDEX(ТУ!$AF:$AF,MATCH($U30*1,ТУ!$CP:$CP,0),1),LEN(INDEX(ТУ!$AF:$AF,MATCH($U30*1,ТУ!$CP:$CP,0),1))-SEARCH("-",INDEX(ТУ!$AF:$AF,MATCH($U30*1,ТУ!$CP:$CP,0),1))),INDEX(ТУ!$AF:$AF,MATCH($U30*1,ТУ!$CP:$CP,0),1)))*1),IFERROR(RIGHT(INDEX(ТУ!$AF:$AF,MATCH($U30*1,ТУ!$CP:$CP,0),1),LEN(INDEX(ТУ!$AF:$AF,MATCH($U30*1,ТУ!$CP:$CP,0),1))-SEARCH("-",INDEX(ТУ!$AF:$AF,MATCH($U30*1,ТУ!$CP:$CP,0),1))),INDEX(ТУ!$AF:$AF,MATCH($U30*1,ТУ!$CP:$CP,0),1)),""))="",TRIM(IF(ISNUMBER((IFERROR(RIGHT(INDEX(ТУ!$X:$X,MATCH($U30*1,ТУ!$CP:$CP,0),1),LEN(INDEX(ТУ!$X:$X,MATCH($U30*1,ТУ!$CP:$CP,0),1))-SEARCH("-",INDEX(ТУ!$X:$X,MATCH($U30*1,ТУ!$CP:$CP,0),1))),INDEX(ТУ!$X:$X,MATCH($U30*1,ТУ!$CP:$CP,0),1)))*1),IFERROR(RIGHT(INDEX(ТУ!$X:$X,MATCH($U30*1,ТУ!$CP:$CP,0),1),LEN(INDEX(ТУ!$X:$X,MATCH($U30*1,ТУ!$CP:$CP,0),1))-SEARCH("-",INDEX(ТУ!$X:$X,MATCH($U30*1,ТУ!$CP:$CP,0),1))),INDEX(ТУ!$X:$X,MATCH($U30*1,ТУ!$CP:$CP,0),1)),"")),TRIM(IF(ISNUMBER((IFERROR(RIGHT(INDEX(ТУ!$AF:$AF,MATCH($U30*1,ТУ!$CP:$CP,0),1),LEN(INDEX(ТУ!$AF:$AF,MATCH($U30*1,ТУ!$CP:$CP,0),1))-SEARCH("-",INDEX(ТУ!$AF:$AF,MATCH($U30*1,ТУ!$CP:$CP,0),1))),INDEX(ТУ!$AF:$AF,MATCH($U30*1,ТУ!$CP:$CP,0),1)))*1),IFERROR(RIGHT(INDEX(ТУ!$AF:$AF,MATCH($U30*1,ТУ!$CP:$CP,0),1),LEN(INDEX(ТУ!$AF:$AF,MATCH($U30*1,ТУ!$CP:$CP,0),1))-SEARCH("-",INDEX(ТУ!$AF:$AF,MATCH($U30*1,ТУ!$CP:$CP,0),1))),INDEX(ТУ!$AF:$AF,MATCH($U30*1,ТУ!$CP:$CP,0),1)),"")))</f>
        <v>6886</v>
      </c>
      <c r="E30" s="25" t="str">
        <f t="shared" si="2"/>
        <v>МКС</v>
      </c>
      <c r="F30" s="20">
        <f t="shared" si="3"/>
        <v>91</v>
      </c>
      <c r="G30" s="21">
        <f t="shared" si="4"/>
        <v>5</v>
      </c>
      <c r="H30" s="25" t="str">
        <f t="shared" si="5"/>
        <v>ТП-6886</v>
      </c>
      <c r="I30" s="25" t="str">
        <f t="shared" si="6"/>
        <v>91506886</v>
      </c>
      <c r="J30" s="42" t="str">
        <f>INDEX(Справочники!$M:$M,MATCH(IF(INDEX(ТУ!$BO:$BO,MATCH($U30*1,ТУ!$CP:$CP,0),1)=1,1,INDEX(ТУ!$BO:$BO,MATCH($U30*1,ТУ!$CP:$CP,0),1)*100),Справочники!$N:$N,0),1)</f>
        <v>0.4 кВ</v>
      </c>
      <c r="K30" s="40">
        <f>1</f>
        <v>1</v>
      </c>
      <c r="L30" s="20" t="str">
        <f t="shared" si="7"/>
        <v>СШ-1</v>
      </c>
      <c r="M30" s="20">
        <f t="shared" si="8"/>
        <v>1</v>
      </c>
      <c r="N30" s="40"/>
      <c r="O30" s="56" t="str">
        <f t="shared" si="9"/>
        <v>Ввод-1-1</v>
      </c>
      <c r="P30" s="57" t="str">
        <f>IFERROR(IF(INDEX(ТУ!$AO:$AO,MATCH($U30*1,ТУ!$CP:$CP,0),1)=0,"",INDEX(ТУ!$AO:$AO,MATCH($U30*1,ТУ!$CP:$CP,0),1)),"")</f>
        <v>ВВ 89556 А</v>
      </c>
      <c r="Q30" s="40">
        <f>IFERROR(IF(INDEX(ТУ!$BN:$BN,MATCH($U30*1,ТУ!$CP:$CP,0),1)=1,1,INDEX(ТУ!$BN:$BN,MATCH($U30*1,ТУ!$CP:$CP,0),1)*5),"")</f>
        <v>1</v>
      </c>
      <c r="R30" s="25">
        <f t="shared" si="10"/>
        <v>1</v>
      </c>
      <c r="S30" s="25">
        <f t="shared" si="11"/>
        <v>1</v>
      </c>
      <c r="T30" s="25">
        <f t="shared" si="12"/>
        <v>1</v>
      </c>
      <c r="U30" s="105" t="s">
        <v>780</v>
      </c>
      <c r="V30" s="43">
        <f>IF(INDEX(ТУ!$BH:$BH,MATCH($U30*1,ТУ!$CP:$CP,0),1)=0,"",INDEX(ТУ!$BH:$BH,MATCH($U30*1,ТУ!$CP:$CP,0),1))</f>
        <v>44653</v>
      </c>
      <c r="W30" s="43" t="str">
        <f>IF(INDEX(ТУ!$BI:$BI,MATCH($U30*1,ТУ!$CP:$CP,0),1)=0,"",INDEX(ТУ!$BI:$BI,MATCH($U30*1,ТУ!$CP:$CP,0),1))</f>
        <v>20.11.2021</v>
      </c>
      <c r="X30" s="58" t="str">
        <f t="shared" si="13"/>
        <v>Меркурий-23X</v>
      </c>
      <c r="Y30" s="25">
        <f t="shared" si="14"/>
        <v>15</v>
      </c>
      <c r="Z30" s="42" t="str">
        <f t="shared" si="15"/>
        <v/>
      </c>
      <c r="AA30" s="25" t="str">
        <f t="shared" si="16"/>
        <v/>
      </c>
      <c r="AB30" s="40" t="str">
        <f>IF(ISNUMBER(SEARCH("Приборы с поддержкой протокола СПОДЭС - Нартис-И300 (СПОДЭС)",INDEX(ТУ!$BD:$BD,MATCH($U30*1,ТУ!$CP:$CP,0),1))),"Нартис-И300",
IF(ISNUMBER(SEARCH("Приборы с поддержкой протокола СПОДЭС - Меркурий 234 (СПОДЭС)",INDEX(ТУ!$BD:$BD,MATCH($U30*1,ТУ!$CP:$CP,0),1))),"Меркурий 234 (СПОДЭС)",
IF(ISNUMBER(SEARCH("Приборы с поддержкой протокола СПОДЭС - Нартис-300 (СПОДЭС)",INDEX(ТУ!$BD:$BD,MATCH($U30*1,ТУ!$CP:$CP,0),1))),"Нартис-300",
IF(ISNUMBER(SEARCH("Инкотекс - Меркурий 234",INDEX(ТУ!$BD:$BD,MATCH($U30*1,ТУ!$CP:$CP,0),1))),"Меркурий 234",
IF(ISNUMBER(SEARCH("Инкотекс - Меркурий 206",INDEX(ТУ!$BD:$BD,MATCH($U30*1,ТУ!$CP:$CP,0),1))),"Меркурий 206",
IF(ISNUMBER(SEARCH("Приборы с поддержкой протокола СПОДЭС - Универсальный счетчик СПОДЭС 2 трехфазный",INDEX(ТУ!$BD:$BD,MATCH($U30*1,ТУ!$CP:$CP,0),1))),"Нартис-И300",
IF(ISNUMBER(SEARCH("Приборы с поддержкой протокола СПОДЭС - Универсальный счетчик СПОДЭС 2 однофазный",INDEX(ТУ!$BD:$BD,MATCH($U30*1,ТУ!$CP:$CP,0),1))),"Нартис-И100",
IF(ISNUMBER(SEARCH("Приборы с поддержкой протокола СПОДЭС - Нартис-И100 (СПОДЭС)",INDEX(ТУ!$BD:$BD,MATCH($U30*1,ТУ!$CP:$CP,0),1))),"Нартис-И100",
IF(ISNUMBER(SEARCH("Приборы с поддержкой протокола СПОДЭС - СЕ308 (СПОДЭС)",INDEX(ТУ!$BD:$BD,MATCH($U30*1,ТУ!$CP:$CP,0),1))),"СЕ308 (СПОДЭС)",
IF(ISNUMBER(SEARCH("Приборы с поддержкой протокола СПОДЭС - СЕ207 (СПОДЭС)",INDEX(ТУ!$BD:$BD,MATCH($U30*1,ТУ!$CP:$CP,0),1))),"СЕ207 (СПОДЭС)",
IF(ISNUMBER(SEARCH("Приборы с поддержкой протокола СПОДЭС - СТЭМ-300 (СПОДЭС)",INDEX(ТУ!$BD:$BD,MATCH($U30*1,ТУ!$CP:$CP,0),1))),"СТЭМ-300 (СПОДЭС)",
IF(ISNUMBER(SEARCH("ТехноЭнерго - ТЕ3000",INDEX(ТУ!$BD:$BD,MATCH($U30*1,ТУ!$CP:$CP,0),1))),"ТЕ3000",
IF(ISNUMBER(SEARCH("НЗиФ - СЭТ-4ТМ",INDEX(ТУ!$BD:$BD,MATCH($U30*1,ТУ!$CP:$CP,0),1))),"СЭТ-4ТМ",
INDEX(ТУ!$BD:$BD,MATCH($U30*1,ТУ!$CP:$CP,0),1)
)))))))))))))</f>
        <v>Меркурий 234</v>
      </c>
      <c r="AC30" s="40" t="s">
        <v>2</v>
      </c>
      <c r="AD30" s="40" t="str">
        <f>IF(ISNUMBER(IFERROR(LEFT(IF(INDEX(ТУ!$CI:$CI,MATCH($U30*1,ТУ!$CP:$CP,0),1)=0,"",INDEX(ТУ!$CI:$CI,MATCH($U30*1,ТУ!$CP:$CP,0),1)),SEARCH(" ",IF(INDEX(ТУ!$CI:$CI,MATCH($U30*1,ТУ!$CP:$CP,0),1)=0,"",INDEX(ТУ!$CI:$CI,MATCH($U30*1,ТУ!$CP:$CP,0),1)),1)-1),"")*1),IFERROR(LEFT(IF(INDEX(ТУ!$CI:$CI,MATCH($U30*1,ТУ!$CP:$CP,0),1)=0,"",INDEX(ТУ!$CI:$CI,MATCH($U30*1,ТУ!$CP:$CP,0),1)),SEARCH(" ",IF(INDEX(ТУ!$CI:$CI,MATCH($U30*1,ТУ!$CP:$CP,0),1)=0,"",INDEX(ТУ!$CI:$CI,MATCH($U30*1,ТУ!$CP:$CP,0),1)),1)-1),""),"")</f>
        <v>77640001006570</v>
      </c>
      <c r="AE30" s="40" t="str">
        <f>IF(INDEX(ТУ!$CB:$CB,MATCH($U30*1,ТУ!$CP:$CP,0),1)=0,INDEX(Adr!$B:$B,MATCH($U30*1,Adr!$C:$C,0),1),INDEX(ТУ!$CB:$CB,MATCH($U30*1,ТУ!$CP:$CP,0),1))</f>
        <v>26</v>
      </c>
      <c r="AF30" s="45" t="str">
        <f>IF(INDEX(ТУ!$CD:$CD,MATCH($U30*1,ТУ!$CP:$CP,0),1)=0,"",INDEX(ТУ!$CD:$CD,MATCH($U30*1,ТУ!$CP:$CP,0),1))</f>
        <v>"222222"</v>
      </c>
      <c r="AG30" s="45">
        <f>0</f>
        <v>0</v>
      </c>
      <c r="AH30" s="26">
        <f t="shared" si="17"/>
        <v>91</v>
      </c>
      <c r="AI30" s="20" t="str">
        <f t="shared" si="18"/>
        <v>915068861</v>
      </c>
      <c r="AJ30" s="41" t="str">
        <f t="shared" si="1"/>
        <v>10.212.54.55</v>
      </c>
      <c r="AK30" s="41" t="str">
        <f>IF($AP30="",IFERROR(IFERROR(LEFT(RIGHT(INDEX(ТУ!$CE:$CE,MATCH($U30*1,ТУ!$CP:$CP,0),1),LEN(INDEX(ТУ!$CE:$CE,MATCH($U30*1,ТУ!$CP:$CP,0),1))-SEARCH(":",INDEX(ТУ!$CE:$CE,MATCH($U30*1,ТУ!$CP:$CP,0),1))),SEARCH("/",RIGHT(INDEX(ТУ!$CE:$CE,MATCH($U30*1,ТУ!$CP:$CP,0),1),LEN(INDEX(ТУ!$CE:$CE,MATCH($U30*1,ТУ!$CP:$CP,0),1))-SEARCH(":",INDEX(ТУ!$CE:$CE,MATCH($U30*1,ТУ!$CP:$CP,0),1))))-1), RIGHT(INDEX(ТУ!$CE:$CE,MATCH($U30*1,ТУ!$CP:$CP,0),1),LEN(INDEX(ТУ!$CE:$CE,MATCH($U30*1,ТУ!$CP:$CP,0),1))-SEARCH(":",INDEX(ТУ!$CE:$CE,MATCH($U30*1,ТУ!$CP:$CP,0),1)))), ""),IFERROR(IFERROR(LEFT(RIGHT(INDEX(УСПД!$M:$M,MATCH(IFERROR(1*LEFT(INDEX(ТУ!$CG:$CG,MATCH($U30*1,ТУ!$CP:$CP,0),1),SEARCH(" ",INDEX(ТУ!$CG:$CG,MATCH($U30*1,ТУ!$CP:$CP,0),1))-1),""),УСПД!$N:$N,0),1),LEN(INDEX(УСПД!$M:$M,MATCH(IFERROR(1*LEFT(INDEX(ТУ!$CG:$CG,MATCH($U30*1,ТУ!$CP:$CP,0),1),SEARCH(" ",INDEX(ТУ!$CG:$CG,MATCH($U30*1,ТУ!$CP:$CP,0),1))-1),""),УСПД!$N:$N,0),1))-SEARCH(":",INDEX(УСПД!$M:$M,MATCH(IFERROR(1*LEFT(INDEX(ТУ!$CG:$CG,MATCH($U30*1,ТУ!$CP:$CP,0),1),SEARCH(" ",INDEX(ТУ!$CG:$CG,MATCH($U30*1,ТУ!$CP:$CP,0),1))-1),""),УСПД!$N:$N,0),1))),SEARCH("/",RIGHT(INDEX(УСПД!$M:$M,MATCH(IFERROR(1*LEFT(INDEX(ТУ!$CG:$CG,MATCH($U30*1,ТУ!$CP:$CP,0),1),SEARCH(" ",INDEX(ТУ!$CG:$CG,MATCH($U30*1,ТУ!$CP:$CP,0),1))-1),""),УСПД!$N:$N,0),1),LEN(INDEX(УСПД!$M:$M,MATCH(IFERROR(1*LEFT(INDEX(ТУ!$CG:$CG,MATCH($U30*1,ТУ!$CP:$CP,0),1),SEARCH(" ",INDEX(ТУ!$CG:$CG,MATCH($U30*1,ТУ!$CP:$CP,0),1))-1),""),УСПД!$N:$N,0),1))-SEARCH(":",INDEX(УСПД!$M:$M,MATCH(IFERROR(1*LEFT(INDEX(ТУ!$CG:$CG,MATCH($U30*1,ТУ!$CP:$CP,0),1),SEARCH(" ",INDEX(ТУ!$CG:$CG,MATCH($U30*1,ТУ!$CP:$CP,0),1))-1),""),УСПД!$N:$N,0),1))))-1), RIGHT(INDEX(УСПД!$M:$M,MATCH(IFERROR(1*LEFT(INDEX(ТУ!$CG:$CG,MATCH($U30*1,ТУ!$CP:$CP,0),1),SEARCH(" ",INDEX(ТУ!$CG:$CG,MATCH($U30*1,ТУ!$CP:$CP,0),1))-1),""),УСПД!$N:$N,0),1),LEN(INDEX(УСПД!$M:$M,MATCH(IFERROR(1*LEFT(INDEX(ТУ!$CG:$CG,MATCH($U30*1,ТУ!$CP:$CP,0),1),SEARCH(" ",INDEX(ТУ!$CG:$CG,MATCH($U30*1,ТУ!$CP:$CP,0),1))-1),""),УСПД!$N:$N,0),1))-SEARCH(":",INDEX(УСПД!$M:$M,MATCH(IFERROR(1*LEFT(INDEX(ТУ!$CG:$CG,MATCH($U30*1,ТУ!$CP:$CP,0),1),SEARCH(" ",INDEX(ТУ!$CG:$CG,MATCH($U30*1,ТУ!$CP:$CP,0),1))-1),""),УСПД!$N:$N,0),1)))), ""))</f>
        <v>4001</v>
      </c>
      <c r="AL30" s="41"/>
      <c r="AM30" s="57" t="str">
        <f>IFERROR(IFERROR(INDEX(Tel!$B:$B,MATCH($AJ30,Tel!$E:$E,0),1),INDEX(Tel!$B:$B,MATCH($AJ30,Tel!$D:$D,0),1)),"")</f>
        <v/>
      </c>
      <c r="AN30" s="59" t="str">
        <f>IF(ISNUMBER(SEARCH("ТОПАЗ - ТОПАЗ УСПД",IFERROR(RIGHT(LEFT(INDEX(ТУ!$CG:$CG,MATCH($U30*1,ТУ!$CP:$CP,0),1),SEARCH(")",INDEX(ТУ!$CG:$CG,MATCH($U30*1,ТУ!$CP:$CP,0),1))-1),LEN(LEFT(INDEX(ТУ!$CG:$CG,MATCH($U30*1,ТУ!$CP:$CP,0),1),SEARCH(")",INDEX(ТУ!$CG:$CG,MATCH($U30*1,ТУ!$CP:$CP,0),1))-1))-SEARCH("(",INDEX(ТУ!$CG:$CG,MATCH($U30*1,ТУ!$CP:$CP,0),1))),""),1)),"RTU-327",
IF(ISNUMBER(SEARCH("TELEOFIS",$AP30)),"Модем",
""))</f>
        <v/>
      </c>
      <c r="AO30" s="27" t="str">
        <f t="shared" si="0"/>
        <v/>
      </c>
      <c r="AP30" s="57" t="str">
        <f>IF(ISNUMBER(SEARCH("Миландр - Милур GSM/GPRS модем",IFERROR(RIGHT(LEFT(INDEX(ТУ!$CG:$CG,MATCH($U30*1,ТУ!$CP:$CP,0),1),SEARCH(")",INDEX(ТУ!$CG:$CG,MATCH($U30*1,ТУ!$CP:$CP,0),1))-1),LEN(LEFT(INDEX(ТУ!$CG:$CG,MATCH($U30*1,ТУ!$CP:$CP,0),1),SEARCH(")",INDEX(ТУ!$CG:$CG,MATCH($U30*1,ТУ!$CP:$CP,0),1))-1))-SEARCH("(",INDEX(ТУ!$CG:$CG,MATCH($U30*1,ТУ!$CP:$CP,0),1))),""),1)), "TELEOFIS WRX708-L4",IFERROR(RIGHT(LEFT(INDEX(ТУ!$CG:$CG,MATCH($U30*1,ТУ!$CP:$CP,0),1),SEARCH(")",INDEX(ТУ!$CG:$CG,MATCH($U30*1,ТУ!$CP:$CP,0),1))-1),LEN(LEFT(INDEX(ТУ!$CG:$CG,MATCH($U30*1,ТУ!$CP:$CP,0),1),SEARCH(")",INDEX(ТУ!$CG:$CG,MATCH($U30*1,ТУ!$CP:$CP,0),1))-1))-SEARCH("(",INDEX(ТУ!$CG:$CG,MATCH($U30*1,ТУ!$CP:$CP,0),1))),""))</f>
        <v/>
      </c>
      <c r="AQ30" s="57" t="str">
        <f>IFERROR(IF(INDEX(УСПД!$K:$K,MATCH($AS30*1,УСПД!$N:$N,0),1)=0,"",INDEX(УСПД!$K:$K,MATCH($AS30*1,УСПД!$N:$N,0),1)),"")</f>
        <v/>
      </c>
      <c r="AR30" s="57" t="str">
        <f>IFERROR(IF(INDEX(УСПД!$L:$L,MATCH($AS30*1,УСПД!$N:$N,0),1)=0,"",INDEX(УСПД!$L:$L,MATCH($AS30*1,УСПД!$N:$N,0),1)),"")</f>
        <v/>
      </c>
      <c r="AS30" s="60" t="str">
        <f>IFERROR(LEFT(INDEX(ТУ!$CG:$CG,MATCH($U30*1,ТУ!$CP:$CP,0),1),SEARCH(" ",INDEX(ТУ!$CG:$CG,MATCH($U30*1,ТУ!$CP:$CP,0),1))-1),"")</f>
        <v/>
      </c>
      <c r="AT30" s="59" t="s">
        <v>360</v>
      </c>
      <c r="AU30" s="59">
        <f>3</f>
        <v>3</v>
      </c>
      <c r="AV30" s="59" t="s">
        <v>368</v>
      </c>
      <c r="AW30" s="149">
        <f t="shared" si="19"/>
        <v>69</v>
      </c>
      <c r="AX30" s="149">
        <f t="shared" si="20"/>
        <v>15</v>
      </c>
      <c r="AY30" s="149" t="str">
        <f t="shared" si="21"/>
        <v/>
      </c>
      <c r="AZ30" s="149" t="str">
        <f t="shared" si="22"/>
        <v/>
      </c>
      <c r="BA30" s="149">
        <f t="shared" si="23"/>
        <v>1</v>
      </c>
      <c r="BB30" s="154" t="str">
        <f>IF($AP30="",IFERROR(IFERROR(LEFT(RIGHT(INDEX(ТУ!$CE:$CE,MATCH($U30*1,ТУ!$CP:$CP,0),1),LEN(INDEX(ТУ!$CE:$CE,MATCH($U30*1,ТУ!$CP:$CP,0),1))-SEARCH(", ",INDEX(ТУ!$CE:$CE,MATCH($U30*1,ТУ!$CP:$CP,0),1),SEARCH(", ",INDEX(ТУ!$CE:$CE,MATCH($U30*1,ТУ!$CP:$CP,0),1))+1)-1),SEARCH(":",RIGHT(INDEX(ТУ!$CE:$CE,MATCH($U30*1,ТУ!$CP:$CP,0),1),LEN(INDEX(ТУ!$CE:$CE,MATCH($U30*1,ТУ!$CP:$CP,0),1))-SEARCH(", ",INDEX(ТУ!$CE:$CE,MATCH($U30*1,ТУ!$CP:$CP,0),1),SEARCH(", ",INDEX(ТУ!$CE:$CE,MATCH($U30*1,ТУ!$CP:$CP,0),1))+1)-1))-1),LEFT(INDEX(ТУ!$CE:$CE,MATCH($U30*1,ТУ!$CP:$CP,0),1),SEARCH(":",INDEX(ТУ!$CE:$CE,MATCH($U30*1,ТУ!$CP:$CP,0),1))-1)),""),IFERROR(IFERROR(LEFT(RIGHT(INDEX(УСПД!$M:$M,MATCH(IFERROR(1*LEFT(INDEX(ТУ!$CG:$CG,MATCH($U30*1,ТУ!$CP:$CP,0),1),SEARCH(" ",INDEX(ТУ!$CG:$CG,MATCH($U30*1,ТУ!$CP:$CP,0),1))-1),""),УСПД!$N:$N,0),1),LEN(INDEX(УСПД!$M:$M,MATCH(IFERROR(1*LEFT(INDEX(ТУ!$CG:$CG,MATCH($U30*1,ТУ!$CP:$CP,0),1),SEARCH(" ",INDEX(ТУ!$CG:$CG,MATCH($U30*1,ТУ!$CP:$CP,0),1))-1),""),УСПД!$N:$N,0),1))-SEARCH(", ",INDEX(УСПД!$M:$M,MATCH(IFERROR(1*LEFT(INDEX(ТУ!$CG:$CG,MATCH($U30*1,ТУ!$CP:$CP,0),1),SEARCH(" ",INDEX(ТУ!$CG:$CG,MATCH($U30*1,ТУ!$CP:$CP,0),1))-1),""),УСПД!$N:$N,0),1),SEARCH(", ",INDEX(УСПД!$M:$M,MATCH(IFERROR(1*LEFT(INDEX(ТУ!$CG:$CG,MATCH($U30*1,ТУ!$CP:$CP,0),1),SEARCH(" ",INDEX(ТУ!$CG:$CG,MATCH($U30*1,ТУ!$CP:$CP,0),1))-1),""),УСПД!$N:$N,0),1))+1)-1),SEARCH(":",RIGHT(INDEX(УСПД!$M:$M,MATCH(IFERROR(1*LEFT(INDEX(ТУ!$CG:$CG,MATCH($U30*1,ТУ!$CP:$CP,0),1),SEARCH(" ",INDEX(ТУ!$CG:$CG,MATCH($U30*1,ТУ!$CP:$CP,0),1))-1),""),УСПД!$N:$N,0),1),LEN(INDEX(УСПД!$M:$M,MATCH(IFERROR(1*LEFT(INDEX(ТУ!$CG:$CG,MATCH($U30*1,ТУ!$CP:$CP,0),1),SEARCH(" ",INDEX(ТУ!$CG:$CG,MATCH($U30*1,ТУ!$CP:$CP,0),1))-1),""),УСПД!$N:$N,0),1))-SEARCH(", ",INDEX(УСПД!$M:$M,MATCH(IFERROR(1*LEFT(INDEX(ТУ!$CG:$CG,MATCH($U30*1,ТУ!$CP:$CP,0),1),SEARCH(" ",INDEX(ТУ!$CG:$CG,MATCH($U30*1,ТУ!$CP:$CP,0),1))-1),""),УСПД!$N:$N,0),1),SEARCH(", ",INDEX(УСПД!$M:$M,MATCH(IFERROR(1*LEFT(INDEX(ТУ!$CG:$CG,MATCH($U30*1,ТУ!$CP:$CP,0),1),SEARCH(" ",INDEX(ТУ!$CG:$CG,MATCH($U30*1,ТУ!$CP:$CP,0),1))-1),""),УСПД!$N:$N,0),1))+1)-1))-1),LEFT(INDEX(УСПД!$M:$M,MATCH(IFERROR(1*LEFT(INDEX(ТУ!$CG:$CG,MATCH($U30*1,ТУ!$CP:$CP,0),1),SEARCH(" ",INDEX(ТУ!$CG:$CG,MATCH($U30*1,ТУ!$CP:$CP,0),1))-1),""),УСПД!$N:$N,0),1),SEARCH(":",INDEX(УСПД!$M:$M,MATCH(IFERROR(1*LEFT(INDEX(ТУ!$CG:$CG,MATCH($U30*1,ТУ!$CP:$CP,0),1),SEARCH(" ",INDEX(ТУ!$CG:$CG,MATCH($U30*1,ТУ!$CP:$CP,0),1))-1),""),УСПД!$N:$N,0),1))-1)),""))</f>
        <v>10.212.54.55</v>
      </c>
      <c r="BC30" s="155" t="str">
        <f>INDEX(ТУ!$AF:$AF,MATCH($U30*1,ТУ!$CP:$CP,0),1)</f>
        <v>ТП-6886</v>
      </c>
      <c r="BD30" s="155">
        <f>INDEX(ТУ!$X:$X,MATCH($U30*1,ТУ!$CP:$CP,0),1)</f>
        <v>0</v>
      </c>
      <c r="BE30" s="155">
        <f>INDEX(ТУ!$CL:$CL,MATCH($U30*1,ТУ!$CP:$CP,0),1)</f>
        <v>0</v>
      </c>
      <c r="BF30" s="147" t="str">
        <f>IFERROR(INDEX(естьАЦ!$A:$A,MATCH($U30*1,естьАЦ!$A:$A,0),1),"нет в АЦ")</f>
        <v>нет в АЦ</v>
      </c>
    </row>
    <row r="31" spans="1:58" ht="15" x14ac:dyDescent="0.25">
      <c r="A31" s="55">
        <f>3</f>
        <v>3</v>
      </c>
      <c r="B31" s="42" t="str">
        <f>IFERROR(IFERROR(INDEX(Справочники!$A$2:$P$79,MATCH(INDEX(ТУ!$E:$E,MATCH($U31*1,ТУ!$CP:$CP,0),1),Справочники!$P$2:$P$79,0),2),INDEX(Справочники!$A$2:$P$79,MATCH((INDEX(ТУ!$E:$E,MATCH($U31*1,ТУ!$CP:$CP,0),1))*1,Справочники!$P$2:$P$79,0),2)),"")</f>
        <v/>
      </c>
      <c r="C31" s="46" t="str">
        <f>IFERROR(TRIM(LEFT(INDEX(ТУ!$AF:$AF,MATCH($U31*1,ТУ!$CP:$CP,0),1),SEARCH("-",INDEX(ТУ!$AF:$AF,MATCH($U31*1,ТУ!$CP:$CP,0),1))-1)),IFERROR(LEFT(INDEX(ТУ!$X:$X,MATCH($U31*1,ТУ!$CP:$CP,0),1),SEARCH("-",INDEX(ТУ!$X:$X,MATCH($U31*1,ТУ!$CP:$CP,0),1))-1),"ТП"))</f>
        <v>ТП</v>
      </c>
      <c r="D31" s="47" t="str">
        <f>IF(TRIM(IF(ISNUMBER((IFERROR(RIGHT(INDEX(ТУ!$AF:$AF,MATCH($U31*1,ТУ!$CP:$CP,0),1),LEN(INDEX(ТУ!$AF:$AF,MATCH($U31*1,ТУ!$CP:$CP,0),1))-SEARCH("-",INDEX(ТУ!$AF:$AF,MATCH($U31*1,ТУ!$CP:$CP,0),1))),INDEX(ТУ!$AF:$AF,MATCH($U31*1,ТУ!$CP:$CP,0),1)))*1),IFERROR(RIGHT(INDEX(ТУ!$AF:$AF,MATCH($U31*1,ТУ!$CP:$CP,0),1),LEN(INDEX(ТУ!$AF:$AF,MATCH($U31*1,ТУ!$CP:$CP,0),1))-SEARCH("-",INDEX(ТУ!$AF:$AF,MATCH($U31*1,ТУ!$CP:$CP,0),1))),INDEX(ТУ!$AF:$AF,MATCH($U31*1,ТУ!$CP:$CP,0),1)),""))="",TRIM(IF(ISNUMBER((IFERROR(RIGHT(INDEX(ТУ!$X:$X,MATCH($U31*1,ТУ!$CP:$CP,0),1),LEN(INDEX(ТУ!$X:$X,MATCH($U31*1,ТУ!$CP:$CP,0),1))-SEARCH("-",INDEX(ТУ!$X:$X,MATCH($U31*1,ТУ!$CP:$CP,0),1))),INDEX(ТУ!$X:$X,MATCH($U31*1,ТУ!$CP:$CP,0),1)))*1),IFERROR(RIGHT(INDEX(ТУ!$X:$X,MATCH($U31*1,ТУ!$CP:$CP,0),1),LEN(INDEX(ТУ!$X:$X,MATCH($U31*1,ТУ!$CP:$CP,0),1))-SEARCH("-",INDEX(ТУ!$X:$X,MATCH($U31*1,ТУ!$CP:$CP,0),1))),INDEX(ТУ!$X:$X,MATCH($U31*1,ТУ!$CP:$CP,0),1)),"")),TRIM(IF(ISNUMBER((IFERROR(RIGHT(INDEX(ТУ!$AF:$AF,MATCH($U31*1,ТУ!$CP:$CP,0),1),LEN(INDEX(ТУ!$AF:$AF,MATCH($U31*1,ТУ!$CP:$CP,0),1))-SEARCH("-",INDEX(ТУ!$AF:$AF,MATCH($U31*1,ТУ!$CP:$CP,0),1))),INDEX(ТУ!$AF:$AF,MATCH($U31*1,ТУ!$CP:$CP,0),1)))*1),IFERROR(RIGHT(INDEX(ТУ!$AF:$AF,MATCH($U31*1,ТУ!$CP:$CP,0),1),LEN(INDEX(ТУ!$AF:$AF,MATCH($U31*1,ТУ!$CP:$CP,0),1))-SEARCH("-",INDEX(ТУ!$AF:$AF,MATCH($U31*1,ТУ!$CP:$CP,0),1))),INDEX(ТУ!$AF:$AF,MATCH($U31*1,ТУ!$CP:$CP,0),1)),"")))</f>
        <v/>
      </c>
      <c r="E31" s="25" t="str">
        <f t="shared" si="2"/>
        <v/>
      </c>
      <c r="F31" s="20" t="str">
        <f t="shared" si="3"/>
        <v/>
      </c>
      <c r="G31" s="21">
        <f t="shared" si="4"/>
        <v>5</v>
      </c>
      <c r="H31" s="25" t="str">
        <f t="shared" si="5"/>
        <v>ТП-</v>
      </c>
      <c r="I31" s="25" t="str">
        <f t="shared" si="6"/>
        <v>500000</v>
      </c>
      <c r="J31" s="42" t="str">
        <f>INDEX(Справочники!$M:$M,MATCH(IF(INDEX(ТУ!$BO:$BO,MATCH($U31*1,ТУ!$CP:$CP,0),1)=1,1,INDEX(ТУ!$BO:$BO,MATCH($U31*1,ТУ!$CP:$CP,0),1)*100),Справочники!$N:$N,0),1)</f>
        <v>0.4 кВ</v>
      </c>
      <c r="K31" s="40">
        <f>1</f>
        <v>1</v>
      </c>
      <c r="L31" s="20" t="str">
        <f t="shared" si="7"/>
        <v>СШ-1</v>
      </c>
      <c r="M31" s="20">
        <f t="shared" si="8"/>
        <v>1</v>
      </c>
      <c r="N31" s="40"/>
      <c r="O31" s="56" t="str">
        <f t="shared" si="9"/>
        <v>Ввод-1-1</v>
      </c>
      <c r="P31" s="57" t="str">
        <f>IFERROR(IF(INDEX(ТУ!$AO:$AO,MATCH($U31*1,ТУ!$CP:$CP,0),1)=0,"",INDEX(ТУ!$AO:$AO,MATCH($U31*1,ТУ!$CP:$CP,0),1)),"")</f>
        <v/>
      </c>
      <c r="Q31" s="40">
        <f>IFERROR(IF(INDEX(ТУ!$BN:$BN,MATCH($U31*1,ТУ!$CP:$CP,0),1)=1,1,INDEX(ТУ!$BN:$BN,MATCH($U31*1,ТУ!$CP:$CP,0),1)*5),"")</f>
        <v>1</v>
      </c>
      <c r="R31" s="25">
        <f t="shared" si="10"/>
        <v>1</v>
      </c>
      <c r="S31" s="25">
        <f t="shared" si="11"/>
        <v>1</v>
      </c>
      <c r="T31" s="25">
        <f t="shared" si="12"/>
        <v>1</v>
      </c>
      <c r="U31" s="105" t="s">
        <v>788</v>
      </c>
      <c r="V31" s="43">
        <f>IF(INDEX(ТУ!$BH:$BH,MATCH($U31*1,ТУ!$CP:$CP,0),1)=0,"",INDEX(ТУ!$BH:$BH,MATCH($U31*1,ТУ!$CP:$CP,0),1))</f>
        <v>45708</v>
      </c>
      <c r="W31" s="43" t="str">
        <f>IF(INDEX(ТУ!$BI:$BI,MATCH($U31*1,ТУ!$CP:$CP,0),1)=0,"",INDEX(ТУ!$BI:$BI,MATCH($U31*1,ТУ!$CP:$CP,0),1))</f>
        <v/>
      </c>
      <c r="X31" s="58" t="str">
        <f t="shared" si="13"/>
        <v>СЭТ-4ТМ</v>
      </c>
      <c r="Y31" s="25">
        <f t="shared" si="14"/>
        <v>7</v>
      </c>
      <c r="Z31" s="42" t="str">
        <f t="shared" si="15"/>
        <v/>
      </c>
      <c r="AA31" s="25" t="str">
        <f t="shared" si="16"/>
        <v/>
      </c>
      <c r="AB31" s="40" t="str">
        <f>IF(ISNUMBER(SEARCH("Приборы с поддержкой протокола СПОДЭС - Нартис-И300 (СПОДЭС)",INDEX(ТУ!$BD:$BD,MATCH($U31*1,ТУ!$CP:$CP,0),1))),"Нартис-И300",
IF(ISNUMBER(SEARCH("Приборы с поддержкой протокола СПОДЭС - Меркурий 234 (СПОДЭС)",INDEX(ТУ!$BD:$BD,MATCH($U31*1,ТУ!$CP:$CP,0),1))),"Меркурий 234 (СПОДЭС)",
IF(ISNUMBER(SEARCH("Приборы с поддержкой протокола СПОДЭС - Нартис-300 (СПОДЭС)",INDEX(ТУ!$BD:$BD,MATCH($U31*1,ТУ!$CP:$CP,0),1))),"Нартис-300",
IF(ISNUMBER(SEARCH("Инкотекс - Меркурий 234",INDEX(ТУ!$BD:$BD,MATCH($U31*1,ТУ!$CP:$CP,0),1))),"Меркурий 234",
IF(ISNUMBER(SEARCH("Инкотекс - Меркурий 206",INDEX(ТУ!$BD:$BD,MATCH($U31*1,ТУ!$CP:$CP,0),1))),"Меркурий 206",
IF(ISNUMBER(SEARCH("Приборы с поддержкой протокола СПОДЭС - Универсальный счетчик СПОДЭС 2 трехфазный",INDEX(ТУ!$BD:$BD,MATCH($U31*1,ТУ!$CP:$CP,0),1))),"Нартис-И300",
IF(ISNUMBER(SEARCH("Приборы с поддержкой протокола СПОДЭС - Универсальный счетчик СПОДЭС 2 однофазный",INDEX(ТУ!$BD:$BD,MATCH($U31*1,ТУ!$CP:$CP,0),1))),"Нартис-И100",
IF(ISNUMBER(SEARCH("Приборы с поддержкой протокола СПОДЭС - Нартис-И100 (СПОДЭС)",INDEX(ТУ!$BD:$BD,MATCH($U31*1,ТУ!$CP:$CP,0),1))),"Нартис-И100",
IF(ISNUMBER(SEARCH("Приборы с поддержкой протокола СПОДЭС - СЕ308 (СПОДЭС)",INDEX(ТУ!$BD:$BD,MATCH($U31*1,ТУ!$CP:$CP,0),1))),"СЕ308 (СПОДЭС)",
IF(ISNUMBER(SEARCH("Приборы с поддержкой протокола СПОДЭС - СЕ207 (СПОДЭС)",INDEX(ТУ!$BD:$BD,MATCH($U31*1,ТУ!$CP:$CP,0),1))),"СЕ207 (СПОДЭС)",
IF(ISNUMBER(SEARCH("Приборы с поддержкой протокола СПОДЭС - СТЭМ-300 (СПОДЭС)",INDEX(ТУ!$BD:$BD,MATCH($U31*1,ТУ!$CP:$CP,0),1))),"СТЭМ-300 (СПОДЭС)",
IF(ISNUMBER(SEARCH("ТехноЭнерго - ТЕ3000",INDEX(ТУ!$BD:$BD,MATCH($U31*1,ТУ!$CP:$CP,0),1))),"ТЕ3000",
IF(ISNUMBER(SEARCH("НЗиФ - СЭТ-4ТМ",INDEX(ТУ!$BD:$BD,MATCH($U31*1,ТУ!$CP:$CP,0),1))),"СЭТ-4ТМ",
INDEX(ТУ!$BD:$BD,MATCH($U31*1,ТУ!$CP:$CP,0),1)
)))))))))))))</f>
        <v>ТЕ3000</v>
      </c>
      <c r="AC31" s="40" t="s">
        <v>2</v>
      </c>
      <c r="AD31" s="40" t="str">
        <f>IF(ISNUMBER(IFERROR(LEFT(IF(INDEX(ТУ!$CI:$CI,MATCH($U31*1,ТУ!$CP:$CP,0),1)=0,"",INDEX(ТУ!$CI:$CI,MATCH($U31*1,ТУ!$CP:$CP,0),1)),SEARCH(" ",IF(INDEX(ТУ!$CI:$CI,MATCH($U31*1,ТУ!$CP:$CP,0),1)=0,"",INDEX(ТУ!$CI:$CI,MATCH($U31*1,ТУ!$CP:$CP,0),1)),1)-1),"")*1),IFERROR(LEFT(IF(INDEX(ТУ!$CI:$CI,MATCH($U31*1,ТУ!$CP:$CP,0),1)=0,"",INDEX(ТУ!$CI:$CI,MATCH($U31*1,ТУ!$CP:$CP,0),1)),SEARCH(" ",IF(INDEX(ТУ!$CI:$CI,MATCH($U31*1,ТУ!$CP:$CP,0),1)=0,"",INDEX(ТУ!$CI:$CI,MATCH($U31*1,ТУ!$CP:$CP,0),1)),1)-1),""),"")</f>
        <v/>
      </c>
      <c r="AE31" s="40" t="str">
        <f>IF(INDEX(ТУ!$CB:$CB,MATCH($U31*1,ТУ!$CP:$CP,0),1)=0,INDEX(Adr!$B:$B,MATCH($U31*1,Adr!$C:$C,0),1),INDEX(ТУ!$CB:$CB,MATCH($U31*1,ТУ!$CP:$CP,0),1))</f>
        <v>88</v>
      </c>
      <c r="AF31" s="45" t="str">
        <f>IF(INDEX(ТУ!$CD:$CD,MATCH($U31*1,ТУ!$CP:$CP,0),1)=0,"",INDEX(ТУ!$CD:$CD,MATCH($U31*1,ТУ!$CP:$CP,0),1))</f>
        <v>222222</v>
      </c>
      <c r="AG31" s="45">
        <f>0</f>
        <v>0</v>
      </c>
      <c r="AH31" s="26" t="str">
        <f t="shared" si="17"/>
        <v/>
      </c>
      <c r="AI31" s="20" t="str">
        <f t="shared" si="18"/>
        <v>5000001</v>
      </c>
      <c r="AJ31" s="41" t="str">
        <f t="shared" si="1"/>
        <v>10.210.234.12</v>
      </c>
      <c r="AK31" s="41" t="str">
        <f>IF($AP31="",IFERROR(IFERROR(LEFT(RIGHT(INDEX(ТУ!$CE:$CE,MATCH($U31*1,ТУ!$CP:$CP,0),1),LEN(INDEX(ТУ!$CE:$CE,MATCH($U31*1,ТУ!$CP:$CP,0),1))-SEARCH(":",INDEX(ТУ!$CE:$CE,MATCH($U31*1,ТУ!$CP:$CP,0),1))),SEARCH("/",RIGHT(INDEX(ТУ!$CE:$CE,MATCH($U31*1,ТУ!$CP:$CP,0),1),LEN(INDEX(ТУ!$CE:$CE,MATCH($U31*1,ТУ!$CP:$CP,0),1))-SEARCH(":",INDEX(ТУ!$CE:$CE,MATCH($U31*1,ТУ!$CP:$CP,0),1))))-1), RIGHT(INDEX(ТУ!$CE:$CE,MATCH($U31*1,ТУ!$CP:$CP,0),1),LEN(INDEX(ТУ!$CE:$CE,MATCH($U31*1,ТУ!$CP:$CP,0),1))-SEARCH(":",INDEX(ТУ!$CE:$CE,MATCH($U31*1,ТУ!$CP:$CP,0),1)))), ""),IFERROR(IFERROR(LEFT(RIGHT(INDEX(УСПД!$M:$M,MATCH(IFERROR(1*LEFT(INDEX(ТУ!$CG:$CG,MATCH($U31*1,ТУ!$CP:$CP,0),1),SEARCH(" ",INDEX(ТУ!$CG:$CG,MATCH($U31*1,ТУ!$CP:$CP,0),1))-1),""),УСПД!$N:$N,0),1),LEN(INDEX(УСПД!$M:$M,MATCH(IFERROR(1*LEFT(INDEX(ТУ!$CG:$CG,MATCH($U31*1,ТУ!$CP:$CP,0),1),SEARCH(" ",INDEX(ТУ!$CG:$CG,MATCH($U31*1,ТУ!$CP:$CP,0),1))-1),""),УСПД!$N:$N,0),1))-SEARCH(":",INDEX(УСПД!$M:$M,MATCH(IFERROR(1*LEFT(INDEX(ТУ!$CG:$CG,MATCH($U31*1,ТУ!$CP:$CP,0),1),SEARCH(" ",INDEX(ТУ!$CG:$CG,MATCH($U31*1,ТУ!$CP:$CP,0),1))-1),""),УСПД!$N:$N,0),1))),SEARCH("/",RIGHT(INDEX(УСПД!$M:$M,MATCH(IFERROR(1*LEFT(INDEX(ТУ!$CG:$CG,MATCH($U31*1,ТУ!$CP:$CP,0),1),SEARCH(" ",INDEX(ТУ!$CG:$CG,MATCH($U31*1,ТУ!$CP:$CP,0),1))-1),""),УСПД!$N:$N,0),1),LEN(INDEX(УСПД!$M:$M,MATCH(IFERROR(1*LEFT(INDEX(ТУ!$CG:$CG,MATCH($U31*1,ТУ!$CP:$CP,0),1),SEARCH(" ",INDEX(ТУ!$CG:$CG,MATCH($U31*1,ТУ!$CP:$CP,0),1))-1),""),УСПД!$N:$N,0),1))-SEARCH(":",INDEX(УСПД!$M:$M,MATCH(IFERROR(1*LEFT(INDEX(ТУ!$CG:$CG,MATCH($U31*1,ТУ!$CP:$CP,0),1),SEARCH(" ",INDEX(ТУ!$CG:$CG,MATCH($U31*1,ТУ!$CP:$CP,0),1))-1),""),УСПД!$N:$N,0),1))))-1), RIGHT(INDEX(УСПД!$M:$M,MATCH(IFERROR(1*LEFT(INDEX(ТУ!$CG:$CG,MATCH($U31*1,ТУ!$CP:$CP,0),1),SEARCH(" ",INDEX(ТУ!$CG:$CG,MATCH($U31*1,ТУ!$CP:$CP,0),1))-1),""),УСПД!$N:$N,0),1),LEN(INDEX(УСПД!$M:$M,MATCH(IFERROR(1*LEFT(INDEX(ТУ!$CG:$CG,MATCH($U31*1,ТУ!$CP:$CP,0),1),SEARCH(" ",INDEX(ТУ!$CG:$CG,MATCH($U31*1,ТУ!$CP:$CP,0),1))-1),""),УСПД!$N:$N,0),1))-SEARCH(":",INDEX(УСПД!$M:$M,MATCH(IFERROR(1*LEFT(INDEX(ТУ!$CG:$CG,MATCH($U31*1,ТУ!$CP:$CP,0),1),SEARCH(" ",INDEX(ТУ!$CG:$CG,MATCH($U31*1,ТУ!$CP:$CP,0),1))-1),""),УСПД!$N:$N,0),1)))), ""))</f>
        <v>4001</v>
      </c>
      <c r="AL31" s="41"/>
      <c r="AM31" s="57" t="str">
        <f>IFERROR(IFERROR(INDEX(Tel!$B:$B,MATCH($AJ31,Tel!$E:$E,0),1),INDEX(Tel!$B:$B,MATCH($AJ31,Tel!$D:$D,0),1)),"")</f>
        <v/>
      </c>
      <c r="AN31" s="59" t="str">
        <f>IF(ISNUMBER(SEARCH("ТОПАЗ - ТОПАЗ УСПД",IFERROR(RIGHT(LEFT(INDEX(ТУ!$CG:$CG,MATCH($U31*1,ТУ!$CP:$CP,0),1),SEARCH(")",INDEX(ТУ!$CG:$CG,MATCH($U31*1,ТУ!$CP:$CP,0),1))-1),LEN(LEFT(INDEX(ТУ!$CG:$CG,MATCH($U31*1,ТУ!$CP:$CP,0),1),SEARCH(")",INDEX(ТУ!$CG:$CG,MATCH($U31*1,ТУ!$CP:$CP,0),1))-1))-SEARCH("(",INDEX(ТУ!$CG:$CG,MATCH($U31*1,ТУ!$CP:$CP,0),1))),""),1)),"RTU-327",
IF(ISNUMBER(SEARCH("TELEOFIS",$AP31)),"Модем",
""))</f>
        <v/>
      </c>
      <c r="AO31" s="27" t="str">
        <f t="shared" si="0"/>
        <v/>
      </c>
      <c r="AP31" s="57" t="str">
        <f>IF(ISNUMBER(SEARCH("Миландр - Милур GSM/GPRS модем",IFERROR(RIGHT(LEFT(INDEX(ТУ!$CG:$CG,MATCH($U31*1,ТУ!$CP:$CP,0),1),SEARCH(")",INDEX(ТУ!$CG:$CG,MATCH($U31*1,ТУ!$CP:$CP,0),1))-1),LEN(LEFT(INDEX(ТУ!$CG:$CG,MATCH($U31*1,ТУ!$CP:$CP,0),1),SEARCH(")",INDEX(ТУ!$CG:$CG,MATCH($U31*1,ТУ!$CP:$CP,0),1))-1))-SEARCH("(",INDEX(ТУ!$CG:$CG,MATCH($U31*1,ТУ!$CP:$CP,0),1))),""),1)), "TELEOFIS WRX708-L4",IFERROR(RIGHT(LEFT(INDEX(ТУ!$CG:$CG,MATCH($U31*1,ТУ!$CP:$CP,0),1),SEARCH(")",INDEX(ТУ!$CG:$CG,MATCH($U31*1,ТУ!$CP:$CP,0),1))-1),LEN(LEFT(INDEX(ТУ!$CG:$CG,MATCH($U31*1,ТУ!$CP:$CP,0),1),SEARCH(")",INDEX(ТУ!$CG:$CG,MATCH($U31*1,ТУ!$CP:$CP,0),1))-1))-SEARCH("(",INDEX(ТУ!$CG:$CG,MATCH($U31*1,ТУ!$CP:$CP,0),1))),""))</f>
        <v/>
      </c>
      <c r="AQ31" s="57" t="str">
        <f>IFERROR(IF(INDEX(УСПД!$K:$K,MATCH($AS31*1,УСПД!$N:$N,0),1)=0,"",INDEX(УСПД!$K:$K,MATCH($AS31*1,УСПД!$N:$N,0),1)),"")</f>
        <v/>
      </c>
      <c r="AR31" s="57" t="str">
        <f>IFERROR(IF(INDEX(УСПД!$L:$L,MATCH($AS31*1,УСПД!$N:$N,0),1)=0,"",INDEX(УСПД!$L:$L,MATCH($AS31*1,УСПД!$N:$N,0),1)),"")</f>
        <v/>
      </c>
      <c r="AS31" s="60" t="str">
        <f>IFERROR(LEFT(INDEX(ТУ!$CG:$CG,MATCH($U31*1,ТУ!$CP:$CP,0),1),SEARCH(" ",INDEX(ТУ!$CG:$CG,MATCH($U31*1,ТУ!$CP:$CP,0),1))-1),"")</f>
        <v/>
      </c>
      <c r="AT31" s="59" t="s">
        <v>360</v>
      </c>
      <c r="AU31" s="59">
        <f>3</f>
        <v>3</v>
      </c>
      <c r="AV31" s="59" t="s">
        <v>368</v>
      </c>
      <c r="AW31" s="149" t="str">
        <f t="shared" si="19"/>
        <v/>
      </c>
      <c r="AX31" s="149">
        <f t="shared" si="20"/>
        <v>7</v>
      </c>
      <c r="AY31" s="149" t="str">
        <f t="shared" si="21"/>
        <v/>
      </c>
      <c r="AZ31" s="149" t="str">
        <f t="shared" si="22"/>
        <v/>
      </c>
      <c r="BA31" s="149">
        <f t="shared" si="23"/>
        <v>1</v>
      </c>
      <c r="BB31" s="154" t="str">
        <f>IF($AP31="",IFERROR(IFERROR(LEFT(RIGHT(INDEX(ТУ!$CE:$CE,MATCH($U31*1,ТУ!$CP:$CP,0),1),LEN(INDEX(ТУ!$CE:$CE,MATCH($U31*1,ТУ!$CP:$CP,0),1))-SEARCH(", ",INDEX(ТУ!$CE:$CE,MATCH($U31*1,ТУ!$CP:$CP,0),1),SEARCH(", ",INDEX(ТУ!$CE:$CE,MATCH($U31*1,ТУ!$CP:$CP,0),1))+1)-1),SEARCH(":",RIGHT(INDEX(ТУ!$CE:$CE,MATCH($U31*1,ТУ!$CP:$CP,0),1),LEN(INDEX(ТУ!$CE:$CE,MATCH($U31*1,ТУ!$CP:$CP,0),1))-SEARCH(", ",INDEX(ТУ!$CE:$CE,MATCH($U31*1,ТУ!$CP:$CP,0),1),SEARCH(", ",INDEX(ТУ!$CE:$CE,MATCH($U31*1,ТУ!$CP:$CP,0),1))+1)-1))-1),LEFT(INDEX(ТУ!$CE:$CE,MATCH($U31*1,ТУ!$CP:$CP,0),1),SEARCH(":",INDEX(ТУ!$CE:$CE,MATCH($U31*1,ТУ!$CP:$CP,0),1))-1)),""),IFERROR(IFERROR(LEFT(RIGHT(INDEX(УСПД!$M:$M,MATCH(IFERROR(1*LEFT(INDEX(ТУ!$CG:$CG,MATCH($U31*1,ТУ!$CP:$CP,0),1),SEARCH(" ",INDEX(ТУ!$CG:$CG,MATCH($U31*1,ТУ!$CP:$CP,0),1))-1),""),УСПД!$N:$N,0),1),LEN(INDEX(УСПД!$M:$M,MATCH(IFERROR(1*LEFT(INDEX(ТУ!$CG:$CG,MATCH($U31*1,ТУ!$CP:$CP,0),1),SEARCH(" ",INDEX(ТУ!$CG:$CG,MATCH($U31*1,ТУ!$CP:$CP,0),1))-1),""),УСПД!$N:$N,0),1))-SEARCH(", ",INDEX(УСПД!$M:$M,MATCH(IFERROR(1*LEFT(INDEX(ТУ!$CG:$CG,MATCH($U31*1,ТУ!$CP:$CP,0),1),SEARCH(" ",INDEX(ТУ!$CG:$CG,MATCH($U31*1,ТУ!$CP:$CP,0),1))-1),""),УСПД!$N:$N,0),1),SEARCH(", ",INDEX(УСПД!$M:$M,MATCH(IFERROR(1*LEFT(INDEX(ТУ!$CG:$CG,MATCH($U31*1,ТУ!$CP:$CP,0),1),SEARCH(" ",INDEX(ТУ!$CG:$CG,MATCH($U31*1,ТУ!$CP:$CP,0),1))-1),""),УСПД!$N:$N,0),1))+1)-1),SEARCH(":",RIGHT(INDEX(УСПД!$M:$M,MATCH(IFERROR(1*LEFT(INDEX(ТУ!$CG:$CG,MATCH($U31*1,ТУ!$CP:$CP,0),1),SEARCH(" ",INDEX(ТУ!$CG:$CG,MATCH($U31*1,ТУ!$CP:$CP,0),1))-1),""),УСПД!$N:$N,0),1),LEN(INDEX(УСПД!$M:$M,MATCH(IFERROR(1*LEFT(INDEX(ТУ!$CG:$CG,MATCH($U31*1,ТУ!$CP:$CP,0),1),SEARCH(" ",INDEX(ТУ!$CG:$CG,MATCH($U31*1,ТУ!$CP:$CP,0),1))-1),""),УСПД!$N:$N,0),1))-SEARCH(", ",INDEX(УСПД!$M:$M,MATCH(IFERROR(1*LEFT(INDEX(ТУ!$CG:$CG,MATCH($U31*1,ТУ!$CP:$CP,0),1),SEARCH(" ",INDEX(ТУ!$CG:$CG,MATCH($U31*1,ТУ!$CP:$CP,0),1))-1),""),УСПД!$N:$N,0),1),SEARCH(", ",INDEX(УСПД!$M:$M,MATCH(IFERROR(1*LEFT(INDEX(ТУ!$CG:$CG,MATCH($U31*1,ТУ!$CP:$CP,0),1),SEARCH(" ",INDEX(ТУ!$CG:$CG,MATCH($U31*1,ТУ!$CP:$CP,0),1))-1),""),УСПД!$N:$N,0),1))+1)-1))-1),LEFT(INDEX(УСПД!$M:$M,MATCH(IFERROR(1*LEFT(INDEX(ТУ!$CG:$CG,MATCH($U31*1,ТУ!$CP:$CP,0),1),SEARCH(" ",INDEX(ТУ!$CG:$CG,MATCH($U31*1,ТУ!$CP:$CP,0),1))-1),""),УСПД!$N:$N,0),1),SEARCH(":",INDEX(УСПД!$M:$M,MATCH(IFERROR(1*LEFT(INDEX(ТУ!$CG:$CG,MATCH($U31*1,ТУ!$CP:$CP,0),1),SEARCH(" ",INDEX(ТУ!$CG:$CG,MATCH($U31*1,ТУ!$CP:$CP,0),1))-1),""),УСПД!$N:$N,0),1))-1)),""))</f>
        <v>10.210.234.12</v>
      </c>
      <c r="BC31" s="155">
        <f>INDEX(ТУ!$AF:$AF,MATCH($U31*1,ТУ!$CP:$CP,0),1)</f>
        <v>0</v>
      </c>
      <c r="BD31" s="155">
        <f>INDEX(ТУ!$X:$X,MATCH($U31*1,ТУ!$CP:$CP,0),1)</f>
        <v>0</v>
      </c>
      <c r="BE31" s="155">
        <f>INDEX(ТУ!$CL:$CL,MATCH($U31*1,ТУ!$CP:$CP,0),1)</f>
        <v>0</v>
      </c>
      <c r="BF31" s="147" t="str">
        <f>IFERROR(INDEX(естьАЦ!$A:$A,MATCH($U31*1,естьАЦ!$A:$A,0),1),"нет в АЦ")</f>
        <v>нет в АЦ</v>
      </c>
    </row>
    <row r="32" spans="1:58" ht="51" x14ac:dyDescent="0.25">
      <c r="A32" s="55">
        <f>3</f>
        <v>3</v>
      </c>
      <c r="B32" s="42" t="str">
        <f>IFERROR(IFERROR(INDEX(Справочники!$A$2:$P$79,MATCH(INDEX(ТУ!$E:$E,MATCH($U32*1,ТУ!$CP:$CP,0),1),Справочники!$P$2:$P$79,0),2),INDEX(Справочники!$A$2:$P$79,MATCH((INDEX(ТУ!$E:$E,MATCH($U32*1,ТУ!$CP:$CP,0),1))*1,Справочники!$P$2:$P$79,0),2)),"")</f>
        <v>14 р-н МКС (ВОРУПЭ)</v>
      </c>
      <c r="C32" s="46" t="str">
        <f>IFERROR(TRIM(LEFT(INDEX(ТУ!$AF:$AF,MATCH($U32*1,ТУ!$CP:$CP,0),1),SEARCH("-",INDEX(ТУ!$AF:$AF,MATCH($U32*1,ТУ!$CP:$CP,0),1))-1)),IFERROR(LEFT(INDEX(ТУ!$X:$X,MATCH($U32*1,ТУ!$CP:$CP,0),1),SEARCH("-",INDEX(ТУ!$X:$X,MATCH($U32*1,ТУ!$CP:$CP,0),1))-1),"ТП"))</f>
        <v>ТП</v>
      </c>
      <c r="D32" s="47" t="str">
        <f>IF(TRIM(IF(ISNUMBER((IFERROR(RIGHT(INDEX(ТУ!$AF:$AF,MATCH($U32*1,ТУ!$CP:$CP,0),1),LEN(INDEX(ТУ!$AF:$AF,MATCH($U32*1,ТУ!$CP:$CP,0),1))-SEARCH("-",INDEX(ТУ!$AF:$AF,MATCH($U32*1,ТУ!$CP:$CP,0),1))),INDEX(ТУ!$AF:$AF,MATCH($U32*1,ТУ!$CP:$CP,0),1)))*1),IFERROR(RIGHT(INDEX(ТУ!$AF:$AF,MATCH($U32*1,ТУ!$CP:$CP,0),1),LEN(INDEX(ТУ!$AF:$AF,MATCH($U32*1,ТУ!$CP:$CP,0),1))-SEARCH("-",INDEX(ТУ!$AF:$AF,MATCH($U32*1,ТУ!$CP:$CP,0),1))),INDEX(ТУ!$AF:$AF,MATCH($U32*1,ТУ!$CP:$CP,0),1)),""))="",TRIM(IF(ISNUMBER((IFERROR(RIGHT(INDEX(ТУ!$X:$X,MATCH($U32*1,ТУ!$CP:$CP,0),1),LEN(INDEX(ТУ!$X:$X,MATCH($U32*1,ТУ!$CP:$CP,0),1))-SEARCH("-",INDEX(ТУ!$X:$X,MATCH($U32*1,ТУ!$CP:$CP,0),1))),INDEX(ТУ!$X:$X,MATCH($U32*1,ТУ!$CP:$CP,0),1)))*1),IFERROR(RIGHT(INDEX(ТУ!$X:$X,MATCH($U32*1,ТУ!$CP:$CP,0),1),LEN(INDEX(ТУ!$X:$X,MATCH($U32*1,ТУ!$CP:$CP,0),1))-SEARCH("-",INDEX(ТУ!$X:$X,MATCH($U32*1,ТУ!$CP:$CP,0),1))),INDEX(ТУ!$X:$X,MATCH($U32*1,ТУ!$CP:$CP,0),1)),"")),TRIM(IF(ISNUMBER((IFERROR(RIGHT(INDEX(ТУ!$AF:$AF,MATCH($U32*1,ТУ!$CP:$CP,0),1),LEN(INDEX(ТУ!$AF:$AF,MATCH($U32*1,ТУ!$CP:$CP,0),1))-SEARCH("-",INDEX(ТУ!$AF:$AF,MATCH($U32*1,ТУ!$CP:$CP,0),1))),INDEX(ТУ!$AF:$AF,MATCH($U32*1,ТУ!$CP:$CP,0),1)))*1),IFERROR(RIGHT(INDEX(ТУ!$AF:$AF,MATCH($U32*1,ТУ!$CP:$CP,0),1),LEN(INDEX(ТУ!$AF:$AF,MATCH($U32*1,ТУ!$CP:$CP,0),1))-SEARCH("-",INDEX(ТУ!$AF:$AF,MATCH($U32*1,ТУ!$CP:$CP,0),1))),INDEX(ТУ!$AF:$AF,MATCH($U32*1,ТУ!$CP:$CP,0),1)),"")))</f>
        <v/>
      </c>
      <c r="E32" s="25" t="str">
        <f t="shared" si="2"/>
        <v>МКС</v>
      </c>
      <c r="F32" s="20">
        <f t="shared" si="3"/>
        <v>88</v>
      </c>
      <c r="G32" s="21">
        <f t="shared" si="4"/>
        <v>5</v>
      </c>
      <c r="H32" s="25" t="str">
        <f t="shared" si="5"/>
        <v>ТП-</v>
      </c>
      <c r="I32" s="25" t="str">
        <f t="shared" si="6"/>
        <v>88500000</v>
      </c>
      <c r="J32" s="42" t="str">
        <f>INDEX(Справочники!$M:$M,MATCH(IF(INDEX(ТУ!$BO:$BO,MATCH($U32*1,ТУ!$CP:$CP,0),1)=1,1,INDEX(ТУ!$BO:$BO,MATCH($U32*1,ТУ!$CP:$CP,0),1)*100),Справочники!$N:$N,0),1)</f>
        <v>0.4 кВ</v>
      </c>
      <c r="K32" s="40">
        <f>1</f>
        <v>1</v>
      </c>
      <c r="L32" s="20" t="str">
        <f t="shared" si="7"/>
        <v>СШ-1</v>
      </c>
      <c r="M32" s="20">
        <f t="shared" si="8"/>
        <v>1</v>
      </c>
      <c r="N32" s="40"/>
      <c r="O32" s="56" t="str">
        <f t="shared" si="9"/>
        <v>Ввод-1-1</v>
      </c>
      <c r="P32" s="57" t="str">
        <f>IFERROR(IF(INDEX(ТУ!$AO:$AO,MATCH($U32*1,ТУ!$CP:$CP,0),1)=0,"",INDEX(ТУ!$AO:$AO,MATCH($U32*1,ТУ!$CP:$CP,0),1)),"")</f>
        <v>ячейка 1</v>
      </c>
      <c r="Q32" s="40">
        <f>IFERROR(IF(INDEX(ТУ!$BN:$BN,MATCH($U32*1,ТУ!$CP:$CP,0),1)=1,1,INDEX(ТУ!$BN:$BN,MATCH($U32*1,ТУ!$CP:$CP,0),1)*5),"")</f>
        <v>400</v>
      </c>
      <c r="R32" s="25">
        <f t="shared" si="10"/>
        <v>5</v>
      </c>
      <c r="S32" s="25">
        <f t="shared" si="11"/>
        <v>1</v>
      </c>
      <c r="T32" s="25">
        <f t="shared" si="12"/>
        <v>1</v>
      </c>
      <c r="U32" s="105" t="s">
        <v>793</v>
      </c>
      <c r="V32" s="43">
        <f>IF(INDEX(ТУ!$BH:$BH,MATCH($U32*1,ТУ!$CP:$CP,0),1)=0,"",INDEX(ТУ!$BH:$BH,MATCH($U32*1,ТУ!$CP:$CP,0),1))</f>
        <v>43760</v>
      </c>
      <c r="W32" s="43" t="str">
        <f>IF(INDEX(ТУ!$BI:$BI,MATCH($U32*1,ТУ!$CP:$CP,0),1)=0,"",INDEX(ТУ!$BI:$BI,MATCH($U32*1,ТУ!$CP:$CP,0),1))</f>
        <v>19.04.2018</v>
      </c>
      <c r="X32" s="58" t="str">
        <f t="shared" si="13"/>
        <v/>
      </c>
      <c r="Y32" s="25">
        <f t="shared" si="14"/>
        <v>35</v>
      </c>
      <c r="Z32" s="42" t="str">
        <f t="shared" si="15"/>
        <v/>
      </c>
      <c r="AA32" s="25" t="str">
        <f t="shared" si="16"/>
        <v/>
      </c>
      <c r="AB32" s="40" t="str">
        <f>IF(ISNUMBER(SEARCH("Приборы с поддержкой протокола СПОДЭС - Нартис-И300 (СПОДЭС)",INDEX(ТУ!$BD:$BD,MATCH($U32*1,ТУ!$CP:$CP,0),1))),"Нартис-И300",
IF(ISNUMBER(SEARCH("Приборы с поддержкой протокола СПОДЭС - Меркурий 234 (СПОДЭС)",INDEX(ТУ!$BD:$BD,MATCH($U32*1,ТУ!$CP:$CP,0),1))),"Меркурий 234 (СПОДЭС)",
IF(ISNUMBER(SEARCH("Приборы с поддержкой протокола СПОДЭС - Нартис-300 (СПОДЭС)",INDEX(ТУ!$BD:$BD,MATCH($U32*1,ТУ!$CP:$CP,0),1))),"Нартис-300",
IF(ISNUMBER(SEARCH("Инкотекс - Меркурий 234",INDEX(ТУ!$BD:$BD,MATCH($U32*1,ТУ!$CP:$CP,0),1))),"Меркурий 234",
IF(ISNUMBER(SEARCH("Инкотекс - Меркурий 206",INDEX(ТУ!$BD:$BD,MATCH($U32*1,ТУ!$CP:$CP,0),1))),"Меркурий 206",
IF(ISNUMBER(SEARCH("Приборы с поддержкой протокола СПОДЭС - Универсальный счетчик СПОДЭС 2 трехфазный",INDEX(ТУ!$BD:$BD,MATCH($U32*1,ТУ!$CP:$CP,0),1))),"Нартис-И300",
IF(ISNUMBER(SEARCH("Приборы с поддержкой протокола СПОДЭС - Универсальный счетчик СПОДЭС 2 однофазный",INDEX(ТУ!$BD:$BD,MATCH($U32*1,ТУ!$CP:$CP,0),1))),"Нартис-И100",
IF(ISNUMBER(SEARCH("Приборы с поддержкой протокола СПОДЭС - Нартис-И100 (СПОДЭС)",INDEX(ТУ!$BD:$BD,MATCH($U32*1,ТУ!$CP:$CP,0),1))),"Нартис-И100",
IF(ISNUMBER(SEARCH("Приборы с поддержкой протокола СПОДЭС - СЕ308 (СПОДЭС)",INDEX(ТУ!$BD:$BD,MATCH($U32*1,ТУ!$CP:$CP,0),1))),"СЕ308 (СПОДЭС)",
IF(ISNUMBER(SEARCH("Приборы с поддержкой протокола СПОДЭС - СЕ207 (СПОДЭС)",INDEX(ТУ!$BD:$BD,MATCH($U32*1,ТУ!$CP:$CP,0),1))),"СЕ207 (СПОДЭС)",
IF(ISNUMBER(SEARCH("Приборы с поддержкой протокола СПОДЭС - СТЭМ-300 (СПОДЭС)",INDEX(ТУ!$BD:$BD,MATCH($U32*1,ТУ!$CP:$CP,0),1))),"СТЭМ-300 (СПОДЭС)",
IF(ISNUMBER(SEARCH("ТехноЭнерго - ТЕ3000",INDEX(ТУ!$BD:$BD,MATCH($U32*1,ТУ!$CP:$CP,0),1))),"ТЕ3000",
IF(ISNUMBER(SEARCH("НЗиФ - СЭТ-4ТМ",INDEX(ТУ!$BD:$BD,MATCH($U32*1,ТУ!$CP:$CP,0),1))),"СЭТ-4ТМ",
INDEX(ТУ!$BD:$BD,MATCH($U32*1,ТУ!$CP:$CP,0),1)
)))))))))))))</f>
        <v>НЗиФ - ПСЧ-4ТМ.05 (Номинальное напряжение - 220 (380) В, Номинальный ток - 5 А, Постоянная счетчика - 1250, Учитываемые типы энергии - А+,А-,Р+,Р-)</v>
      </c>
      <c r="AC32" s="40" t="s">
        <v>2</v>
      </c>
      <c r="AD32" s="40" t="str">
        <f>IF(ISNUMBER(IFERROR(LEFT(IF(INDEX(ТУ!$CI:$CI,MATCH($U32*1,ТУ!$CP:$CP,0),1)=0,"",INDEX(ТУ!$CI:$CI,MATCH($U32*1,ТУ!$CP:$CP,0),1)),SEARCH(" ",IF(INDEX(ТУ!$CI:$CI,MATCH($U32*1,ТУ!$CP:$CP,0),1)=0,"",INDEX(ТУ!$CI:$CI,MATCH($U32*1,ТУ!$CP:$CP,0),1)),1)-1),"")*1),IFERROR(LEFT(IF(INDEX(ТУ!$CI:$CI,MATCH($U32*1,ТУ!$CP:$CP,0),1)=0,"",INDEX(ТУ!$CI:$CI,MATCH($U32*1,ТУ!$CP:$CP,0),1)),SEARCH(" ",IF(INDEX(ТУ!$CI:$CI,MATCH($U32*1,ТУ!$CP:$CP,0),1)=0,"",INDEX(ТУ!$CI:$CI,MATCH($U32*1,ТУ!$CP:$CP,0),1)),1)-1),""),"")</f>
        <v>97628469</v>
      </c>
      <c r="AE32" s="40" t="str">
        <f>IF(INDEX(ТУ!$CB:$CB,MATCH($U32*1,ТУ!$CP:$CP,0),1)=0,INDEX(Adr!$B:$B,MATCH($U32*1,Adr!$C:$C,0),1),INDEX(ТУ!$CB:$CB,MATCH($U32*1,ТУ!$CP:$CP,0),1))</f>
        <v>57</v>
      </c>
      <c r="AF32" s="45" t="str">
        <f>IF(INDEX(ТУ!$CD:$CD,MATCH($U32*1,ТУ!$CP:$CP,0),1)=0,"",INDEX(ТУ!$CD:$CD,MATCH($U32*1,ТУ!$CP:$CP,0),1))</f>
        <v>000000</v>
      </c>
      <c r="AG32" s="45">
        <f>0</f>
        <v>0</v>
      </c>
      <c r="AH32" s="26">
        <f t="shared" si="17"/>
        <v>88</v>
      </c>
      <c r="AI32" s="20" t="str">
        <f t="shared" si="18"/>
        <v>885000001</v>
      </c>
      <c r="AJ32" s="41" t="str">
        <f t="shared" si="1"/>
        <v>10.79.231.17</v>
      </c>
      <c r="AK32" s="41" t="str">
        <f>IF($AP32="",IFERROR(IFERROR(LEFT(RIGHT(INDEX(ТУ!$CE:$CE,MATCH($U32*1,ТУ!$CP:$CP,0),1),LEN(INDEX(ТУ!$CE:$CE,MATCH($U32*1,ТУ!$CP:$CP,0),1))-SEARCH(":",INDEX(ТУ!$CE:$CE,MATCH($U32*1,ТУ!$CP:$CP,0),1))),SEARCH("/",RIGHT(INDEX(ТУ!$CE:$CE,MATCH($U32*1,ТУ!$CP:$CP,0),1),LEN(INDEX(ТУ!$CE:$CE,MATCH($U32*1,ТУ!$CP:$CP,0),1))-SEARCH(":",INDEX(ТУ!$CE:$CE,MATCH($U32*1,ТУ!$CP:$CP,0),1))))-1), RIGHT(INDEX(ТУ!$CE:$CE,MATCH($U32*1,ТУ!$CP:$CP,0),1),LEN(INDEX(ТУ!$CE:$CE,MATCH($U32*1,ТУ!$CP:$CP,0),1))-SEARCH(":",INDEX(ТУ!$CE:$CE,MATCH($U32*1,ТУ!$CP:$CP,0),1)))), ""),IFERROR(IFERROR(LEFT(RIGHT(INDEX(УСПД!$M:$M,MATCH(IFERROR(1*LEFT(INDEX(ТУ!$CG:$CG,MATCH($U32*1,ТУ!$CP:$CP,0),1),SEARCH(" ",INDEX(ТУ!$CG:$CG,MATCH($U32*1,ТУ!$CP:$CP,0),1))-1),""),УСПД!$N:$N,0),1),LEN(INDEX(УСПД!$M:$M,MATCH(IFERROR(1*LEFT(INDEX(ТУ!$CG:$CG,MATCH($U32*1,ТУ!$CP:$CP,0),1),SEARCH(" ",INDEX(ТУ!$CG:$CG,MATCH($U32*1,ТУ!$CP:$CP,0),1))-1),""),УСПД!$N:$N,0),1))-SEARCH(":",INDEX(УСПД!$M:$M,MATCH(IFERROR(1*LEFT(INDEX(ТУ!$CG:$CG,MATCH($U32*1,ТУ!$CP:$CP,0),1),SEARCH(" ",INDEX(ТУ!$CG:$CG,MATCH($U32*1,ТУ!$CP:$CP,0),1))-1),""),УСПД!$N:$N,0),1))),SEARCH("/",RIGHT(INDEX(УСПД!$M:$M,MATCH(IFERROR(1*LEFT(INDEX(ТУ!$CG:$CG,MATCH($U32*1,ТУ!$CP:$CP,0),1),SEARCH(" ",INDEX(ТУ!$CG:$CG,MATCH($U32*1,ТУ!$CP:$CP,0),1))-1),""),УСПД!$N:$N,0),1),LEN(INDEX(УСПД!$M:$M,MATCH(IFERROR(1*LEFT(INDEX(ТУ!$CG:$CG,MATCH($U32*1,ТУ!$CP:$CP,0),1),SEARCH(" ",INDEX(ТУ!$CG:$CG,MATCH($U32*1,ТУ!$CP:$CP,0),1))-1),""),УСПД!$N:$N,0),1))-SEARCH(":",INDEX(УСПД!$M:$M,MATCH(IFERROR(1*LEFT(INDEX(ТУ!$CG:$CG,MATCH($U32*1,ТУ!$CP:$CP,0),1),SEARCH(" ",INDEX(ТУ!$CG:$CG,MATCH($U32*1,ТУ!$CP:$CP,0),1))-1),""),УСПД!$N:$N,0),1))))-1), RIGHT(INDEX(УСПД!$M:$M,MATCH(IFERROR(1*LEFT(INDEX(ТУ!$CG:$CG,MATCH($U32*1,ТУ!$CP:$CP,0),1),SEARCH(" ",INDEX(ТУ!$CG:$CG,MATCH($U32*1,ТУ!$CP:$CP,0),1))-1),""),УСПД!$N:$N,0),1),LEN(INDEX(УСПД!$M:$M,MATCH(IFERROR(1*LEFT(INDEX(ТУ!$CG:$CG,MATCH($U32*1,ТУ!$CP:$CP,0),1),SEARCH(" ",INDEX(ТУ!$CG:$CG,MATCH($U32*1,ТУ!$CP:$CP,0),1))-1),""),УСПД!$N:$N,0),1))-SEARCH(":",INDEX(УСПД!$M:$M,MATCH(IFERROR(1*LEFT(INDEX(ТУ!$CG:$CG,MATCH($U32*1,ТУ!$CP:$CP,0),1),SEARCH(" ",INDEX(ТУ!$CG:$CG,MATCH($U32*1,ТУ!$CP:$CP,0),1))-1),""),УСПД!$N:$N,0),1)))), ""))</f>
        <v>5001</v>
      </c>
      <c r="AL32" s="41"/>
      <c r="AM32" s="57" t="str">
        <f>IFERROR(IFERROR(INDEX(Tel!$B:$B,MATCH($AJ32,Tel!$E:$E,0),1),INDEX(Tel!$B:$B,MATCH($AJ32,Tel!$D:$D,0),1)),"")</f>
        <v/>
      </c>
      <c r="AN32" s="59" t="str">
        <f>IF(ISNUMBER(SEARCH("ТОПАЗ - ТОПАЗ УСПД",IFERROR(RIGHT(LEFT(INDEX(ТУ!$CG:$CG,MATCH($U32*1,ТУ!$CP:$CP,0),1),SEARCH(")",INDEX(ТУ!$CG:$CG,MATCH($U32*1,ТУ!$CP:$CP,0),1))-1),LEN(LEFT(INDEX(ТУ!$CG:$CG,MATCH($U32*1,ТУ!$CP:$CP,0),1),SEARCH(")",INDEX(ТУ!$CG:$CG,MATCH($U32*1,ТУ!$CP:$CP,0),1))-1))-SEARCH("(",INDEX(ТУ!$CG:$CG,MATCH($U32*1,ТУ!$CP:$CP,0),1))),""),1)),"RTU-327",
IF(ISNUMBER(SEARCH("TELEOFIS",$AP32)),"Модем",
""))</f>
        <v/>
      </c>
      <c r="AO32" s="27" t="str">
        <f t="shared" si="0"/>
        <v/>
      </c>
      <c r="AP32" s="57" t="str">
        <f>IF(ISNUMBER(SEARCH("Миландр - Милур GSM/GPRS модем",IFERROR(RIGHT(LEFT(INDEX(ТУ!$CG:$CG,MATCH($U32*1,ТУ!$CP:$CP,0),1),SEARCH(")",INDEX(ТУ!$CG:$CG,MATCH($U32*1,ТУ!$CP:$CP,0),1))-1),LEN(LEFT(INDEX(ТУ!$CG:$CG,MATCH($U32*1,ТУ!$CP:$CP,0),1),SEARCH(")",INDEX(ТУ!$CG:$CG,MATCH($U32*1,ТУ!$CP:$CP,0),1))-1))-SEARCH("(",INDEX(ТУ!$CG:$CG,MATCH($U32*1,ТУ!$CP:$CP,0),1))),""),1)), "TELEOFIS WRX708-L4",IFERROR(RIGHT(LEFT(INDEX(ТУ!$CG:$CG,MATCH($U32*1,ТУ!$CP:$CP,0),1),SEARCH(")",INDEX(ТУ!$CG:$CG,MATCH($U32*1,ТУ!$CP:$CP,0),1))-1),LEN(LEFT(INDEX(ТУ!$CG:$CG,MATCH($U32*1,ТУ!$CP:$CP,0),1),SEARCH(")",INDEX(ТУ!$CG:$CG,MATCH($U32*1,ТУ!$CP:$CP,0),1))-1))-SEARCH("(",INDEX(ТУ!$CG:$CG,MATCH($U32*1,ТУ!$CP:$CP,0),1))),""))</f>
        <v/>
      </c>
      <c r="AQ32" s="57" t="str">
        <f>IFERROR(IF(INDEX(УСПД!$K:$K,MATCH($AS32*1,УСПД!$N:$N,0),1)=0,"",INDEX(УСПД!$K:$K,MATCH($AS32*1,УСПД!$N:$N,0),1)),"")</f>
        <v/>
      </c>
      <c r="AR32" s="57" t="str">
        <f>IFERROR(IF(INDEX(УСПД!$L:$L,MATCH($AS32*1,УСПД!$N:$N,0),1)=0,"",INDEX(УСПД!$L:$L,MATCH($AS32*1,УСПД!$N:$N,0),1)),"")</f>
        <v/>
      </c>
      <c r="AS32" s="60" t="str">
        <f>IFERROR(LEFT(INDEX(ТУ!$CG:$CG,MATCH($U32*1,ТУ!$CP:$CP,0),1),SEARCH(" ",INDEX(ТУ!$CG:$CG,MATCH($U32*1,ТУ!$CP:$CP,0),1))-1),"")</f>
        <v/>
      </c>
      <c r="AT32" s="59" t="s">
        <v>360</v>
      </c>
      <c r="AU32" s="59">
        <f>3</f>
        <v>3</v>
      </c>
      <c r="AV32" s="59" t="s">
        <v>368</v>
      </c>
      <c r="AW32" s="149">
        <f t="shared" si="19"/>
        <v>66</v>
      </c>
      <c r="AX32" s="149">
        <f t="shared" si="20"/>
        <v>34</v>
      </c>
      <c r="AY32" s="149" t="str">
        <f t="shared" si="21"/>
        <v/>
      </c>
      <c r="AZ32" s="149" t="str">
        <f t="shared" si="22"/>
        <v/>
      </c>
      <c r="BA32" s="149">
        <f t="shared" si="23"/>
        <v>1</v>
      </c>
      <c r="BB32" s="154" t="str">
        <f>IF($AP32="",IFERROR(IFERROR(LEFT(RIGHT(INDEX(ТУ!$CE:$CE,MATCH($U32*1,ТУ!$CP:$CP,0),1),LEN(INDEX(ТУ!$CE:$CE,MATCH($U32*1,ТУ!$CP:$CP,0),1))-SEARCH(", ",INDEX(ТУ!$CE:$CE,MATCH($U32*1,ТУ!$CP:$CP,0),1),SEARCH(", ",INDEX(ТУ!$CE:$CE,MATCH($U32*1,ТУ!$CP:$CP,0),1))+1)-1),SEARCH(":",RIGHT(INDEX(ТУ!$CE:$CE,MATCH($U32*1,ТУ!$CP:$CP,0),1),LEN(INDEX(ТУ!$CE:$CE,MATCH($U32*1,ТУ!$CP:$CP,0),1))-SEARCH(", ",INDEX(ТУ!$CE:$CE,MATCH($U32*1,ТУ!$CP:$CP,0),1),SEARCH(", ",INDEX(ТУ!$CE:$CE,MATCH($U32*1,ТУ!$CP:$CP,0),1))+1)-1))-1),LEFT(INDEX(ТУ!$CE:$CE,MATCH($U32*1,ТУ!$CP:$CP,0),1),SEARCH(":",INDEX(ТУ!$CE:$CE,MATCH($U32*1,ТУ!$CP:$CP,0),1))-1)),""),IFERROR(IFERROR(LEFT(RIGHT(INDEX(УСПД!$M:$M,MATCH(IFERROR(1*LEFT(INDEX(ТУ!$CG:$CG,MATCH($U32*1,ТУ!$CP:$CP,0),1),SEARCH(" ",INDEX(ТУ!$CG:$CG,MATCH($U32*1,ТУ!$CP:$CP,0),1))-1),""),УСПД!$N:$N,0),1),LEN(INDEX(УСПД!$M:$M,MATCH(IFERROR(1*LEFT(INDEX(ТУ!$CG:$CG,MATCH($U32*1,ТУ!$CP:$CP,0),1),SEARCH(" ",INDEX(ТУ!$CG:$CG,MATCH($U32*1,ТУ!$CP:$CP,0),1))-1),""),УСПД!$N:$N,0),1))-SEARCH(", ",INDEX(УСПД!$M:$M,MATCH(IFERROR(1*LEFT(INDEX(ТУ!$CG:$CG,MATCH($U32*1,ТУ!$CP:$CP,0),1),SEARCH(" ",INDEX(ТУ!$CG:$CG,MATCH($U32*1,ТУ!$CP:$CP,0),1))-1),""),УСПД!$N:$N,0),1),SEARCH(", ",INDEX(УСПД!$M:$M,MATCH(IFERROR(1*LEFT(INDEX(ТУ!$CG:$CG,MATCH($U32*1,ТУ!$CP:$CP,0),1),SEARCH(" ",INDEX(ТУ!$CG:$CG,MATCH($U32*1,ТУ!$CP:$CP,0),1))-1),""),УСПД!$N:$N,0),1))+1)-1),SEARCH(":",RIGHT(INDEX(УСПД!$M:$M,MATCH(IFERROR(1*LEFT(INDEX(ТУ!$CG:$CG,MATCH($U32*1,ТУ!$CP:$CP,0),1),SEARCH(" ",INDEX(ТУ!$CG:$CG,MATCH($U32*1,ТУ!$CP:$CP,0),1))-1),""),УСПД!$N:$N,0),1),LEN(INDEX(УСПД!$M:$M,MATCH(IFERROR(1*LEFT(INDEX(ТУ!$CG:$CG,MATCH($U32*1,ТУ!$CP:$CP,0),1),SEARCH(" ",INDEX(ТУ!$CG:$CG,MATCH($U32*1,ТУ!$CP:$CP,0),1))-1),""),УСПД!$N:$N,0),1))-SEARCH(", ",INDEX(УСПД!$M:$M,MATCH(IFERROR(1*LEFT(INDEX(ТУ!$CG:$CG,MATCH($U32*1,ТУ!$CP:$CP,0),1),SEARCH(" ",INDEX(ТУ!$CG:$CG,MATCH($U32*1,ТУ!$CP:$CP,0),1))-1),""),УСПД!$N:$N,0),1),SEARCH(", ",INDEX(УСПД!$M:$M,MATCH(IFERROR(1*LEFT(INDEX(ТУ!$CG:$CG,MATCH($U32*1,ТУ!$CP:$CP,0),1),SEARCH(" ",INDEX(ТУ!$CG:$CG,MATCH($U32*1,ТУ!$CP:$CP,0),1))-1),""),УСПД!$N:$N,0),1))+1)-1))-1),LEFT(INDEX(УСПД!$M:$M,MATCH(IFERROR(1*LEFT(INDEX(ТУ!$CG:$CG,MATCH($U32*1,ТУ!$CP:$CP,0),1),SEARCH(" ",INDEX(ТУ!$CG:$CG,MATCH($U32*1,ТУ!$CP:$CP,0),1))-1),""),УСПД!$N:$N,0),1),SEARCH(":",INDEX(УСПД!$M:$M,MATCH(IFERROR(1*LEFT(INDEX(ТУ!$CG:$CG,MATCH($U32*1,ТУ!$CP:$CP,0),1),SEARCH(" ",INDEX(ТУ!$CG:$CG,MATCH($U32*1,ТУ!$CP:$CP,0),1))-1),""),УСПД!$N:$N,0),1))-1)),""))</f>
        <v>10.79.231.17</v>
      </c>
      <c r="BC32" s="155" t="str">
        <f>INDEX(ТУ!$AF:$AF,MATCH($U32*1,ТУ!$CP:$CP,0),1)</f>
        <v>ТП МКС (б/н)</v>
      </c>
      <c r="BD32" s="155">
        <f>INDEX(ТУ!$X:$X,MATCH($U32*1,ТУ!$CP:$CP,0),1)</f>
        <v>0</v>
      </c>
      <c r="BE32" s="155">
        <f>INDEX(ТУ!$CL:$CL,MATCH($U32*1,ТУ!$CP:$CP,0),1)</f>
        <v>0</v>
      </c>
      <c r="BF32" s="147" t="str">
        <f>IFERROR(INDEX(естьАЦ!$A:$A,MATCH($U32*1,естьАЦ!$A:$A,0),1),"нет в АЦ")</f>
        <v>нет в АЦ</v>
      </c>
    </row>
    <row r="33" spans="1:58" ht="15" x14ac:dyDescent="0.25">
      <c r="A33" s="55">
        <f>3</f>
        <v>3</v>
      </c>
      <c r="B33" s="42" t="str">
        <f>IFERROR(IFERROR(INDEX(Справочники!$A$2:$P$79,MATCH(INDEX(ТУ!$E:$E,MATCH($U33*1,ТУ!$CP:$CP,0),1),Справочники!$P$2:$P$79,0),2),INDEX(Справочники!$A$2:$P$79,MATCH((INDEX(ТУ!$E:$E,MATCH($U33*1,ТУ!$CP:$CP,0),1))*1,Справочники!$P$2:$P$79,0),2)),"")</f>
        <v>08 р-н МКС (СЗОРУПЭ)</v>
      </c>
      <c r="C33" s="46" t="str">
        <f>IFERROR(TRIM(LEFT(INDEX(ТУ!$AF:$AF,MATCH($U33*1,ТУ!$CP:$CP,0),1),SEARCH("-",INDEX(ТУ!$AF:$AF,MATCH($U33*1,ТУ!$CP:$CP,0),1))-1)),IFERROR(LEFT(INDEX(ТУ!$X:$X,MATCH($U33*1,ТУ!$CP:$CP,0),1),SEARCH("-",INDEX(ТУ!$X:$X,MATCH($U33*1,ТУ!$CP:$CP,0),1))-1),"ТП"))</f>
        <v>ТП</v>
      </c>
      <c r="D33" s="47" t="str">
        <f>IF(TRIM(IF(ISNUMBER((IFERROR(RIGHT(INDEX(ТУ!$AF:$AF,MATCH($U33*1,ТУ!$CP:$CP,0),1),LEN(INDEX(ТУ!$AF:$AF,MATCH($U33*1,ТУ!$CP:$CP,0),1))-SEARCH("-",INDEX(ТУ!$AF:$AF,MATCH($U33*1,ТУ!$CP:$CP,0),1))),INDEX(ТУ!$AF:$AF,MATCH($U33*1,ТУ!$CP:$CP,0),1)))*1),IFERROR(RIGHT(INDEX(ТУ!$AF:$AF,MATCH($U33*1,ТУ!$CP:$CP,0),1),LEN(INDEX(ТУ!$AF:$AF,MATCH($U33*1,ТУ!$CP:$CP,0),1))-SEARCH("-",INDEX(ТУ!$AF:$AF,MATCH($U33*1,ТУ!$CP:$CP,0),1))),INDEX(ТУ!$AF:$AF,MATCH($U33*1,ТУ!$CP:$CP,0),1)),""))="",TRIM(IF(ISNUMBER((IFERROR(RIGHT(INDEX(ТУ!$X:$X,MATCH($U33*1,ТУ!$CP:$CP,0),1),LEN(INDEX(ТУ!$X:$X,MATCH($U33*1,ТУ!$CP:$CP,0),1))-SEARCH("-",INDEX(ТУ!$X:$X,MATCH($U33*1,ТУ!$CP:$CP,0),1))),INDEX(ТУ!$X:$X,MATCH($U33*1,ТУ!$CP:$CP,0),1)))*1),IFERROR(RIGHT(INDEX(ТУ!$X:$X,MATCH($U33*1,ТУ!$CP:$CP,0),1),LEN(INDEX(ТУ!$X:$X,MATCH($U33*1,ТУ!$CP:$CP,0),1))-SEARCH("-",INDEX(ТУ!$X:$X,MATCH($U33*1,ТУ!$CP:$CP,0),1))),INDEX(ТУ!$X:$X,MATCH($U33*1,ТУ!$CP:$CP,0),1)),"")),TRIM(IF(ISNUMBER((IFERROR(RIGHT(INDEX(ТУ!$AF:$AF,MATCH($U33*1,ТУ!$CP:$CP,0),1),LEN(INDEX(ТУ!$AF:$AF,MATCH($U33*1,ТУ!$CP:$CP,0),1))-SEARCH("-",INDEX(ТУ!$AF:$AF,MATCH($U33*1,ТУ!$CP:$CP,0),1))),INDEX(ТУ!$AF:$AF,MATCH($U33*1,ТУ!$CP:$CP,0),1)))*1),IFERROR(RIGHT(INDEX(ТУ!$AF:$AF,MATCH($U33*1,ТУ!$CP:$CP,0),1),LEN(INDEX(ТУ!$AF:$AF,MATCH($U33*1,ТУ!$CP:$CP,0),1))-SEARCH("-",INDEX(ТУ!$AF:$AF,MATCH($U33*1,ТУ!$CP:$CP,0),1))),INDEX(ТУ!$AF:$AF,MATCH($U33*1,ТУ!$CP:$CP,0),1)),"")))</f>
        <v/>
      </c>
      <c r="E33" s="25" t="str">
        <f t="shared" si="2"/>
        <v>МКС</v>
      </c>
      <c r="F33" s="20">
        <f t="shared" si="3"/>
        <v>82</v>
      </c>
      <c r="G33" s="21">
        <f t="shared" si="4"/>
        <v>5</v>
      </c>
      <c r="H33" s="25" t="str">
        <f t="shared" si="5"/>
        <v>ТП-</v>
      </c>
      <c r="I33" s="25" t="str">
        <f t="shared" si="6"/>
        <v>82500000</v>
      </c>
      <c r="J33" s="42" t="str">
        <f>INDEX(Справочники!$M:$M,MATCH(IF(INDEX(ТУ!$BO:$BO,MATCH($U33*1,ТУ!$CP:$CP,0),1)=1,1,INDEX(ТУ!$BO:$BO,MATCH($U33*1,ТУ!$CP:$CP,0),1)*100),Справочники!$N:$N,0),1)</f>
        <v>0.4 кВ</v>
      </c>
      <c r="K33" s="40">
        <f>1</f>
        <v>1</v>
      </c>
      <c r="L33" s="20" t="str">
        <f t="shared" si="7"/>
        <v>СШ-1</v>
      </c>
      <c r="M33" s="20">
        <f t="shared" si="8"/>
        <v>1</v>
      </c>
      <c r="N33" s="40"/>
      <c r="O33" s="56" t="str">
        <f t="shared" si="9"/>
        <v>Ввод-1-1</v>
      </c>
      <c r="P33" s="57" t="str">
        <f>IFERROR(IF(INDEX(ТУ!$AO:$AO,MATCH($U33*1,ТУ!$CP:$CP,0),1)=0,"",INDEX(ТУ!$AO:$AO,MATCH($U33*1,ТУ!$CP:$CP,0),1)),"")</f>
        <v>ячейка 1</v>
      </c>
      <c r="Q33" s="40">
        <f>IFERROR(IF(INDEX(ТУ!$BN:$BN,MATCH($U33*1,ТУ!$CP:$CP,0),1)=1,1,INDEX(ТУ!$BN:$BN,MATCH($U33*1,ТУ!$CP:$CP,0),1)*5),"")</f>
        <v>1</v>
      </c>
      <c r="R33" s="25">
        <f t="shared" si="10"/>
        <v>1</v>
      </c>
      <c r="S33" s="25">
        <f t="shared" si="11"/>
        <v>1</v>
      </c>
      <c r="T33" s="25">
        <f t="shared" si="12"/>
        <v>1</v>
      </c>
      <c r="U33" s="105" t="s">
        <v>804</v>
      </c>
      <c r="V33" s="43">
        <f>IF(INDEX(ТУ!$BH:$BH,MATCH($U33*1,ТУ!$CP:$CP,0),1)=0,"",INDEX(ТУ!$BH:$BH,MATCH($U33*1,ТУ!$CP:$CP,0),1))</f>
        <v>44836</v>
      </c>
      <c r="W33" s="43" t="str">
        <f>IF(INDEX(ТУ!$BI:$BI,MATCH($U33*1,ТУ!$CP:$CP,0),1)=0,"",INDEX(ТУ!$BI:$BI,MATCH($U33*1,ТУ!$CP:$CP,0),1))</f>
        <v>02.10.2022</v>
      </c>
      <c r="X33" s="58" t="str">
        <f t="shared" si="13"/>
        <v/>
      </c>
      <c r="Y33" s="25">
        <f t="shared" si="14"/>
        <v>35</v>
      </c>
      <c r="Z33" s="42" t="str">
        <f t="shared" si="15"/>
        <v/>
      </c>
      <c r="AA33" s="25" t="str">
        <f t="shared" si="16"/>
        <v/>
      </c>
      <c r="AB33" s="40" t="str">
        <f>IF(ISNUMBER(SEARCH("Приборы с поддержкой протокола СПОДЭС - Нартис-И300 (СПОДЭС)",INDEX(ТУ!$BD:$BD,MATCH($U33*1,ТУ!$CP:$CP,0),1))),"Нартис-И300",
IF(ISNUMBER(SEARCH("Приборы с поддержкой протокола СПОДЭС - Меркурий 234 (СПОДЭС)",INDEX(ТУ!$BD:$BD,MATCH($U33*1,ТУ!$CP:$CP,0),1))),"Меркурий 234 (СПОДЭС)",
IF(ISNUMBER(SEARCH("Приборы с поддержкой протокола СПОДЭС - Нартис-300 (СПОДЭС)",INDEX(ТУ!$BD:$BD,MATCH($U33*1,ТУ!$CP:$CP,0),1))),"Нартис-300",
IF(ISNUMBER(SEARCH("Инкотекс - Меркурий 234",INDEX(ТУ!$BD:$BD,MATCH($U33*1,ТУ!$CP:$CP,0),1))),"Меркурий 234",
IF(ISNUMBER(SEARCH("Инкотекс - Меркурий 206",INDEX(ТУ!$BD:$BD,MATCH($U33*1,ТУ!$CP:$CP,0),1))),"Меркурий 206",
IF(ISNUMBER(SEARCH("Приборы с поддержкой протокола СПОДЭС - Универсальный счетчик СПОДЭС 2 трехфазный",INDEX(ТУ!$BD:$BD,MATCH($U33*1,ТУ!$CP:$CP,0),1))),"Нартис-И300",
IF(ISNUMBER(SEARCH("Приборы с поддержкой протокола СПОДЭС - Универсальный счетчик СПОДЭС 2 однофазный",INDEX(ТУ!$BD:$BD,MATCH($U33*1,ТУ!$CP:$CP,0),1))),"Нартис-И100",
IF(ISNUMBER(SEARCH("Приборы с поддержкой протокола СПОДЭС - Нартис-И100 (СПОДЭС)",INDEX(ТУ!$BD:$BD,MATCH($U33*1,ТУ!$CP:$CP,0),1))),"Нартис-И100",
IF(ISNUMBER(SEARCH("Приборы с поддержкой протокола СПОДЭС - СЕ308 (СПОДЭС)",INDEX(ТУ!$BD:$BD,MATCH($U33*1,ТУ!$CP:$CP,0),1))),"СЕ308 (СПОДЭС)",
IF(ISNUMBER(SEARCH("Приборы с поддержкой протокола СПОДЭС - СЕ207 (СПОДЭС)",INDEX(ТУ!$BD:$BD,MATCH($U33*1,ТУ!$CP:$CP,0),1))),"СЕ207 (СПОДЭС)",
IF(ISNUMBER(SEARCH("Приборы с поддержкой протокола СПОДЭС - СТЭМ-300 (СПОДЭС)",INDEX(ТУ!$BD:$BD,MATCH($U33*1,ТУ!$CP:$CP,0),1))),"СТЭМ-300 (СПОДЭС)",
IF(ISNUMBER(SEARCH("ТехноЭнерго - ТЕ3000",INDEX(ТУ!$BD:$BD,MATCH($U33*1,ТУ!$CP:$CP,0),1))),"ТЕ3000",
IF(ISNUMBER(SEARCH("НЗиФ - СЭТ-4ТМ",INDEX(ТУ!$BD:$BD,MATCH($U33*1,ТУ!$CP:$CP,0),1))),"СЭТ-4ТМ",
INDEX(ТУ!$BD:$BD,MATCH($U33*1,ТУ!$CP:$CP,0),1)
)))))))))))))</f>
        <v>МИР - МИР С-05</v>
      </c>
      <c r="AC33" s="40" t="s">
        <v>2</v>
      </c>
      <c r="AD33" s="40" t="str">
        <f>IF(ISNUMBER(IFERROR(LEFT(IF(INDEX(ТУ!$CI:$CI,MATCH($U33*1,ТУ!$CP:$CP,0),1)=0,"",INDEX(ТУ!$CI:$CI,MATCH($U33*1,ТУ!$CP:$CP,0),1)),SEARCH(" ",IF(INDEX(ТУ!$CI:$CI,MATCH($U33*1,ТУ!$CP:$CP,0),1)=0,"",INDEX(ТУ!$CI:$CI,MATCH($U33*1,ТУ!$CP:$CP,0),1)),1)-1),"")*1),IFERROR(LEFT(IF(INDEX(ТУ!$CI:$CI,MATCH($U33*1,ТУ!$CP:$CP,0),1)=0,"",INDEX(ТУ!$CI:$CI,MATCH($U33*1,ТУ!$CP:$CP,0),1)),SEARCH(" ",IF(INDEX(ТУ!$CI:$CI,MATCH($U33*1,ТУ!$CP:$CP,0),1)=0,"",INDEX(ТУ!$CI:$CI,MATCH($U33*1,ТУ!$CP:$CP,0),1)),1)-1),""),"")</f>
        <v/>
      </c>
      <c r="AE33" s="40" t="str">
        <f>IF(INDEX(ТУ!$CB:$CB,MATCH($U33*1,ТУ!$CP:$CP,0),1)=0,INDEX(Adr!$B:$B,MATCH($U33*1,Adr!$C:$C,0),1),INDEX(ТУ!$CB:$CB,MATCH($U33*1,ТУ!$CP:$CP,0),1))</f>
        <v>7447</v>
      </c>
      <c r="AF33" s="45" t="str">
        <f>IF(INDEX(ТУ!$CD:$CD,MATCH($U33*1,ТУ!$CP:$CP,0),1)=0,"",INDEX(ТУ!$CD:$CD,MATCH($U33*1,ТУ!$CP:$CP,0),1))</f>
        <v>00000000</v>
      </c>
      <c r="AG33" s="45">
        <f>0</f>
        <v>0</v>
      </c>
      <c r="AH33" s="26">
        <f t="shared" si="17"/>
        <v>82</v>
      </c>
      <c r="AI33" s="20" t="str">
        <f t="shared" si="18"/>
        <v>825000001</v>
      </c>
      <c r="AJ33" s="41" t="str">
        <f t="shared" si="1"/>
        <v>10.82.51.215</v>
      </c>
      <c r="AK33" s="41" t="str">
        <f>IF($AP33="",IFERROR(IFERROR(LEFT(RIGHT(INDEX(ТУ!$CE:$CE,MATCH($U33*1,ТУ!$CP:$CP,0),1),LEN(INDEX(ТУ!$CE:$CE,MATCH($U33*1,ТУ!$CP:$CP,0),1))-SEARCH(":",INDEX(ТУ!$CE:$CE,MATCH($U33*1,ТУ!$CP:$CP,0),1))),SEARCH("/",RIGHT(INDEX(ТУ!$CE:$CE,MATCH($U33*1,ТУ!$CP:$CP,0),1),LEN(INDEX(ТУ!$CE:$CE,MATCH($U33*1,ТУ!$CP:$CP,0),1))-SEARCH(":",INDEX(ТУ!$CE:$CE,MATCH($U33*1,ТУ!$CP:$CP,0),1))))-1), RIGHT(INDEX(ТУ!$CE:$CE,MATCH($U33*1,ТУ!$CP:$CP,0),1),LEN(INDEX(ТУ!$CE:$CE,MATCH($U33*1,ТУ!$CP:$CP,0),1))-SEARCH(":",INDEX(ТУ!$CE:$CE,MATCH($U33*1,ТУ!$CP:$CP,0),1)))), ""),IFERROR(IFERROR(LEFT(RIGHT(INDEX(УСПД!$M:$M,MATCH(IFERROR(1*LEFT(INDEX(ТУ!$CG:$CG,MATCH($U33*1,ТУ!$CP:$CP,0),1),SEARCH(" ",INDEX(ТУ!$CG:$CG,MATCH($U33*1,ТУ!$CP:$CP,0),1))-1),""),УСПД!$N:$N,0),1),LEN(INDEX(УСПД!$M:$M,MATCH(IFERROR(1*LEFT(INDEX(ТУ!$CG:$CG,MATCH($U33*1,ТУ!$CP:$CP,0),1),SEARCH(" ",INDEX(ТУ!$CG:$CG,MATCH($U33*1,ТУ!$CP:$CP,0),1))-1),""),УСПД!$N:$N,0),1))-SEARCH(":",INDEX(УСПД!$M:$M,MATCH(IFERROR(1*LEFT(INDEX(ТУ!$CG:$CG,MATCH($U33*1,ТУ!$CP:$CP,0),1),SEARCH(" ",INDEX(ТУ!$CG:$CG,MATCH($U33*1,ТУ!$CP:$CP,0),1))-1),""),УСПД!$N:$N,0),1))),SEARCH("/",RIGHT(INDEX(УСПД!$M:$M,MATCH(IFERROR(1*LEFT(INDEX(ТУ!$CG:$CG,MATCH($U33*1,ТУ!$CP:$CP,0),1),SEARCH(" ",INDEX(ТУ!$CG:$CG,MATCH($U33*1,ТУ!$CP:$CP,0),1))-1),""),УСПД!$N:$N,0),1),LEN(INDEX(УСПД!$M:$M,MATCH(IFERROR(1*LEFT(INDEX(ТУ!$CG:$CG,MATCH($U33*1,ТУ!$CP:$CP,0),1),SEARCH(" ",INDEX(ТУ!$CG:$CG,MATCH($U33*1,ТУ!$CP:$CP,0),1))-1),""),УСПД!$N:$N,0),1))-SEARCH(":",INDEX(УСПД!$M:$M,MATCH(IFERROR(1*LEFT(INDEX(ТУ!$CG:$CG,MATCH($U33*1,ТУ!$CP:$CP,0),1),SEARCH(" ",INDEX(ТУ!$CG:$CG,MATCH($U33*1,ТУ!$CP:$CP,0),1))-1),""),УСПД!$N:$N,0),1))))-1), RIGHT(INDEX(УСПД!$M:$M,MATCH(IFERROR(1*LEFT(INDEX(ТУ!$CG:$CG,MATCH($U33*1,ТУ!$CP:$CP,0),1),SEARCH(" ",INDEX(ТУ!$CG:$CG,MATCH($U33*1,ТУ!$CP:$CP,0),1))-1),""),УСПД!$N:$N,0),1),LEN(INDEX(УСПД!$M:$M,MATCH(IFERROR(1*LEFT(INDEX(ТУ!$CG:$CG,MATCH($U33*1,ТУ!$CP:$CP,0),1),SEARCH(" ",INDEX(ТУ!$CG:$CG,MATCH($U33*1,ТУ!$CP:$CP,0),1))-1),""),УСПД!$N:$N,0),1))-SEARCH(":",INDEX(УСПД!$M:$M,MATCH(IFERROR(1*LEFT(INDEX(ТУ!$CG:$CG,MATCH($U33*1,ТУ!$CP:$CP,0),1),SEARCH(" ",INDEX(ТУ!$CG:$CG,MATCH($U33*1,ТУ!$CP:$CP,0),1))-1),""),УСПД!$N:$N,0),1)))), ""))</f>
        <v>4001</v>
      </c>
      <c r="AL33" s="41"/>
      <c r="AM33" s="57" t="str">
        <f>IFERROR(IFERROR(INDEX(Tel!$B:$B,MATCH($AJ33,Tel!$E:$E,0),1),INDEX(Tel!$B:$B,MATCH($AJ33,Tel!$D:$D,0),1)),"")</f>
        <v/>
      </c>
      <c r="AN33" s="59" t="str">
        <f>IF(ISNUMBER(SEARCH("ТОПАЗ - ТОПАЗ УСПД",IFERROR(RIGHT(LEFT(INDEX(ТУ!$CG:$CG,MATCH($U33*1,ТУ!$CP:$CP,0),1),SEARCH(")",INDEX(ТУ!$CG:$CG,MATCH($U33*1,ТУ!$CP:$CP,0),1))-1),LEN(LEFT(INDEX(ТУ!$CG:$CG,MATCH($U33*1,ТУ!$CP:$CP,0),1),SEARCH(")",INDEX(ТУ!$CG:$CG,MATCH($U33*1,ТУ!$CP:$CP,0),1))-1))-SEARCH("(",INDEX(ТУ!$CG:$CG,MATCH($U33*1,ТУ!$CP:$CP,0),1))),""),1)),"RTU-327",
IF(ISNUMBER(SEARCH("TELEOFIS",$AP33)),"Модем",
""))</f>
        <v/>
      </c>
      <c r="AO33" s="27" t="str">
        <f t="shared" si="0"/>
        <v/>
      </c>
      <c r="AP33" s="57" t="str">
        <f>IF(ISNUMBER(SEARCH("Миландр - Милур GSM/GPRS модем",IFERROR(RIGHT(LEFT(INDEX(ТУ!$CG:$CG,MATCH($U33*1,ТУ!$CP:$CP,0),1),SEARCH(")",INDEX(ТУ!$CG:$CG,MATCH($U33*1,ТУ!$CP:$CP,0),1))-1),LEN(LEFT(INDEX(ТУ!$CG:$CG,MATCH($U33*1,ТУ!$CP:$CP,0),1),SEARCH(")",INDEX(ТУ!$CG:$CG,MATCH($U33*1,ТУ!$CP:$CP,0),1))-1))-SEARCH("(",INDEX(ТУ!$CG:$CG,MATCH($U33*1,ТУ!$CP:$CP,0),1))),""),1)), "TELEOFIS WRX708-L4",IFERROR(RIGHT(LEFT(INDEX(ТУ!$CG:$CG,MATCH($U33*1,ТУ!$CP:$CP,0),1),SEARCH(")",INDEX(ТУ!$CG:$CG,MATCH($U33*1,ТУ!$CP:$CP,0),1))-1),LEN(LEFT(INDEX(ТУ!$CG:$CG,MATCH($U33*1,ТУ!$CP:$CP,0),1),SEARCH(")",INDEX(ТУ!$CG:$CG,MATCH($U33*1,ТУ!$CP:$CP,0),1))-1))-SEARCH("(",INDEX(ТУ!$CG:$CG,MATCH($U33*1,ТУ!$CP:$CP,0),1))),""))</f>
        <v/>
      </c>
      <c r="AQ33" s="57" t="str">
        <f>IFERROR(IF(INDEX(УСПД!$K:$K,MATCH($AS33*1,УСПД!$N:$N,0),1)=0,"",INDEX(УСПД!$K:$K,MATCH($AS33*1,УСПД!$N:$N,0),1)),"")</f>
        <v/>
      </c>
      <c r="AR33" s="57" t="str">
        <f>IFERROR(IF(INDEX(УСПД!$L:$L,MATCH($AS33*1,УСПД!$N:$N,0),1)=0,"",INDEX(УСПД!$L:$L,MATCH($AS33*1,УСПД!$N:$N,0),1)),"")</f>
        <v/>
      </c>
      <c r="AS33" s="60" t="str">
        <f>IFERROR(LEFT(INDEX(ТУ!$CG:$CG,MATCH($U33*1,ТУ!$CP:$CP,0),1),SEARCH(" ",INDEX(ТУ!$CG:$CG,MATCH($U33*1,ТУ!$CP:$CP,0),1))-1),"")</f>
        <v/>
      </c>
      <c r="AT33" s="59" t="s">
        <v>360</v>
      </c>
      <c r="AU33" s="59">
        <f>3</f>
        <v>3</v>
      </c>
      <c r="AV33" s="59" t="s">
        <v>368</v>
      </c>
      <c r="AW33" s="149">
        <f t="shared" si="19"/>
        <v>60</v>
      </c>
      <c r="AX33" s="149">
        <f t="shared" si="20"/>
        <v>34</v>
      </c>
      <c r="AY33" s="149" t="str">
        <f t="shared" si="21"/>
        <v/>
      </c>
      <c r="AZ33" s="149" t="str">
        <f t="shared" si="22"/>
        <v/>
      </c>
      <c r="BA33" s="149">
        <f t="shared" si="23"/>
        <v>1</v>
      </c>
      <c r="BB33" s="154" t="str">
        <f>IF($AP33="",IFERROR(IFERROR(LEFT(RIGHT(INDEX(ТУ!$CE:$CE,MATCH($U33*1,ТУ!$CP:$CP,0),1),LEN(INDEX(ТУ!$CE:$CE,MATCH($U33*1,ТУ!$CP:$CP,0),1))-SEARCH(", ",INDEX(ТУ!$CE:$CE,MATCH($U33*1,ТУ!$CP:$CP,0),1),SEARCH(", ",INDEX(ТУ!$CE:$CE,MATCH($U33*1,ТУ!$CP:$CP,0),1))+1)-1),SEARCH(":",RIGHT(INDEX(ТУ!$CE:$CE,MATCH($U33*1,ТУ!$CP:$CP,0),1),LEN(INDEX(ТУ!$CE:$CE,MATCH($U33*1,ТУ!$CP:$CP,0),1))-SEARCH(", ",INDEX(ТУ!$CE:$CE,MATCH($U33*1,ТУ!$CP:$CP,0),1),SEARCH(", ",INDEX(ТУ!$CE:$CE,MATCH($U33*1,ТУ!$CP:$CP,0),1))+1)-1))-1),LEFT(INDEX(ТУ!$CE:$CE,MATCH($U33*1,ТУ!$CP:$CP,0),1),SEARCH(":",INDEX(ТУ!$CE:$CE,MATCH($U33*1,ТУ!$CP:$CP,0),1))-1)),""),IFERROR(IFERROR(LEFT(RIGHT(INDEX(УСПД!$M:$M,MATCH(IFERROR(1*LEFT(INDEX(ТУ!$CG:$CG,MATCH($U33*1,ТУ!$CP:$CP,0),1),SEARCH(" ",INDEX(ТУ!$CG:$CG,MATCH($U33*1,ТУ!$CP:$CP,0),1))-1),""),УСПД!$N:$N,0),1),LEN(INDEX(УСПД!$M:$M,MATCH(IFERROR(1*LEFT(INDEX(ТУ!$CG:$CG,MATCH($U33*1,ТУ!$CP:$CP,0),1),SEARCH(" ",INDEX(ТУ!$CG:$CG,MATCH($U33*1,ТУ!$CP:$CP,0),1))-1),""),УСПД!$N:$N,0),1))-SEARCH(", ",INDEX(УСПД!$M:$M,MATCH(IFERROR(1*LEFT(INDEX(ТУ!$CG:$CG,MATCH($U33*1,ТУ!$CP:$CP,0),1),SEARCH(" ",INDEX(ТУ!$CG:$CG,MATCH($U33*1,ТУ!$CP:$CP,0),1))-1),""),УСПД!$N:$N,0),1),SEARCH(", ",INDEX(УСПД!$M:$M,MATCH(IFERROR(1*LEFT(INDEX(ТУ!$CG:$CG,MATCH($U33*1,ТУ!$CP:$CP,0),1),SEARCH(" ",INDEX(ТУ!$CG:$CG,MATCH($U33*1,ТУ!$CP:$CP,0),1))-1),""),УСПД!$N:$N,0),1))+1)-1),SEARCH(":",RIGHT(INDEX(УСПД!$M:$M,MATCH(IFERROR(1*LEFT(INDEX(ТУ!$CG:$CG,MATCH($U33*1,ТУ!$CP:$CP,0),1),SEARCH(" ",INDEX(ТУ!$CG:$CG,MATCH($U33*1,ТУ!$CP:$CP,0),1))-1),""),УСПД!$N:$N,0),1),LEN(INDEX(УСПД!$M:$M,MATCH(IFERROR(1*LEFT(INDEX(ТУ!$CG:$CG,MATCH($U33*1,ТУ!$CP:$CP,0),1),SEARCH(" ",INDEX(ТУ!$CG:$CG,MATCH($U33*1,ТУ!$CP:$CP,0),1))-1),""),УСПД!$N:$N,0),1))-SEARCH(", ",INDEX(УСПД!$M:$M,MATCH(IFERROR(1*LEFT(INDEX(ТУ!$CG:$CG,MATCH($U33*1,ТУ!$CP:$CP,0),1),SEARCH(" ",INDEX(ТУ!$CG:$CG,MATCH($U33*1,ТУ!$CP:$CP,0),1))-1),""),УСПД!$N:$N,0),1),SEARCH(", ",INDEX(УСПД!$M:$M,MATCH(IFERROR(1*LEFT(INDEX(ТУ!$CG:$CG,MATCH($U33*1,ТУ!$CP:$CP,0),1),SEARCH(" ",INDEX(ТУ!$CG:$CG,MATCH($U33*1,ТУ!$CP:$CP,0),1))-1),""),УСПД!$N:$N,0),1))+1)-1))-1),LEFT(INDEX(УСПД!$M:$M,MATCH(IFERROR(1*LEFT(INDEX(ТУ!$CG:$CG,MATCH($U33*1,ТУ!$CP:$CP,0),1),SEARCH(" ",INDEX(ТУ!$CG:$CG,MATCH($U33*1,ТУ!$CP:$CP,0),1))-1),""),УСПД!$N:$N,0),1),SEARCH(":",INDEX(УСПД!$M:$M,MATCH(IFERROR(1*LEFT(INDEX(ТУ!$CG:$CG,MATCH($U33*1,ТУ!$CP:$CP,0),1),SEARCH(" ",INDEX(ТУ!$CG:$CG,MATCH($U33*1,ТУ!$CP:$CP,0),1))-1),""),УСПД!$N:$N,0),1))-1)),""))</f>
        <v>10.82.51.215</v>
      </c>
      <c r="BC33" s="155" t="str">
        <f>INDEX(ТУ!$AF:$AF,MATCH($U33*1,ТУ!$CP:$CP,0),1)</f>
        <v>ТП МКС (б/н)</v>
      </c>
      <c r="BD33" s="155">
        <f>INDEX(ТУ!$X:$X,MATCH($U33*1,ТУ!$CP:$CP,0),1)</f>
        <v>0</v>
      </c>
      <c r="BE33" s="155">
        <f>INDEX(ТУ!$CL:$CL,MATCH($U33*1,ТУ!$CP:$CP,0),1)</f>
        <v>0</v>
      </c>
      <c r="BF33" s="147" t="str">
        <f>IFERROR(INDEX(естьАЦ!$A:$A,MATCH($U33*1,естьАЦ!$A:$A,0),1),"нет в АЦ")</f>
        <v>нет в АЦ</v>
      </c>
    </row>
    <row r="34" spans="1:58" ht="15" x14ac:dyDescent="0.25">
      <c r="A34" s="55">
        <f>3</f>
        <v>3</v>
      </c>
      <c r="B34" s="42" t="str">
        <f>IFERROR(IFERROR(INDEX(Справочники!$A$2:$P$79,MATCH(INDEX(ТУ!$E:$E,MATCH($U34*1,ТУ!$CP:$CP,0),1),Справочники!$P$2:$P$79,0),2),INDEX(Справочники!$A$2:$P$79,MATCH((INDEX(ТУ!$E:$E,MATCH($U34*1,ТУ!$CP:$CP,0),1))*1,Справочники!$P$2:$P$79,0),2)),"")</f>
        <v>02 р-н МКС (ЦОРУПЭ)</v>
      </c>
      <c r="C34" s="46" t="str">
        <f>IFERROR(TRIM(LEFT(INDEX(ТУ!$AF:$AF,MATCH($U34*1,ТУ!$CP:$CP,0),1),SEARCH("-",INDEX(ТУ!$AF:$AF,MATCH($U34*1,ТУ!$CP:$CP,0),1))-1)),IFERROR(LEFT(INDEX(ТУ!$X:$X,MATCH($U34*1,ТУ!$CP:$CP,0),1),SEARCH("-",INDEX(ТУ!$X:$X,MATCH($U34*1,ТУ!$CP:$CP,0),1))-1),"ТП"))</f>
        <v>РТП</v>
      </c>
      <c r="D34" s="47" t="str">
        <f>IF(TRIM(IF(ISNUMBER((IFERROR(RIGHT(INDEX(ТУ!$AF:$AF,MATCH($U34*1,ТУ!$CP:$CP,0),1),LEN(INDEX(ТУ!$AF:$AF,MATCH($U34*1,ТУ!$CP:$CP,0),1))-SEARCH("-",INDEX(ТУ!$AF:$AF,MATCH($U34*1,ТУ!$CP:$CP,0),1))),INDEX(ТУ!$AF:$AF,MATCH($U34*1,ТУ!$CP:$CP,0),1)))*1),IFERROR(RIGHT(INDEX(ТУ!$AF:$AF,MATCH($U34*1,ТУ!$CP:$CP,0),1),LEN(INDEX(ТУ!$AF:$AF,MATCH($U34*1,ТУ!$CP:$CP,0),1))-SEARCH("-",INDEX(ТУ!$AF:$AF,MATCH($U34*1,ТУ!$CP:$CP,0),1))),INDEX(ТУ!$AF:$AF,MATCH($U34*1,ТУ!$CP:$CP,0),1)),""))="",TRIM(IF(ISNUMBER((IFERROR(RIGHT(INDEX(ТУ!$X:$X,MATCH($U34*1,ТУ!$CP:$CP,0),1),LEN(INDEX(ТУ!$X:$X,MATCH($U34*1,ТУ!$CP:$CP,0),1))-SEARCH("-",INDEX(ТУ!$X:$X,MATCH($U34*1,ТУ!$CP:$CP,0),1))),INDEX(ТУ!$X:$X,MATCH($U34*1,ТУ!$CP:$CP,0),1)))*1),IFERROR(RIGHT(INDEX(ТУ!$X:$X,MATCH($U34*1,ТУ!$CP:$CP,0),1),LEN(INDEX(ТУ!$X:$X,MATCH($U34*1,ТУ!$CP:$CP,0),1))-SEARCH("-",INDEX(ТУ!$X:$X,MATCH($U34*1,ТУ!$CP:$CP,0),1))),INDEX(ТУ!$X:$X,MATCH($U34*1,ТУ!$CP:$CP,0),1)),"")),TRIM(IF(ISNUMBER((IFERROR(RIGHT(INDEX(ТУ!$AF:$AF,MATCH($U34*1,ТУ!$CP:$CP,0),1),LEN(INDEX(ТУ!$AF:$AF,MATCH($U34*1,ТУ!$CP:$CP,0),1))-SEARCH("-",INDEX(ТУ!$AF:$AF,MATCH($U34*1,ТУ!$CP:$CP,0),1))),INDEX(ТУ!$AF:$AF,MATCH($U34*1,ТУ!$CP:$CP,0),1)))*1),IFERROR(RIGHT(INDEX(ТУ!$AF:$AF,MATCH($U34*1,ТУ!$CP:$CP,0),1),LEN(INDEX(ТУ!$AF:$AF,MATCH($U34*1,ТУ!$CP:$CP,0),1))-SEARCH("-",INDEX(ТУ!$AF:$AF,MATCH($U34*1,ТУ!$CP:$CP,0),1))),INDEX(ТУ!$AF:$AF,MATCH($U34*1,ТУ!$CP:$CP,0),1)),"")))</f>
        <v/>
      </c>
      <c r="E34" s="25" t="str">
        <f t="shared" si="2"/>
        <v>МКС</v>
      </c>
      <c r="F34" s="20">
        <f t="shared" si="3"/>
        <v>76</v>
      </c>
      <c r="G34" s="21">
        <f t="shared" si="4"/>
        <v>3</v>
      </c>
      <c r="H34" s="25" t="str">
        <f t="shared" si="5"/>
        <v>РТП-</v>
      </c>
      <c r="I34" s="25" t="str">
        <f t="shared" si="6"/>
        <v>76300000</v>
      </c>
      <c r="J34" s="42" t="str">
        <f>INDEX(Справочники!$M:$M,MATCH(IF(INDEX(ТУ!$BO:$BO,MATCH($U34*1,ТУ!$CP:$CP,0),1)=1,1,INDEX(ТУ!$BO:$BO,MATCH($U34*1,ТУ!$CP:$CP,0),1)*100),Справочники!$N:$N,0),1)</f>
        <v>10 кВ</v>
      </c>
      <c r="K34" s="40">
        <f>1</f>
        <v>1</v>
      </c>
      <c r="L34" s="20" t="str">
        <f t="shared" si="7"/>
        <v>СШ-1</v>
      </c>
      <c r="M34" s="20">
        <f t="shared" si="8"/>
        <v>1</v>
      </c>
      <c r="N34" s="40"/>
      <c r="O34" s="56" t="str">
        <f t="shared" si="9"/>
        <v>Ввод-1-1</v>
      </c>
      <c r="P34" s="57" t="str">
        <f>IFERROR(IF(INDEX(ТУ!$AO:$AO,MATCH($U34*1,ТУ!$CP:$CP,0),1)=0,"",INDEX(ТУ!$AO:$AO,MATCH($U34*1,ТУ!$CP:$CP,0),1)),"")</f>
        <v>яч. Ввод 1 секц.</v>
      </c>
      <c r="Q34" s="40">
        <f>IFERROR(IF(INDEX(ТУ!$BN:$BN,MATCH($U34*1,ТУ!$CP:$CP,0),1)=1,1,INDEX(ТУ!$BN:$BN,MATCH($U34*1,ТУ!$CP:$CP,0),1)*5),"")</f>
        <v>600</v>
      </c>
      <c r="R34" s="25">
        <f t="shared" si="10"/>
        <v>5</v>
      </c>
      <c r="S34" s="25">
        <f t="shared" si="11"/>
        <v>10000</v>
      </c>
      <c r="T34" s="25">
        <f t="shared" si="12"/>
        <v>100</v>
      </c>
      <c r="U34" s="105" t="s">
        <v>815</v>
      </c>
      <c r="V34" s="43">
        <f>IF(INDEX(ТУ!$BH:$BH,MATCH($U34*1,ТУ!$CP:$CP,0),1)=0,"",INDEX(ТУ!$BH:$BH,MATCH($U34*1,ТУ!$CP:$CP,0),1))</f>
        <v>42217</v>
      </c>
      <c r="W34" s="43" t="str">
        <f>IF(INDEX(ТУ!$BI:$BI,MATCH($U34*1,ТУ!$CP:$CP,0),1)=0,"",INDEX(ТУ!$BI:$BI,MATCH($U34*1,ТУ!$CP:$CP,0),1))</f>
        <v>01.08.2015</v>
      </c>
      <c r="X34" s="58" t="str">
        <f t="shared" si="13"/>
        <v>СЭТ-4ТМ</v>
      </c>
      <c r="Y34" s="25">
        <f t="shared" si="14"/>
        <v>7</v>
      </c>
      <c r="Z34" s="42" t="str">
        <f t="shared" si="15"/>
        <v/>
      </c>
      <c r="AA34" s="25" t="str">
        <f t="shared" si="16"/>
        <v/>
      </c>
      <c r="AB34" s="40" t="str">
        <f>IF(ISNUMBER(SEARCH("Приборы с поддержкой протокола СПОДЭС - Нартис-И300 (СПОДЭС)",INDEX(ТУ!$BD:$BD,MATCH($U34*1,ТУ!$CP:$CP,0),1))),"Нартис-И300",
IF(ISNUMBER(SEARCH("Приборы с поддержкой протокола СПОДЭС - Меркурий 234 (СПОДЭС)",INDEX(ТУ!$BD:$BD,MATCH($U34*1,ТУ!$CP:$CP,0),1))),"Меркурий 234 (СПОДЭС)",
IF(ISNUMBER(SEARCH("Приборы с поддержкой протокола СПОДЭС - Нартис-300 (СПОДЭС)",INDEX(ТУ!$BD:$BD,MATCH($U34*1,ТУ!$CP:$CP,0),1))),"Нартис-300",
IF(ISNUMBER(SEARCH("Инкотекс - Меркурий 234",INDEX(ТУ!$BD:$BD,MATCH($U34*1,ТУ!$CP:$CP,0),1))),"Меркурий 234",
IF(ISNUMBER(SEARCH("Инкотекс - Меркурий 206",INDEX(ТУ!$BD:$BD,MATCH($U34*1,ТУ!$CP:$CP,0),1))),"Меркурий 206",
IF(ISNUMBER(SEARCH("Приборы с поддержкой протокола СПОДЭС - Универсальный счетчик СПОДЭС 2 трехфазный",INDEX(ТУ!$BD:$BD,MATCH($U34*1,ТУ!$CP:$CP,0),1))),"Нартис-И300",
IF(ISNUMBER(SEARCH("Приборы с поддержкой протокола СПОДЭС - Универсальный счетчик СПОДЭС 2 однофазный",INDEX(ТУ!$BD:$BD,MATCH($U34*1,ТУ!$CP:$CP,0),1))),"Нартис-И100",
IF(ISNUMBER(SEARCH("Приборы с поддержкой протокола СПОДЭС - Нартис-И100 (СПОДЭС)",INDEX(ТУ!$BD:$BD,MATCH($U34*1,ТУ!$CP:$CP,0),1))),"Нартис-И100",
IF(ISNUMBER(SEARCH("Приборы с поддержкой протокола СПОДЭС - СЕ308 (СПОДЭС)",INDEX(ТУ!$BD:$BD,MATCH($U34*1,ТУ!$CP:$CP,0),1))),"СЕ308 (СПОДЭС)",
IF(ISNUMBER(SEARCH("Приборы с поддержкой протокола СПОДЭС - СЕ207 (СПОДЭС)",INDEX(ТУ!$BD:$BD,MATCH($U34*1,ТУ!$CP:$CP,0),1))),"СЕ207 (СПОДЭС)",
IF(ISNUMBER(SEARCH("Приборы с поддержкой протокола СПОДЭС - СТЭМ-300 (СПОДЭС)",INDEX(ТУ!$BD:$BD,MATCH($U34*1,ТУ!$CP:$CP,0),1))),"СТЭМ-300 (СПОДЭС)",
IF(ISNUMBER(SEARCH("ТехноЭнерго - ТЕ3000",INDEX(ТУ!$BD:$BD,MATCH($U34*1,ТУ!$CP:$CP,0),1))),"ТЕ3000",
IF(ISNUMBER(SEARCH("НЗиФ - СЭТ-4ТМ",INDEX(ТУ!$BD:$BD,MATCH($U34*1,ТУ!$CP:$CP,0),1))),"СЭТ-4ТМ",
INDEX(ТУ!$BD:$BD,MATCH($U34*1,ТУ!$CP:$CP,0),1)
)))))))))))))</f>
        <v>СЭТ-4ТМ</v>
      </c>
      <c r="AC34" s="40" t="s">
        <v>2</v>
      </c>
      <c r="AD34" s="40" t="str">
        <f>IF(ISNUMBER(IFERROR(LEFT(IF(INDEX(ТУ!$CI:$CI,MATCH($U34*1,ТУ!$CP:$CP,0),1)=0,"",INDEX(ТУ!$CI:$CI,MATCH($U34*1,ТУ!$CP:$CP,0),1)),SEARCH(" ",IF(INDEX(ТУ!$CI:$CI,MATCH($U34*1,ТУ!$CP:$CP,0),1)=0,"",INDEX(ТУ!$CI:$CI,MATCH($U34*1,ТУ!$CP:$CP,0),1)),1)-1),"")*1),IFERROR(LEFT(IF(INDEX(ТУ!$CI:$CI,MATCH($U34*1,ТУ!$CP:$CP,0),1)=0,"",INDEX(ТУ!$CI:$CI,MATCH($U34*1,ТУ!$CP:$CP,0),1)),SEARCH(" ",IF(INDEX(ТУ!$CI:$CI,MATCH($U34*1,ТУ!$CP:$CP,0),1)=0,"",INDEX(ТУ!$CI:$CI,MATCH($U34*1,ТУ!$CP:$CP,0),1)),1)-1),""),"")</f>
        <v/>
      </c>
      <c r="AE34" s="40" t="str">
        <f>IF(INDEX(ТУ!$CB:$CB,MATCH($U34*1,ТУ!$CP:$CP,0),1)=0,INDEX(Adr!$B:$B,MATCH($U34*1,Adr!$C:$C,0),1),INDEX(ТУ!$CB:$CB,MATCH($U34*1,ТУ!$CP:$CP,0),1))</f>
        <v>39</v>
      </c>
      <c r="AF34" s="45" t="str">
        <f>IF(INDEX(ТУ!$CD:$CD,MATCH($U34*1,ТУ!$CP:$CP,0),1)=0,"",INDEX(ТУ!$CD:$CD,MATCH($U34*1,ТУ!$CP:$CP,0),1))</f>
        <v>000000</v>
      </c>
      <c r="AG34" s="45">
        <f>0</f>
        <v>0</v>
      </c>
      <c r="AH34" s="26">
        <f t="shared" si="17"/>
        <v>76</v>
      </c>
      <c r="AI34" s="20" t="str">
        <f t="shared" si="18"/>
        <v>763000001</v>
      </c>
      <c r="AJ34" s="41" t="str">
        <f t="shared" si="1"/>
        <v>10.79.183.105</v>
      </c>
      <c r="AK34" s="41" t="str">
        <f>IF($AP34="",IFERROR(IFERROR(LEFT(RIGHT(INDEX(ТУ!$CE:$CE,MATCH($U34*1,ТУ!$CP:$CP,0),1),LEN(INDEX(ТУ!$CE:$CE,MATCH($U34*1,ТУ!$CP:$CP,0),1))-SEARCH(":",INDEX(ТУ!$CE:$CE,MATCH($U34*1,ТУ!$CP:$CP,0),1))),SEARCH("/",RIGHT(INDEX(ТУ!$CE:$CE,MATCH($U34*1,ТУ!$CP:$CP,0),1),LEN(INDEX(ТУ!$CE:$CE,MATCH($U34*1,ТУ!$CP:$CP,0),1))-SEARCH(":",INDEX(ТУ!$CE:$CE,MATCH($U34*1,ТУ!$CP:$CP,0),1))))-1), RIGHT(INDEX(ТУ!$CE:$CE,MATCH($U34*1,ТУ!$CP:$CP,0),1),LEN(INDEX(ТУ!$CE:$CE,MATCH($U34*1,ТУ!$CP:$CP,0),1))-SEARCH(":",INDEX(ТУ!$CE:$CE,MATCH($U34*1,ТУ!$CP:$CP,0),1)))), ""),IFERROR(IFERROR(LEFT(RIGHT(INDEX(УСПД!$M:$M,MATCH(IFERROR(1*LEFT(INDEX(ТУ!$CG:$CG,MATCH($U34*1,ТУ!$CP:$CP,0),1),SEARCH(" ",INDEX(ТУ!$CG:$CG,MATCH($U34*1,ТУ!$CP:$CP,0),1))-1),""),УСПД!$N:$N,0),1),LEN(INDEX(УСПД!$M:$M,MATCH(IFERROR(1*LEFT(INDEX(ТУ!$CG:$CG,MATCH($U34*1,ТУ!$CP:$CP,0),1),SEARCH(" ",INDEX(ТУ!$CG:$CG,MATCH($U34*1,ТУ!$CP:$CP,0),1))-1),""),УСПД!$N:$N,0),1))-SEARCH(":",INDEX(УСПД!$M:$M,MATCH(IFERROR(1*LEFT(INDEX(ТУ!$CG:$CG,MATCH($U34*1,ТУ!$CP:$CP,0),1),SEARCH(" ",INDEX(ТУ!$CG:$CG,MATCH($U34*1,ТУ!$CP:$CP,0),1))-1),""),УСПД!$N:$N,0),1))),SEARCH("/",RIGHT(INDEX(УСПД!$M:$M,MATCH(IFERROR(1*LEFT(INDEX(ТУ!$CG:$CG,MATCH($U34*1,ТУ!$CP:$CP,0),1),SEARCH(" ",INDEX(ТУ!$CG:$CG,MATCH($U34*1,ТУ!$CP:$CP,0),1))-1),""),УСПД!$N:$N,0),1),LEN(INDEX(УСПД!$M:$M,MATCH(IFERROR(1*LEFT(INDEX(ТУ!$CG:$CG,MATCH($U34*1,ТУ!$CP:$CP,0),1),SEARCH(" ",INDEX(ТУ!$CG:$CG,MATCH($U34*1,ТУ!$CP:$CP,0),1))-1),""),УСПД!$N:$N,0),1))-SEARCH(":",INDEX(УСПД!$M:$M,MATCH(IFERROR(1*LEFT(INDEX(ТУ!$CG:$CG,MATCH($U34*1,ТУ!$CP:$CP,0),1),SEARCH(" ",INDEX(ТУ!$CG:$CG,MATCH($U34*1,ТУ!$CP:$CP,0),1))-1),""),УСПД!$N:$N,0),1))))-1), RIGHT(INDEX(УСПД!$M:$M,MATCH(IFERROR(1*LEFT(INDEX(ТУ!$CG:$CG,MATCH($U34*1,ТУ!$CP:$CP,0),1),SEARCH(" ",INDEX(ТУ!$CG:$CG,MATCH($U34*1,ТУ!$CP:$CP,0),1))-1),""),УСПД!$N:$N,0),1),LEN(INDEX(УСПД!$M:$M,MATCH(IFERROR(1*LEFT(INDEX(ТУ!$CG:$CG,MATCH($U34*1,ТУ!$CP:$CP,0),1),SEARCH(" ",INDEX(ТУ!$CG:$CG,MATCH($U34*1,ТУ!$CP:$CP,0),1))-1),""),УСПД!$N:$N,0),1))-SEARCH(":",INDEX(УСПД!$M:$M,MATCH(IFERROR(1*LEFT(INDEX(ТУ!$CG:$CG,MATCH($U34*1,ТУ!$CP:$CP,0),1),SEARCH(" ",INDEX(ТУ!$CG:$CG,MATCH($U34*1,ТУ!$CP:$CP,0),1))-1),""),УСПД!$N:$N,0),1)))), ""))</f>
        <v>4002</v>
      </c>
      <c r="AL34" s="41"/>
      <c r="AM34" s="57" t="str">
        <f>IFERROR(IFERROR(INDEX(Tel!$B:$B,MATCH($AJ34,Tel!$E:$E,0),1),INDEX(Tel!$B:$B,MATCH($AJ34,Tel!$D:$D,0),1)),"")</f>
        <v/>
      </c>
      <c r="AN34" s="59" t="str">
        <f>IF(ISNUMBER(SEARCH("ТОПАЗ - ТОПАЗ УСПД",IFERROR(RIGHT(LEFT(INDEX(ТУ!$CG:$CG,MATCH($U34*1,ТУ!$CP:$CP,0),1),SEARCH(")",INDEX(ТУ!$CG:$CG,MATCH($U34*1,ТУ!$CP:$CP,0),1))-1),LEN(LEFT(INDEX(ТУ!$CG:$CG,MATCH($U34*1,ТУ!$CP:$CP,0),1),SEARCH(")",INDEX(ТУ!$CG:$CG,MATCH($U34*1,ТУ!$CP:$CP,0),1))-1))-SEARCH("(",INDEX(ТУ!$CG:$CG,MATCH($U34*1,ТУ!$CP:$CP,0),1))),""),1)),"RTU-327",
IF(ISNUMBER(SEARCH("TELEOFIS",$AP34)),"Модем",
""))</f>
        <v/>
      </c>
      <c r="AO34" s="27" t="str">
        <f t="shared" si="0"/>
        <v/>
      </c>
      <c r="AP34" s="57" t="str">
        <f>IF(ISNUMBER(SEARCH("Миландр - Милур GSM/GPRS модем",IFERROR(RIGHT(LEFT(INDEX(ТУ!$CG:$CG,MATCH($U34*1,ТУ!$CP:$CP,0),1),SEARCH(")",INDEX(ТУ!$CG:$CG,MATCH($U34*1,ТУ!$CP:$CP,0),1))-1),LEN(LEFT(INDEX(ТУ!$CG:$CG,MATCH($U34*1,ТУ!$CP:$CP,0),1),SEARCH(")",INDEX(ТУ!$CG:$CG,MATCH($U34*1,ТУ!$CP:$CP,0),1))-1))-SEARCH("(",INDEX(ТУ!$CG:$CG,MATCH($U34*1,ТУ!$CP:$CP,0),1))),""),1)), "TELEOFIS WRX708-L4",IFERROR(RIGHT(LEFT(INDEX(ТУ!$CG:$CG,MATCH($U34*1,ТУ!$CP:$CP,0),1),SEARCH(")",INDEX(ТУ!$CG:$CG,MATCH($U34*1,ТУ!$CP:$CP,0),1))-1),LEN(LEFT(INDEX(ТУ!$CG:$CG,MATCH($U34*1,ТУ!$CP:$CP,0),1),SEARCH(")",INDEX(ТУ!$CG:$CG,MATCH($U34*1,ТУ!$CP:$CP,0),1))-1))-SEARCH("(",INDEX(ТУ!$CG:$CG,MATCH($U34*1,ТУ!$CP:$CP,0),1))),""))</f>
        <v/>
      </c>
      <c r="AQ34" s="57" t="str">
        <f>IFERROR(IF(INDEX(УСПД!$K:$K,MATCH($AS34*1,УСПД!$N:$N,0),1)=0,"",INDEX(УСПД!$K:$K,MATCH($AS34*1,УСПД!$N:$N,0),1)),"")</f>
        <v/>
      </c>
      <c r="AR34" s="57" t="str">
        <f>IFERROR(IF(INDEX(УСПД!$L:$L,MATCH($AS34*1,УСПД!$N:$N,0),1)=0,"",INDEX(УСПД!$L:$L,MATCH($AS34*1,УСПД!$N:$N,0),1)),"")</f>
        <v/>
      </c>
      <c r="AS34" s="60" t="str">
        <f>IFERROR(LEFT(INDEX(ТУ!$CG:$CG,MATCH($U34*1,ТУ!$CP:$CP,0),1),SEARCH(" ",INDEX(ТУ!$CG:$CG,MATCH($U34*1,ТУ!$CP:$CP,0),1))-1),"")</f>
        <v/>
      </c>
      <c r="AT34" s="59" t="s">
        <v>360</v>
      </c>
      <c r="AU34" s="59">
        <f>3</f>
        <v>3</v>
      </c>
      <c r="AV34" s="59" t="s">
        <v>368</v>
      </c>
      <c r="AW34" s="149">
        <f t="shared" si="19"/>
        <v>54</v>
      </c>
      <c r="AX34" s="149">
        <f t="shared" si="20"/>
        <v>7</v>
      </c>
      <c r="AY34" s="149" t="str">
        <f t="shared" si="21"/>
        <v/>
      </c>
      <c r="AZ34" s="149" t="str">
        <f t="shared" si="22"/>
        <v/>
      </c>
      <c r="BA34" s="149">
        <f t="shared" si="23"/>
        <v>3</v>
      </c>
      <c r="BB34" s="154" t="str">
        <f>IF($AP34="",IFERROR(IFERROR(LEFT(RIGHT(INDEX(ТУ!$CE:$CE,MATCH($U34*1,ТУ!$CP:$CP,0),1),LEN(INDEX(ТУ!$CE:$CE,MATCH($U34*1,ТУ!$CP:$CP,0),1))-SEARCH(", ",INDEX(ТУ!$CE:$CE,MATCH($U34*1,ТУ!$CP:$CP,0),1),SEARCH(", ",INDEX(ТУ!$CE:$CE,MATCH($U34*1,ТУ!$CP:$CP,0),1))+1)-1),SEARCH(":",RIGHT(INDEX(ТУ!$CE:$CE,MATCH($U34*1,ТУ!$CP:$CP,0),1),LEN(INDEX(ТУ!$CE:$CE,MATCH($U34*1,ТУ!$CP:$CP,0),1))-SEARCH(", ",INDEX(ТУ!$CE:$CE,MATCH($U34*1,ТУ!$CP:$CP,0),1),SEARCH(", ",INDEX(ТУ!$CE:$CE,MATCH($U34*1,ТУ!$CP:$CP,0),1))+1)-1))-1),LEFT(INDEX(ТУ!$CE:$CE,MATCH($U34*1,ТУ!$CP:$CP,0),1),SEARCH(":",INDEX(ТУ!$CE:$CE,MATCH($U34*1,ТУ!$CP:$CP,0),1))-1)),""),IFERROR(IFERROR(LEFT(RIGHT(INDEX(УСПД!$M:$M,MATCH(IFERROR(1*LEFT(INDEX(ТУ!$CG:$CG,MATCH($U34*1,ТУ!$CP:$CP,0),1),SEARCH(" ",INDEX(ТУ!$CG:$CG,MATCH($U34*1,ТУ!$CP:$CP,0),1))-1),""),УСПД!$N:$N,0),1),LEN(INDEX(УСПД!$M:$M,MATCH(IFERROR(1*LEFT(INDEX(ТУ!$CG:$CG,MATCH($U34*1,ТУ!$CP:$CP,0),1),SEARCH(" ",INDEX(ТУ!$CG:$CG,MATCH($U34*1,ТУ!$CP:$CP,0),1))-1),""),УСПД!$N:$N,0),1))-SEARCH(", ",INDEX(УСПД!$M:$M,MATCH(IFERROR(1*LEFT(INDEX(ТУ!$CG:$CG,MATCH($U34*1,ТУ!$CP:$CP,0),1),SEARCH(" ",INDEX(ТУ!$CG:$CG,MATCH($U34*1,ТУ!$CP:$CP,0),1))-1),""),УСПД!$N:$N,0),1),SEARCH(", ",INDEX(УСПД!$M:$M,MATCH(IFERROR(1*LEFT(INDEX(ТУ!$CG:$CG,MATCH($U34*1,ТУ!$CP:$CP,0),1),SEARCH(" ",INDEX(ТУ!$CG:$CG,MATCH($U34*1,ТУ!$CP:$CP,0),1))-1),""),УСПД!$N:$N,0),1))+1)-1),SEARCH(":",RIGHT(INDEX(УСПД!$M:$M,MATCH(IFERROR(1*LEFT(INDEX(ТУ!$CG:$CG,MATCH($U34*1,ТУ!$CP:$CP,0),1),SEARCH(" ",INDEX(ТУ!$CG:$CG,MATCH($U34*1,ТУ!$CP:$CP,0),1))-1),""),УСПД!$N:$N,0),1),LEN(INDEX(УСПД!$M:$M,MATCH(IFERROR(1*LEFT(INDEX(ТУ!$CG:$CG,MATCH($U34*1,ТУ!$CP:$CP,0),1),SEARCH(" ",INDEX(ТУ!$CG:$CG,MATCH($U34*1,ТУ!$CP:$CP,0),1))-1),""),УСПД!$N:$N,0),1))-SEARCH(", ",INDEX(УСПД!$M:$M,MATCH(IFERROR(1*LEFT(INDEX(ТУ!$CG:$CG,MATCH($U34*1,ТУ!$CP:$CP,0),1),SEARCH(" ",INDEX(ТУ!$CG:$CG,MATCH($U34*1,ТУ!$CP:$CP,0),1))-1),""),УСПД!$N:$N,0),1),SEARCH(", ",INDEX(УСПД!$M:$M,MATCH(IFERROR(1*LEFT(INDEX(ТУ!$CG:$CG,MATCH($U34*1,ТУ!$CP:$CP,0),1),SEARCH(" ",INDEX(ТУ!$CG:$CG,MATCH($U34*1,ТУ!$CP:$CP,0),1))-1),""),УСПД!$N:$N,0),1))+1)-1))-1),LEFT(INDEX(УСПД!$M:$M,MATCH(IFERROR(1*LEFT(INDEX(ТУ!$CG:$CG,MATCH($U34*1,ТУ!$CP:$CP,0),1),SEARCH(" ",INDEX(ТУ!$CG:$CG,MATCH($U34*1,ТУ!$CP:$CP,0),1))-1),""),УСПД!$N:$N,0),1),SEARCH(":",INDEX(УСПД!$M:$M,MATCH(IFERROR(1*LEFT(INDEX(ТУ!$CG:$CG,MATCH($U34*1,ТУ!$CP:$CP,0),1),SEARCH(" ",INDEX(ТУ!$CG:$CG,MATCH($U34*1,ТУ!$CP:$CP,0),1))-1),""),УСПД!$N:$N,0),1))-1)),""))</f>
        <v>10.79.183.105</v>
      </c>
      <c r="BC34" s="155" t="str">
        <f>INDEX(ТУ!$AF:$AF,MATCH($U34*1,ТУ!$CP:$CP,0),1)</f>
        <v>РТП-28010 НТЦ им.Х.А.Самаранча</v>
      </c>
      <c r="BD34" s="155">
        <f>INDEX(ТУ!$X:$X,MATCH($U34*1,ТУ!$CP:$CP,0),1)</f>
        <v>0</v>
      </c>
      <c r="BE34" s="155" t="str">
        <f>INDEX(ТУ!$CL:$CL,MATCH($U34*1,ТУ!$CP:$CP,0),1)</f>
        <v>Тех.учет</v>
      </c>
      <c r="BF34" s="147" t="str">
        <f>IFERROR(INDEX(естьАЦ!$A:$A,MATCH($U34*1,естьАЦ!$A:$A,0),1),"нет в АЦ")</f>
        <v>нет в АЦ</v>
      </c>
    </row>
    <row r="35" spans="1:58" ht="15" x14ac:dyDescent="0.25">
      <c r="A35" s="55">
        <f>3</f>
        <v>3</v>
      </c>
      <c r="B35" s="42" t="str">
        <f>IFERROR(IFERROR(INDEX(Справочники!$A$2:$P$79,MATCH(INDEX(ТУ!$E:$E,MATCH($U35*1,ТУ!$CP:$CP,0),1),Справочники!$P$2:$P$79,0),2),INDEX(Справочники!$A$2:$P$79,MATCH((INDEX(ТУ!$E:$E,MATCH($U35*1,ТУ!$CP:$CP,0),1))*1,Справочники!$P$2:$P$79,0),2)),"")</f>
        <v>01 р-н МКС (ЦОРУПЭ)</v>
      </c>
      <c r="C35" s="46" t="str">
        <f>IFERROR(TRIM(LEFT(INDEX(ТУ!$AF:$AF,MATCH($U35*1,ТУ!$CP:$CP,0),1),SEARCH("-",INDEX(ТУ!$AF:$AF,MATCH($U35*1,ТУ!$CP:$CP,0),1))-1)),IFERROR(LEFT(INDEX(ТУ!$X:$X,MATCH($U35*1,ТУ!$CP:$CP,0),1),SEARCH("-",INDEX(ТУ!$X:$X,MATCH($U35*1,ТУ!$CP:$CP,0),1))-1),"ТП"))</f>
        <v>ТП</v>
      </c>
      <c r="D35" s="47" t="str">
        <f>IF(TRIM(IF(ISNUMBER((IFERROR(RIGHT(INDEX(ТУ!$AF:$AF,MATCH($U35*1,ТУ!$CP:$CP,0),1),LEN(INDEX(ТУ!$AF:$AF,MATCH($U35*1,ТУ!$CP:$CP,0),1))-SEARCH("-",INDEX(ТУ!$AF:$AF,MATCH($U35*1,ТУ!$CP:$CP,0),1))),INDEX(ТУ!$AF:$AF,MATCH($U35*1,ТУ!$CP:$CP,0),1)))*1),IFERROR(RIGHT(INDEX(ТУ!$AF:$AF,MATCH($U35*1,ТУ!$CP:$CP,0),1),LEN(INDEX(ТУ!$AF:$AF,MATCH($U35*1,ТУ!$CP:$CP,0),1))-SEARCH("-",INDEX(ТУ!$AF:$AF,MATCH($U35*1,ТУ!$CP:$CP,0),1))),INDEX(ТУ!$AF:$AF,MATCH($U35*1,ТУ!$CP:$CP,0),1)),""))="",TRIM(IF(ISNUMBER((IFERROR(RIGHT(INDEX(ТУ!$X:$X,MATCH($U35*1,ТУ!$CP:$CP,0),1),LEN(INDEX(ТУ!$X:$X,MATCH($U35*1,ТУ!$CP:$CP,0),1))-SEARCH("-",INDEX(ТУ!$X:$X,MATCH($U35*1,ТУ!$CP:$CP,0),1))),INDEX(ТУ!$X:$X,MATCH($U35*1,ТУ!$CP:$CP,0),1)))*1),IFERROR(RIGHT(INDEX(ТУ!$X:$X,MATCH($U35*1,ТУ!$CP:$CP,0),1),LEN(INDEX(ТУ!$X:$X,MATCH($U35*1,ТУ!$CP:$CP,0),1))-SEARCH("-",INDEX(ТУ!$X:$X,MATCH($U35*1,ТУ!$CP:$CP,0),1))),INDEX(ТУ!$X:$X,MATCH($U35*1,ТУ!$CP:$CP,0),1)),"")),TRIM(IF(ISNUMBER((IFERROR(RIGHT(INDEX(ТУ!$AF:$AF,MATCH($U35*1,ТУ!$CP:$CP,0),1),LEN(INDEX(ТУ!$AF:$AF,MATCH($U35*1,ТУ!$CP:$CP,0),1))-SEARCH("-",INDEX(ТУ!$AF:$AF,MATCH($U35*1,ТУ!$CP:$CP,0),1))),INDEX(ТУ!$AF:$AF,MATCH($U35*1,ТУ!$CP:$CP,0),1)))*1),IFERROR(RIGHT(INDEX(ТУ!$AF:$AF,MATCH($U35*1,ТУ!$CP:$CP,0),1),LEN(INDEX(ТУ!$AF:$AF,MATCH($U35*1,ТУ!$CP:$CP,0),1))-SEARCH("-",INDEX(ТУ!$AF:$AF,MATCH($U35*1,ТУ!$CP:$CP,0),1))),INDEX(ТУ!$AF:$AF,MATCH($U35*1,ТУ!$CP:$CP,0),1)),"")))</f>
        <v/>
      </c>
      <c r="E35" s="25" t="str">
        <f t="shared" si="2"/>
        <v>МКС</v>
      </c>
      <c r="F35" s="20">
        <f t="shared" si="3"/>
        <v>75</v>
      </c>
      <c r="G35" s="21">
        <f t="shared" si="4"/>
        <v>5</v>
      </c>
      <c r="H35" s="25" t="str">
        <f t="shared" si="5"/>
        <v>ТП-</v>
      </c>
      <c r="I35" s="25" t="str">
        <f t="shared" si="6"/>
        <v>75500000</v>
      </c>
      <c r="J35" s="42" t="str">
        <f>INDEX(Справочники!$M:$M,MATCH(IF(INDEX(ТУ!$BO:$BO,MATCH($U35*1,ТУ!$CP:$CP,0),1)=1,1,INDEX(ТУ!$BO:$BO,MATCH($U35*1,ТУ!$CP:$CP,0),1)*100),Справочники!$N:$N,0),1)</f>
        <v>0.4 кВ</v>
      </c>
      <c r="K35" s="40">
        <f>1</f>
        <v>1</v>
      </c>
      <c r="L35" s="20" t="str">
        <f t="shared" si="7"/>
        <v>СШ-1</v>
      </c>
      <c r="M35" s="20">
        <f t="shared" si="8"/>
        <v>1</v>
      </c>
      <c r="N35" s="40"/>
      <c r="O35" s="56" t="str">
        <f t="shared" si="9"/>
        <v>Ввод-1-1</v>
      </c>
      <c r="P35" s="57" t="str">
        <f>IFERROR(IF(INDEX(ТУ!$AO:$AO,MATCH($U35*1,ТУ!$CP:$CP,0),1)=0,"",INDEX(ТУ!$AO:$AO,MATCH($U35*1,ТУ!$CP:$CP,0),1)),"")</f>
        <v>яч. Ввод 1</v>
      </c>
      <c r="Q35" s="40">
        <f>IFERROR(IF(INDEX(ТУ!$BN:$BN,MATCH($U35*1,ТУ!$CP:$CP,0),1)=1,1,INDEX(ТУ!$BN:$BN,MATCH($U35*1,ТУ!$CP:$CP,0),1)*5),"")</f>
        <v>2500</v>
      </c>
      <c r="R35" s="25">
        <f t="shared" si="10"/>
        <v>5</v>
      </c>
      <c r="S35" s="25">
        <f t="shared" si="11"/>
        <v>1</v>
      </c>
      <c r="T35" s="25">
        <f t="shared" si="12"/>
        <v>1</v>
      </c>
      <c r="U35" s="105" t="s">
        <v>825</v>
      </c>
      <c r="V35" s="43">
        <f>IF(INDEX(ТУ!$BH:$BH,MATCH($U35*1,ТУ!$CP:$CP,0),1)=0,"",INDEX(ТУ!$BH:$BH,MATCH($U35*1,ТУ!$CP:$CP,0),1))</f>
        <v>41299</v>
      </c>
      <c r="W35" s="43" t="str">
        <f>IF(INDEX(ТУ!$BI:$BI,MATCH($U35*1,ТУ!$CP:$CP,0),1)=0,"",INDEX(ТУ!$BI:$BI,MATCH($U35*1,ТУ!$CP:$CP,0),1))</f>
        <v>01.01.2007</v>
      </c>
      <c r="X35" s="58" t="str">
        <f t="shared" si="13"/>
        <v>СЭТ-4ТМ</v>
      </c>
      <c r="Y35" s="25">
        <f t="shared" si="14"/>
        <v>7</v>
      </c>
      <c r="Z35" s="42" t="str">
        <f t="shared" si="15"/>
        <v/>
      </c>
      <c r="AA35" s="25" t="str">
        <f t="shared" si="16"/>
        <v/>
      </c>
      <c r="AB35" s="40" t="str">
        <f>IF(ISNUMBER(SEARCH("Приборы с поддержкой протокола СПОДЭС - Нартис-И300 (СПОДЭС)",INDEX(ТУ!$BD:$BD,MATCH($U35*1,ТУ!$CP:$CP,0),1))),"Нартис-И300",
IF(ISNUMBER(SEARCH("Приборы с поддержкой протокола СПОДЭС - Меркурий 234 (СПОДЭС)",INDEX(ТУ!$BD:$BD,MATCH($U35*1,ТУ!$CP:$CP,0),1))),"Меркурий 234 (СПОДЭС)",
IF(ISNUMBER(SEARCH("Приборы с поддержкой протокола СПОДЭС - Нартис-300 (СПОДЭС)",INDEX(ТУ!$BD:$BD,MATCH($U35*1,ТУ!$CP:$CP,0),1))),"Нартис-300",
IF(ISNUMBER(SEARCH("Инкотекс - Меркурий 234",INDEX(ТУ!$BD:$BD,MATCH($U35*1,ТУ!$CP:$CP,0),1))),"Меркурий 234",
IF(ISNUMBER(SEARCH("Инкотекс - Меркурий 206",INDEX(ТУ!$BD:$BD,MATCH($U35*1,ТУ!$CP:$CP,0),1))),"Меркурий 206",
IF(ISNUMBER(SEARCH("Приборы с поддержкой протокола СПОДЭС - Универсальный счетчик СПОДЭС 2 трехфазный",INDEX(ТУ!$BD:$BD,MATCH($U35*1,ТУ!$CP:$CP,0),1))),"Нартис-И300",
IF(ISNUMBER(SEARCH("Приборы с поддержкой протокола СПОДЭС - Универсальный счетчик СПОДЭС 2 однофазный",INDEX(ТУ!$BD:$BD,MATCH($U35*1,ТУ!$CP:$CP,0),1))),"Нартис-И100",
IF(ISNUMBER(SEARCH("Приборы с поддержкой протокола СПОДЭС - Нартис-И100 (СПОДЭС)",INDEX(ТУ!$BD:$BD,MATCH($U35*1,ТУ!$CP:$CP,0),1))),"Нартис-И100",
IF(ISNUMBER(SEARCH("Приборы с поддержкой протокола СПОДЭС - СЕ308 (СПОДЭС)",INDEX(ТУ!$BD:$BD,MATCH($U35*1,ТУ!$CP:$CP,0),1))),"СЕ308 (СПОДЭС)",
IF(ISNUMBER(SEARCH("Приборы с поддержкой протокола СПОДЭС - СЕ207 (СПОДЭС)",INDEX(ТУ!$BD:$BD,MATCH($U35*1,ТУ!$CP:$CP,0),1))),"СЕ207 (СПОДЭС)",
IF(ISNUMBER(SEARCH("Приборы с поддержкой протокола СПОДЭС - СТЭМ-300 (СПОДЭС)",INDEX(ТУ!$BD:$BD,MATCH($U35*1,ТУ!$CP:$CP,0),1))),"СТЭМ-300 (СПОДЭС)",
IF(ISNUMBER(SEARCH("ТехноЭнерго - ТЕ3000",INDEX(ТУ!$BD:$BD,MATCH($U35*1,ТУ!$CP:$CP,0),1))),"ТЕ3000",
IF(ISNUMBER(SEARCH("НЗиФ - СЭТ-4ТМ",INDEX(ТУ!$BD:$BD,MATCH($U35*1,ТУ!$CP:$CP,0),1))),"СЭТ-4ТМ",
INDEX(ТУ!$BD:$BD,MATCH($U35*1,ТУ!$CP:$CP,0),1)
)))))))))))))</f>
        <v>СЭТ-4ТМ</v>
      </c>
      <c r="AC35" s="40" t="s">
        <v>2</v>
      </c>
      <c r="AD35" s="40" t="str">
        <f>IF(ISNUMBER(IFERROR(LEFT(IF(INDEX(ТУ!$CI:$CI,MATCH($U35*1,ТУ!$CP:$CP,0),1)=0,"",INDEX(ТУ!$CI:$CI,MATCH($U35*1,ТУ!$CP:$CP,0),1)),SEARCH(" ",IF(INDEX(ТУ!$CI:$CI,MATCH($U35*1,ТУ!$CP:$CP,0),1)=0,"",INDEX(ТУ!$CI:$CI,MATCH($U35*1,ТУ!$CP:$CP,0),1)),1)-1),"")*1),IFERROR(LEFT(IF(INDEX(ТУ!$CI:$CI,MATCH($U35*1,ТУ!$CP:$CP,0),1)=0,"",INDEX(ТУ!$CI:$CI,MATCH($U35*1,ТУ!$CP:$CP,0),1)),SEARCH(" ",IF(INDEX(ТУ!$CI:$CI,MATCH($U35*1,ТУ!$CP:$CP,0),1)=0,"",INDEX(ТУ!$CI:$CI,MATCH($U35*1,ТУ!$CP:$CP,0),1)),1)-1),""),"")</f>
        <v/>
      </c>
      <c r="AE35" s="40" t="str">
        <f>IF(INDEX(ТУ!$CB:$CB,MATCH($U35*1,ТУ!$CP:$CP,0),1)=0,INDEX(Adr!$B:$B,MATCH($U35*1,Adr!$C:$C,0),1),INDEX(ТУ!$CB:$CB,MATCH($U35*1,ТУ!$CP:$CP,0),1))</f>
        <v>4</v>
      </c>
      <c r="AF35" s="45" t="str">
        <f>IF(INDEX(ТУ!$CD:$CD,MATCH($U35*1,ТУ!$CP:$CP,0),1)=0,"",INDEX(ТУ!$CD:$CD,MATCH($U35*1,ТУ!$CP:$CP,0),1))</f>
        <v>000000</v>
      </c>
      <c r="AG35" s="45">
        <f>0</f>
        <v>0</v>
      </c>
      <c r="AH35" s="26">
        <f t="shared" si="17"/>
        <v>75</v>
      </c>
      <c r="AI35" s="20" t="str">
        <f t="shared" si="18"/>
        <v>755000001</v>
      </c>
      <c r="AJ35" s="41" t="str">
        <f t="shared" si="1"/>
        <v>10.79.130.51</v>
      </c>
      <c r="AK35" s="41" t="str">
        <f>IF($AP35="",IFERROR(IFERROR(LEFT(RIGHT(INDEX(ТУ!$CE:$CE,MATCH($U35*1,ТУ!$CP:$CP,0),1),LEN(INDEX(ТУ!$CE:$CE,MATCH($U35*1,ТУ!$CP:$CP,0),1))-SEARCH(":",INDEX(ТУ!$CE:$CE,MATCH($U35*1,ТУ!$CP:$CP,0),1))),SEARCH("/",RIGHT(INDEX(ТУ!$CE:$CE,MATCH($U35*1,ТУ!$CP:$CP,0),1),LEN(INDEX(ТУ!$CE:$CE,MATCH($U35*1,ТУ!$CP:$CP,0),1))-SEARCH(":",INDEX(ТУ!$CE:$CE,MATCH($U35*1,ТУ!$CP:$CP,0),1))))-1), RIGHT(INDEX(ТУ!$CE:$CE,MATCH($U35*1,ТУ!$CP:$CP,0),1),LEN(INDEX(ТУ!$CE:$CE,MATCH($U35*1,ТУ!$CP:$CP,0),1))-SEARCH(":",INDEX(ТУ!$CE:$CE,MATCH($U35*1,ТУ!$CP:$CP,0),1)))), ""),IFERROR(IFERROR(LEFT(RIGHT(INDEX(УСПД!$M:$M,MATCH(IFERROR(1*LEFT(INDEX(ТУ!$CG:$CG,MATCH($U35*1,ТУ!$CP:$CP,0),1),SEARCH(" ",INDEX(ТУ!$CG:$CG,MATCH($U35*1,ТУ!$CP:$CP,0),1))-1),""),УСПД!$N:$N,0),1),LEN(INDEX(УСПД!$M:$M,MATCH(IFERROR(1*LEFT(INDEX(ТУ!$CG:$CG,MATCH($U35*1,ТУ!$CP:$CP,0),1),SEARCH(" ",INDEX(ТУ!$CG:$CG,MATCH($U35*1,ТУ!$CP:$CP,0),1))-1),""),УСПД!$N:$N,0),1))-SEARCH(":",INDEX(УСПД!$M:$M,MATCH(IFERROR(1*LEFT(INDEX(ТУ!$CG:$CG,MATCH($U35*1,ТУ!$CP:$CP,0),1),SEARCH(" ",INDEX(ТУ!$CG:$CG,MATCH($U35*1,ТУ!$CP:$CP,0),1))-1),""),УСПД!$N:$N,0),1))),SEARCH("/",RIGHT(INDEX(УСПД!$M:$M,MATCH(IFERROR(1*LEFT(INDEX(ТУ!$CG:$CG,MATCH($U35*1,ТУ!$CP:$CP,0),1),SEARCH(" ",INDEX(ТУ!$CG:$CG,MATCH($U35*1,ТУ!$CP:$CP,0),1))-1),""),УСПД!$N:$N,0),1),LEN(INDEX(УСПД!$M:$M,MATCH(IFERROR(1*LEFT(INDEX(ТУ!$CG:$CG,MATCH($U35*1,ТУ!$CP:$CP,0),1),SEARCH(" ",INDEX(ТУ!$CG:$CG,MATCH($U35*1,ТУ!$CP:$CP,0),1))-1),""),УСПД!$N:$N,0),1))-SEARCH(":",INDEX(УСПД!$M:$M,MATCH(IFERROR(1*LEFT(INDEX(ТУ!$CG:$CG,MATCH($U35*1,ТУ!$CP:$CP,0),1),SEARCH(" ",INDEX(ТУ!$CG:$CG,MATCH($U35*1,ТУ!$CP:$CP,0),1))-1),""),УСПД!$N:$N,0),1))))-1), RIGHT(INDEX(УСПД!$M:$M,MATCH(IFERROR(1*LEFT(INDEX(ТУ!$CG:$CG,MATCH($U35*1,ТУ!$CP:$CP,0),1),SEARCH(" ",INDEX(ТУ!$CG:$CG,MATCH($U35*1,ТУ!$CP:$CP,0),1))-1),""),УСПД!$N:$N,0),1),LEN(INDEX(УСПД!$M:$M,MATCH(IFERROR(1*LEFT(INDEX(ТУ!$CG:$CG,MATCH($U35*1,ТУ!$CP:$CP,0),1),SEARCH(" ",INDEX(ТУ!$CG:$CG,MATCH($U35*1,ТУ!$CP:$CP,0),1))-1),""),УСПД!$N:$N,0),1))-SEARCH(":",INDEX(УСПД!$M:$M,MATCH(IFERROR(1*LEFT(INDEX(ТУ!$CG:$CG,MATCH($U35*1,ТУ!$CP:$CP,0),1),SEARCH(" ",INDEX(ТУ!$CG:$CG,MATCH($U35*1,ТУ!$CP:$CP,0),1))-1),""),УСПД!$N:$N,0),1)))), ""))</f>
        <v>4001</v>
      </c>
      <c r="AL35" s="41"/>
      <c r="AM35" s="57" t="str">
        <f>IFERROR(IFERROR(INDEX(Tel!$B:$B,MATCH($AJ35,Tel!$E:$E,0),1),INDEX(Tel!$B:$B,MATCH($AJ35,Tel!$D:$D,0),1)),"")</f>
        <v/>
      </c>
      <c r="AN35" s="59" t="str">
        <f>IF(ISNUMBER(SEARCH("ТОПАЗ - ТОПАЗ УСПД",IFERROR(RIGHT(LEFT(INDEX(ТУ!$CG:$CG,MATCH($U35*1,ТУ!$CP:$CP,0),1),SEARCH(")",INDEX(ТУ!$CG:$CG,MATCH($U35*1,ТУ!$CP:$CP,0),1))-1),LEN(LEFT(INDEX(ТУ!$CG:$CG,MATCH($U35*1,ТУ!$CP:$CP,0),1),SEARCH(")",INDEX(ТУ!$CG:$CG,MATCH($U35*1,ТУ!$CP:$CP,0),1))-1))-SEARCH("(",INDEX(ТУ!$CG:$CG,MATCH($U35*1,ТУ!$CP:$CP,0),1))),""),1)),"RTU-327",
IF(ISNUMBER(SEARCH("TELEOFIS",$AP35)),"Модем",
""))</f>
        <v/>
      </c>
      <c r="AO35" s="27" t="str">
        <f t="shared" si="0"/>
        <v/>
      </c>
      <c r="AP35" s="57" t="str">
        <f>IF(ISNUMBER(SEARCH("Миландр - Милур GSM/GPRS модем",IFERROR(RIGHT(LEFT(INDEX(ТУ!$CG:$CG,MATCH($U35*1,ТУ!$CP:$CP,0),1),SEARCH(")",INDEX(ТУ!$CG:$CG,MATCH($U35*1,ТУ!$CP:$CP,0),1))-1),LEN(LEFT(INDEX(ТУ!$CG:$CG,MATCH($U35*1,ТУ!$CP:$CP,0),1),SEARCH(")",INDEX(ТУ!$CG:$CG,MATCH($U35*1,ТУ!$CP:$CP,0),1))-1))-SEARCH("(",INDEX(ТУ!$CG:$CG,MATCH($U35*1,ТУ!$CP:$CP,0),1))),""),1)), "TELEOFIS WRX708-L4",IFERROR(RIGHT(LEFT(INDEX(ТУ!$CG:$CG,MATCH($U35*1,ТУ!$CP:$CP,0),1),SEARCH(")",INDEX(ТУ!$CG:$CG,MATCH($U35*1,ТУ!$CP:$CP,0),1))-1),LEN(LEFT(INDEX(ТУ!$CG:$CG,MATCH($U35*1,ТУ!$CP:$CP,0),1),SEARCH(")",INDEX(ТУ!$CG:$CG,MATCH($U35*1,ТУ!$CP:$CP,0),1))-1))-SEARCH("(",INDEX(ТУ!$CG:$CG,MATCH($U35*1,ТУ!$CP:$CP,0),1))),""))</f>
        <v/>
      </c>
      <c r="AQ35" s="57" t="str">
        <f>IFERROR(IF(INDEX(УСПД!$K:$K,MATCH($AS35*1,УСПД!$N:$N,0),1)=0,"",INDEX(УСПД!$K:$K,MATCH($AS35*1,УСПД!$N:$N,0),1)),"")</f>
        <v/>
      </c>
      <c r="AR35" s="57" t="str">
        <f>IFERROR(IF(INDEX(УСПД!$L:$L,MATCH($AS35*1,УСПД!$N:$N,0),1)=0,"",INDEX(УСПД!$L:$L,MATCH($AS35*1,УСПД!$N:$N,0),1)),"")</f>
        <v/>
      </c>
      <c r="AS35" s="60" t="str">
        <f>IFERROR(LEFT(INDEX(ТУ!$CG:$CG,MATCH($U35*1,ТУ!$CP:$CP,0),1),SEARCH(" ",INDEX(ТУ!$CG:$CG,MATCH($U35*1,ТУ!$CP:$CP,0),1))-1),"")</f>
        <v/>
      </c>
      <c r="AT35" s="59" t="s">
        <v>360</v>
      </c>
      <c r="AU35" s="59">
        <f>3</f>
        <v>3</v>
      </c>
      <c r="AV35" s="59" t="s">
        <v>368</v>
      </c>
      <c r="AW35" s="149">
        <f t="shared" si="19"/>
        <v>53</v>
      </c>
      <c r="AX35" s="149">
        <f t="shared" si="20"/>
        <v>7</v>
      </c>
      <c r="AY35" s="149" t="str">
        <f t="shared" si="21"/>
        <v/>
      </c>
      <c r="AZ35" s="149" t="str">
        <f t="shared" si="22"/>
        <v/>
      </c>
      <c r="BA35" s="149">
        <f t="shared" si="23"/>
        <v>1</v>
      </c>
      <c r="BB35" s="154" t="str">
        <f>IF($AP35="",IFERROR(IFERROR(LEFT(RIGHT(INDEX(ТУ!$CE:$CE,MATCH($U35*1,ТУ!$CP:$CP,0),1),LEN(INDEX(ТУ!$CE:$CE,MATCH($U35*1,ТУ!$CP:$CP,0),1))-SEARCH(", ",INDEX(ТУ!$CE:$CE,MATCH($U35*1,ТУ!$CP:$CP,0),1),SEARCH(", ",INDEX(ТУ!$CE:$CE,MATCH($U35*1,ТУ!$CP:$CP,0),1))+1)-1),SEARCH(":",RIGHT(INDEX(ТУ!$CE:$CE,MATCH($U35*1,ТУ!$CP:$CP,0),1),LEN(INDEX(ТУ!$CE:$CE,MATCH($U35*1,ТУ!$CP:$CP,0),1))-SEARCH(", ",INDEX(ТУ!$CE:$CE,MATCH($U35*1,ТУ!$CP:$CP,0),1),SEARCH(", ",INDEX(ТУ!$CE:$CE,MATCH($U35*1,ТУ!$CP:$CP,0),1))+1)-1))-1),LEFT(INDEX(ТУ!$CE:$CE,MATCH($U35*1,ТУ!$CP:$CP,0),1),SEARCH(":",INDEX(ТУ!$CE:$CE,MATCH($U35*1,ТУ!$CP:$CP,0),1))-1)),""),IFERROR(IFERROR(LEFT(RIGHT(INDEX(УСПД!$M:$M,MATCH(IFERROR(1*LEFT(INDEX(ТУ!$CG:$CG,MATCH($U35*1,ТУ!$CP:$CP,0),1),SEARCH(" ",INDEX(ТУ!$CG:$CG,MATCH($U35*1,ТУ!$CP:$CP,0),1))-1),""),УСПД!$N:$N,0),1),LEN(INDEX(УСПД!$M:$M,MATCH(IFERROR(1*LEFT(INDEX(ТУ!$CG:$CG,MATCH($U35*1,ТУ!$CP:$CP,0),1),SEARCH(" ",INDEX(ТУ!$CG:$CG,MATCH($U35*1,ТУ!$CP:$CP,0),1))-1),""),УСПД!$N:$N,0),1))-SEARCH(", ",INDEX(УСПД!$M:$M,MATCH(IFERROR(1*LEFT(INDEX(ТУ!$CG:$CG,MATCH($U35*1,ТУ!$CP:$CP,0),1),SEARCH(" ",INDEX(ТУ!$CG:$CG,MATCH($U35*1,ТУ!$CP:$CP,0),1))-1),""),УСПД!$N:$N,0),1),SEARCH(", ",INDEX(УСПД!$M:$M,MATCH(IFERROR(1*LEFT(INDEX(ТУ!$CG:$CG,MATCH($U35*1,ТУ!$CP:$CP,0),1),SEARCH(" ",INDEX(ТУ!$CG:$CG,MATCH($U35*1,ТУ!$CP:$CP,0),1))-1),""),УСПД!$N:$N,0),1))+1)-1),SEARCH(":",RIGHT(INDEX(УСПД!$M:$M,MATCH(IFERROR(1*LEFT(INDEX(ТУ!$CG:$CG,MATCH($U35*1,ТУ!$CP:$CP,0),1),SEARCH(" ",INDEX(ТУ!$CG:$CG,MATCH($U35*1,ТУ!$CP:$CP,0),1))-1),""),УСПД!$N:$N,0),1),LEN(INDEX(УСПД!$M:$M,MATCH(IFERROR(1*LEFT(INDEX(ТУ!$CG:$CG,MATCH($U35*1,ТУ!$CP:$CP,0),1),SEARCH(" ",INDEX(ТУ!$CG:$CG,MATCH($U35*1,ТУ!$CP:$CP,0),1))-1),""),УСПД!$N:$N,0),1))-SEARCH(", ",INDEX(УСПД!$M:$M,MATCH(IFERROR(1*LEFT(INDEX(ТУ!$CG:$CG,MATCH($U35*1,ТУ!$CP:$CP,0),1),SEARCH(" ",INDEX(ТУ!$CG:$CG,MATCH($U35*1,ТУ!$CP:$CP,0),1))-1),""),УСПД!$N:$N,0),1),SEARCH(", ",INDEX(УСПД!$M:$M,MATCH(IFERROR(1*LEFT(INDEX(ТУ!$CG:$CG,MATCH($U35*1,ТУ!$CP:$CP,0),1),SEARCH(" ",INDEX(ТУ!$CG:$CG,MATCH($U35*1,ТУ!$CP:$CP,0),1))-1),""),УСПД!$N:$N,0),1))+1)-1))-1),LEFT(INDEX(УСПД!$M:$M,MATCH(IFERROR(1*LEFT(INDEX(ТУ!$CG:$CG,MATCH($U35*1,ТУ!$CP:$CP,0),1),SEARCH(" ",INDEX(ТУ!$CG:$CG,MATCH($U35*1,ТУ!$CP:$CP,0),1))-1),""),УСПД!$N:$N,0),1),SEARCH(":",INDEX(УСПД!$M:$M,MATCH(IFERROR(1*LEFT(INDEX(ТУ!$CG:$CG,MATCH($U35*1,ТУ!$CP:$CP,0),1),SEARCH(" ",INDEX(ТУ!$CG:$CG,MATCH($U35*1,ТУ!$CP:$CP,0),1))-1),""),УСПД!$N:$N,0),1))-1)),""))</f>
        <v>10.79.130.51</v>
      </c>
      <c r="BC35" s="155" t="str">
        <f>INDEX(ТУ!$AF:$AF,MATCH($U35*1,ТУ!$CP:$CP,0),1)</f>
        <v>РТП 10 кВ ЗАО Олминея</v>
      </c>
      <c r="BD35" s="155">
        <f>INDEX(ТУ!$X:$X,MATCH($U35*1,ТУ!$CP:$CP,0),1)</f>
        <v>0</v>
      </c>
      <c r="BE35" s="155" t="str">
        <f>INDEX(ТУ!$CL:$CL,MATCH($U35*1,ТУ!$CP:$CP,0),1)</f>
        <v>Тех.учет</v>
      </c>
      <c r="BF35" s="147" t="str">
        <f>IFERROR(INDEX(естьАЦ!$A:$A,MATCH($U35*1,естьАЦ!$A:$A,0),1),"нет в АЦ")</f>
        <v>нет в АЦ</v>
      </c>
    </row>
    <row r="36" spans="1:58" ht="15" x14ac:dyDescent="0.25">
      <c r="A36" s="55">
        <f>3</f>
        <v>3</v>
      </c>
      <c r="B36" s="42" t="str">
        <f>IFERROR(IFERROR(INDEX(Справочники!$A$2:$P$79,MATCH(INDEX(ТУ!$E:$E,MATCH($U36*1,ТУ!$CP:$CP,0),1),Справочники!$P$2:$P$79,0),2),INDEX(Справочники!$A$2:$P$79,MATCH((INDEX(ТУ!$E:$E,MATCH($U36*1,ТУ!$CP:$CP,0),1))*1,Справочники!$P$2:$P$79,0),2)),"")</f>
        <v>16 р-н МКС (ЮОРУПЭ)</v>
      </c>
      <c r="C36" s="46" t="str">
        <f>IFERROR(TRIM(LEFT(INDEX(ТУ!$AF:$AF,MATCH($U36*1,ТУ!$CP:$CP,0),1),SEARCH("-",INDEX(ТУ!$AF:$AF,MATCH($U36*1,ТУ!$CP:$CP,0),1))-1)),IFERROR(LEFT(INDEX(ТУ!$X:$X,MATCH($U36*1,ТУ!$CP:$CP,0),1),SEARCH("-",INDEX(ТУ!$X:$X,MATCH($U36*1,ТУ!$CP:$CP,0),1))-1),"ТП"))</f>
        <v>РП</v>
      </c>
      <c r="D36" s="47" t="str">
        <f>IF(TRIM(IF(ISNUMBER((IFERROR(RIGHT(INDEX(ТУ!$AF:$AF,MATCH($U36*1,ТУ!$CP:$CP,0),1),LEN(INDEX(ТУ!$AF:$AF,MATCH($U36*1,ТУ!$CP:$CP,0),1))-SEARCH("-",INDEX(ТУ!$AF:$AF,MATCH($U36*1,ТУ!$CP:$CP,0),1))),INDEX(ТУ!$AF:$AF,MATCH($U36*1,ТУ!$CP:$CP,0),1)))*1),IFERROR(RIGHT(INDEX(ТУ!$AF:$AF,MATCH($U36*1,ТУ!$CP:$CP,0),1),LEN(INDEX(ТУ!$AF:$AF,MATCH($U36*1,ТУ!$CP:$CP,0),1))-SEARCH("-",INDEX(ТУ!$AF:$AF,MATCH($U36*1,ТУ!$CP:$CP,0),1))),INDEX(ТУ!$AF:$AF,MATCH($U36*1,ТУ!$CP:$CP,0),1)),""))="",TRIM(IF(ISNUMBER((IFERROR(RIGHT(INDEX(ТУ!$X:$X,MATCH($U36*1,ТУ!$CP:$CP,0),1),LEN(INDEX(ТУ!$X:$X,MATCH($U36*1,ТУ!$CP:$CP,0),1))-SEARCH("-",INDEX(ТУ!$X:$X,MATCH($U36*1,ТУ!$CP:$CP,0),1))),INDEX(ТУ!$X:$X,MATCH($U36*1,ТУ!$CP:$CP,0),1)))*1),IFERROR(RIGHT(INDEX(ТУ!$X:$X,MATCH($U36*1,ТУ!$CP:$CP,0),1),LEN(INDEX(ТУ!$X:$X,MATCH($U36*1,ТУ!$CP:$CP,0),1))-SEARCH("-",INDEX(ТУ!$X:$X,MATCH($U36*1,ТУ!$CP:$CP,0),1))),INDEX(ТУ!$X:$X,MATCH($U36*1,ТУ!$CP:$CP,0),1)),"")),TRIM(IF(ISNUMBER((IFERROR(RIGHT(INDEX(ТУ!$AF:$AF,MATCH($U36*1,ТУ!$CP:$CP,0),1),LEN(INDEX(ТУ!$AF:$AF,MATCH($U36*1,ТУ!$CP:$CP,0),1))-SEARCH("-",INDEX(ТУ!$AF:$AF,MATCH($U36*1,ТУ!$CP:$CP,0),1))),INDEX(ТУ!$AF:$AF,MATCH($U36*1,ТУ!$CP:$CP,0),1)))*1),IFERROR(RIGHT(INDEX(ТУ!$AF:$AF,MATCH($U36*1,ТУ!$CP:$CP,0),1),LEN(INDEX(ТУ!$AF:$AF,MATCH($U36*1,ТУ!$CP:$CP,0),1))-SEARCH("-",INDEX(ТУ!$AF:$AF,MATCH($U36*1,ТУ!$CP:$CP,0),1))),INDEX(ТУ!$AF:$AF,MATCH($U36*1,ТУ!$CP:$CP,0),1)),"")))</f>
        <v/>
      </c>
      <c r="E36" s="25" t="str">
        <f t="shared" si="2"/>
        <v>МКС</v>
      </c>
      <c r="F36" s="20">
        <f t="shared" si="3"/>
        <v>90</v>
      </c>
      <c r="G36" s="21">
        <f t="shared" si="4"/>
        <v>2</v>
      </c>
      <c r="H36" s="25" t="str">
        <f t="shared" si="5"/>
        <v>РП-</v>
      </c>
      <c r="I36" s="25" t="str">
        <f t="shared" si="6"/>
        <v>90200000</v>
      </c>
      <c r="J36" s="42" t="str">
        <f>INDEX(Справочники!$M:$M,MATCH(IF(INDEX(ТУ!$BO:$BO,MATCH($U36*1,ТУ!$CP:$CP,0),1)=1,1,INDEX(ТУ!$BO:$BO,MATCH($U36*1,ТУ!$CP:$CP,0),1)*100),Справочники!$N:$N,0),1)</f>
        <v>10 кВ</v>
      </c>
      <c r="K36" s="40">
        <f>1</f>
        <v>1</v>
      </c>
      <c r="L36" s="20" t="str">
        <f t="shared" si="7"/>
        <v>СШ-1</v>
      </c>
      <c r="M36" s="20">
        <f t="shared" si="8"/>
        <v>1</v>
      </c>
      <c r="N36" s="40"/>
      <c r="O36" s="56" t="str">
        <f t="shared" si="9"/>
        <v>Ввод-1-1</v>
      </c>
      <c r="P36" s="57" t="str">
        <f>IFERROR(IF(INDEX(ТУ!$AO:$AO,MATCH($U36*1,ТУ!$CP:$CP,0),1)=0,"",INDEX(ТУ!$AO:$AO,MATCH($U36*1,ТУ!$CP:$CP,0),1)),"")</f>
        <v>яч. П/С 561 A</v>
      </c>
      <c r="Q36" s="40">
        <f>IFERROR(IF(INDEX(ТУ!$BN:$BN,MATCH($U36*1,ТУ!$CP:$CP,0),1)=1,1,INDEX(ТУ!$BN:$BN,MATCH($U36*1,ТУ!$CP:$CP,0),1)*5),"")</f>
        <v>400</v>
      </c>
      <c r="R36" s="25">
        <f t="shared" si="10"/>
        <v>5</v>
      </c>
      <c r="S36" s="25">
        <f t="shared" si="11"/>
        <v>10000</v>
      </c>
      <c r="T36" s="25">
        <f t="shared" si="12"/>
        <v>100</v>
      </c>
      <c r="U36" s="105" t="s">
        <v>833</v>
      </c>
      <c r="V36" s="43">
        <f>IF(INDEX(ТУ!$BH:$BH,MATCH($U36*1,ТУ!$CP:$CP,0),1)=0,"",INDEX(ТУ!$BH:$BH,MATCH($U36*1,ТУ!$CP:$CP,0),1))</f>
        <v>41365</v>
      </c>
      <c r="W36" s="43" t="str">
        <f>IF(INDEX(ТУ!$BI:$BI,MATCH($U36*1,ТУ!$CP:$CP,0),1)=0,"",INDEX(ТУ!$BI:$BI,MATCH($U36*1,ТУ!$CP:$CP,0),1))</f>
        <v>30.10.2012</v>
      </c>
      <c r="X36" s="58" t="str">
        <f t="shared" si="13"/>
        <v>СЭТ-4ТМ</v>
      </c>
      <c r="Y36" s="25">
        <f t="shared" si="14"/>
        <v>7</v>
      </c>
      <c r="Z36" s="42" t="str">
        <f t="shared" si="15"/>
        <v/>
      </c>
      <c r="AA36" s="25" t="str">
        <f t="shared" si="16"/>
        <v/>
      </c>
      <c r="AB36" s="40" t="str">
        <f>IF(ISNUMBER(SEARCH("Приборы с поддержкой протокола СПОДЭС - Нартис-И300 (СПОДЭС)",INDEX(ТУ!$BD:$BD,MATCH($U36*1,ТУ!$CP:$CP,0),1))),"Нартис-И300",
IF(ISNUMBER(SEARCH("Приборы с поддержкой протокола СПОДЭС - Меркурий 234 (СПОДЭС)",INDEX(ТУ!$BD:$BD,MATCH($U36*1,ТУ!$CP:$CP,0),1))),"Меркурий 234 (СПОДЭС)",
IF(ISNUMBER(SEARCH("Приборы с поддержкой протокола СПОДЭС - Нартис-300 (СПОДЭС)",INDEX(ТУ!$BD:$BD,MATCH($U36*1,ТУ!$CP:$CP,0),1))),"Нартис-300",
IF(ISNUMBER(SEARCH("Инкотекс - Меркурий 234",INDEX(ТУ!$BD:$BD,MATCH($U36*1,ТУ!$CP:$CP,0),1))),"Меркурий 234",
IF(ISNUMBER(SEARCH("Инкотекс - Меркурий 206",INDEX(ТУ!$BD:$BD,MATCH($U36*1,ТУ!$CP:$CP,0),1))),"Меркурий 206",
IF(ISNUMBER(SEARCH("Приборы с поддержкой протокола СПОДЭС - Универсальный счетчик СПОДЭС 2 трехфазный",INDEX(ТУ!$BD:$BD,MATCH($U36*1,ТУ!$CP:$CP,0),1))),"Нартис-И300",
IF(ISNUMBER(SEARCH("Приборы с поддержкой протокола СПОДЭС - Универсальный счетчик СПОДЭС 2 однофазный",INDEX(ТУ!$BD:$BD,MATCH($U36*1,ТУ!$CP:$CP,0),1))),"Нартис-И100",
IF(ISNUMBER(SEARCH("Приборы с поддержкой протокола СПОДЭС - Нартис-И100 (СПОДЭС)",INDEX(ТУ!$BD:$BD,MATCH($U36*1,ТУ!$CP:$CP,0),1))),"Нартис-И100",
IF(ISNUMBER(SEARCH("Приборы с поддержкой протокола СПОДЭС - СЕ308 (СПОДЭС)",INDEX(ТУ!$BD:$BD,MATCH($U36*1,ТУ!$CP:$CP,0),1))),"СЕ308 (СПОДЭС)",
IF(ISNUMBER(SEARCH("Приборы с поддержкой протокола СПОДЭС - СЕ207 (СПОДЭС)",INDEX(ТУ!$BD:$BD,MATCH($U36*1,ТУ!$CP:$CP,0),1))),"СЕ207 (СПОДЭС)",
IF(ISNUMBER(SEARCH("Приборы с поддержкой протокола СПОДЭС - СТЭМ-300 (СПОДЭС)",INDEX(ТУ!$BD:$BD,MATCH($U36*1,ТУ!$CP:$CP,0),1))),"СТЭМ-300 (СПОДЭС)",
IF(ISNUMBER(SEARCH("ТехноЭнерго - ТЕ3000",INDEX(ТУ!$BD:$BD,MATCH($U36*1,ТУ!$CP:$CP,0),1))),"ТЕ3000",
IF(ISNUMBER(SEARCH("НЗиФ - СЭТ-4ТМ",INDEX(ТУ!$BD:$BD,MATCH($U36*1,ТУ!$CP:$CP,0),1))),"СЭТ-4ТМ",
INDEX(ТУ!$BD:$BD,MATCH($U36*1,ТУ!$CP:$CP,0),1)
)))))))))))))</f>
        <v>СЭТ-4ТМ</v>
      </c>
      <c r="AC36" s="40" t="s">
        <v>2</v>
      </c>
      <c r="AD36" s="40" t="str">
        <f>IF(ISNUMBER(IFERROR(LEFT(IF(INDEX(ТУ!$CI:$CI,MATCH($U36*1,ТУ!$CP:$CP,0),1)=0,"",INDEX(ТУ!$CI:$CI,MATCH($U36*1,ТУ!$CP:$CP,0),1)),SEARCH(" ",IF(INDEX(ТУ!$CI:$CI,MATCH($U36*1,ТУ!$CP:$CP,0),1)=0,"",INDEX(ТУ!$CI:$CI,MATCH($U36*1,ТУ!$CP:$CP,0),1)),1)-1),"")*1),IFERROR(LEFT(IF(INDEX(ТУ!$CI:$CI,MATCH($U36*1,ТУ!$CP:$CP,0),1)=0,"",INDEX(ТУ!$CI:$CI,MATCH($U36*1,ТУ!$CP:$CP,0),1)),SEARCH(" ",IF(INDEX(ТУ!$CI:$CI,MATCH($U36*1,ТУ!$CP:$CP,0),1)=0,"",INDEX(ТУ!$CI:$CI,MATCH($U36*1,ТУ!$CP:$CP,0),1)),1)-1),""),"")</f>
        <v/>
      </c>
      <c r="AE36" s="40" t="str">
        <f>IF(INDEX(ТУ!$CB:$CB,MATCH($U36*1,ТУ!$CP:$CP,0),1)=0,INDEX(Adr!$B:$B,MATCH($U36*1,Adr!$C:$C,0),1),INDEX(ТУ!$CB:$CB,MATCH($U36*1,ТУ!$CP:$CP,0),1))</f>
        <v>24</v>
      </c>
      <c r="AF36" s="45" t="str">
        <f>IF(INDEX(ТУ!$CD:$CD,MATCH($U36*1,ТУ!$CP:$CP,0),1)=0,"",INDEX(ТУ!$CD:$CD,MATCH($U36*1,ТУ!$CP:$CP,0),1))</f>
        <v>000000</v>
      </c>
      <c r="AG36" s="45">
        <f>0</f>
        <v>0</v>
      </c>
      <c r="AH36" s="26">
        <f t="shared" si="17"/>
        <v>90</v>
      </c>
      <c r="AI36" s="20" t="str">
        <f t="shared" si="18"/>
        <v>902000001</v>
      </c>
      <c r="AJ36" s="41" t="str">
        <f t="shared" si="1"/>
        <v>10.79.205.164</v>
      </c>
      <c r="AK36" s="41" t="str">
        <f>IF($AP36="",IFERROR(IFERROR(LEFT(RIGHT(INDEX(ТУ!$CE:$CE,MATCH($U36*1,ТУ!$CP:$CP,0),1),LEN(INDEX(ТУ!$CE:$CE,MATCH($U36*1,ТУ!$CP:$CP,0),1))-SEARCH(":",INDEX(ТУ!$CE:$CE,MATCH($U36*1,ТУ!$CP:$CP,0),1))),SEARCH("/",RIGHT(INDEX(ТУ!$CE:$CE,MATCH($U36*1,ТУ!$CP:$CP,0),1),LEN(INDEX(ТУ!$CE:$CE,MATCH($U36*1,ТУ!$CP:$CP,0),1))-SEARCH(":",INDEX(ТУ!$CE:$CE,MATCH($U36*1,ТУ!$CP:$CP,0),1))))-1), RIGHT(INDEX(ТУ!$CE:$CE,MATCH($U36*1,ТУ!$CP:$CP,0),1),LEN(INDEX(ТУ!$CE:$CE,MATCH($U36*1,ТУ!$CP:$CP,0),1))-SEARCH(":",INDEX(ТУ!$CE:$CE,MATCH($U36*1,ТУ!$CP:$CP,0),1)))), ""),IFERROR(IFERROR(LEFT(RIGHT(INDEX(УСПД!$M:$M,MATCH(IFERROR(1*LEFT(INDEX(ТУ!$CG:$CG,MATCH($U36*1,ТУ!$CP:$CP,0),1),SEARCH(" ",INDEX(ТУ!$CG:$CG,MATCH($U36*1,ТУ!$CP:$CP,0),1))-1),""),УСПД!$N:$N,0),1),LEN(INDEX(УСПД!$M:$M,MATCH(IFERROR(1*LEFT(INDEX(ТУ!$CG:$CG,MATCH($U36*1,ТУ!$CP:$CP,0),1),SEARCH(" ",INDEX(ТУ!$CG:$CG,MATCH($U36*1,ТУ!$CP:$CP,0),1))-1),""),УСПД!$N:$N,0),1))-SEARCH(":",INDEX(УСПД!$M:$M,MATCH(IFERROR(1*LEFT(INDEX(ТУ!$CG:$CG,MATCH($U36*1,ТУ!$CP:$CP,0),1),SEARCH(" ",INDEX(ТУ!$CG:$CG,MATCH($U36*1,ТУ!$CP:$CP,0),1))-1),""),УСПД!$N:$N,0),1))),SEARCH("/",RIGHT(INDEX(УСПД!$M:$M,MATCH(IFERROR(1*LEFT(INDEX(ТУ!$CG:$CG,MATCH($U36*1,ТУ!$CP:$CP,0),1),SEARCH(" ",INDEX(ТУ!$CG:$CG,MATCH($U36*1,ТУ!$CP:$CP,0),1))-1),""),УСПД!$N:$N,0),1),LEN(INDEX(УСПД!$M:$M,MATCH(IFERROR(1*LEFT(INDEX(ТУ!$CG:$CG,MATCH($U36*1,ТУ!$CP:$CP,0),1),SEARCH(" ",INDEX(ТУ!$CG:$CG,MATCH($U36*1,ТУ!$CP:$CP,0),1))-1),""),УСПД!$N:$N,0),1))-SEARCH(":",INDEX(УСПД!$M:$M,MATCH(IFERROR(1*LEFT(INDEX(ТУ!$CG:$CG,MATCH($U36*1,ТУ!$CP:$CP,0),1),SEARCH(" ",INDEX(ТУ!$CG:$CG,MATCH($U36*1,ТУ!$CP:$CP,0),1))-1),""),УСПД!$N:$N,0),1))))-1), RIGHT(INDEX(УСПД!$M:$M,MATCH(IFERROR(1*LEFT(INDEX(ТУ!$CG:$CG,MATCH($U36*1,ТУ!$CP:$CP,0),1),SEARCH(" ",INDEX(ТУ!$CG:$CG,MATCH($U36*1,ТУ!$CP:$CP,0),1))-1),""),УСПД!$N:$N,0),1),LEN(INDEX(УСПД!$M:$M,MATCH(IFERROR(1*LEFT(INDEX(ТУ!$CG:$CG,MATCH($U36*1,ТУ!$CP:$CP,0),1),SEARCH(" ",INDEX(ТУ!$CG:$CG,MATCH($U36*1,ТУ!$CP:$CP,0),1))-1),""),УСПД!$N:$N,0),1))-SEARCH(":",INDEX(УСПД!$M:$M,MATCH(IFERROR(1*LEFT(INDEX(ТУ!$CG:$CG,MATCH($U36*1,ТУ!$CP:$CP,0),1),SEARCH(" ",INDEX(ТУ!$CG:$CG,MATCH($U36*1,ТУ!$CP:$CP,0),1))-1),""),УСПД!$N:$N,0),1)))), ""))</f>
        <v>2002</v>
      </c>
      <c r="AL36" s="41"/>
      <c r="AM36" s="57" t="str">
        <f>IFERROR(IFERROR(INDEX(Tel!$B:$B,MATCH($AJ36,Tel!$E:$E,0),1),INDEX(Tel!$B:$B,MATCH($AJ36,Tel!$D:$D,0),1)),"")</f>
        <v/>
      </c>
      <c r="AN36" s="59" t="str">
        <f>IF(ISNUMBER(SEARCH("ТОПАЗ - ТОПАЗ УСПД",IFERROR(RIGHT(LEFT(INDEX(ТУ!$CG:$CG,MATCH($U36*1,ТУ!$CP:$CP,0),1),SEARCH(")",INDEX(ТУ!$CG:$CG,MATCH($U36*1,ТУ!$CP:$CP,0),1))-1),LEN(LEFT(INDEX(ТУ!$CG:$CG,MATCH($U36*1,ТУ!$CP:$CP,0),1),SEARCH(")",INDEX(ТУ!$CG:$CG,MATCH($U36*1,ТУ!$CP:$CP,0),1))-1))-SEARCH("(",INDEX(ТУ!$CG:$CG,MATCH($U36*1,ТУ!$CP:$CP,0),1))),""),1)),"RTU-327",
IF(ISNUMBER(SEARCH("TELEOFIS",$AP36)),"Модем",
""))</f>
        <v/>
      </c>
      <c r="AO36" s="27" t="str">
        <f t="shared" ref="AO36:AO70" si="24">IFERROR(INDEX(кодУСПД,AZ36),"")</f>
        <v/>
      </c>
      <c r="AP36" s="57" t="str">
        <f>IF(ISNUMBER(SEARCH("Миландр - Милур GSM/GPRS модем",IFERROR(RIGHT(LEFT(INDEX(ТУ!$CG:$CG,MATCH($U36*1,ТУ!$CP:$CP,0),1),SEARCH(")",INDEX(ТУ!$CG:$CG,MATCH($U36*1,ТУ!$CP:$CP,0),1))-1),LEN(LEFT(INDEX(ТУ!$CG:$CG,MATCH($U36*1,ТУ!$CP:$CP,0),1),SEARCH(")",INDEX(ТУ!$CG:$CG,MATCH($U36*1,ТУ!$CP:$CP,0),1))-1))-SEARCH("(",INDEX(ТУ!$CG:$CG,MATCH($U36*1,ТУ!$CP:$CP,0),1))),""),1)), "TELEOFIS WRX708-L4",IFERROR(RIGHT(LEFT(INDEX(ТУ!$CG:$CG,MATCH($U36*1,ТУ!$CP:$CP,0),1),SEARCH(")",INDEX(ТУ!$CG:$CG,MATCH($U36*1,ТУ!$CP:$CP,0),1))-1),LEN(LEFT(INDEX(ТУ!$CG:$CG,MATCH($U36*1,ТУ!$CP:$CP,0),1),SEARCH(")",INDEX(ТУ!$CG:$CG,MATCH($U36*1,ТУ!$CP:$CP,0),1))-1))-SEARCH("(",INDEX(ТУ!$CG:$CG,MATCH($U36*1,ТУ!$CP:$CP,0),1))),""))</f>
        <v/>
      </c>
      <c r="AQ36" s="57" t="str">
        <f>IFERROR(IF(INDEX(УСПД!$K:$K,MATCH($AS36*1,УСПД!$N:$N,0),1)=0,"",INDEX(УСПД!$K:$K,MATCH($AS36*1,УСПД!$N:$N,0),1)),"")</f>
        <v/>
      </c>
      <c r="AR36" s="57" t="str">
        <f>IFERROR(IF(INDEX(УСПД!$L:$L,MATCH($AS36*1,УСПД!$N:$N,0),1)=0,"",INDEX(УСПД!$L:$L,MATCH($AS36*1,УСПД!$N:$N,0),1)),"")</f>
        <v/>
      </c>
      <c r="AS36" s="60" t="str">
        <f>IFERROR(LEFT(INDEX(ТУ!$CG:$CG,MATCH($U36*1,ТУ!$CP:$CP,0),1),SEARCH(" ",INDEX(ТУ!$CG:$CG,MATCH($U36*1,ТУ!$CP:$CP,0),1))-1),"")</f>
        <v/>
      </c>
      <c r="AT36" s="59" t="s">
        <v>360</v>
      </c>
      <c r="AU36" s="59">
        <f>3</f>
        <v>3</v>
      </c>
      <c r="AV36" s="59" t="s">
        <v>368</v>
      </c>
      <c r="AW36" s="149">
        <f t="shared" si="19"/>
        <v>68</v>
      </c>
      <c r="AX36" s="149">
        <f t="shared" si="20"/>
        <v>7</v>
      </c>
      <c r="AY36" s="149" t="str">
        <f t="shared" si="21"/>
        <v/>
      </c>
      <c r="AZ36" s="149" t="str">
        <f t="shared" si="22"/>
        <v/>
      </c>
      <c r="BA36" s="149">
        <f t="shared" si="23"/>
        <v>3</v>
      </c>
      <c r="BB36" s="154" t="str">
        <f>IF($AP36="",IFERROR(IFERROR(LEFT(RIGHT(INDEX(ТУ!$CE:$CE,MATCH($U36*1,ТУ!$CP:$CP,0),1),LEN(INDEX(ТУ!$CE:$CE,MATCH($U36*1,ТУ!$CP:$CP,0),1))-SEARCH(", ",INDEX(ТУ!$CE:$CE,MATCH($U36*1,ТУ!$CP:$CP,0),1),SEARCH(", ",INDEX(ТУ!$CE:$CE,MATCH($U36*1,ТУ!$CP:$CP,0),1))+1)-1),SEARCH(":",RIGHT(INDEX(ТУ!$CE:$CE,MATCH($U36*1,ТУ!$CP:$CP,0),1),LEN(INDEX(ТУ!$CE:$CE,MATCH($U36*1,ТУ!$CP:$CP,0),1))-SEARCH(", ",INDEX(ТУ!$CE:$CE,MATCH($U36*1,ТУ!$CP:$CP,0),1),SEARCH(", ",INDEX(ТУ!$CE:$CE,MATCH($U36*1,ТУ!$CP:$CP,0),1))+1)-1))-1),LEFT(INDEX(ТУ!$CE:$CE,MATCH($U36*1,ТУ!$CP:$CP,0),1),SEARCH(":",INDEX(ТУ!$CE:$CE,MATCH($U36*1,ТУ!$CP:$CP,0),1))-1)),""),IFERROR(IFERROR(LEFT(RIGHT(INDEX(УСПД!$M:$M,MATCH(IFERROR(1*LEFT(INDEX(ТУ!$CG:$CG,MATCH($U36*1,ТУ!$CP:$CP,0),1),SEARCH(" ",INDEX(ТУ!$CG:$CG,MATCH($U36*1,ТУ!$CP:$CP,0),1))-1),""),УСПД!$N:$N,0),1),LEN(INDEX(УСПД!$M:$M,MATCH(IFERROR(1*LEFT(INDEX(ТУ!$CG:$CG,MATCH($U36*1,ТУ!$CP:$CP,0),1),SEARCH(" ",INDEX(ТУ!$CG:$CG,MATCH($U36*1,ТУ!$CP:$CP,0),1))-1),""),УСПД!$N:$N,0),1))-SEARCH(", ",INDEX(УСПД!$M:$M,MATCH(IFERROR(1*LEFT(INDEX(ТУ!$CG:$CG,MATCH($U36*1,ТУ!$CP:$CP,0),1),SEARCH(" ",INDEX(ТУ!$CG:$CG,MATCH($U36*1,ТУ!$CP:$CP,0),1))-1),""),УСПД!$N:$N,0),1),SEARCH(", ",INDEX(УСПД!$M:$M,MATCH(IFERROR(1*LEFT(INDEX(ТУ!$CG:$CG,MATCH($U36*1,ТУ!$CP:$CP,0),1),SEARCH(" ",INDEX(ТУ!$CG:$CG,MATCH($U36*1,ТУ!$CP:$CP,0),1))-1),""),УСПД!$N:$N,0),1))+1)-1),SEARCH(":",RIGHT(INDEX(УСПД!$M:$M,MATCH(IFERROR(1*LEFT(INDEX(ТУ!$CG:$CG,MATCH($U36*1,ТУ!$CP:$CP,0),1),SEARCH(" ",INDEX(ТУ!$CG:$CG,MATCH($U36*1,ТУ!$CP:$CP,0),1))-1),""),УСПД!$N:$N,0),1),LEN(INDEX(УСПД!$M:$M,MATCH(IFERROR(1*LEFT(INDEX(ТУ!$CG:$CG,MATCH($U36*1,ТУ!$CP:$CP,0),1),SEARCH(" ",INDEX(ТУ!$CG:$CG,MATCH($U36*1,ТУ!$CP:$CP,0),1))-1),""),УСПД!$N:$N,0),1))-SEARCH(", ",INDEX(УСПД!$M:$M,MATCH(IFERROR(1*LEFT(INDEX(ТУ!$CG:$CG,MATCH($U36*1,ТУ!$CP:$CP,0),1),SEARCH(" ",INDEX(ТУ!$CG:$CG,MATCH($U36*1,ТУ!$CP:$CP,0),1))-1),""),УСПД!$N:$N,0),1),SEARCH(", ",INDEX(УСПД!$M:$M,MATCH(IFERROR(1*LEFT(INDEX(ТУ!$CG:$CG,MATCH($U36*1,ТУ!$CP:$CP,0),1),SEARCH(" ",INDEX(ТУ!$CG:$CG,MATCH($U36*1,ТУ!$CP:$CP,0),1))-1),""),УСПД!$N:$N,0),1))+1)-1))-1),LEFT(INDEX(УСПД!$M:$M,MATCH(IFERROR(1*LEFT(INDEX(ТУ!$CG:$CG,MATCH($U36*1,ТУ!$CP:$CP,0),1),SEARCH(" ",INDEX(ТУ!$CG:$CG,MATCH($U36*1,ТУ!$CP:$CP,0),1))-1),""),УСПД!$N:$N,0),1),SEARCH(":",INDEX(УСПД!$M:$M,MATCH(IFERROR(1*LEFT(INDEX(ТУ!$CG:$CG,MATCH($U36*1,ТУ!$CP:$CP,0),1),SEARCH(" ",INDEX(ТУ!$CG:$CG,MATCH($U36*1,ТУ!$CP:$CP,0),1))-1),""),УСПД!$N:$N,0),1))-1)),""))</f>
        <v>10.79.205.164</v>
      </c>
      <c r="BC36" s="155" t="str">
        <f>INDEX(ТУ!$AF:$AF,MATCH($U36*1,ТУ!$CP:$CP,0),1)</f>
        <v>РП-20024 ОАО «Царицыно»</v>
      </c>
      <c r="BD36" s="155">
        <f>INDEX(ТУ!$X:$X,MATCH($U36*1,ТУ!$CP:$CP,0),1)</f>
        <v>0</v>
      </c>
      <c r="BE36" s="155" t="str">
        <f>INDEX(ТУ!$CL:$CL,MATCH($U36*1,ТУ!$CP:$CP,0),1)</f>
        <v>Тех.учет</v>
      </c>
      <c r="BF36" s="147" t="str">
        <f>IFERROR(INDEX(естьАЦ!$A:$A,MATCH($U36*1,естьАЦ!$A:$A,0),1),"нет в АЦ")</f>
        <v>нет в АЦ</v>
      </c>
    </row>
    <row r="37" spans="1:58" ht="15" x14ac:dyDescent="0.25">
      <c r="A37" s="55">
        <f>3</f>
        <v>3</v>
      </c>
      <c r="B37" s="42" t="str">
        <f>IFERROR(IFERROR(INDEX(Справочники!$A$2:$P$79,MATCH(INDEX(ТУ!$E:$E,MATCH($U37*1,ТУ!$CP:$CP,0),1),Справочники!$P$2:$P$79,0),2),INDEX(Справочники!$A$2:$P$79,MATCH((INDEX(ТУ!$E:$E,MATCH($U37*1,ТУ!$CP:$CP,0),1))*1,Справочники!$P$2:$P$79,0),2)),"")</f>
        <v>04 р-н МКС (ЮОРУПЭ)</v>
      </c>
      <c r="C37" s="46" t="str">
        <f>IFERROR(TRIM(LEFT(INDEX(ТУ!$AF:$AF,MATCH($U37*1,ТУ!$CP:$CP,0),1),SEARCH("-",INDEX(ТУ!$AF:$AF,MATCH($U37*1,ТУ!$CP:$CP,0),1))-1)),IFERROR(LEFT(INDEX(ТУ!$X:$X,MATCH($U37*1,ТУ!$CP:$CP,0),1),SEARCH("-",INDEX(ТУ!$X:$X,MATCH($U37*1,ТУ!$CP:$CP,0),1))-1),"ТП"))</f>
        <v>ТП</v>
      </c>
      <c r="D37" s="47" t="str">
        <f>IF(TRIM(IF(ISNUMBER((IFERROR(RIGHT(INDEX(ТУ!$AF:$AF,MATCH($U37*1,ТУ!$CP:$CP,0),1),LEN(INDEX(ТУ!$AF:$AF,MATCH($U37*1,ТУ!$CP:$CP,0),1))-SEARCH("-",INDEX(ТУ!$AF:$AF,MATCH($U37*1,ТУ!$CP:$CP,0),1))),INDEX(ТУ!$AF:$AF,MATCH($U37*1,ТУ!$CP:$CP,0),1)))*1),IFERROR(RIGHT(INDEX(ТУ!$AF:$AF,MATCH($U37*1,ТУ!$CP:$CP,0),1),LEN(INDEX(ТУ!$AF:$AF,MATCH($U37*1,ТУ!$CP:$CP,0),1))-SEARCH("-",INDEX(ТУ!$AF:$AF,MATCH($U37*1,ТУ!$CP:$CP,0),1))),INDEX(ТУ!$AF:$AF,MATCH($U37*1,ТУ!$CP:$CP,0),1)),""))="",TRIM(IF(ISNUMBER((IFERROR(RIGHT(INDEX(ТУ!$X:$X,MATCH($U37*1,ТУ!$CP:$CP,0),1),LEN(INDEX(ТУ!$X:$X,MATCH($U37*1,ТУ!$CP:$CP,0),1))-SEARCH("-",INDEX(ТУ!$X:$X,MATCH($U37*1,ТУ!$CP:$CP,0),1))),INDEX(ТУ!$X:$X,MATCH($U37*1,ТУ!$CP:$CP,0),1)))*1),IFERROR(RIGHT(INDEX(ТУ!$X:$X,MATCH($U37*1,ТУ!$CP:$CP,0),1),LEN(INDEX(ТУ!$X:$X,MATCH($U37*1,ТУ!$CP:$CP,0),1))-SEARCH("-",INDEX(ТУ!$X:$X,MATCH($U37*1,ТУ!$CP:$CP,0),1))),INDEX(ТУ!$X:$X,MATCH($U37*1,ТУ!$CP:$CP,0),1)),"")),TRIM(IF(ISNUMBER((IFERROR(RIGHT(INDEX(ТУ!$AF:$AF,MATCH($U37*1,ТУ!$CP:$CP,0),1),LEN(INDEX(ТУ!$AF:$AF,MATCH($U37*1,ТУ!$CP:$CP,0),1))-SEARCH("-",INDEX(ТУ!$AF:$AF,MATCH($U37*1,ТУ!$CP:$CP,0),1))),INDEX(ТУ!$AF:$AF,MATCH($U37*1,ТУ!$CP:$CP,0),1)))*1),IFERROR(RIGHT(INDEX(ТУ!$AF:$AF,MATCH($U37*1,ТУ!$CP:$CP,0),1),LEN(INDEX(ТУ!$AF:$AF,MATCH($U37*1,ТУ!$CP:$CP,0),1))-SEARCH("-",INDEX(ТУ!$AF:$AF,MATCH($U37*1,ТУ!$CP:$CP,0),1))),INDEX(ТУ!$AF:$AF,MATCH($U37*1,ТУ!$CP:$CP,0),1)),"")))</f>
        <v>21832</v>
      </c>
      <c r="E37" s="25" t="str">
        <f t="shared" si="2"/>
        <v>МКС</v>
      </c>
      <c r="F37" s="20">
        <f t="shared" si="3"/>
        <v>78</v>
      </c>
      <c r="G37" s="21">
        <f t="shared" si="4"/>
        <v>5</v>
      </c>
      <c r="H37" s="25" t="str">
        <f t="shared" si="5"/>
        <v>ТП-21832</v>
      </c>
      <c r="I37" s="25" t="str">
        <f t="shared" si="6"/>
        <v>78521832</v>
      </c>
      <c r="J37" s="42" t="str">
        <f>INDEX(Справочники!$M:$M,MATCH(IF(INDEX(ТУ!$BO:$BO,MATCH($U37*1,ТУ!$CP:$CP,0),1)=1,1,INDEX(ТУ!$BO:$BO,MATCH($U37*1,ТУ!$CP:$CP,0),1)*100),Справочники!$N:$N,0),1)</f>
        <v>0.4 кВ</v>
      </c>
      <c r="K37" s="40">
        <f>1</f>
        <v>1</v>
      </c>
      <c r="L37" s="20" t="str">
        <f t="shared" si="7"/>
        <v>СШ-1</v>
      </c>
      <c r="M37" s="20">
        <f t="shared" si="8"/>
        <v>1</v>
      </c>
      <c r="N37" s="40"/>
      <c r="O37" s="56" t="str">
        <f t="shared" si="9"/>
        <v>Ввод-1-1</v>
      </c>
      <c r="P37" s="57" t="str">
        <f>IFERROR(IF(INDEX(ТУ!$AO:$AO,MATCH($U37*1,ТУ!$CP:$CP,0),1)=0,"",INDEX(ТУ!$AO:$AO,MATCH($U37*1,ТУ!$CP:$CP,0),1)),"")</f>
        <v>вв 104746 Б</v>
      </c>
      <c r="Q37" s="40">
        <f>IFERROR(IF(INDEX(ТУ!$BN:$BN,MATCH($U37*1,ТУ!$CP:$CP,0),1)=1,1,INDEX(ТУ!$BN:$BN,MATCH($U37*1,ТУ!$CP:$CP,0),1)*5),"")</f>
        <v>1</v>
      </c>
      <c r="R37" s="25">
        <f t="shared" si="10"/>
        <v>1</v>
      </c>
      <c r="S37" s="25">
        <f t="shared" si="11"/>
        <v>1</v>
      </c>
      <c r="T37" s="25">
        <f t="shared" si="12"/>
        <v>1</v>
      </c>
      <c r="U37" s="105" t="s">
        <v>845</v>
      </c>
      <c r="V37" s="43">
        <f>IF(INDEX(ТУ!$BH:$BH,MATCH($U37*1,ТУ!$CP:$CP,0),1)=0,"",INDEX(ТУ!$BH:$BH,MATCH($U37*1,ТУ!$CP:$CP,0),1))</f>
        <v>45672</v>
      </c>
      <c r="W37" s="43" t="str">
        <f>IF(INDEX(ТУ!$BI:$BI,MATCH($U37*1,ТУ!$CP:$CP,0),1)=0,"",INDEX(ТУ!$BI:$BI,MATCH($U37*1,ТУ!$CP:$CP,0),1))</f>
        <v>01.01.2024</v>
      </c>
      <c r="X37" s="58" t="str">
        <f t="shared" si="13"/>
        <v>CE-308/208 СПОДЭС</v>
      </c>
      <c r="Y37" s="25">
        <f t="shared" si="14"/>
        <v>39</v>
      </c>
      <c r="Z37" s="42" t="str">
        <f t="shared" si="15"/>
        <v>СПОДЭС (общий)</v>
      </c>
      <c r="AA37" s="25">
        <f t="shared" si="16"/>
        <v>11</v>
      </c>
      <c r="AB37" s="40" t="str">
        <f>IF(ISNUMBER(SEARCH("Приборы с поддержкой протокола СПОДЭС - Нартис-И300 (СПОДЭС)",INDEX(ТУ!$BD:$BD,MATCH($U37*1,ТУ!$CP:$CP,0),1))),"Нартис-И300",
IF(ISNUMBER(SEARCH("Приборы с поддержкой протокола СПОДЭС - Меркурий 234 (СПОДЭС)",INDEX(ТУ!$BD:$BD,MATCH($U37*1,ТУ!$CP:$CP,0),1))),"Меркурий 234 (СПОДЭС)",
IF(ISNUMBER(SEARCH("Приборы с поддержкой протокола СПОДЭС - Нартис-300 (СПОДЭС)",INDEX(ТУ!$BD:$BD,MATCH($U37*1,ТУ!$CP:$CP,0),1))),"Нартис-300",
IF(ISNUMBER(SEARCH("Инкотекс - Меркурий 234",INDEX(ТУ!$BD:$BD,MATCH($U37*1,ТУ!$CP:$CP,0),1))),"Меркурий 234",
IF(ISNUMBER(SEARCH("Инкотекс - Меркурий 206",INDEX(ТУ!$BD:$BD,MATCH($U37*1,ТУ!$CP:$CP,0),1))),"Меркурий 206",
IF(ISNUMBER(SEARCH("Приборы с поддержкой протокола СПОДЭС - Универсальный счетчик СПОДЭС 2 трехфазный",INDEX(ТУ!$BD:$BD,MATCH($U37*1,ТУ!$CP:$CP,0),1))),"Нартис-И300",
IF(ISNUMBER(SEARCH("Приборы с поддержкой протокола СПОДЭС - Универсальный счетчик СПОДЭС 2 однофазный",INDEX(ТУ!$BD:$BD,MATCH($U37*1,ТУ!$CP:$CP,0),1))),"Нартис-И100",
IF(ISNUMBER(SEARCH("Приборы с поддержкой протокола СПОДЭС - Нартис-И100 (СПОДЭС)",INDEX(ТУ!$BD:$BD,MATCH($U37*1,ТУ!$CP:$CP,0),1))),"Нартис-И100",
IF(ISNUMBER(SEARCH("Приборы с поддержкой протокола СПОДЭС - СЕ308 (СПОДЭС)",INDEX(ТУ!$BD:$BD,MATCH($U37*1,ТУ!$CP:$CP,0),1))),"СЕ308 (СПОДЭС)",
IF(ISNUMBER(SEARCH("Приборы с поддержкой протокола СПОДЭС - СЕ207 (СПОДЭС)",INDEX(ТУ!$BD:$BD,MATCH($U37*1,ТУ!$CP:$CP,0),1))),"СЕ207 (СПОДЭС)",
IF(ISNUMBER(SEARCH("Приборы с поддержкой протокола СПОДЭС - СТЭМ-300 (СПОДЭС)",INDEX(ТУ!$BD:$BD,MATCH($U37*1,ТУ!$CP:$CP,0),1))),"СТЭМ-300 (СПОДЭС)",
IF(ISNUMBER(SEARCH("ТехноЭнерго - ТЕ3000",INDEX(ТУ!$BD:$BD,MATCH($U37*1,ТУ!$CP:$CP,0),1))),"ТЕ3000",
IF(ISNUMBER(SEARCH("НЗиФ - СЭТ-4ТМ",INDEX(ТУ!$BD:$BD,MATCH($U37*1,ТУ!$CP:$CP,0),1))),"СЭТ-4ТМ",
INDEX(ТУ!$BD:$BD,MATCH($U37*1,ТУ!$CP:$CP,0),1)
)))))))))))))</f>
        <v>СЕ207 (СПОДЭС)</v>
      </c>
      <c r="AC37" s="40" t="s">
        <v>2</v>
      </c>
      <c r="AD37" s="40" t="str">
        <f>IF(ISNUMBER(IFERROR(LEFT(IF(INDEX(ТУ!$CI:$CI,MATCH($U37*1,ТУ!$CP:$CP,0),1)=0,"",INDEX(ТУ!$CI:$CI,MATCH($U37*1,ТУ!$CP:$CP,0),1)),SEARCH(" ",IF(INDEX(ТУ!$CI:$CI,MATCH($U37*1,ТУ!$CP:$CP,0),1)=0,"",INDEX(ТУ!$CI:$CI,MATCH($U37*1,ТУ!$CP:$CP,0),1)),1)-1),"")*1),IFERROR(LEFT(IF(INDEX(ТУ!$CI:$CI,MATCH($U37*1,ТУ!$CP:$CP,0),1)=0,"",INDEX(ТУ!$CI:$CI,MATCH($U37*1,ТУ!$CP:$CP,0),1)),SEARCH(" ",IF(INDEX(ТУ!$CI:$CI,MATCH($U37*1,ТУ!$CP:$CP,0),1)=0,"",INDEX(ТУ!$CI:$CI,MATCH($U37*1,ТУ!$CP:$CP,0),1)),1)-1),""),"")</f>
        <v/>
      </c>
      <c r="AE37" s="40">
        <f>IF(INDEX(ТУ!$CB:$CB,MATCH($U37*1,ТУ!$CP:$CP,0),1)=0,INDEX(Adr!$B:$B,MATCH($U37*1,Adr!$C:$C,0),1),INDEX(ТУ!$CB:$CB,MATCH($U37*1,ТУ!$CP:$CP,0),1))</f>
        <v>16</v>
      </c>
      <c r="AF37" s="45" t="str">
        <f>IF(INDEX(ТУ!$CD:$CD,MATCH($U37*1,ТУ!$CP:$CP,0),1)=0,"",INDEX(ТУ!$CD:$CD,MATCH($U37*1,ТУ!$CP:$CP,0),1))</f>
        <v>1234567812345678</v>
      </c>
      <c r="AG37" s="45">
        <f>0</f>
        <v>0</v>
      </c>
      <c r="AH37" s="26">
        <f t="shared" si="17"/>
        <v>78</v>
      </c>
      <c r="AI37" s="20" t="str">
        <f t="shared" si="18"/>
        <v>785218321</v>
      </c>
      <c r="AJ37" s="41" t="str">
        <f t="shared" si="1"/>
        <v>10.210.178.162</v>
      </c>
      <c r="AK37" s="41" t="str">
        <f>IF($AP37="",IFERROR(IFERROR(LEFT(RIGHT(INDEX(ТУ!$CE:$CE,MATCH($U37*1,ТУ!$CP:$CP,0),1),LEN(INDEX(ТУ!$CE:$CE,MATCH($U37*1,ТУ!$CP:$CP,0),1))-SEARCH(":",INDEX(ТУ!$CE:$CE,MATCH($U37*1,ТУ!$CP:$CP,0),1))),SEARCH("/",RIGHT(INDEX(ТУ!$CE:$CE,MATCH($U37*1,ТУ!$CP:$CP,0),1),LEN(INDEX(ТУ!$CE:$CE,MATCH($U37*1,ТУ!$CP:$CP,0),1))-SEARCH(":",INDEX(ТУ!$CE:$CE,MATCH($U37*1,ТУ!$CP:$CP,0),1))))-1), RIGHT(INDEX(ТУ!$CE:$CE,MATCH($U37*1,ТУ!$CP:$CP,0),1),LEN(INDEX(ТУ!$CE:$CE,MATCH($U37*1,ТУ!$CP:$CP,0),1))-SEARCH(":",INDEX(ТУ!$CE:$CE,MATCH($U37*1,ТУ!$CP:$CP,0),1)))), ""),IFERROR(IFERROR(LEFT(RIGHT(INDEX(УСПД!$M:$M,MATCH(IFERROR(1*LEFT(INDEX(ТУ!$CG:$CG,MATCH($U37*1,ТУ!$CP:$CP,0),1),SEARCH(" ",INDEX(ТУ!$CG:$CG,MATCH($U37*1,ТУ!$CP:$CP,0),1))-1),""),УСПД!$N:$N,0),1),LEN(INDEX(УСПД!$M:$M,MATCH(IFERROR(1*LEFT(INDEX(ТУ!$CG:$CG,MATCH($U37*1,ТУ!$CP:$CP,0),1),SEARCH(" ",INDEX(ТУ!$CG:$CG,MATCH($U37*1,ТУ!$CP:$CP,0),1))-1),""),УСПД!$N:$N,0),1))-SEARCH(":",INDEX(УСПД!$M:$M,MATCH(IFERROR(1*LEFT(INDEX(ТУ!$CG:$CG,MATCH($U37*1,ТУ!$CP:$CP,0),1),SEARCH(" ",INDEX(ТУ!$CG:$CG,MATCH($U37*1,ТУ!$CP:$CP,0),1))-1),""),УСПД!$N:$N,0),1))),SEARCH("/",RIGHT(INDEX(УСПД!$M:$M,MATCH(IFERROR(1*LEFT(INDEX(ТУ!$CG:$CG,MATCH($U37*1,ТУ!$CP:$CP,0),1),SEARCH(" ",INDEX(ТУ!$CG:$CG,MATCH($U37*1,ТУ!$CP:$CP,0),1))-1),""),УСПД!$N:$N,0),1),LEN(INDEX(УСПД!$M:$M,MATCH(IFERROR(1*LEFT(INDEX(ТУ!$CG:$CG,MATCH($U37*1,ТУ!$CP:$CP,0),1),SEARCH(" ",INDEX(ТУ!$CG:$CG,MATCH($U37*1,ТУ!$CP:$CP,0),1))-1),""),УСПД!$N:$N,0),1))-SEARCH(":",INDEX(УСПД!$M:$M,MATCH(IFERROR(1*LEFT(INDEX(ТУ!$CG:$CG,MATCH($U37*1,ТУ!$CP:$CP,0),1),SEARCH(" ",INDEX(ТУ!$CG:$CG,MATCH($U37*1,ТУ!$CP:$CP,0),1))-1),""),УСПД!$N:$N,0),1))))-1), RIGHT(INDEX(УСПД!$M:$M,MATCH(IFERROR(1*LEFT(INDEX(ТУ!$CG:$CG,MATCH($U37*1,ТУ!$CP:$CP,0),1),SEARCH(" ",INDEX(ТУ!$CG:$CG,MATCH($U37*1,ТУ!$CP:$CP,0),1))-1),""),УСПД!$N:$N,0),1),LEN(INDEX(УСПД!$M:$M,MATCH(IFERROR(1*LEFT(INDEX(ТУ!$CG:$CG,MATCH($U37*1,ТУ!$CP:$CP,0),1),SEARCH(" ",INDEX(ТУ!$CG:$CG,MATCH($U37*1,ТУ!$CP:$CP,0),1))-1),""),УСПД!$N:$N,0),1))-SEARCH(":",INDEX(УСПД!$M:$M,MATCH(IFERROR(1*LEFT(INDEX(ТУ!$CG:$CG,MATCH($U37*1,ТУ!$CP:$CP,0),1),SEARCH(" ",INDEX(ТУ!$CG:$CG,MATCH($U37*1,ТУ!$CP:$CP,0),1))-1),""),УСПД!$N:$N,0),1)))), ""))</f>
        <v>4001</v>
      </c>
      <c r="AL37" s="41"/>
      <c r="AM37" s="57" t="str">
        <f>IFERROR(IFERROR(INDEX(Tel!$B:$B,MATCH($AJ37,Tel!$E:$E,0),1),INDEX(Tel!$B:$B,MATCH($AJ37,Tel!$D:$D,0),1)),"")</f>
        <v/>
      </c>
      <c r="AN37" s="59" t="str">
        <f>IF(ISNUMBER(SEARCH("ТОПАЗ - ТОПАЗ УСПД",IFERROR(RIGHT(LEFT(INDEX(ТУ!$CG:$CG,MATCH($U37*1,ТУ!$CP:$CP,0),1),SEARCH(")",INDEX(ТУ!$CG:$CG,MATCH($U37*1,ТУ!$CP:$CP,0),1))-1),LEN(LEFT(INDEX(ТУ!$CG:$CG,MATCH($U37*1,ТУ!$CP:$CP,0),1),SEARCH(")",INDEX(ТУ!$CG:$CG,MATCH($U37*1,ТУ!$CP:$CP,0),1))-1))-SEARCH("(",INDEX(ТУ!$CG:$CG,MATCH($U37*1,ТУ!$CP:$CP,0),1))),""),1)),"RTU-327",
IF(ISNUMBER(SEARCH("TELEOFIS",$AP37)),"Модем",
""))</f>
        <v/>
      </c>
      <c r="AO37" s="27" t="str">
        <f t="shared" si="24"/>
        <v/>
      </c>
      <c r="AP37" s="57" t="str">
        <f>IF(ISNUMBER(SEARCH("Миландр - Милур GSM/GPRS модем",IFERROR(RIGHT(LEFT(INDEX(ТУ!$CG:$CG,MATCH($U37*1,ТУ!$CP:$CP,0),1),SEARCH(")",INDEX(ТУ!$CG:$CG,MATCH($U37*1,ТУ!$CP:$CP,0),1))-1),LEN(LEFT(INDEX(ТУ!$CG:$CG,MATCH($U37*1,ТУ!$CP:$CP,0),1),SEARCH(")",INDEX(ТУ!$CG:$CG,MATCH($U37*1,ТУ!$CP:$CP,0),1))-1))-SEARCH("(",INDEX(ТУ!$CG:$CG,MATCH($U37*1,ТУ!$CP:$CP,0),1))),""),1)), "TELEOFIS WRX708-L4",IFERROR(RIGHT(LEFT(INDEX(ТУ!$CG:$CG,MATCH($U37*1,ТУ!$CP:$CP,0),1),SEARCH(")",INDEX(ТУ!$CG:$CG,MATCH($U37*1,ТУ!$CP:$CP,0),1))-1),LEN(LEFT(INDEX(ТУ!$CG:$CG,MATCH($U37*1,ТУ!$CP:$CP,0),1),SEARCH(")",INDEX(ТУ!$CG:$CG,MATCH($U37*1,ТУ!$CP:$CP,0),1))-1))-SEARCH("(",INDEX(ТУ!$CG:$CG,MATCH($U37*1,ТУ!$CP:$CP,0),1))),""))</f>
        <v/>
      </c>
      <c r="AQ37" s="57" t="str">
        <f>IFERROR(IF(INDEX(УСПД!$K:$K,MATCH($AS37*1,УСПД!$N:$N,0),1)=0,"",INDEX(УСПД!$K:$K,MATCH($AS37*1,УСПД!$N:$N,0),1)),"")</f>
        <v/>
      </c>
      <c r="AR37" s="57" t="str">
        <f>IFERROR(IF(INDEX(УСПД!$L:$L,MATCH($AS37*1,УСПД!$N:$N,0),1)=0,"",INDEX(УСПД!$L:$L,MATCH($AS37*1,УСПД!$N:$N,0),1)),"")</f>
        <v/>
      </c>
      <c r="AS37" s="60" t="str">
        <f>IFERROR(LEFT(INDEX(ТУ!$CG:$CG,MATCH($U37*1,ТУ!$CP:$CP,0),1),SEARCH(" ",INDEX(ТУ!$CG:$CG,MATCH($U37*1,ТУ!$CP:$CP,0),1))-1),"")</f>
        <v/>
      </c>
      <c r="AT37" s="59" t="s">
        <v>360</v>
      </c>
      <c r="AU37" s="59">
        <f>3</f>
        <v>3</v>
      </c>
      <c r="AV37" s="59" t="s">
        <v>368</v>
      </c>
      <c r="AW37" s="149">
        <f t="shared" si="19"/>
        <v>56</v>
      </c>
      <c r="AX37" s="149">
        <f t="shared" si="20"/>
        <v>38</v>
      </c>
      <c r="AY37" s="149">
        <f t="shared" si="21"/>
        <v>19</v>
      </c>
      <c r="AZ37" s="149" t="str">
        <f t="shared" si="22"/>
        <v/>
      </c>
      <c r="BA37" s="149">
        <f t="shared" si="23"/>
        <v>1</v>
      </c>
      <c r="BB37" s="154" t="str">
        <f>IF($AP37="",IFERROR(IFERROR(LEFT(RIGHT(INDEX(ТУ!$CE:$CE,MATCH($U37*1,ТУ!$CP:$CP,0),1),LEN(INDEX(ТУ!$CE:$CE,MATCH($U37*1,ТУ!$CP:$CP,0),1))-SEARCH(", ",INDEX(ТУ!$CE:$CE,MATCH($U37*1,ТУ!$CP:$CP,0),1),SEARCH(", ",INDEX(ТУ!$CE:$CE,MATCH($U37*1,ТУ!$CP:$CP,0),1))+1)-1),SEARCH(":",RIGHT(INDEX(ТУ!$CE:$CE,MATCH($U37*1,ТУ!$CP:$CP,0),1),LEN(INDEX(ТУ!$CE:$CE,MATCH($U37*1,ТУ!$CP:$CP,0),1))-SEARCH(", ",INDEX(ТУ!$CE:$CE,MATCH($U37*1,ТУ!$CP:$CP,0),1),SEARCH(", ",INDEX(ТУ!$CE:$CE,MATCH($U37*1,ТУ!$CP:$CP,0),1))+1)-1))-1),LEFT(INDEX(ТУ!$CE:$CE,MATCH($U37*1,ТУ!$CP:$CP,0),1),SEARCH(":",INDEX(ТУ!$CE:$CE,MATCH($U37*1,ТУ!$CP:$CP,0),1))-1)),""),IFERROR(IFERROR(LEFT(RIGHT(INDEX(УСПД!$M:$M,MATCH(IFERROR(1*LEFT(INDEX(ТУ!$CG:$CG,MATCH($U37*1,ТУ!$CP:$CP,0),1),SEARCH(" ",INDEX(ТУ!$CG:$CG,MATCH($U37*1,ТУ!$CP:$CP,0),1))-1),""),УСПД!$N:$N,0),1),LEN(INDEX(УСПД!$M:$M,MATCH(IFERROR(1*LEFT(INDEX(ТУ!$CG:$CG,MATCH($U37*1,ТУ!$CP:$CP,0),1),SEARCH(" ",INDEX(ТУ!$CG:$CG,MATCH($U37*1,ТУ!$CP:$CP,0),1))-1),""),УСПД!$N:$N,0),1))-SEARCH(", ",INDEX(УСПД!$M:$M,MATCH(IFERROR(1*LEFT(INDEX(ТУ!$CG:$CG,MATCH($U37*1,ТУ!$CP:$CP,0),1),SEARCH(" ",INDEX(ТУ!$CG:$CG,MATCH($U37*1,ТУ!$CP:$CP,0),1))-1),""),УСПД!$N:$N,0),1),SEARCH(", ",INDEX(УСПД!$M:$M,MATCH(IFERROR(1*LEFT(INDEX(ТУ!$CG:$CG,MATCH($U37*1,ТУ!$CP:$CP,0),1),SEARCH(" ",INDEX(ТУ!$CG:$CG,MATCH($U37*1,ТУ!$CP:$CP,0),1))-1),""),УСПД!$N:$N,0),1))+1)-1),SEARCH(":",RIGHT(INDEX(УСПД!$M:$M,MATCH(IFERROR(1*LEFT(INDEX(ТУ!$CG:$CG,MATCH($U37*1,ТУ!$CP:$CP,0),1),SEARCH(" ",INDEX(ТУ!$CG:$CG,MATCH($U37*1,ТУ!$CP:$CP,0),1))-1),""),УСПД!$N:$N,0),1),LEN(INDEX(УСПД!$M:$M,MATCH(IFERROR(1*LEFT(INDEX(ТУ!$CG:$CG,MATCH($U37*1,ТУ!$CP:$CP,0),1),SEARCH(" ",INDEX(ТУ!$CG:$CG,MATCH($U37*1,ТУ!$CP:$CP,0),1))-1),""),УСПД!$N:$N,0),1))-SEARCH(", ",INDEX(УСПД!$M:$M,MATCH(IFERROR(1*LEFT(INDEX(ТУ!$CG:$CG,MATCH($U37*1,ТУ!$CP:$CP,0),1),SEARCH(" ",INDEX(ТУ!$CG:$CG,MATCH($U37*1,ТУ!$CP:$CP,0),1))-1),""),УСПД!$N:$N,0),1),SEARCH(", ",INDEX(УСПД!$M:$M,MATCH(IFERROR(1*LEFT(INDEX(ТУ!$CG:$CG,MATCH($U37*1,ТУ!$CP:$CP,0),1),SEARCH(" ",INDEX(ТУ!$CG:$CG,MATCH($U37*1,ТУ!$CP:$CP,0),1))-1),""),УСПД!$N:$N,0),1))+1)-1))-1),LEFT(INDEX(УСПД!$M:$M,MATCH(IFERROR(1*LEFT(INDEX(ТУ!$CG:$CG,MATCH($U37*1,ТУ!$CP:$CP,0),1),SEARCH(" ",INDEX(ТУ!$CG:$CG,MATCH($U37*1,ТУ!$CP:$CP,0),1))-1),""),УСПД!$N:$N,0),1),SEARCH(":",INDEX(УСПД!$M:$M,MATCH(IFERROR(1*LEFT(INDEX(ТУ!$CG:$CG,MATCH($U37*1,ТУ!$CP:$CP,0),1),SEARCH(" ",INDEX(ТУ!$CG:$CG,MATCH($U37*1,ТУ!$CP:$CP,0),1))-1),""),УСПД!$N:$N,0),1))-1)),""))</f>
        <v>10.210.178.162</v>
      </c>
      <c r="BC37" s="155" t="str">
        <f>INDEX(ТУ!$AF:$AF,MATCH($U37*1,ТУ!$CP:$CP,0),1)</f>
        <v>ТП-21832</v>
      </c>
      <c r="BD37" s="155">
        <f>INDEX(ТУ!$X:$X,MATCH($U37*1,ТУ!$CP:$CP,0),1)</f>
        <v>0</v>
      </c>
      <c r="BE37" s="155">
        <f>INDEX(ТУ!$CL:$CL,MATCH($U37*1,ТУ!$CP:$CP,0),1)</f>
        <v>0</v>
      </c>
      <c r="BF37" s="147" t="str">
        <f>IFERROR(INDEX(естьАЦ!$A:$A,MATCH($U37*1,естьАЦ!$A:$A,0),1),"нет в АЦ")</f>
        <v>нет в АЦ</v>
      </c>
    </row>
    <row r="38" spans="1:58" ht="15" x14ac:dyDescent="0.25">
      <c r="A38" s="55">
        <f>3</f>
        <v>3</v>
      </c>
      <c r="B38" s="42" t="str">
        <f>IFERROR(IFERROR(INDEX(Справочники!$A$2:$P$79,MATCH(INDEX(ТУ!$E:$E,MATCH($U38*1,ТУ!$CP:$CP,0),1),Справочники!$P$2:$P$79,0),2),INDEX(Справочники!$A$2:$P$79,MATCH((INDEX(ТУ!$E:$E,MATCH($U38*1,ТУ!$CP:$CP,0),1))*1,Справочники!$P$2:$P$79,0),2)),"")</f>
        <v>07 р-н МКС (ЮВОРУПЭ)</v>
      </c>
      <c r="C38" s="46" t="str">
        <f>IFERROR(TRIM(LEFT(INDEX(ТУ!$AF:$AF,MATCH($U38*1,ТУ!$CP:$CP,0),1),SEARCH("-",INDEX(ТУ!$AF:$AF,MATCH($U38*1,ТУ!$CP:$CP,0),1))-1)),IFERROR(LEFT(INDEX(ТУ!$X:$X,MATCH($U38*1,ТУ!$CP:$CP,0),1),SEARCH("-",INDEX(ТУ!$X:$X,MATCH($U38*1,ТУ!$CP:$CP,0),1))-1),"ТП"))</f>
        <v>ТП</v>
      </c>
      <c r="D38" s="47" t="str">
        <f>IF(TRIM(IF(ISNUMBER((IFERROR(RIGHT(INDEX(ТУ!$AF:$AF,MATCH($U38*1,ТУ!$CP:$CP,0),1),LEN(INDEX(ТУ!$AF:$AF,MATCH($U38*1,ТУ!$CP:$CP,0),1))-SEARCH("-",INDEX(ТУ!$AF:$AF,MATCH($U38*1,ТУ!$CP:$CP,0),1))),INDEX(ТУ!$AF:$AF,MATCH($U38*1,ТУ!$CP:$CP,0),1)))*1),IFERROR(RIGHT(INDEX(ТУ!$AF:$AF,MATCH($U38*1,ТУ!$CP:$CP,0),1),LEN(INDEX(ТУ!$AF:$AF,MATCH($U38*1,ТУ!$CP:$CP,0),1))-SEARCH("-",INDEX(ТУ!$AF:$AF,MATCH($U38*1,ТУ!$CP:$CP,0),1))),INDEX(ТУ!$AF:$AF,MATCH($U38*1,ТУ!$CP:$CP,0),1)),""))="",TRIM(IF(ISNUMBER((IFERROR(RIGHT(INDEX(ТУ!$X:$X,MATCH($U38*1,ТУ!$CP:$CP,0),1),LEN(INDEX(ТУ!$X:$X,MATCH($U38*1,ТУ!$CP:$CP,0),1))-SEARCH("-",INDEX(ТУ!$X:$X,MATCH($U38*1,ТУ!$CP:$CP,0),1))),INDEX(ТУ!$X:$X,MATCH($U38*1,ТУ!$CP:$CP,0),1)))*1),IFERROR(RIGHT(INDEX(ТУ!$X:$X,MATCH($U38*1,ТУ!$CP:$CP,0),1),LEN(INDEX(ТУ!$X:$X,MATCH($U38*1,ТУ!$CP:$CP,0),1))-SEARCH("-",INDEX(ТУ!$X:$X,MATCH($U38*1,ТУ!$CP:$CP,0),1))),INDEX(ТУ!$X:$X,MATCH($U38*1,ТУ!$CP:$CP,0),1)),"")),TRIM(IF(ISNUMBER((IFERROR(RIGHT(INDEX(ТУ!$AF:$AF,MATCH($U38*1,ТУ!$CP:$CP,0),1),LEN(INDEX(ТУ!$AF:$AF,MATCH($U38*1,ТУ!$CP:$CP,0),1))-SEARCH("-",INDEX(ТУ!$AF:$AF,MATCH($U38*1,ТУ!$CP:$CP,0),1))),INDEX(ТУ!$AF:$AF,MATCH($U38*1,ТУ!$CP:$CP,0),1)))*1),IFERROR(RIGHT(INDEX(ТУ!$AF:$AF,MATCH($U38*1,ТУ!$CP:$CP,0),1),LEN(INDEX(ТУ!$AF:$AF,MATCH($U38*1,ТУ!$CP:$CP,0),1))-SEARCH("-",INDEX(ТУ!$AF:$AF,MATCH($U38*1,ТУ!$CP:$CP,0),1))),INDEX(ТУ!$AF:$AF,MATCH($U38*1,ТУ!$CP:$CP,0),1)),"")))</f>
        <v>638</v>
      </c>
      <c r="E38" s="25" t="str">
        <f t="shared" si="2"/>
        <v>МКС</v>
      </c>
      <c r="F38" s="20">
        <f t="shared" si="3"/>
        <v>81</v>
      </c>
      <c r="G38" s="21">
        <f t="shared" si="4"/>
        <v>5</v>
      </c>
      <c r="H38" s="25" t="str">
        <f t="shared" si="5"/>
        <v>ТП-638</v>
      </c>
      <c r="I38" s="25" t="str">
        <f t="shared" si="6"/>
        <v>81500638</v>
      </c>
      <c r="J38" s="42" t="str">
        <f>INDEX(Справочники!$M:$M,MATCH(IF(INDEX(ТУ!$BO:$BO,MATCH($U38*1,ТУ!$CP:$CP,0),1)=1,1,INDEX(ТУ!$BO:$BO,MATCH($U38*1,ТУ!$CP:$CP,0),1)*100),Справочники!$N:$N,0),1)</f>
        <v>0.4 кВ</v>
      </c>
      <c r="K38" s="40">
        <f>1</f>
        <v>1</v>
      </c>
      <c r="L38" s="20" t="str">
        <f t="shared" si="7"/>
        <v>СШ-1</v>
      </c>
      <c r="M38" s="20">
        <f t="shared" si="8"/>
        <v>1</v>
      </c>
      <c r="N38" s="40"/>
      <c r="O38" s="56" t="str">
        <f t="shared" si="9"/>
        <v>Ввод-1-1</v>
      </c>
      <c r="P38" s="57" t="str">
        <f>IFERROR(IF(INDEX(ТУ!$AO:$AO,MATCH($U38*1,ТУ!$CP:$CP,0),1)=0,"",INDEX(ТУ!$AO:$AO,MATCH($U38*1,ТУ!$CP:$CP,0),1)),"")</f>
        <v>вв 67197 Б</v>
      </c>
      <c r="Q38" s="40">
        <f>IFERROR(IF(INDEX(ТУ!$BN:$BN,MATCH($U38*1,ТУ!$CP:$CP,0),1)=1,1,INDEX(ТУ!$BN:$BN,MATCH($U38*1,ТУ!$CP:$CP,0),1)*5),"")</f>
        <v>1</v>
      </c>
      <c r="R38" s="25">
        <f t="shared" si="10"/>
        <v>1</v>
      </c>
      <c r="S38" s="25">
        <f t="shared" si="11"/>
        <v>1</v>
      </c>
      <c r="T38" s="25">
        <f t="shared" si="12"/>
        <v>1</v>
      </c>
      <c r="U38" s="105" t="s">
        <v>860</v>
      </c>
      <c r="V38" s="43">
        <f>IF(INDEX(ТУ!$BH:$BH,MATCH($U38*1,ТУ!$CP:$CP,0),1)=0,"",INDEX(ТУ!$BH:$BH,MATCH($U38*1,ТУ!$CP:$CP,0),1))</f>
        <v>44714</v>
      </c>
      <c r="W38" s="43" t="str">
        <f>IF(INDEX(ТУ!$BI:$BI,MATCH($U38*1,ТУ!$CP:$CP,0),1)=0,"",INDEX(ТУ!$BI:$BI,MATCH($U38*1,ТУ!$CP:$CP,0),1))</f>
        <v>31.01.2022</v>
      </c>
      <c r="X38" s="58" t="str">
        <f t="shared" si="13"/>
        <v>DLMS счетчик</v>
      </c>
      <c r="Y38" s="25">
        <f t="shared" si="14"/>
        <v>34</v>
      </c>
      <c r="Z38" s="42" t="str">
        <f t="shared" si="15"/>
        <v>СТЭМ-300</v>
      </c>
      <c r="AA38" s="25">
        <f t="shared" si="16"/>
        <v>130</v>
      </c>
      <c r="AB38" s="40" t="str">
        <f>IF(ISNUMBER(SEARCH("Приборы с поддержкой протокола СПОДЭС - Нартис-И300 (СПОДЭС)",INDEX(ТУ!$BD:$BD,MATCH($U38*1,ТУ!$CP:$CP,0),1))),"Нартис-И300",
IF(ISNUMBER(SEARCH("Приборы с поддержкой протокола СПОДЭС - Меркурий 234 (СПОДЭС)",INDEX(ТУ!$BD:$BD,MATCH($U38*1,ТУ!$CP:$CP,0),1))),"Меркурий 234 (СПОДЭС)",
IF(ISNUMBER(SEARCH("Приборы с поддержкой протокола СПОДЭС - Нартис-300 (СПОДЭС)",INDEX(ТУ!$BD:$BD,MATCH($U38*1,ТУ!$CP:$CP,0),1))),"Нартис-300",
IF(ISNUMBER(SEARCH("Инкотекс - Меркурий 234",INDEX(ТУ!$BD:$BD,MATCH($U38*1,ТУ!$CP:$CP,0),1))),"Меркурий 234",
IF(ISNUMBER(SEARCH("Инкотекс - Меркурий 206",INDEX(ТУ!$BD:$BD,MATCH($U38*1,ТУ!$CP:$CP,0),1))),"Меркурий 206",
IF(ISNUMBER(SEARCH("Приборы с поддержкой протокола СПОДЭС - Универсальный счетчик СПОДЭС 2 трехфазный",INDEX(ТУ!$BD:$BD,MATCH($U38*1,ТУ!$CP:$CP,0),1))),"Нартис-И300",
IF(ISNUMBER(SEARCH("Приборы с поддержкой протокола СПОДЭС - Универсальный счетчик СПОДЭС 2 однофазный",INDEX(ТУ!$BD:$BD,MATCH($U38*1,ТУ!$CP:$CP,0),1))),"Нартис-И100",
IF(ISNUMBER(SEARCH("Приборы с поддержкой протокола СПОДЭС - Нартис-И100 (СПОДЭС)",INDEX(ТУ!$BD:$BD,MATCH($U38*1,ТУ!$CP:$CP,0),1))),"Нартис-И100",
IF(ISNUMBER(SEARCH("Приборы с поддержкой протокола СПОДЭС - СЕ308 (СПОДЭС)",INDEX(ТУ!$BD:$BD,MATCH($U38*1,ТУ!$CP:$CP,0),1))),"СЕ308 (СПОДЭС)",
IF(ISNUMBER(SEARCH("Приборы с поддержкой протокола СПОДЭС - СЕ207 (СПОДЭС)",INDEX(ТУ!$BD:$BD,MATCH($U38*1,ТУ!$CP:$CP,0),1))),"СЕ207 (СПОДЭС)",
IF(ISNUMBER(SEARCH("Приборы с поддержкой протокола СПОДЭС - СТЭМ-300 (СПОДЭС)",INDEX(ТУ!$BD:$BD,MATCH($U38*1,ТУ!$CP:$CP,0),1))),"СТЭМ-300 (СПОДЭС)",
IF(ISNUMBER(SEARCH("ТехноЭнерго - ТЕ3000",INDEX(ТУ!$BD:$BD,MATCH($U38*1,ТУ!$CP:$CP,0),1))),"ТЕ3000",
IF(ISNUMBER(SEARCH("НЗиФ - СЭТ-4ТМ",INDEX(ТУ!$BD:$BD,MATCH($U38*1,ТУ!$CP:$CP,0),1))),"СЭТ-4ТМ",
INDEX(ТУ!$BD:$BD,MATCH($U38*1,ТУ!$CP:$CP,0),1)
)))))))))))))</f>
        <v>СТЭМ-300 (СПОДЭС)</v>
      </c>
      <c r="AC38" s="40" t="s">
        <v>2</v>
      </c>
      <c r="AD38" s="40" t="str">
        <f>IF(ISNUMBER(IFERROR(LEFT(IF(INDEX(ТУ!$CI:$CI,MATCH($U38*1,ТУ!$CP:$CP,0),1)=0,"",INDEX(ТУ!$CI:$CI,MATCH($U38*1,ТУ!$CP:$CP,0),1)),SEARCH(" ",IF(INDEX(ТУ!$CI:$CI,MATCH($U38*1,ТУ!$CP:$CP,0),1)=0,"",INDEX(ТУ!$CI:$CI,MATCH($U38*1,ТУ!$CP:$CP,0),1)),1)-1),"")*1),IFERROR(LEFT(IF(INDEX(ТУ!$CI:$CI,MATCH($U38*1,ТУ!$CP:$CP,0),1)=0,"",INDEX(ТУ!$CI:$CI,MATCH($U38*1,ТУ!$CP:$CP,0),1)),SEARCH(" ",IF(INDEX(ТУ!$CI:$CI,MATCH($U38*1,ТУ!$CP:$CP,0),1)=0,"",INDEX(ТУ!$CI:$CI,MATCH($U38*1,ТУ!$CP:$CP,0),1)),1)-1),""),"")</f>
        <v/>
      </c>
      <c r="AE38" s="40">
        <f>IF(INDEX(ТУ!$CB:$CB,MATCH($U38*1,ТУ!$CP:$CP,0),1)=0,INDEX(Adr!$B:$B,MATCH($U38*1,Adr!$C:$C,0),1),INDEX(ТУ!$CB:$CB,MATCH($U38*1,ТУ!$CP:$CP,0),1))</f>
        <v>101</v>
      </c>
      <c r="AF38" s="45" t="str">
        <f>IF(INDEX(ТУ!$CD:$CD,MATCH($U38*1,ТУ!$CP:$CP,0),1)=0,"",INDEX(ТУ!$CD:$CD,MATCH($U38*1,ТУ!$CP:$CP,0),1))</f>
        <v>12345</v>
      </c>
      <c r="AG38" s="45">
        <f>0</f>
        <v>0</v>
      </c>
      <c r="AH38" s="26">
        <f t="shared" si="17"/>
        <v>81</v>
      </c>
      <c r="AI38" s="20" t="str">
        <f t="shared" si="18"/>
        <v>815006381</v>
      </c>
      <c r="AJ38" s="41" t="str">
        <f t="shared" si="1"/>
        <v/>
      </c>
      <c r="AK38" s="41" t="str">
        <f>IF($AP38="",IFERROR(IFERROR(LEFT(RIGHT(INDEX(ТУ!$CE:$CE,MATCH($U38*1,ТУ!$CP:$CP,0),1),LEN(INDEX(ТУ!$CE:$CE,MATCH($U38*1,ТУ!$CP:$CP,0),1))-SEARCH(":",INDEX(ТУ!$CE:$CE,MATCH($U38*1,ТУ!$CP:$CP,0),1))),SEARCH("/",RIGHT(INDEX(ТУ!$CE:$CE,MATCH($U38*1,ТУ!$CP:$CP,0),1),LEN(INDEX(ТУ!$CE:$CE,MATCH($U38*1,ТУ!$CP:$CP,0),1))-SEARCH(":",INDEX(ТУ!$CE:$CE,MATCH($U38*1,ТУ!$CP:$CP,0),1))))-1), RIGHT(INDEX(ТУ!$CE:$CE,MATCH($U38*1,ТУ!$CP:$CP,0),1),LEN(INDEX(ТУ!$CE:$CE,MATCH($U38*1,ТУ!$CP:$CP,0),1))-SEARCH(":",INDEX(ТУ!$CE:$CE,MATCH($U38*1,ТУ!$CP:$CP,0),1)))), ""),IFERROR(IFERROR(LEFT(RIGHT(INDEX(УСПД!$M:$M,MATCH(IFERROR(1*LEFT(INDEX(ТУ!$CG:$CG,MATCH($U38*1,ТУ!$CP:$CP,0),1),SEARCH(" ",INDEX(ТУ!$CG:$CG,MATCH($U38*1,ТУ!$CP:$CP,0),1))-1),""),УСПД!$N:$N,0),1),LEN(INDEX(УСПД!$M:$M,MATCH(IFERROR(1*LEFT(INDEX(ТУ!$CG:$CG,MATCH($U38*1,ТУ!$CP:$CP,0),1),SEARCH(" ",INDEX(ТУ!$CG:$CG,MATCH($U38*1,ТУ!$CP:$CP,0),1))-1),""),УСПД!$N:$N,0),1))-SEARCH(":",INDEX(УСПД!$M:$M,MATCH(IFERROR(1*LEFT(INDEX(ТУ!$CG:$CG,MATCH($U38*1,ТУ!$CP:$CP,0),1),SEARCH(" ",INDEX(ТУ!$CG:$CG,MATCH($U38*1,ТУ!$CP:$CP,0),1))-1),""),УСПД!$N:$N,0),1))),SEARCH("/",RIGHT(INDEX(УСПД!$M:$M,MATCH(IFERROR(1*LEFT(INDEX(ТУ!$CG:$CG,MATCH($U38*1,ТУ!$CP:$CP,0),1),SEARCH(" ",INDEX(ТУ!$CG:$CG,MATCH($U38*1,ТУ!$CP:$CP,0),1))-1),""),УСПД!$N:$N,0),1),LEN(INDEX(УСПД!$M:$M,MATCH(IFERROR(1*LEFT(INDEX(ТУ!$CG:$CG,MATCH($U38*1,ТУ!$CP:$CP,0),1),SEARCH(" ",INDEX(ТУ!$CG:$CG,MATCH($U38*1,ТУ!$CP:$CP,0),1))-1),""),УСПД!$N:$N,0),1))-SEARCH(":",INDEX(УСПД!$M:$M,MATCH(IFERROR(1*LEFT(INDEX(ТУ!$CG:$CG,MATCH($U38*1,ТУ!$CP:$CP,0),1),SEARCH(" ",INDEX(ТУ!$CG:$CG,MATCH($U38*1,ТУ!$CP:$CP,0),1))-1),""),УСПД!$N:$N,0),1))))-1), RIGHT(INDEX(УСПД!$M:$M,MATCH(IFERROR(1*LEFT(INDEX(ТУ!$CG:$CG,MATCH($U38*1,ТУ!$CP:$CP,0),1),SEARCH(" ",INDEX(ТУ!$CG:$CG,MATCH($U38*1,ТУ!$CP:$CP,0),1))-1),""),УСПД!$N:$N,0),1),LEN(INDEX(УСПД!$M:$M,MATCH(IFERROR(1*LEFT(INDEX(ТУ!$CG:$CG,MATCH($U38*1,ТУ!$CP:$CP,0),1),SEARCH(" ",INDEX(ТУ!$CG:$CG,MATCH($U38*1,ТУ!$CP:$CP,0),1))-1),""),УСПД!$N:$N,0),1))-SEARCH(":",INDEX(УСПД!$M:$M,MATCH(IFERROR(1*LEFT(INDEX(ТУ!$CG:$CG,MATCH($U38*1,ТУ!$CP:$CP,0),1),SEARCH(" ",INDEX(ТУ!$CG:$CG,MATCH($U38*1,ТУ!$CP:$CP,0),1))-1),""),УСПД!$N:$N,0),1)))), ""))</f>
        <v/>
      </c>
      <c r="AL38" s="41"/>
      <c r="AM38" s="57" t="str">
        <f>IFERROR(IFERROR(INDEX(Tel!$B:$B,MATCH($AJ38,Tel!$E:$E,0),1),INDEX(Tel!$B:$B,MATCH($AJ38,Tel!$D:$D,0),1)),"")</f>
        <v/>
      </c>
      <c r="AN38" s="59" t="str">
        <f>IF(ISNUMBER(SEARCH("ТОПАЗ - ТОПАЗ УСПД",IFERROR(RIGHT(LEFT(INDEX(ТУ!$CG:$CG,MATCH($U38*1,ТУ!$CP:$CP,0),1),SEARCH(")",INDEX(ТУ!$CG:$CG,MATCH($U38*1,ТУ!$CP:$CP,0),1))-1),LEN(LEFT(INDEX(ТУ!$CG:$CG,MATCH($U38*1,ТУ!$CP:$CP,0),1),SEARCH(")",INDEX(ТУ!$CG:$CG,MATCH($U38*1,ТУ!$CP:$CP,0),1))-1))-SEARCH("(",INDEX(ТУ!$CG:$CG,MATCH($U38*1,ТУ!$CP:$CP,0),1))),""),1)),"RTU-327",
IF(ISNUMBER(SEARCH("TELEOFIS",$AP38)),"Модем",
""))</f>
        <v/>
      </c>
      <c r="AO38" s="27" t="str">
        <f t="shared" si="24"/>
        <v/>
      </c>
      <c r="AP38" s="57" t="str">
        <f>IF(ISNUMBER(SEARCH("Миландр - Милур GSM/GPRS модем",IFERROR(RIGHT(LEFT(INDEX(ТУ!$CG:$CG,MATCH($U38*1,ТУ!$CP:$CP,0),1),SEARCH(")",INDEX(ТУ!$CG:$CG,MATCH($U38*1,ТУ!$CP:$CP,0),1))-1),LEN(LEFT(INDEX(ТУ!$CG:$CG,MATCH($U38*1,ТУ!$CP:$CP,0),1),SEARCH(")",INDEX(ТУ!$CG:$CG,MATCH($U38*1,ТУ!$CP:$CP,0),1))-1))-SEARCH("(",INDEX(ТУ!$CG:$CG,MATCH($U38*1,ТУ!$CP:$CP,0),1))),""),1)), "TELEOFIS WRX708-L4",IFERROR(RIGHT(LEFT(INDEX(ТУ!$CG:$CG,MATCH($U38*1,ТУ!$CP:$CP,0),1),SEARCH(")",INDEX(ТУ!$CG:$CG,MATCH($U38*1,ТУ!$CP:$CP,0),1))-1),LEN(LEFT(INDEX(ТУ!$CG:$CG,MATCH($U38*1,ТУ!$CP:$CP,0),1),SEARCH(")",INDEX(ТУ!$CG:$CG,MATCH($U38*1,ТУ!$CP:$CP,0),1))-1))-SEARCH("(",INDEX(ТУ!$CG:$CG,MATCH($U38*1,ТУ!$CP:$CP,0),1))),""))</f>
        <v>Системы и технологии, Промприбор - SM160</v>
      </c>
      <c r="AQ38" s="57" t="str">
        <f>IFERROR(IF(INDEX(УСПД!$K:$K,MATCH($AS38*1,УСПД!$N:$N,0),1)=0,"",INDEX(УСПД!$K:$K,MATCH($AS38*1,УСПД!$N:$N,0),1)),"")</f>
        <v/>
      </c>
      <c r="AR38" s="57" t="str">
        <f>IFERROR(IF(INDEX(УСПД!$L:$L,MATCH($AS38*1,УСПД!$N:$N,0),1)=0,"",INDEX(УСПД!$L:$L,MATCH($AS38*1,УСПД!$N:$N,0),1)),"")</f>
        <v/>
      </c>
      <c r="AS38" s="60" t="str">
        <f>IFERROR(LEFT(INDEX(ТУ!$CG:$CG,MATCH($U38*1,ТУ!$CP:$CP,0),1),SEARCH(" ",INDEX(ТУ!$CG:$CG,MATCH($U38*1,ТУ!$CP:$CP,0),1))-1),"")</f>
        <v>39730</v>
      </c>
      <c r="AT38" s="59" t="s">
        <v>360</v>
      </c>
      <c r="AU38" s="59">
        <f>3</f>
        <v>3</v>
      </c>
      <c r="AV38" s="59" t="s">
        <v>368</v>
      </c>
      <c r="AW38" s="149">
        <f t="shared" si="19"/>
        <v>59</v>
      </c>
      <c r="AX38" s="149">
        <f t="shared" si="20"/>
        <v>33</v>
      </c>
      <c r="AY38" s="149">
        <f t="shared" si="21"/>
        <v>12</v>
      </c>
      <c r="AZ38" s="149" t="str">
        <f t="shared" si="22"/>
        <v/>
      </c>
      <c r="BA38" s="149">
        <f t="shared" si="23"/>
        <v>1</v>
      </c>
      <c r="BB38" s="154" t="str">
        <f>IF($AP38="",IFERROR(IFERROR(LEFT(RIGHT(INDEX(ТУ!$CE:$CE,MATCH($U38*1,ТУ!$CP:$CP,0),1),LEN(INDEX(ТУ!$CE:$CE,MATCH($U38*1,ТУ!$CP:$CP,0),1))-SEARCH(", ",INDEX(ТУ!$CE:$CE,MATCH($U38*1,ТУ!$CP:$CP,0),1),SEARCH(", ",INDEX(ТУ!$CE:$CE,MATCH($U38*1,ТУ!$CP:$CP,0),1))+1)-1),SEARCH(":",RIGHT(INDEX(ТУ!$CE:$CE,MATCH($U38*1,ТУ!$CP:$CP,0),1),LEN(INDEX(ТУ!$CE:$CE,MATCH($U38*1,ТУ!$CP:$CP,0),1))-SEARCH(", ",INDEX(ТУ!$CE:$CE,MATCH($U38*1,ТУ!$CP:$CP,0),1),SEARCH(", ",INDEX(ТУ!$CE:$CE,MATCH($U38*1,ТУ!$CP:$CP,0),1))+1)-1))-1),LEFT(INDEX(ТУ!$CE:$CE,MATCH($U38*1,ТУ!$CP:$CP,0),1),SEARCH(":",INDEX(ТУ!$CE:$CE,MATCH($U38*1,ТУ!$CP:$CP,0),1))-1)),""),IFERROR(IFERROR(LEFT(RIGHT(INDEX(УСПД!$M:$M,MATCH(IFERROR(1*LEFT(INDEX(ТУ!$CG:$CG,MATCH($U38*1,ТУ!$CP:$CP,0),1),SEARCH(" ",INDEX(ТУ!$CG:$CG,MATCH($U38*1,ТУ!$CP:$CP,0),1))-1),""),УСПД!$N:$N,0),1),LEN(INDEX(УСПД!$M:$M,MATCH(IFERROR(1*LEFT(INDEX(ТУ!$CG:$CG,MATCH($U38*1,ТУ!$CP:$CP,0),1),SEARCH(" ",INDEX(ТУ!$CG:$CG,MATCH($U38*1,ТУ!$CP:$CP,0),1))-1),""),УСПД!$N:$N,0),1))-SEARCH(", ",INDEX(УСПД!$M:$M,MATCH(IFERROR(1*LEFT(INDEX(ТУ!$CG:$CG,MATCH($U38*1,ТУ!$CP:$CP,0),1),SEARCH(" ",INDEX(ТУ!$CG:$CG,MATCH($U38*1,ТУ!$CP:$CP,0),1))-1),""),УСПД!$N:$N,0),1),SEARCH(", ",INDEX(УСПД!$M:$M,MATCH(IFERROR(1*LEFT(INDEX(ТУ!$CG:$CG,MATCH($U38*1,ТУ!$CP:$CP,0),1),SEARCH(" ",INDEX(ТУ!$CG:$CG,MATCH($U38*1,ТУ!$CP:$CP,0),1))-1),""),УСПД!$N:$N,0),1))+1)-1),SEARCH(":",RIGHT(INDEX(УСПД!$M:$M,MATCH(IFERROR(1*LEFT(INDEX(ТУ!$CG:$CG,MATCH($U38*1,ТУ!$CP:$CP,0),1),SEARCH(" ",INDEX(ТУ!$CG:$CG,MATCH($U38*1,ТУ!$CP:$CP,0),1))-1),""),УСПД!$N:$N,0),1),LEN(INDEX(УСПД!$M:$M,MATCH(IFERROR(1*LEFT(INDEX(ТУ!$CG:$CG,MATCH($U38*1,ТУ!$CP:$CP,0),1),SEARCH(" ",INDEX(ТУ!$CG:$CG,MATCH($U38*1,ТУ!$CP:$CP,0),1))-1),""),УСПД!$N:$N,0),1))-SEARCH(", ",INDEX(УСПД!$M:$M,MATCH(IFERROR(1*LEFT(INDEX(ТУ!$CG:$CG,MATCH($U38*1,ТУ!$CP:$CP,0),1),SEARCH(" ",INDEX(ТУ!$CG:$CG,MATCH($U38*1,ТУ!$CP:$CP,0),1))-1),""),УСПД!$N:$N,0),1),SEARCH(", ",INDEX(УСПД!$M:$M,MATCH(IFERROR(1*LEFT(INDEX(ТУ!$CG:$CG,MATCH($U38*1,ТУ!$CP:$CP,0),1),SEARCH(" ",INDEX(ТУ!$CG:$CG,MATCH($U38*1,ТУ!$CP:$CP,0),1))-1),""),УСПД!$N:$N,0),1))+1)-1))-1),LEFT(INDEX(УСПД!$M:$M,MATCH(IFERROR(1*LEFT(INDEX(ТУ!$CG:$CG,MATCH($U38*1,ТУ!$CP:$CP,0),1),SEARCH(" ",INDEX(ТУ!$CG:$CG,MATCH($U38*1,ТУ!$CP:$CP,0),1))-1),""),УСПД!$N:$N,0),1),SEARCH(":",INDEX(УСПД!$M:$M,MATCH(IFERROR(1*LEFT(INDEX(ТУ!$CG:$CG,MATCH($U38*1,ТУ!$CP:$CP,0),1),SEARCH(" ",INDEX(ТУ!$CG:$CG,MATCH($U38*1,ТУ!$CP:$CP,0),1))-1),""),УСПД!$N:$N,0),1))-1)),""))</f>
        <v/>
      </c>
      <c r="BC38" s="155" t="str">
        <f>INDEX(ТУ!$AF:$AF,MATCH($U38*1,ТУ!$CP:$CP,0),1)</f>
        <v>ТП-638</v>
      </c>
      <c r="BD38" s="155" t="str">
        <f>INDEX(ТУ!$X:$X,MATCH($U38*1,ТУ!$CP:$CP,0),1)</f>
        <v>ТП-3872</v>
      </c>
      <c r="BE38" s="155" t="str">
        <f>INDEX(ТУ!$CL:$CL,MATCH($U38*1,ТУ!$CP:$CP,0),1)</f>
        <v>Тех.учет</v>
      </c>
      <c r="BF38" s="147" t="str">
        <f>IFERROR(INDEX(естьАЦ!$A:$A,MATCH($U38*1,естьАЦ!$A:$A,0),1),"нет в АЦ")</f>
        <v>нет в АЦ</v>
      </c>
    </row>
    <row r="39" spans="1:58" ht="25.5" x14ac:dyDescent="0.25">
      <c r="A39" s="55">
        <f>3</f>
        <v>3</v>
      </c>
      <c r="B39" s="42" t="str">
        <f>IFERROR(IFERROR(INDEX(Справочники!$A$2:$P$79,MATCH(INDEX(ТУ!$E:$E,MATCH($U39*1,ТУ!$CP:$CP,0),1),Справочники!$P$2:$P$79,0),2),INDEX(Справочники!$A$2:$P$79,MATCH((INDEX(ТУ!$E:$E,MATCH($U39*1,ТУ!$CP:$CP,0),1))*1,Справочники!$P$2:$P$79,0),2)),"")</f>
        <v>22 р-н МКС (ЮЗОРУПЭ)</v>
      </c>
      <c r="C39" s="46" t="str">
        <f>IFERROR(TRIM(LEFT(INDEX(ТУ!$AF:$AF,MATCH($U39*1,ТУ!$CP:$CP,0),1),SEARCH("-",INDEX(ТУ!$AF:$AF,MATCH($U39*1,ТУ!$CP:$CP,0),1))-1)),IFERROR(LEFT(INDEX(ТУ!$X:$X,MATCH($U39*1,ТУ!$CP:$CP,0),1),SEARCH("-",INDEX(ТУ!$X:$X,MATCH($U39*1,ТУ!$CP:$CP,0),1))-1),"ТП"))</f>
        <v>ТП</v>
      </c>
      <c r="D39" s="47" t="str">
        <f>IF(TRIM(IF(ISNUMBER((IFERROR(RIGHT(INDEX(ТУ!$AF:$AF,MATCH($U39*1,ТУ!$CP:$CP,0),1),LEN(INDEX(ТУ!$AF:$AF,MATCH($U39*1,ТУ!$CP:$CP,0),1))-SEARCH("-",INDEX(ТУ!$AF:$AF,MATCH($U39*1,ТУ!$CP:$CP,0),1))),INDEX(ТУ!$AF:$AF,MATCH($U39*1,ТУ!$CP:$CP,0),1)))*1),IFERROR(RIGHT(INDEX(ТУ!$AF:$AF,MATCH($U39*1,ТУ!$CP:$CP,0),1),LEN(INDEX(ТУ!$AF:$AF,MATCH($U39*1,ТУ!$CP:$CP,0),1))-SEARCH("-",INDEX(ТУ!$AF:$AF,MATCH($U39*1,ТУ!$CP:$CP,0),1))),INDEX(ТУ!$AF:$AF,MATCH($U39*1,ТУ!$CP:$CP,0),1)),""))="",TRIM(IF(ISNUMBER((IFERROR(RIGHT(INDEX(ТУ!$X:$X,MATCH($U39*1,ТУ!$CP:$CP,0),1),LEN(INDEX(ТУ!$X:$X,MATCH($U39*1,ТУ!$CP:$CP,0),1))-SEARCH("-",INDEX(ТУ!$X:$X,MATCH($U39*1,ТУ!$CP:$CP,0),1))),INDEX(ТУ!$X:$X,MATCH($U39*1,ТУ!$CP:$CP,0),1)))*1),IFERROR(RIGHT(INDEX(ТУ!$X:$X,MATCH($U39*1,ТУ!$CP:$CP,0),1),LEN(INDEX(ТУ!$X:$X,MATCH($U39*1,ТУ!$CP:$CP,0),1))-SEARCH("-",INDEX(ТУ!$X:$X,MATCH($U39*1,ТУ!$CP:$CP,0),1))),INDEX(ТУ!$X:$X,MATCH($U39*1,ТУ!$CP:$CP,0),1)),"")),TRIM(IF(ISNUMBER((IFERROR(RIGHT(INDEX(ТУ!$AF:$AF,MATCH($U39*1,ТУ!$CP:$CP,0),1),LEN(INDEX(ТУ!$AF:$AF,MATCH($U39*1,ТУ!$CP:$CP,0),1))-SEARCH("-",INDEX(ТУ!$AF:$AF,MATCH($U39*1,ТУ!$CP:$CP,0),1))),INDEX(ТУ!$AF:$AF,MATCH($U39*1,ТУ!$CP:$CP,0),1)))*1),IFERROR(RIGHT(INDEX(ТУ!$AF:$AF,MATCH($U39*1,ТУ!$CP:$CP,0),1),LEN(INDEX(ТУ!$AF:$AF,MATCH($U39*1,ТУ!$CP:$CP,0),1))-SEARCH("-",INDEX(ТУ!$AF:$AF,MATCH($U39*1,ТУ!$CP:$CP,0),1))),INDEX(ТУ!$AF:$AF,MATCH($U39*1,ТУ!$CP:$CP,0),1)),"")))</f>
        <v>21314</v>
      </c>
      <c r="E39" s="25" t="str">
        <f t="shared" si="2"/>
        <v>МКС</v>
      </c>
      <c r="F39" s="20">
        <f t="shared" si="3"/>
        <v>96</v>
      </c>
      <c r="G39" s="21">
        <f t="shared" si="4"/>
        <v>5</v>
      </c>
      <c r="H39" s="25" t="str">
        <f t="shared" si="5"/>
        <v>ТП-21314</v>
      </c>
      <c r="I39" s="25" t="str">
        <f t="shared" si="6"/>
        <v>96521314</v>
      </c>
      <c r="J39" s="42" t="str">
        <f>INDEX(Справочники!$M:$M,MATCH(IF(INDEX(ТУ!$BO:$BO,MATCH($U39*1,ТУ!$CP:$CP,0),1)=1,1,INDEX(ТУ!$BO:$BO,MATCH($U39*1,ТУ!$CP:$CP,0),1)*100),Справочники!$N:$N,0),1)</f>
        <v>0.4 кВ</v>
      </c>
      <c r="K39" s="40">
        <f>1</f>
        <v>1</v>
      </c>
      <c r="L39" s="20" t="str">
        <f t="shared" si="7"/>
        <v>СШ-1</v>
      </c>
      <c r="M39" s="20">
        <f t="shared" si="8"/>
        <v>1</v>
      </c>
      <c r="N39" s="40"/>
      <c r="O39" s="56" t="str">
        <f t="shared" si="9"/>
        <v>Ввод-1-1</v>
      </c>
      <c r="P39" s="57" t="str">
        <f>IFERROR(IF(INDEX(ТУ!$AO:$AO,MATCH($U39*1,ТУ!$CP:$CP,0),1)=0,"",INDEX(ТУ!$AO:$AO,MATCH($U39*1,ТУ!$CP:$CP,0),1)),"")</f>
        <v>102416А</v>
      </c>
      <c r="Q39" s="40">
        <f>IFERROR(IF(INDEX(ТУ!$BN:$BN,MATCH($U39*1,ТУ!$CP:$CP,0),1)=1,1,INDEX(ТУ!$BN:$BN,MATCH($U39*1,ТУ!$CP:$CP,0),1)*5),"")</f>
        <v>300</v>
      </c>
      <c r="R39" s="25">
        <f t="shared" si="10"/>
        <v>5</v>
      </c>
      <c r="S39" s="25">
        <f t="shared" si="11"/>
        <v>1</v>
      </c>
      <c r="T39" s="25">
        <f t="shared" si="12"/>
        <v>1</v>
      </c>
      <c r="U39" s="105" t="s">
        <v>872</v>
      </c>
      <c r="V39" s="43">
        <f>IF(INDEX(ТУ!$BH:$BH,MATCH($U39*1,ТУ!$CP:$CP,0),1)=0,"",INDEX(ТУ!$BH:$BH,MATCH($U39*1,ТУ!$CP:$CP,0),1))</f>
        <v>44560</v>
      </c>
      <c r="W39" s="43" t="str">
        <f>IF(INDEX(ТУ!$BI:$BI,MATCH($U39*1,ТУ!$CP:$CP,0),1)=0,"",INDEX(ТУ!$BI:$BI,MATCH($U39*1,ТУ!$CP:$CP,0),1))</f>
        <v>27.09.2021</v>
      </c>
      <c r="X39" s="58" t="str">
        <f t="shared" si="13"/>
        <v/>
      </c>
      <c r="Y39" s="25">
        <f t="shared" si="14"/>
        <v>35</v>
      </c>
      <c r="Z39" s="42" t="str">
        <f t="shared" si="15"/>
        <v/>
      </c>
      <c r="AA39" s="25" t="str">
        <f t="shared" si="16"/>
        <v/>
      </c>
      <c r="AB39" s="40" t="str">
        <f>IF(ISNUMBER(SEARCH("Приборы с поддержкой протокола СПОДЭС - Нартис-И300 (СПОДЭС)",INDEX(ТУ!$BD:$BD,MATCH($U39*1,ТУ!$CP:$CP,0),1))),"Нартис-И300",
IF(ISNUMBER(SEARCH("Приборы с поддержкой протокола СПОДЭС - Меркурий 234 (СПОДЭС)",INDEX(ТУ!$BD:$BD,MATCH($U39*1,ТУ!$CP:$CP,0),1))),"Меркурий 234 (СПОДЭС)",
IF(ISNUMBER(SEARCH("Приборы с поддержкой протокола СПОДЭС - Нартис-300 (СПОДЭС)",INDEX(ТУ!$BD:$BD,MATCH($U39*1,ТУ!$CP:$CP,0),1))),"Нартис-300",
IF(ISNUMBER(SEARCH("Инкотекс - Меркурий 234",INDEX(ТУ!$BD:$BD,MATCH($U39*1,ТУ!$CP:$CP,0),1))),"Меркурий 234",
IF(ISNUMBER(SEARCH("Инкотекс - Меркурий 206",INDEX(ТУ!$BD:$BD,MATCH($U39*1,ТУ!$CP:$CP,0),1))),"Меркурий 206",
IF(ISNUMBER(SEARCH("Приборы с поддержкой протокола СПОДЭС - Универсальный счетчик СПОДЭС 2 трехфазный",INDEX(ТУ!$BD:$BD,MATCH($U39*1,ТУ!$CP:$CP,0),1))),"Нартис-И300",
IF(ISNUMBER(SEARCH("Приборы с поддержкой протокола СПОДЭС - Универсальный счетчик СПОДЭС 2 однофазный",INDEX(ТУ!$BD:$BD,MATCH($U39*1,ТУ!$CP:$CP,0),1))),"Нартис-И100",
IF(ISNUMBER(SEARCH("Приборы с поддержкой протокола СПОДЭС - Нартис-И100 (СПОДЭС)",INDEX(ТУ!$BD:$BD,MATCH($U39*1,ТУ!$CP:$CP,0),1))),"Нартис-И100",
IF(ISNUMBER(SEARCH("Приборы с поддержкой протокола СПОДЭС - СЕ308 (СПОДЭС)",INDEX(ТУ!$BD:$BD,MATCH($U39*1,ТУ!$CP:$CP,0),1))),"СЕ308 (СПОДЭС)",
IF(ISNUMBER(SEARCH("Приборы с поддержкой протокола СПОДЭС - СЕ207 (СПОДЭС)",INDEX(ТУ!$BD:$BD,MATCH($U39*1,ТУ!$CP:$CP,0),1))),"СЕ207 (СПОДЭС)",
IF(ISNUMBER(SEARCH("Приборы с поддержкой протокола СПОДЭС - СТЭМ-300 (СПОДЭС)",INDEX(ТУ!$BD:$BD,MATCH($U39*1,ТУ!$CP:$CP,0),1))),"СТЭМ-300 (СПОДЭС)",
IF(ISNUMBER(SEARCH("ТехноЭнерго - ТЕ3000",INDEX(ТУ!$BD:$BD,MATCH($U39*1,ТУ!$CP:$CP,0),1))),"ТЕ3000",
IF(ISNUMBER(SEARCH("НЗиФ - СЭТ-4ТМ",INDEX(ТУ!$BD:$BD,MATCH($U39*1,ТУ!$CP:$CP,0),1))),"СЭТ-4ТМ",
INDEX(ТУ!$BD:$BD,MATCH($U39*1,ТУ!$CP:$CP,0),1)
)))))))))))))</f>
        <v>Инкотекс - Меркурий 233 (Постоянная счетчика - 1000, Учитываемые типы энергии - А+,А-,Р+,Р-)</v>
      </c>
      <c r="AC39" s="40" t="s">
        <v>2</v>
      </c>
      <c r="AD39" s="40" t="str">
        <f>IF(ISNUMBER(IFERROR(LEFT(IF(INDEX(ТУ!$CI:$CI,MATCH($U39*1,ТУ!$CP:$CP,0),1)=0,"",INDEX(ТУ!$CI:$CI,MATCH($U39*1,ТУ!$CP:$CP,0),1)),SEARCH(" ",IF(INDEX(ТУ!$CI:$CI,MATCH($U39*1,ТУ!$CP:$CP,0),1)=0,"",INDEX(ТУ!$CI:$CI,MATCH($U39*1,ТУ!$CP:$CP,0),1)),1)-1),"")*1),IFERROR(LEFT(IF(INDEX(ТУ!$CI:$CI,MATCH($U39*1,ТУ!$CP:$CP,0),1)=0,"",INDEX(ТУ!$CI:$CI,MATCH($U39*1,ТУ!$CP:$CP,0),1)),SEARCH(" ",IF(INDEX(ТУ!$CI:$CI,MATCH($U39*1,ТУ!$CP:$CP,0),1)=0,"",INDEX(ТУ!$CI:$CI,MATCH($U39*1,ТУ!$CP:$CP,0),1)),1)-1),""),"")</f>
        <v>77910001000004</v>
      </c>
      <c r="AE39" s="40" t="str">
        <f>IF(INDEX(ТУ!$CB:$CB,MATCH($U39*1,ТУ!$CP:$CP,0),1)=0,INDEX(Adr!$B:$B,MATCH($U39*1,Adr!$C:$C,0),1),INDEX(ТУ!$CB:$CB,MATCH($U39*1,ТУ!$CP:$CP,0),1))</f>
        <v>18</v>
      </c>
      <c r="AF39" s="45" t="str">
        <f>IF(INDEX(ТУ!$CD:$CD,MATCH($U39*1,ТУ!$CP:$CP,0),1)=0,"",INDEX(ТУ!$CD:$CD,MATCH($U39*1,ТУ!$CP:$CP,0),1))</f>
        <v>222222</v>
      </c>
      <c r="AG39" s="45">
        <f>0</f>
        <v>0</v>
      </c>
      <c r="AH39" s="26">
        <f t="shared" si="17"/>
        <v>96</v>
      </c>
      <c r="AI39" s="20" t="str">
        <f t="shared" si="18"/>
        <v>965213141</v>
      </c>
      <c r="AJ39" s="41" t="str">
        <f t="shared" si="1"/>
        <v>10.209.59.249</v>
      </c>
      <c r="AK39" s="41" t="str">
        <f>IF($AP39="",IFERROR(IFERROR(LEFT(RIGHT(INDEX(ТУ!$CE:$CE,MATCH($U39*1,ТУ!$CP:$CP,0),1),LEN(INDEX(ТУ!$CE:$CE,MATCH($U39*1,ТУ!$CP:$CP,0),1))-SEARCH(":",INDEX(ТУ!$CE:$CE,MATCH($U39*1,ТУ!$CP:$CP,0),1))),SEARCH("/",RIGHT(INDEX(ТУ!$CE:$CE,MATCH($U39*1,ТУ!$CP:$CP,0),1),LEN(INDEX(ТУ!$CE:$CE,MATCH($U39*1,ТУ!$CP:$CP,0),1))-SEARCH(":",INDEX(ТУ!$CE:$CE,MATCH($U39*1,ТУ!$CP:$CP,0),1))))-1), RIGHT(INDEX(ТУ!$CE:$CE,MATCH($U39*1,ТУ!$CP:$CP,0),1),LEN(INDEX(ТУ!$CE:$CE,MATCH($U39*1,ТУ!$CP:$CP,0),1))-SEARCH(":",INDEX(ТУ!$CE:$CE,MATCH($U39*1,ТУ!$CP:$CP,0),1)))), ""),IFERROR(IFERROR(LEFT(RIGHT(INDEX(УСПД!$M:$M,MATCH(IFERROR(1*LEFT(INDEX(ТУ!$CG:$CG,MATCH($U39*1,ТУ!$CP:$CP,0),1),SEARCH(" ",INDEX(ТУ!$CG:$CG,MATCH($U39*1,ТУ!$CP:$CP,0),1))-1),""),УСПД!$N:$N,0),1),LEN(INDEX(УСПД!$M:$M,MATCH(IFERROR(1*LEFT(INDEX(ТУ!$CG:$CG,MATCH($U39*1,ТУ!$CP:$CP,0),1),SEARCH(" ",INDEX(ТУ!$CG:$CG,MATCH($U39*1,ТУ!$CP:$CP,0),1))-1),""),УСПД!$N:$N,0),1))-SEARCH(":",INDEX(УСПД!$M:$M,MATCH(IFERROR(1*LEFT(INDEX(ТУ!$CG:$CG,MATCH($U39*1,ТУ!$CP:$CP,0),1),SEARCH(" ",INDEX(ТУ!$CG:$CG,MATCH($U39*1,ТУ!$CP:$CP,0),1))-1),""),УСПД!$N:$N,0),1))),SEARCH("/",RIGHT(INDEX(УСПД!$M:$M,MATCH(IFERROR(1*LEFT(INDEX(ТУ!$CG:$CG,MATCH($U39*1,ТУ!$CP:$CP,0),1),SEARCH(" ",INDEX(ТУ!$CG:$CG,MATCH($U39*1,ТУ!$CP:$CP,0),1))-1),""),УСПД!$N:$N,0),1),LEN(INDEX(УСПД!$M:$M,MATCH(IFERROR(1*LEFT(INDEX(ТУ!$CG:$CG,MATCH($U39*1,ТУ!$CP:$CP,0),1),SEARCH(" ",INDEX(ТУ!$CG:$CG,MATCH($U39*1,ТУ!$CP:$CP,0),1))-1),""),УСПД!$N:$N,0),1))-SEARCH(":",INDEX(УСПД!$M:$M,MATCH(IFERROR(1*LEFT(INDEX(ТУ!$CG:$CG,MATCH($U39*1,ТУ!$CP:$CP,0),1),SEARCH(" ",INDEX(ТУ!$CG:$CG,MATCH($U39*1,ТУ!$CP:$CP,0),1))-1),""),УСПД!$N:$N,0),1))))-1), RIGHT(INDEX(УСПД!$M:$M,MATCH(IFERROR(1*LEFT(INDEX(ТУ!$CG:$CG,MATCH($U39*1,ТУ!$CP:$CP,0),1),SEARCH(" ",INDEX(ТУ!$CG:$CG,MATCH($U39*1,ТУ!$CP:$CP,0),1))-1),""),УСПД!$N:$N,0),1),LEN(INDEX(УСПД!$M:$M,MATCH(IFERROR(1*LEFT(INDEX(ТУ!$CG:$CG,MATCH($U39*1,ТУ!$CP:$CP,0),1),SEARCH(" ",INDEX(ТУ!$CG:$CG,MATCH($U39*1,ТУ!$CP:$CP,0),1))-1),""),УСПД!$N:$N,0),1))-SEARCH(":",INDEX(УСПД!$M:$M,MATCH(IFERROR(1*LEFT(INDEX(ТУ!$CG:$CG,MATCH($U39*1,ТУ!$CP:$CP,0),1),SEARCH(" ",INDEX(ТУ!$CG:$CG,MATCH($U39*1,ТУ!$CP:$CP,0),1))-1),""),УСПД!$N:$N,0),1)))), ""))</f>
        <v>4001</v>
      </c>
      <c r="AL39" s="41"/>
      <c r="AM39" s="57" t="str">
        <f>IFERROR(IFERROR(INDEX(Tel!$B:$B,MATCH($AJ39,Tel!$E:$E,0),1),INDEX(Tel!$B:$B,MATCH($AJ39,Tel!$D:$D,0),1)),"")</f>
        <v/>
      </c>
      <c r="AN39" s="59" t="str">
        <f>IF(ISNUMBER(SEARCH("ТОПАЗ - ТОПАЗ УСПД",IFERROR(RIGHT(LEFT(INDEX(ТУ!$CG:$CG,MATCH($U39*1,ТУ!$CP:$CP,0),1),SEARCH(")",INDEX(ТУ!$CG:$CG,MATCH($U39*1,ТУ!$CP:$CP,0),1))-1),LEN(LEFT(INDEX(ТУ!$CG:$CG,MATCH($U39*1,ТУ!$CP:$CP,0),1),SEARCH(")",INDEX(ТУ!$CG:$CG,MATCH($U39*1,ТУ!$CP:$CP,0),1))-1))-SEARCH("(",INDEX(ТУ!$CG:$CG,MATCH($U39*1,ТУ!$CP:$CP,0),1))),""),1)),"RTU-327",
IF(ISNUMBER(SEARCH("TELEOFIS",$AP39)),"Модем",
""))</f>
        <v/>
      </c>
      <c r="AO39" s="27" t="str">
        <f t="shared" si="24"/>
        <v/>
      </c>
      <c r="AP39" s="57" t="str">
        <f>IF(ISNUMBER(SEARCH("Миландр - Милур GSM/GPRS модем",IFERROR(RIGHT(LEFT(INDEX(ТУ!$CG:$CG,MATCH($U39*1,ТУ!$CP:$CP,0),1),SEARCH(")",INDEX(ТУ!$CG:$CG,MATCH($U39*1,ТУ!$CP:$CP,0),1))-1),LEN(LEFT(INDEX(ТУ!$CG:$CG,MATCH($U39*1,ТУ!$CP:$CP,0),1),SEARCH(")",INDEX(ТУ!$CG:$CG,MATCH($U39*1,ТУ!$CP:$CP,0),1))-1))-SEARCH("(",INDEX(ТУ!$CG:$CG,MATCH($U39*1,ТУ!$CP:$CP,0),1))),""),1)), "TELEOFIS WRX708-L4",IFERROR(RIGHT(LEFT(INDEX(ТУ!$CG:$CG,MATCH($U39*1,ТУ!$CP:$CP,0),1),SEARCH(")",INDEX(ТУ!$CG:$CG,MATCH($U39*1,ТУ!$CP:$CP,0),1))-1),LEN(LEFT(INDEX(ТУ!$CG:$CG,MATCH($U39*1,ТУ!$CP:$CP,0),1),SEARCH(")",INDEX(ТУ!$CG:$CG,MATCH($U39*1,ТУ!$CP:$CP,0),1))-1))-SEARCH("(",INDEX(ТУ!$CG:$CG,MATCH($U39*1,ТУ!$CP:$CP,0),1))),""))</f>
        <v/>
      </c>
      <c r="AQ39" s="57" t="str">
        <f>IFERROR(IF(INDEX(УСПД!$K:$K,MATCH($AS39*1,УСПД!$N:$N,0),1)=0,"",INDEX(УСПД!$K:$K,MATCH($AS39*1,УСПД!$N:$N,0),1)),"")</f>
        <v/>
      </c>
      <c r="AR39" s="57" t="str">
        <f>IFERROR(IF(INDEX(УСПД!$L:$L,MATCH($AS39*1,УСПД!$N:$N,0),1)=0,"",INDEX(УСПД!$L:$L,MATCH($AS39*1,УСПД!$N:$N,0),1)),"")</f>
        <v/>
      </c>
      <c r="AS39" s="60" t="str">
        <f>IFERROR(LEFT(INDEX(ТУ!$CG:$CG,MATCH($U39*1,ТУ!$CP:$CP,0),1),SEARCH(" ",INDEX(ТУ!$CG:$CG,MATCH($U39*1,ТУ!$CP:$CP,0),1))-1),"")</f>
        <v/>
      </c>
      <c r="AT39" s="59" t="s">
        <v>360</v>
      </c>
      <c r="AU39" s="59">
        <f>3</f>
        <v>3</v>
      </c>
      <c r="AV39" s="59" t="s">
        <v>368</v>
      </c>
      <c r="AW39" s="149">
        <f t="shared" si="19"/>
        <v>74</v>
      </c>
      <c r="AX39" s="149">
        <f t="shared" si="20"/>
        <v>34</v>
      </c>
      <c r="AY39" s="149" t="str">
        <f t="shared" si="21"/>
        <v/>
      </c>
      <c r="AZ39" s="149" t="str">
        <f t="shared" si="22"/>
        <v/>
      </c>
      <c r="BA39" s="149">
        <f t="shared" si="23"/>
        <v>1</v>
      </c>
      <c r="BB39" s="154" t="str">
        <f>IF($AP39="",IFERROR(IFERROR(LEFT(RIGHT(INDEX(ТУ!$CE:$CE,MATCH($U39*1,ТУ!$CP:$CP,0),1),LEN(INDEX(ТУ!$CE:$CE,MATCH($U39*1,ТУ!$CP:$CP,0),1))-SEARCH(", ",INDEX(ТУ!$CE:$CE,MATCH($U39*1,ТУ!$CP:$CP,0),1),SEARCH(", ",INDEX(ТУ!$CE:$CE,MATCH($U39*1,ТУ!$CP:$CP,0),1))+1)-1),SEARCH(":",RIGHT(INDEX(ТУ!$CE:$CE,MATCH($U39*1,ТУ!$CP:$CP,0),1),LEN(INDEX(ТУ!$CE:$CE,MATCH($U39*1,ТУ!$CP:$CP,0),1))-SEARCH(", ",INDEX(ТУ!$CE:$CE,MATCH($U39*1,ТУ!$CP:$CP,0),1),SEARCH(", ",INDEX(ТУ!$CE:$CE,MATCH($U39*1,ТУ!$CP:$CP,0),1))+1)-1))-1),LEFT(INDEX(ТУ!$CE:$CE,MATCH($U39*1,ТУ!$CP:$CP,0),1),SEARCH(":",INDEX(ТУ!$CE:$CE,MATCH($U39*1,ТУ!$CP:$CP,0),1))-1)),""),IFERROR(IFERROR(LEFT(RIGHT(INDEX(УСПД!$M:$M,MATCH(IFERROR(1*LEFT(INDEX(ТУ!$CG:$CG,MATCH($U39*1,ТУ!$CP:$CP,0),1),SEARCH(" ",INDEX(ТУ!$CG:$CG,MATCH($U39*1,ТУ!$CP:$CP,0),1))-1),""),УСПД!$N:$N,0),1),LEN(INDEX(УСПД!$M:$M,MATCH(IFERROR(1*LEFT(INDEX(ТУ!$CG:$CG,MATCH($U39*1,ТУ!$CP:$CP,0),1),SEARCH(" ",INDEX(ТУ!$CG:$CG,MATCH($U39*1,ТУ!$CP:$CP,0),1))-1),""),УСПД!$N:$N,0),1))-SEARCH(", ",INDEX(УСПД!$M:$M,MATCH(IFERROR(1*LEFT(INDEX(ТУ!$CG:$CG,MATCH($U39*1,ТУ!$CP:$CP,0),1),SEARCH(" ",INDEX(ТУ!$CG:$CG,MATCH($U39*1,ТУ!$CP:$CP,0),1))-1),""),УСПД!$N:$N,0),1),SEARCH(", ",INDEX(УСПД!$M:$M,MATCH(IFERROR(1*LEFT(INDEX(ТУ!$CG:$CG,MATCH($U39*1,ТУ!$CP:$CP,0),1),SEARCH(" ",INDEX(ТУ!$CG:$CG,MATCH($U39*1,ТУ!$CP:$CP,0),1))-1),""),УСПД!$N:$N,0),1))+1)-1),SEARCH(":",RIGHT(INDEX(УСПД!$M:$M,MATCH(IFERROR(1*LEFT(INDEX(ТУ!$CG:$CG,MATCH($U39*1,ТУ!$CP:$CP,0),1),SEARCH(" ",INDEX(ТУ!$CG:$CG,MATCH($U39*1,ТУ!$CP:$CP,0),1))-1),""),УСПД!$N:$N,0),1),LEN(INDEX(УСПД!$M:$M,MATCH(IFERROR(1*LEFT(INDEX(ТУ!$CG:$CG,MATCH($U39*1,ТУ!$CP:$CP,0),1),SEARCH(" ",INDEX(ТУ!$CG:$CG,MATCH($U39*1,ТУ!$CP:$CP,0),1))-1),""),УСПД!$N:$N,0),1))-SEARCH(", ",INDEX(УСПД!$M:$M,MATCH(IFERROR(1*LEFT(INDEX(ТУ!$CG:$CG,MATCH($U39*1,ТУ!$CP:$CP,0),1),SEARCH(" ",INDEX(ТУ!$CG:$CG,MATCH($U39*1,ТУ!$CP:$CP,0),1))-1),""),УСПД!$N:$N,0),1),SEARCH(", ",INDEX(УСПД!$M:$M,MATCH(IFERROR(1*LEFT(INDEX(ТУ!$CG:$CG,MATCH($U39*1,ТУ!$CP:$CP,0),1),SEARCH(" ",INDEX(ТУ!$CG:$CG,MATCH($U39*1,ТУ!$CP:$CP,0),1))-1),""),УСПД!$N:$N,0),1))+1)-1))-1),LEFT(INDEX(УСПД!$M:$M,MATCH(IFERROR(1*LEFT(INDEX(ТУ!$CG:$CG,MATCH($U39*1,ТУ!$CP:$CP,0),1),SEARCH(" ",INDEX(ТУ!$CG:$CG,MATCH($U39*1,ТУ!$CP:$CP,0),1))-1),""),УСПД!$N:$N,0),1),SEARCH(":",INDEX(УСПД!$M:$M,MATCH(IFERROR(1*LEFT(INDEX(ТУ!$CG:$CG,MATCH($U39*1,ТУ!$CP:$CP,0),1),SEARCH(" ",INDEX(ТУ!$CG:$CG,MATCH($U39*1,ТУ!$CP:$CP,0),1))-1),""),УСПД!$N:$N,0),1))-1)),""))</f>
        <v>10.209.59.249</v>
      </c>
      <c r="BC39" s="155" t="str">
        <f>INDEX(ТУ!$AF:$AF,MATCH($U39*1,ТУ!$CP:$CP,0),1)</f>
        <v>21314</v>
      </c>
      <c r="BD39" s="155">
        <f>INDEX(ТУ!$X:$X,MATCH($U39*1,ТУ!$CP:$CP,0),1)</f>
        <v>0</v>
      </c>
      <c r="BE39" s="155">
        <f>INDEX(ТУ!$CL:$CL,MATCH($U39*1,ТУ!$CP:$CP,0),1)</f>
        <v>0</v>
      </c>
      <c r="BF39" s="147" t="str">
        <f>IFERROR(INDEX(естьАЦ!$A:$A,MATCH($U39*1,естьАЦ!$A:$A,0),1),"нет в АЦ")</f>
        <v>нет в АЦ</v>
      </c>
    </row>
    <row r="40" spans="1:58" ht="25.5" x14ac:dyDescent="0.25">
      <c r="A40" s="55">
        <f>3</f>
        <v>3</v>
      </c>
      <c r="B40" s="42" t="str">
        <f>IFERROR(IFERROR(INDEX(Справочники!$A$2:$P$79,MATCH(INDEX(ТУ!$E:$E,MATCH($U40*1,ТУ!$CP:$CP,0),1),Справочники!$P$2:$P$79,0),2),INDEX(Справочники!$A$2:$P$79,MATCH((INDEX(ТУ!$E:$E,MATCH($U40*1,ТУ!$CP:$CP,0),1))*1,Справочники!$P$2:$P$79,0),2)),"")</f>
        <v>18 р-н МКС (ВОРУПЭ)</v>
      </c>
      <c r="C40" s="46" t="str">
        <f>IFERROR(TRIM(LEFT(INDEX(ТУ!$AF:$AF,MATCH($U40*1,ТУ!$CP:$CP,0),1),SEARCH("-",INDEX(ТУ!$AF:$AF,MATCH($U40*1,ТУ!$CP:$CP,0),1))-1)),IFERROR(LEFT(INDEX(ТУ!$X:$X,MATCH($U40*1,ТУ!$CP:$CP,0),1),SEARCH("-",INDEX(ТУ!$X:$X,MATCH($U40*1,ТУ!$CP:$CP,0),1))-1),"ТП"))</f>
        <v>ТП</v>
      </c>
      <c r="D40" s="47" t="str">
        <f>IF(TRIM(IF(ISNUMBER((IFERROR(RIGHT(INDEX(ТУ!$AF:$AF,MATCH($U40*1,ТУ!$CP:$CP,0),1),LEN(INDEX(ТУ!$AF:$AF,MATCH($U40*1,ТУ!$CP:$CP,0),1))-SEARCH("-",INDEX(ТУ!$AF:$AF,MATCH($U40*1,ТУ!$CP:$CP,0),1))),INDEX(ТУ!$AF:$AF,MATCH($U40*1,ТУ!$CP:$CP,0),1)))*1),IFERROR(RIGHT(INDEX(ТУ!$AF:$AF,MATCH($U40*1,ТУ!$CP:$CP,0),1),LEN(INDEX(ТУ!$AF:$AF,MATCH($U40*1,ТУ!$CP:$CP,0),1))-SEARCH("-",INDEX(ТУ!$AF:$AF,MATCH($U40*1,ТУ!$CP:$CP,0),1))),INDEX(ТУ!$AF:$AF,MATCH($U40*1,ТУ!$CP:$CP,0),1)),""))="",TRIM(IF(ISNUMBER((IFERROR(RIGHT(INDEX(ТУ!$X:$X,MATCH($U40*1,ТУ!$CP:$CP,0),1),LEN(INDEX(ТУ!$X:$X,MATCH($U40*1,ТУ!$CP:$CP,0),1))-SEARCH("-",INDEX(ТУ!$X:$X,MATCH($U40*1,ТУ!$CP:$CP,0),1))),INDEX(ТУ!$X:$X,MATCH($U40*1,ТУ!$CP:$CP,0),1)))*1),IFERROR(RIGHT(INDEX(ТУ!$X:$X,MATCH($U40*1,ТУ!$CP:$CP,0),1),LEN(INDEX(ТУ!$X:$X,MATCH($U40*1,ТУ!$CP:$CP,0),1))-SEARCH("-",INDEX(ТУ!$X:$X,MATCH($U40*1,ТУ!$CP:$CP,0),1))),INDEX(ТУ!$X:$X,MATCH($U40*1,ТУ!$CP:$CP,0),1)),"")),TRIM(IF(ISNUMBER((IFERROR(RIGHT(INDEX(ТУ!$AF:$AF,MATCH($U40*1,ТУ!$CP:$CP,0),1),LEN(INDEX(ТУ!$AF:$AF,MATCH($U40*1,ТУ!$CP:$CP,0),1))-SEARCH("-",INDEX(ТУ!$AF:$AF,MATCH($U40*1,ТУ!$CP:$CP,0),1))),INDEX(ТУ!$AF:$AF,MATCH($U40*1,ТУ!$CP:$CP,0),1)))*1),IFERROR(RIGHT(INDEX(ТУ!$AF:$AF,MATCH($U40*1,ТУ!$CP:$CP,0),1),LEN(INDEX(ТУ!$AF:$AF,MATCH($U40*1,ТУ!$CP:$CP,0),1))-SEARCH("-",INDEX(ТУ!$AF:$AF,MATCH($U40*1,ТУ!$CP:$CP,0),1))),INDEX(ТУ!$AF:$AF,MATCH($U40*1,ТУ!$CP:$CP,0),1)),"")))</f>
        <v>1286</v>
      </c>
      <c r="E40" s="25" t="str">
        <f t="shared" si="2"/>
        <v>МКС</v>
      </c>
      <c r="F40" s="20">
        <f t="shared" si="3"/>
        <v>92</v>
      </c>
      <c r="G40" s="21">
        <f t="shared" si="4"/>
        <v>5</v>
      </c>
      <c r="H40" s="25" t="str">
        <f t="shared" si="5"/>
        <v>ТП-1286</v>
      </c>
      <c r="I40" s="25" t="str">
        <f t="shared" si="6"/>
        <v>92501286</v>
      </c>
      <c r="J40" s="42" t="str">
        <f>INDEX(Справочники!$M:$M,MATCH(IF(INDEX(ТУ!$BO:$BO,MATCH($U40*1,ТУ!$CP:$CP,0),1)=1,1,INDEX(ТУ!$BO:$BO,MATCH($U40*1,ТУ!$CP:$CP,0),1)*100),Справочники!$N:$N,0),1)</f>
        <v>0.4 кВ</v>
      </c>
      <c r="K40" s="40">
        <f>1</f>
        <v>1</v>
      </c>
      <c r="L40" s="20" t="str">
        <f t="shared" si="7"/>
        <v>СШ-1</v>
      </c>
      <c r="M40" s="20">
        <f t="shared" si="8"/>
        <v>1</v>
      </c>
      <c r="N40" s="40"/>
      <c r="O40" s="56" t="str">
        <f t="shared" si="9"/>
        <v>Ввод-1-1</v>
      </c>
      <c r="P40" s="57" t="str">
        <f>IFERROR(IF(INDEX(ТУ!$AO:$AO,MATCH($U40*1,ТУ!$CP:$CP,0),1)=0,"",INDEX(ТУ!$AO:$AO,MATCH($U40*1,ТУ!$CP:$CP,0),1)),"")</f>
        <v>ВВ База А-раздевалки</v>
      </c>
      <c r="Q40" s="40">
        <f>IFERROR(IF(INDEX(ТУ!$BN:$BN,MATCH($U40*1,ТУ!$CP:$CP,0),1)=1,1,INDEX(ТУ!$BN:$BN,MATCH($U40*1,ТУ!$CP:$CP,0),1)*5),"")</f>
        <v>1</v>
      </c>
      <c r="R40" s="25">
        <f t="shared" si="10"/>
        <v>1</v>
      </c>
      <c r="S40" s="25">
        <f t="shared" si="11"/>
        <v>1</v>
      </c>
      <c r="T40" s="25">
        <f t="shared" si="12"/>
        <v>1</v>
      </c>
      <c r="U40" s="105" t="s">
        <v>883</v>
      </c>
      <c r="V40" s="43">
        <f>IF(INDEX(ТУ!$BH:$BH,MATCH($U40*1,ТУ!$CP:$CP,0),1)=0,"",INDEX(ТУ!$BH:$BH,MATCH($U40*1,ТУ!$CP:$CP,0),1))</f>
        <v>44673</v>
      </c>
      <c r="W40" s="43" t="str">
        <f>IF(INDEX(ТУ!$BI:$BI,MATCH($U40*1,ТУ!$CP:$CP,0),1)=0,"",INDEX(ТУ!$BI:$BI,MATCH($U40*1,ТУ!$CP:$CP,0),1))</f>
        <v/>
      </c>
      <c r="X40" s="58" t="str">
        <f t="shared" si="13"/>
        <v/>
      </c>
      <c r="Y40" s="25">
        <f t="shared" si="14"/>
        <v>35</v>
      </c>
      <c r="Z40" s="42" t="str">
        <f t="shared" si="15"/>
        <v/>
      </c>
      <c r="AA40" s="25" t="str">
        <f t="shared" si="16"/>
        <v/>
      </c>
      <c r="AB40" s="40" t="str">
        <f>IF(ISNUMBER(SEARCH("Приборы с поддержкой протокола СПОДЭС - Нартис-И300 (СПОДЭС)",INDEX(ТУ!$BD:$BD,MATCH($U40*1,ТУ!$CP:$CP,0),1))),"Нартис-И300",
IF(ISNUMBER(SEARCH("Приборы с поддержкой протокола СПОДЭС - Меркурий 234 (СПОДЭС)",INDEX(ТУ!$BD:$BD,MATCH($U40*1,ТУ!$CP:$CP,0),1))),"Меркурий 234 (СПОДЭС)",
IF(ISNUMBER(SEARCH("Приборы с поддержкой протокола СПОДЭС - Нартис-300 (СПОДЭС)",INDEX(ТУ!$BD:$BD,MATCH($U40*1,ТУ!$CP:$CP,0),1))),"Нартис-300",
IF(ISNUMBER(SEARCH("Инкотекс - Меркурий 234",INDEX(ТУ!$BD:$BD,MATCH($U40*1,ТУ!$CP:$CP,0),1))),"Меркурий 234",
IF(ISNUMBER(SEARCH("Инкотекс - Меркурий 206",INDEX(ТУ!$BD:$BD,MATCH($U40*1,ТУ!$CP:$CP,0),1))),"Меркурий 206",
IF(ISNUMBER(SEARCH("Приборы с поддержкой протокола СПОДЭС - Универсальный счетчик СПОДЭС 2 трехфазный",INDEX(ТУ!$BD:$BD,MATCH($U40*1,ТУ!$CP:$CP,0),1))),"Нартис-И300",
IF(ISNUMBER(SEARCH("Приборы с поддержкой протокола СПОДЭС - Универсальный счетчик СПОДЭС 2 однофазный",INDEX(ТУ!$BD:$BD,MATCH($U40*1,ТУ!$CP:$CP,0),1))),"Нартис-И100",
IF(ISNUMBER(SEARCH("Приборы с поддержкой протокола СПОДЭС - Нартис-И100 (СПОДЭС)",INDEX(ТУ!$BD:$BD,MATCH($U40*1,ТУ!$CP:$CP,0),1))),"Нартис-И100",
IF(ISNUMBER(SEARCH("Приборы с поддержкой протокола СПОДЭС - СЕ308 (СПОДЭС)",INDEX(ТУ!$BD:$BD,MATCH($U40*1,ТУ!$CP:$CP,0),1))),"СЕ308 (СПОДЭС)",
IF(ISNUMBER(SEARCH("Приборы с поддержкой протокола СПОДЭС - СЕ207 (СПОДЭС)",INDEX(ТУ!$BD:$BD,MATCH($U40*1,ТУ!$CP:$CP,0),1))),"СЕ207 (СПОДЭС)",
IF(ISNUMBER(SEARCH("Приборы с поддержкой протокола СПОДЭС - СТЭМ-300 (СПОДЭС)",INDEX(ТУ!$BD:$BD,MATCH($U40*1,ТУ!$CP:$CP,0),1))),"СТЭМ-300 (СПОДЭС)",
IF(ISNUMBER(SEARCH("ТехноЭнерго - ТЕ3000",INDEX(ТУ!$BD:$BD,MATCH($U40*1,ТУ!$CP:$CP,0),1))),"ТЕ3000",
IF(ISNUMBER(SEARCH("НЗиФ - СЭТ-4ТМ",INDEX(ТУ!$BD:$BD,MATCH($U40*1,ТУ!$CP:$CP,0),1))),"СЭТ-4ТМ",
INDEX(ТУ!$BD:$BD,MATCH($U40*1,ТУ!$CP:$CP,0),1)
)))))))))))))</f>
        <v>Инкотекс - Меркурий 233 (Постоянная счетчика - 250, Учитываемые типы энергии - А+,А-,Р+,Р-)</v>
      </c>
      <c r="AC40" s="40" t="s">
        <v>2</v>
      </c>
      <c r="AD40" s="40" t="str">
        <f>IF(ISNUMBER(IFERROR(LEFT(IF(INDEX(ТУ!$CI:$CI,MATCH($U40*1,ТУ!$CP:$CP,0),1)=0,"",INDEX(ТУ!$CI:$CI,MATCH($U40*1,ТУ!$CP:$CP,0),1)),SEARCH(" ",IF(INDEX(ТУ!$CI:$CI,MATCH($U40*1,ТУ!$CP:$CP,0),1)=0,"",INDEX(ТУ!$CI:$CI,MATCH($U40*1,ТУ!$CP:$CP,0),1)),1)-1),"")*1),IFERROR(LEFT(IF(INDEX(ТУ!$CI:$CI,MATCH($U40*1,ТУ!$CP:$CP,0),1)=0,"",INDEX(ТУ!$CI:$CI,MATCH($U40*1,ТУ!$CP:$CP,0),1)),SEARCH(" ",IF(INDEX(ТУ!$CI:$CI,MATCH($U40*1,ТУ!$CP:$CP,0),1)=0,"",INDEX(ТУ!$CI:$CI,MATCH($U40*1,ТУ!$CP:$CP,0),1)),1)-1),""),"")</f>
        <v>77690001008843</v>
      </c>
      <c r="AE40" s="40" t="str">
        <f>IF(INDEX(ТУ!$CB:$CB,MATCH($U40*1,ТУ!$CP:$CP,0),1)=0,INDEX(Adr!$B:$B,MATCH($U40*1,Adr!$C:$C,0),1),INDEX(ТУ!$CB:$CB,MATCH($U40*1,ТУ!$CP:$CP,0),1))</f>
        <v>102</v>
      </c>
      <c r="AF40" s="45" t="str">
        <f>IF(INDEX(ТУ!$CD:$CD,MATCH($U40*1,ТУ!$CP:$CP,0),1)=0,"",INDEX(ТУ!$CD:$CD,MATCH($U40*1,ТУ!$CP:$CP,0),1))</f>
        <v>222222</v>
      </c>
      <c r="AG40" s="45">
        <f>0</f>
        <v>0</v>
      </c>
      <c r="AH40" s="26">
        <f t="shared" si="17"/>
        <v>92</v>
      </c>
      <c r="AI40" s="20" t="str">
        <f t="shared" si="18"/>
        <v>925012861</v>
      </c>
      <c r="AJ40" s="41" t="str">
        <f t="shared" si="1"/>
        <v>10.82.10.27</v>
      </c>
      <c r="AK40" s="41" t="str">
        <f>IF($AP40="",IFERROR(IFERROR(LEFT(RIGHT(INDEX(ТУ!$CE:$CE,MATCH($U40*1,ТУ!$CP:$CP,0),1),LEN(INDEX(ТУ!$CE:$CE,MATCH($U40*1,ТУ!$CP:$CP,0),1))-SEARCH(":",INDEX(ТУ!$CE:$CE,MATCH($U40*1,ТУ!$CP:$CP,0),1))),SEARCH("/",RIGHT(INDEX(ТУ!$CE:$CE,MATCH($U40*1,ТУ!$CP:$CP,0),1),LEN(INDEX(ТУ!$CE:$CE,MATCH($U40*1,ТУ!$CP:$CP,0),1))-SEARCH(":",INDEX(ТУ!$CE:$CE,MATCH($U40*1,ТУ!$CP:$CP,0),1))))-1), RIGHT(INDEX(ТУ!$CE:$CE,MATCH($U40*1,ТУ!$CP:$CP,0),1),LEN(INDEX(ТУ!$CE:$CE,MATCH($U40*1,ТУ!$CP:$CP,0),1))-SEARCH(":",INDEX(ТУ!$CE:$CE,MATCH($U40*1,ТУ!$CP:$CP,0),1)))), ""),IFERROR(IFERROR(LEFT(RIGHT(INDEX(УСПД!$M:$M,MATCH(IFERROR(1*LEFT(INDEX(ТУ!$CG:$CG,MATCH($U40*1,ТУ!$CP:$CP,0),1),SEARCH(" ",INDEX(ТУ!$CG:$CG,MATCH($U40*1,ТУ!$CP:$CP,0),1))-1),""),УСПД!$N:$N,0),1),LEN(INDEX(УСПД!$M:$M,MATCH(IFERROR(1*LEFT(INDEX(ТУ!$CG:$CG,MATCH($U40*1,ТУ!$CP:$CP,0),1),SEARCH(" ",INDEX(ТУ!$CG:$CG,MATCH($U40*1,ТУ!$CP:$CP,0),1))-1),""),УСПД!$N:$N,0),1))-SEARCH(":",INDEX(УСПД!$M:$M,MATCH(IFERROR(1*LEFT(INDEX(ТУ!$CG:$CG,MATCH($U40*1,ТУ!$CP:$CP,0),1),SEARCH(" ",INDEX(ТУ!$CG:$CG,MATCH($U40*1,ТУ!$CP:$CP,0),1))-1),""),УСПД!$N:$N,0),1))),SEARCH("/",RIGHT(INDEX(УСПД!$M:$M,MATCH(IFERROR(1*LEFT(INDEX(ТУ!$CG:$CG,MATCH($U40*1,ТУ!$CP:$CP,0),1),SEARCH(" ",INDEX(ТУ!$CG:$CG,MATCH($U40*1,ТУ!$CP:$CP,0),1))-1),""),УСПД!$N:$N,0),1),LEN(INDEX(УСПД!$M:$M,MATCH(IFERROR(1*LEFT(INDEX(ТУ!$CG:$CG,MATCH($U40*1,ТУ!$CP:$CP,0),1),SEARCH(" ",INDEX(ТУ!$CG:$CG,MATCH($U40*1,ТУ!$CP:$CP,0),1))-1),""),УСПД!$N:$N,0),1))-SEARCH(":",INDEX(УСПД!$M:$M,MATCH(IFERROR(1*LEFT(INDEX(ТУ!$CG:$CG,MATCH($U40*1,ТУ!$CP:$CP,0),1),SEARCH(" ",INDEX(ТУ!$CG:$CG,MATCH($U40*1,ТУ!$CP:$CP,0),1))-1),""),УСПД!$N:$N,0),1))))-1), RIGHT(INDEX(УСПД!$M:$M,MATCH(IFERROR(1*LEFT(INDEX(ТУ!$CG:$CG,MATCH($U40*1,ТУ!$CP:$CP,0),1),SEARCH(" ",INDEX(ТУ!$CG:$CG,MATCH($U40*1,ТУ!$CP:$CP,0),1))-1),""),УСПД!$N:$N,0),1),LEN(INDEX(УСПД!$M:$M,MATCH(IFERROR(1*LEFT(INDEX(ТУ!$CG:$CG,MATCH($U40*1,ТУ!$CP:$CP,0),1),SEARCH(" ",INDEX(ТУ!$CG:$CG,MATCH($U40*1,ТУ!$CP:$CP,0),1))-1),""),УСПД!$N:$N,0),1))-SEARCH(":",INDEX(УСПД!$M:$M,MATCH(IFERROR(1*LEFT(INDEX(ТУ!$CG:$CG,MATCH($U40*1,ТУ!$CP:$CP,0),1),SEARCH(" ",INDEX(ТУ!$CG:$CG,MATCH($U40*1,ТУ!$CP:$CP,0),1))-1),""),УСПД!$N:$N,0),1)))), ""))</f>
        <v>4001</v>
      </c>
      <c r="AL40" s="41"/>
      <c r="AM40" s="57" t="str">
        <f>IFERROR(IFERROR(INDEX(Tel!$B:$B,MATCH($AJ40,Tel!$E:$E,0),1),INDEX(Tel!$B:$B,MATCH($AJ40,Tel!$D:$D,0),1)),"")</f>
        <v/>
      </c>
      <c r="AN40" s="59" t="str">
        <f>IF(ISNUMBER(SEARCH("ТОПАЗ - ТОПАЗ УСПД",IFERROR(RIGHT(LEFT(INDEX(ТУ!$CG:$CG,MATCH($U40*1,ТУ!$CP:$CP,0),1),SEARCH(")",INDEX(ТУ!$CG:$CG,MATCH($U40*1,ТУ!$CP:$CP,0),1))-1),LEN(LEFT(INDEX(ТУ!$CG:$CG,MATCH($U40*1,ТУ!$CP:$CP,0),1),SEARCH(")",INDEX(ТУ!$CG:$CG,MATCH($U40*1,ТУ!$CP:$CP,0),1))-1))-SEARCH("(",INDEX(ТУ!$CG:$CG,MATCH($U40*1,ТУ!$CP:$CP,0),1))),""),1)),"RTU-327",
IF(ISNUMBER(SEARCH("TELEOFIS",$AP40)),"Модем",
""))</f>
        <v/>
      </c>
      <c r="AO40" s="27" t="str">
        <f t="shared" si="24"/>
        <v/>
      </c>
      <c r="AP40" s="57" t="str">
        <f>IF(ISNUMBER(SEARCH("Миландр - Милур GSM/GPRS модем",IFERROR(RIGHT(LEFT(INDEX(ТУ!$CG:$CG,MATCH($U40*1,ТУ!$CP:$CP,0),1),SEARCH(")",INDEX(ТУ!$CG:$CG,MATCH($U40*1,ТУ!$CP:$CP,0),1))-1),LEN(LEFT(INDEX(ТУ!$CG:$CG,MATCH($U40*1,ТУ!$CP:$CP,0),1),SEARCH(")",INDEX(ТУ!$CG:$CG,MATCH($U40*1,ТУ!$CP:$CP,0),1))-1))-SEARCH("(",INDEX(ТУ!$CG:$CG,MATCH($U40*1,ТУ!$CP:$CP,0),1))),""),1)), "TELEOFIS WRX708-L4",IFERROR(RIGHT(LEFT(INDEX(ТУ!$CG:$CG,MATCH($U40*1,ТУ!$CP:$CP,0),1),SEARCH(")",INDEX(ТУ!$CG:$CG,MATCH($U40*1,ТУ!$CP:$CP,0),1))-1),LEN(LEFT(INDEX(ТУ!$CG:$CG,MATCH($U40*1,ТУ!$CP:$CP,0),1),SEARCH(")",INDEX(ТУ!$CG:$CG,MATCH($U40*1,ТУ!$CP:$CP,0),1))-1))-SEARCH("(",INDEX(ТУ!$CG:$CG,MATCH($U40*1,ТУ!$CP:$CP,0),1))),""))</f>
        <v/>
      </c>
      <c r="AQ40" s="57" t="str">
        <f>IFERROR(IF(INDEX(УСПД!$K:$K,MATCH($AS40*1,УСПД!$N:$N,0),1)=0,"",INDEX(УСПД!$K:$K,MATCH($AS40*1,УСПД!$N:$N,0),1)),"")</f>
        <v/>
      </c>
      <c r="AR40" s="57" t="str">
        <f>IFERROR(IF(INDEX(УСПД!$L:$L,MATCH($AS40*1,УСПД!$N:$N,0),1)=0,"",INDEX(УСПД!$L:$L,MATCH($AS40*1,УСПД!$N:$N,0),1)),"")</f>
        <v/>
      </c>
      <c r="AS40" s="60" t="str">
        <f>IFERROR(LEFT(INDEX(ТУ!$CG:$CG,MATCH($U40*1,ТУ!$CP:$CP,0),1),SEARCH(" ",INDEX(ТУ!$CG:$CG,MATCH($U40*1,ТУ!$CP:$CP,0),1))-1),"")</f>
        <v/>
      </c>
      <c r="AT40" s="59" t="s">
        <v>360</v>
      </c>
      <c r="AU40" s="59">
        <f>3</f>
        <v>3</v>
      </c>
      <c r="AV40" s="59" t="s">
        <v>368</v>
      </c>
      <c r="AW40" s="149">
        <f t="shared" si="19"/>
        <v>70</v>
      </c>
      <c r="AX40" s="149">
        <f t="shared" si="20"/>
        <v>34</v>
      </c>
      <c r="AY40" s="149" t="str">
        <f t="shared" si="21"/>
        <v/>
      </c>
      <c r="AZ40" s="149" t="str">
        <f t="shared" si="22"/>
        <v/>
      </c>
      <c r="BA40" s="149">
        <f t="shared" si="23"/>
        <v>1</v>
      </c>
      <c r="BB40" s="154" t="str">
        <f>IF($AP40="",IFERROR(IFERROR(LEFT(RIGHT(INDEX(ТУ!$CE:$CE,MATCH($U40*1,ТУ!$CP:$CP,0),1),LEN(INDEX(ТУ!$CE:$CE,MATCH($U40*1,ТУ!$CP:$CP,0),1))-SEARCH(", ",INDEX(ТУ!$CE:$CE,MATCH($U40*1,ТУ!$CP:$CP,0),1),SEARCH(", ",INDEX(ТУ!$CE:$CE,MATCH($U40*1,ТУ!$CP:$CP,0),1))+1)-1),SEARCH(":",RIGHT(INDEX(ТУ!$CE:$CE,MATCH($U40*1,ТУ!$CP:$CP,0),1),LEN(INDEX(ТУ!$CE:$CE,MATCH($U40*1,ТУ!$CP:$CP,0),1))-SEARCH(", ",INDEX(ТУ!$CE:$CE,MATCH($U40*1,ТУ!$CP:$CP,0),1),SEARCH(", ",INDEX(ТУ!$CE:$CE,MATCH($U40*1,ТУ!$CP:$CP,0),1))+1)-1))-1),LEFT(INDEX(ТУ!$CE:$CE,MATCH($U40*1,ТУ!$CP:$CP,0),1),SEARCH(":",INDEX(ТУ!$CE:$CE,MATCH($U40*1,ТУ!$CP:$CP,0),1))-1)),""),IFERROR(IFERROR(LEFT(RIGHT(INDEX(УСПД!$M:$M,MATCH(IFERROR(1*LEFT(INDEX(ТУ!$CG:$CG,MATCH($U40*1,ТУ!$CP:$CP,0),1),SEARCH(" ",INDEX(ТУ!$CG:$CG,MATCH($U40*1,ТУ!$CP:$CP,0),1))-1),""),УСПД!$N:$N,0),1),LEN(INDEX(УСПД!$M:$M,MATCH(IFERROR(1*LEFT(INDEX(ТУ!$CG:$CG,MATCH($U40*1,ТУ!$CP:$CP,0),1),SEARCH(" ",INDEX(ТУ!$CG:$CG,MATCH($U40*1,ТУ!$CP:$CP,0),1))-1),""),УСПД!$N:$N,0),1))-SEARCH(", ",INDEX(УСПД!$M:$M,MATCH(IFERROR(1*LEFT(INDEX(ТУ!$CG:$CG,MATCH($U40*1,ТУ!$CP:$CP,0),1),SEARCH(" ",INDEX(ТУ!$CG:$CG,MATCH($U40*1,ТУ!$CP:$CP,0),1))-1),""),УСПД!$N:$N,0),1),SEARCH(", ",INDEX(УСПД!$M:$M,MATCH(IFERROR(1*LEFT(INDEX(ТУ!$CG:$CG,MATCH($U40*1,ТУ!$CP:$CP,0),1),SEARCH(" ",INDEX(ТУ!$CG:$CG,MATCH($U40*1,ТУ!$CP:$CP,0),1))-1),""),УСПД!$N:$N,0),1))+1)-1),SEARCH(":",RIGHT(INDEX(УСПД!$M:$M,MATCH(IFERROR(1*LEFT(INDEX(ТУ!$CG:$CG,MATCH($U40*1,ТУ!$CP:$CP,0),1),SEARCH(" ",INDEX(ТУ!$CG:$CG,MATCH($U40*1,ТУ!$CP:$CP,0),1))-1),""),УСПД!$N:$N,0),1),LEN(INDEX(УСПД!$M:$M,MATCH(IFERROR(1*LEFT(INDEX(ТУ!$CG:$CG,MATCH($U40*1,ТУ!$CP:$CP,0),1),SEARCH(" ",INDEX(ТУ!$CG:$CG,MATCH($U40*1,ТУ!$CP:$CP,0),1))-1),""),УСПД!$N:$N,0),1))-SEARCH(", ",INDEX(УСПД!$M:$M,MATCH(IFERROR(1*LEFT(INDEX(ТУ!$CG:$CG,MATCH($U40*1,ТУ!$CP:$CP,0),1),SEARCH(" ",INDEX(ТУ!$CG:$CG,MATCH($U40*1,ТУ!$CP:$CP,0),1))-1),""),УСПД!$N:$N,0),1),SEARCH(", ",INDEX(УСПД!$M:$M,MATCH(IFERROR(1*LEFT(INDEX(ТУ!$CG:$CG,MATCH($U40*1,ТУ!$CP:$CP,0),1),SEARCH(" ",INDEX(ТУ!$CG:$CG,MATCH($U40*1,ТУ!$CP:$CP,0),1))-1),""),УСПД!$N:$N,0),1))+1)-1))-1),LEFT(INDEX(УСПД!$M:$M,MATCH(IFERROR(1*LEFT(INDEX(ТУ!$CG:$CG,MATCH($U40*1,ТУ!$CP:$CP,0),1),SEARCH(" ",INDEX(ТУ!$CG:$CG,MATCH($U40*1,ТУ!$CP:$CP,0),1))-1),""),УСПД!$N:$N,0),1),SEARCH(":",INDEX(УСПД!$M:$M,MATCH(IFERROR(1*LEFT(INDEX(ТУ!$CG:$CG,MATCH($U40*1,ТУ!$CP:$CP,0),1),SEARCH(" ",INDEX(ТУ!$CG:$CG,MATCH($U40*1,ТУ!$CP:$CP,0),1))-1),""),УСПД!$N:$N,0),1))-1)),""))</f>
        <v>10.82.10.27</v>
      </c>
      <c r="BC40" s="155" t="str">
        <f>INDEX(ТУ!$AF:$AF,MATCH($U40*1,ТУ!$CP:$CP,0),1)</f>
        <v>ТП-1286</v>
      </c>
      <c r="BD40" s="155">
        <f>INDEX(ТУ!$X:$X,MATCH($U40*1,ТУ!$CP:$CP,0),1)</f>
        <v>0</v>
      </c>
      <c r="BE40" s="155">
        <f>INDEX(ТУ!$CL:$CL,MATCH($U40*1,ТУ!$CP:$CP,0),1)</f>
        <v>0</v>
      </c>
      <c r="BF40" s="147" t="str">
        <f>IFERROR(INDEX(естьАЦ!$A:$A,MATCH($U40*1,естьАЦ!$A:$A,0),1),"нет в АЦ")</f>
        <v>нет в АЦ</v>
      </c>
    </row>
    <row r="41" spans="1:58" ht="15" x14ac:dyDescent="0.25">
      <c r="A41" s="55">
        <f>3</f>
        <v>3</v>
      </c>
      <c r="B41" s="42" t="str">
        <f>IFERROR(IFERROR(INDEX(Справочники!$A$2:$P$79,MATCH(INDEX(ТУ!$E:$E,MATCH($U41*1,ТУ!$CP:$CP,0),1),Справочники!$P$2:$P$79,0),2),INDEX(Справочники!$A$2:$P$79,MATCH((INDEX(ТУ!$E:$E,MATCH($U41*1,ТУ!$CP:$CP,0),1))*1,Справочники!$P$2:$P$79,0),2)),"")</f>
        <v>01 р-н МКС (ЦОРУПЭ)</v>
      </c>
      <c r="C41" s="46" t="str">
        <f>IFERROR(TRIM(LEFT(INDEX(ТУ!$AF:$AF,MATCH($U41*1,ТУ!$CP:$CP,0),1),SEARCH("-",INDEX(ТУ!$AF:$AF,MATCH($U41*1,ТУ!$CP:$CP,0),1))-1)),IFERROR(LEFT(INDEX(ТУ!$X:$X,MATCH($U41*1,ТУ!$CP:$CP,0),1),SEARCH("-",INDEX(ТУ!$X:$X,MATCH($U41*1,ТУ!$CP:$CP,0),1))-1),"ТП"))</f>
        <v>РТП</v>
      </c>
      <c r="D41" s="47" t="str">
        <f>IF(TRIM(IF(ISNUMBER((IFERROR(RIGHT(INDEX(ТУ!$AF:$AF,MATCH($U41*1,ТУ!$CP:$CP,0),1),LEN(INDEX(ТУ!$AF:$AF,MATCH($U41*1,ТУ!$CP:$CP,0),1))-SEARCH("-",INDEX(ТУ!$AF:$AF,MATCH($U41*1,ТУ!$CP:$CP,0),1))),INDEX(ТУ!$AF:$AF,MATCH($U41*1,ТУ!$CP:$CP,0),1)))*1),IFERROR(RIGHT(INDEX(ТУ!$AF:$AF,MATCH($U41*1,ТУ!$CP:$CP,0),1),LEN(INDEX(ТУ!$AF:$AF,MATCH($U41*1,ТУ!$CP:$CP,0),1))-SEARCH("-",INDEX(ТУ!$AF:$AF,MATCH($U41*1,ТУ!$CP:$CP,0),1))),INDEX(ТУ!$AF:$AF,MATCH($U41*1,ТУ!$CP:$CP,0),1)),""))="",TRIM(IF(ISNUMBER((IFERROR(RIGHT(INDEX(ТУ!$X:$X,MATCH($U41*1,ТУ!$CP:$CP,0),1),LEN(INDEX(ТУ!$X:$X,MATCH($U41*1,ТУ!$CP:$CP,0),1))-SEARCH("-",INDEX(ТУ!$X:$X,MATCH($U41*1,ТУ!$CP:$CP,0),1))),INDEX(ТУ!$X:$X,MATCH($U41*1,ТУ!$CP:$CP,0),1)))*1),IFERROR(RIGHT(INDEX(ТУ!$X:$X,MATCH($U41*1,ТУ!$CP:$CP,0),1),LEN(INDEX(ТУ!$X:$X,MATCH($U41*1,ТУ!$CP:$CP,0),1))-SEARCH("-",INDEX(ТУ!$X:$X,MATCH($U41*1,ТУ!$CP:$CP,0),1))),INDEX(ТУ!$X:$X,MATCH($U41*1,ТУ!$CP:$CP,0),1)),"")),TRIM(IF(ISNUMBER((IFERROR(RIGHT(INDEX(ТУ!$AF:$AF,MATCH($U41*1,ТУ!$CP:$CP,0),1),LEN(INDEX(ТУ!$AF:$AF,MATCH($U41*1,ТУ!$CP:$CP,0),1))-SEARCH("-",INDEX(ТУ!$AF:$AF,MATCH($U41*1,ТУ!$CP:$CP,0),1))),INDEX(ТУ!$AF:$AF,MATCH($U41*1,ТУ!$CP:$CP,0),1)))*1),IFERROR(RIGHT(INDEX(ТУ!$AF:$AF,MATCH($U41*1,ТУ!$CP:$CP,0),1),LEN(INDEX(ТУ!$AF:$AF,MATCH($U41*1,ТУ!$CP:$CP,0),1))-SEARCH("-",INDEX(ТУ!$AF:$AF,MATCH($U41*1,ТУ!$CP:$CP,0),1))),INDEX(ТУ!$AF:$AF,MATCH($U41*1,ТУ!$CP:$CP,0),1)),"")))</f>
        <v>11064</v>
      </c>
      <c r="E41" s="25" t="str">
        <f t="shared" si="2"/>
        <v>МКС</v>
      </c>
      <c r="F41" s="20">
        <f t="shared" si="3"/>
        <v>75</v>
      </c>
      <c r="G41" s="21">
        <f t="shared" si="4"/>
        <v>3</v>
      </c>
      <c r="H41" s="25" t="str">
        <f t="shared" si="5"/>
        <v>РТП-11064</v>
      </c>
      <c r="I41" s="25" t="str">
        <f t="shared" si="6"/>
        <v>75311064</v>
      </c>
      <c r="J41" s="42" t="str">
        <f>INDEX(Справочники!$M:$M,MATCH(IF(INDEX(ТУ!$BO:$BO,MATCH($U41*1,ТУ!$CP:$CP,0),1)=1,1,INDEX(ТУ!$BO:$BO,MATCH($U41*1,ТУ!$CP:$CP,0),1)*100),Справочники!$N:$N,0),1)</f>
        <v>10 кВ</v>
      </c>
      <c r="K41" s="40">
        <f>1</f>
        <v>1</v>
      </c>
      <c r="L41" s="20" t="str">
        <f t="shared" si="7"/>
        <v>СШ-1</v>
      </c>
      <c r="M41" s="20">
        <f t="shared" si="8"/>
        <v>1</v>
      </c>
      <c r="N41" s="40"/>
      <c r="O41" s="56" t="str">
        <f t="shared" si="9"/>
        <v>Ввод-1-1</v>
      </c>
      <c r="P41" s="57" t="str">
        <f>IFERROR(IF(INDEX(ТУ!$AO:$AO,MATCH($U41*1,ТУ!$CP:$CP,0),1)=0,"",INDEX(ТУ!$AO:$AO,MATCH($U41*1,ТУ!$CP:$CP,0),1)),"")</f>
        <v>вв. абонента</v>
      </c>
      <c r="Q41" s="40">
        <f>IFERROR(IF(INDEX(ТУ!$BN:$BN,MATCH($U41*1,ТУ!$CP:$CP,0),1)=1,1,INDEX(ТУ!$BN:$BN,MATCH($U41*1,ТУ!$CP:$CP,0),1)*5),"")</f>
        <v>400</v>
      </c>
      <c r="R41" s="25">
        <f t="shared" si="10"/>
        <v>5</v>
      </c>
      <c r="S41" s="25">
        <f t="shared" si="11"/>
        <v>10000</v>
      </c>
      <c r="T41" s="25">
        <f t="shared" si="12"/>
        <v>100</v>
      </c>
      <c r="U41" s="105" t="s">
        <v>894</v>
      </c>
      <c r="V41" s="43">
        <f>IF(INDEX(ТУ!$BH:$BH,MATCH($U41*1,ТУ!$CP:$CP,0),1)=0,"",INDEX(ТУ!$BH:$BH,MATCH($U41*1,ТУ!$CP:$CP,0),1))</f>
        <v>45132</v>
      </c>
      <c r="W41" s="43" t="str">
        <f>IF(INDEX(ТУ!$BI:$BI,MATCH($U41*1,ТУ!$CP:$CP,0),1)=0,"",INDEX(ТУ!$BI:$BI,MATCH($U41*1,ТУ!$CP:$CP,0),1))</f>
        <v>01.01.2023</v>
      </c>
      <c r="X41" s="58" t="str">
        <f t="shared" si="13"/>
        <v>Меркурий-23X</v>
      </c>
      <c r="Y41" s="25">
        <f t="shared" si="14"/>
        <v>15</v>
      </c>
      <c r="Z41" s="42" t="str">
        <f t="shared" si="15"/>
        <v/>
      </c>
      <c r="AA41" s="25" t="str">
        <f t="shared" si="16"/>
        <v/>
      </c>
      <c r="AB41" s="40" t="str">
        <f>IF(ISNUMBER(SEARCH("Приборы с поддержкой протокола СПОДЭС - Нартис-И300 (СПОДЭС)",INDEX(ТУ!$BD:$BD,MATCH($U41*1,ТУ!$CP:$CP,0),1))),"Нартис-И300",
IF(ISNUMBER(SEARCH("Приборы с поддержкой протокола СПОДЭС - Меркурий 234 (СПОДЭС)",INDEX(ТУ!$BD:$BD,MATCH($U41*1,ТУ!$CP:$CP,0),1))),"Меркурий 234 (СПОДЭС)",
IF(ISNUMBER(SEARCH("Приборы с поддержкой протокола СПОДЭС - Нартис-300 (СПОДЭС)",INDEX(ТУ!$BD:$BD,MATCH($U41*1,ТУ!$CP:$CP,0),1))),"Нартис-300",
IF(ISNUMBER(SEARCH("Инкотекс - Меркурий 234",INDEX(ТУ!$BD:$BD,MATCH($U41*1,ТУ!$CP:$CP,0),1))),"Меркурий 234",
IF(ISNUMBER(SEARCH("Инкотекс - Меркурий 206",INDEX(ТУ!$BD:$BD,MATCH($U41*1,ТУ!$CP:$CP,0),1))),"Меркурий 206",
IF(ISNUMBER(SEARCH("Приборы с поддержкой протокола СПОДЭС - Универсальный счетчик СПОДЭС 2 трехфазный",INDEX(ТУ!$BD:$BD,MATCH($U41*1,ТУ!$CP:$CP,0),1))),"Нартис-И300",
IF(ISNUMBER(SEARCH("Приборы с поддержкой протокола СПОДЭС - Универсальный счетчик СПОДЭС 2 однофазный",INDEX(ТУ!$BD:$BD,MATCH($U41*1,ТУ!$CP:$CP,0),1))),"Нартис-И100",
IF(ISNUMBER(SEARCH("Приборы с поддержкой протокола СПОДЭС - Нартис-И100 (СПОДЭС)",INDEX(ТУ!$BD:$BD,MATCH($U41*1,ТУ!$CP:$CP,0),1))),"Нартис-И100",
IF(ISNUMBER(SEARCH("Приборы с поддержкой протокола СПОДЭС - СЕ308 (СПОДЭС)",INDEX(ТУ!$BD:$BD,MATCH($U41*1,ТУ!$CP:$CP,0),1))),"СЕ308 (СПОДЭС)",
IF(ISNUMBER(SEARCH("Приборы с поддержкой протокола СПОДЭС - СЕ207 (СПОДЭС)",INDEX(ТУ!$BD:$BD,MATCH($U41*1,ТУ!$CP:$CP,0),1))),"СЕ207 (СПОДЭС)",
IF(ISNUMBER(SEARCH("Приборы с поддержкой протокола СПОДЭС - СТЭМ-300 (СПОДЭС)",INDEX(ТУ!$BD:$BD,MATCH($U41*1,ТУ!$CP:$CP,0),1))),"СТЭМ-300 (СПОДЭС)",
IF(ISNUMBER(SEARCH("ТехноЭнерго - ТЕ3000",INDEX(ТУ!$BD:$BD,MATCH($U41*1,ТУ!$CP:$CP,0),1))),"ТЕ3000",
IF(ISNUMBER(SEARCH("НЗиФ - СЭТ-4ТМ",INDEX(ТУ!$BD:$BD,MATCH($U41*1,ТУ!$CP:$CP,0),1))),"СЭТ-4ТМ",
INDEX(ТУ!$BD:$BD,MATCH($U41*1,ТУ!$CP:$CP,0),1)
)))))))))))))</f>
        <v>Меркурий 234</v>
      </c>
      <c r="AC41" s="40" t="s">
        <v>2</v>
      </c>
      <c r="AD41" s="40" t="str">
        <f>IF(ISNUMBER(IFERROR(LEFT(IF(INDEX(ТУ!$CI:$CI,MATCH($U41*1,ТУ!$CP:$CP,0),1)=0,"",INDEX(ТУ!$CI:$CI,MATCH($U41*1,ТУ!$CP:$CP,0),1)),SEARCH(" ",IF(INDEX(ТУ!$CI:$CI,MATCH($U41*1,ТУ!$CP:$CP,0),1)=0,"",INDEX(ТУ!$CI:$CI,MATCH($U41*1,ТУ!$CP:$CP,0),1)),1)-1),"")*1),IFERROR(LEFT(IF(INDEX(ТУ!$CI:$CI,MATCH($U41*1,ТУ!$CP:$CP,0),1)=0,"",INDEX(ТУ!$CI:$CI,MATCH($U41*1,ТУ!$CP:$CP,0),1)),SEARCH(" ",IF(INDEX(ТУ!$CI:$CI,MATCH($U41*1,ТУ!$CP:$CP,0),1)=0,"",INDEX(ТУ!$CI:$CI,MATCH($U41*1,ТУ!$CP:$CP,0),1)),1)-1),""),"")</f>
        <v>77640001007457</v>
      </c>
      <c r="AE41" s="40" t="str">
        <f>IF(INDEX(ТУ!$CB:$CB,MATCH($U41*1,ТУ!$CP:$CP,0),1)=0,INDEX(Adr!$B:$B,MATCH($U41*1,Adr!$C:$C,0),1),INDEX(ТУ!$CB:$CB,MATCH($U41*1,ТУ!$CP:$CP,0),1))</f>
        <v>105</v>
      </c>
      <c r="AF41" s="45" t="str">
        <f>IF(INDEX(ТУ!$CD:$CD,MATCH($U41*1,ТУ!$CP:$CP,0),1)=0,"",INDEX(ТУ!$CD:$CD,MATCH($U41*1,ТУ!$CP:$CP,0),1))</f>
        <v>222222</v>
      </c>
      <c r="AG41" s="45">
        <f>0</f>
        <v>0</v>
      </c>
      <c r="AH41" s="26">
        <f t="shared" si="17"/>
        <v>75</v>
      </c>
      <c r="AI41" s="20" t="str">
        <f t="shared" si="18"/>
        <v>753110641</v>
      </c>
      <c r="AJ41" s="41" t="str">
        <f t="shared" si="1"/>
        <v/>
      </c>
      <c r="AK41" s="41" t="str">
        <f>IF($AP41="",IFERROR(IFERROR(LEFT(RIGHT(INDEX(ТУ!$CE:$CE,MATCH($U41*1,ТУ!$CP:$CP,0),1),LEN(INDEX(ТУ!$CE:$CE,MATCH($U41*1,ТУ!$CP:$CP,0),1))-SEARCH(":",INDEX(ТУ!$CE:$CE,MATCH($U41*1,ТУ!$CP:$CP,0),1))),SEARCH("/",RIGHT(INDEX(ТУ!$CE:$CE,MATCH($U41*1,ТУ!$CP:$CP,0),1),LEN(INDEX(ТУ!$CE:$CE,MATCH($U41*1,ТУ!$CP:$CP,0),1))-SEARCH(":",INDEX(ТУ!$CE:$CE,MATCH($U41*1,ТУ!$CP:$CP,0),1))))-1), RIGHT(INDEX(ТУ!$CE:$CE,MATCH($U41*1,ТУ!$CP:$CP,0),1),LEN(INDEX(ТУ!$CE:$CE,MATCH($U41*1,ТУ!$CP:$CP,0),1))-SEARCH(":",INDEX(ТУ!$CE:$CE,MATCH($U41*1,ТУ!$CP:$CP,0),1)))), ""),IFERROR(IFERROR(LEFT(RIGHT(INDEX(УСПД!$M:$M,MATCH(IFERROR(1*LEFT(INDEX(ТУ!$CG:$CG,MATCH($U41*1,ТУ!$CP:$CP,0),1),SEARCH(" ",INDEX(ТУ!$CG:$CG,MATCH($U41*1,ТУ!$CP:$CP,0),1))-1),""),УСПД!$N:$N,0),1),LEN(INDEX(УСПД!$M:$M,MATCH(IFERROR(1*LEFT(INDEX(ТУ!$CG:$CG,MATCH($U41*1,ТУ!$CP:$CP,0),1),SEARCH(" ",INDEX(ТУ!$CG:$CG,MATCH($U41*1,ТУ!$CP:$CP,0),1))-1),""),УСПД!$N:$N,0),1))-SEARCH(":",INDEX(УСПД!$M:$M,MATCH(IFERROR(1*LEFT(INDEX(ТУ!$CG:$CG,MATCH($U41*1,ТУ!$CP:$CP,0),1),SEARCH(" ",INDEX(ТУ!$CG:$CG,MATCH($U41*1,ТУ!$CP:$CP,0),1))-1),""),УСПД!$N:$N,0),1))),SEARCH("/",RIGHT(INDEX(УСПД!$M:$M,MATCH(IFERROR(1*LEFT(INDEX(ТУ!$CG:$CG,MATCH($U41*1,ТУ!$CP:$CP,0),1),SEARCH(" ",INDEX(ТУ!$CG:$CG,MATCH($U41*1,ТУ!$CP:$CP,0),1))-1),""),УСПД!$N:$N,0),1),LEN(INDEX(УСПД!$M:$M,MATCH(IFERROR(1*LEFT(INDEX(ТУ!$CG:$CG,MATCH($U41*1,ТУ!$CP:$CP,0),1),SEARCH(" ",INDEX(ТУ!$CG:$CG,MATCH($U41*1,ТУ!$CP:$CP,0),1))-1),""),УСПД!$N:$N,0),1))-SEARCH(":",INDEX(УСПД!$M:$M,MATCH(IFERROR(1*LEFT(INDEX(ТУ!$CG:$CG,MATCH($U41*1,ТУ!$CP:$CP,0),1),SEARCH(" ",INDEX(ТУ!$CG:$CG,MATCH($U41*1,ТУ!$CP:$CP,0),1))-1),""),УСПД!$N:$N,0),1))))-1), RIGHT(INDEX(УСПД!$M:$M,MATCH(IFERROR(1*LEFT(INDEX(ТУ!$CG:$CG,MATCH($U41*1,ТУ!$CP:$CP,0),1),SEARCH(" ",INDEX(ТУ!$CG:$CG,MATCH($U41*1,ТУ!$CP:$CP,0),1))-1),""),УСПД!$N:$N,0),1),LEN(INDEX(УСПД!$M:$M,MATCH(IFERROR(1*LEFT(INDEX(ТУ!$CG:$CG,MATCH($U41*1,ТУ!$CP:$CP,0),1),SEARCH(" ",INDEX(ТУ!$CG:$CG,MATCH($U41*1,ТУ!$CP:$CP,0),1))-1),""),УСПД!$N:$N,0),1))-SEARCH(":",INDEX(УСПД!$M:$M,MATCH(IFERROR(1*LEFT(INDEX(ТУ!$CG:$CG,MATCH($U41*1,ТУ!$CP:$CP,0),1),SEARCH(" ",INDEX(ТУ!$CG:$CG,MATCH($U41*1,ТУ!$CP:$CP,0),1))-1),""),УСПД!$N:$N,0),1)))), ""))</f>
        <v/>
      </c>
      <c r="AL41" s="41"/>
      <c r="AM41" s="57" t="str">
        <f>IFERROR(IFERROR(INDEX(Tel!$B:$B,MATCH($AJ41,Tel!$E:$E,0),1),INDEX(Tel!$B:$B,MATCH($AJ41,Tel!$D:$D,0),1)),"")</f>
        <v/>
      </c>
      <c r="AN41" s="59" t="str">
        <f>IF(ISNUMBER(SEARCH("ТОПАЗ - ТОПАЗ УСПД",IFERROR(RIGHT(LEFT(INDEX(ТУ!$CG:$CG,MATCH($U41*1,ТУ!$CP:$CP,0),1),SEARCH(")",INDEX(ТУ!$CG:$CG,MATCH($U41*1,ТУ!$CP:$CP,0),1))-1),LEN(LEFT(INDEX(ТУ!$CG:$CG,MATCH($U41*1,ТУ!$CP:$CP,0),1),SEARCH(")",INDEX(ТУ!$CG:$CG,MATCH($U41*1,ТУ!$CP:$CP,0),1))-1))-SEARCH("(",INDEX(ТУ!$CG:$CG,MATCH($U41*1,ТУ!$CP:$CP,0),1))),""),1)),"RTU-327",
IF(ISNUMBER(SEARCH("TELEOFIS",$AP41)),"Модем",
""))</f>
        <v>RTU-327</v>
      </c>
      <c r="AO41" s="27">
        <f t="shared" si="24"/>
        <v>7</v>
      </c>
      <c r="AP41" s="57" t="str">
        <f>IF(ISNUMBER(SEARCH("Миландр - Милур GSM/GPRS модем",IFERROR(RIGHT(LEFT(INDEX(ТУ!$CG:$CG,MATCH($U41*1,ТУ!$CP:$CP,0),1),SEARCH(")",INDEX(ТУ!$CG:$CG,MATCH($U41*1,ТУ!$CP:$CP,0),1))-1),LEN(LEFT(INDEX(ТУ!$CG:$CG,MATCH($U41*1,ТУ!$CP:$CP,0),1),SEARCH(")",INDEX(ТУ!$CG:$CG,MATCH($U41*1,ТУ!$CP:$CP,0),1))-1))-SEARCH("(",INDEX(ТУ!$CG:$CG,MATCH($U41*1,ТУ!$CP:$CP,0),1))),""),1)), "TELEOFIS WRX708-L4",IFERROR(RIGHT(LEFT(INDEX(ТУ!$CG:$CG,MATCH($U41*1,ТУ!$CP:$CP,0),1),SEARCH(")",INDEX(ТУ!$CG:$CG,MATCH($U41*1,ТУ!$CP:$CP,0),1))-1),LEN(LEFT(INDEX(ТУ!$CG:$CG,MATCH($U41*1,ТУ!$CP:$CP,0),1),SEARCH(")",INDEX(ТУ!$CG:$CG,MATCH($U41*1,ТУ!$CP:$CP,0),1))-1))-SEARCH("(",INDEX(ТУ!$CG:$CG,MATCH($U41*1,ТУ!$CP:$CP,0),1))),""))</f>
        <v>ТОПАЗ - ТОПАЗ УСПД</v>
      </c>
      <c r="AQ41" s="57" t="str">
        <f>IFERROR(IF(INDEX(УСПД!$K:$K,MATCH($AS41*1,УСПД!$N:$N,0),1)=0,"",INDEX(УСПД!$K:$K,MATCH($AS41*1,УСПД!$N:$N,0),1)),"")</f>
        <v/>
      </c>
      <c r="AR41" s="57" t="str">
        <f>IFERROR(IF(INDEX(УСПД!$L:$L,MATCH($AS41*1,УСПД!$N:$N,0),1)=0,"",INDEX(УСПД!$L:$L,MATCH($AS41*1,УСПД!$N:$N,0),1)),"")</f>
        <v/>
      </c>
      <c r="AS41" s="60" t="str">
        <f>IFERROR(LEFT(INDEX(ТУ!$CG:$CG,MATCH($U41*1,ТУ!$CP:$CP,0),1),SEARCH(" ",INDEX(ТУ!$CG:$CG,MATCH($U41*1,ТУ!$CP:$CP,0),1))-1),"")</f>
        <v>2400010152</v>
      </c>
      <c r="AT41" s="59" t="s">
        <v>360</v>
      </c>
      <c r="AU41" s="59">
        <f>3</f>
        <v>3</v>
      </c>
      <c r="AV41" s="59" t="s">
        <v>368</v>
      </c>
      <c r="AW41" s="149">
        <f t="shared" si="19"/>
        <v>53</v>
      </c>
      <c r="AX41" s="149">
        <f t="shared" si="20"/>
        <v>15</v>
      </c>
      <c r="AY41" s="149" t="str">
        <f t="shared" si="21"/>
        <v/>
      </c>
      <c r="AZ41" s="149">
        <f t="shared" si="22"/>
        <v>6</v>
      </c>
      <c r="BA41" s="149">
        <f t="shared" si="23"/>
        <v>3</v>
      </c>
      <c r="BB41" s="154" t="str">
        <f>IF($AP41="",IFERROR(IFERROR(LEFT(RIGHT(INDEX(ТУ!$CE:$CE,MATCH($U41*1,ТУ!$CP:$CP,0),1),LEN(INDEX(ТУ!$CE:$CE,MATCH($U41*1,ТУ!$CP:$CP,0),1))-SEARCH(", ",INDEX(ТУ!$CE:$CE,MATCH($U41*1,ТУ!$CP:$CP,0),1),SEARCH(", ",INDEX(ТУ!$CE:$CE,MATCH($U41*1,ТУ!$CP:$CP,0),1))+1)-1),SEARCH(":",RIGHT(INDEX(ТУ!$CE:$CE,MATCH($U41*1,ТУ!$CP:$CP,0),1),LEN(INDEX(ТУ!$CE:$CE,MATCH($U41*1,ТУ!$CP:$CP,0),1))-SEARCH(", ",INDEX(ТУ!$CE:$CE,MATCH($U41*1,ТУ!$CP:$CP,0),1),SEARCH(", ",INDEX(ТУ!$CE:$CE,MATCH($U41*1,ТУ!$CP:$CP,0),1))+1)-1))-1),LEFT(INDEX(ТУ!$CE:$CE,MATCH($U41*1,ТУ!$CP:$CP,0),1),SEARCH(":",INDEX(ТУ!$CE:$CE,MATCH($U41*1,ТУ!$CP:$CP,0),1))-1)),""),IFERROR(IFERROR(LEFT(RIGHT(INDEX(УСПД!$M:$M,MATCH(IFERROR(1*LEFT(INDEX(ТУ!$CG:$CG,MATCH($U41*1,ТУ!$CP:$CP,0),1),SEARCH(" ",INDEX(ТУ!$CG:$CG,MATCH($U41*1,ТУ!$CP:$CP,0),1))-1),""),УСПД!$N:$N,0),1),LEN(INDEX(УСПД!$M:$M,MATCH(IFERROR(1*LEFT(INDEX(ТУ!$CG:$CG,MATCH($U41*1,ТУ!$CP:$CP,0),1),SEARCH(" ",INDEX(ТУ!$CG:$CG,MATCH($U41*1,ТУ!$CP:$CP,0),1))-1),""),УСПД!$N:$N,0),1))-SEARCH(", ",INDEX(УСПД!$M:$M,MATCH(IFERROR(1*LEFT(INDEX(ТУ!$CG:$CG,MATCH($U41*1,ТУ!$CP:$CP,0),1),SEARCH(" ",INDEX(ТУ!$CG:$CG,MATCH($U41*1,ТУ!$CP:$CP,0),1))-1),""),УСПД!$N:$N,0),1),SEARCH(", ",INDEX(УСПД!$M:$M,MATCH(IFERROR(1*LEFT(INDEX(ТУ!$CG:$CG,MATCH($U41*1,ТУ!$CP:$CP,0),1),SEARCH(" ",INDEX(ТУ!$CG:$CG,MATCH($U41*1,ТУ!$CP:$CP,0),1))-1),""),УСПД!$N:$N,0),1))+1)-1),SEARCH(":",RIGHT(INDEX(УСПД!$M:$M,MATCH(IFERROR(1*LEFT(INDEX(ТУ!$CG:$CG,MATCH($U41*1,ТУ!$CP:$CP,0),1),SEARCH(" ",INDEX(ТУ!$CG:$CG,MATCH($U41*1,ТУ!$CP:$CP,0),1))-1),""),УСПД!$N:$N,0),1),LEN(INDEX(УСПД!$M:$M,MATCH(IFERROR(1*LEFT(INDEX(ТУ!$CG:$CG,MATCH($U41*1,ТУ!$CP:$CP,0),1),SEARCH(" ",INDEX(ТУ!$CG:$CG,MATCH($U41*1,ТУ!$CP:$CP,0),1))-1),""),УСПД!$N:$N,0),1))-SEARCH(", ",INDEX(УСПД!$M:$M,MATCH(IFERROR(1*LEFT(INDEX(ТУ!$CG:$CG,MATCH($U41*1,ТУ!$CP:$CP,0),1),SEARCH(" ",INDEX(ТУ!$CG:$CG,MATCH($U41*1,ТУ!$CP:$CP,0),1))-1),""),УСПД!$N:$N,0),1),SEARCH(", ",INDEX(УСПД!$M:$M,MATCH(IFERROR(1*LEFT(INDEX(ТУ!$CG:$CG,MATCH($U41*1,ТУ!$CP:$CP,0),1),SEARCH(" ",INDEX(ТУ!$CG:$CG,MATCH($U41*1,ТУ!$CP:$CP,0),1))-1),""),УСПД!$N:$N,0),1))+1)-1))-1),LEFT(INDEX(УСПД!$M:$M,MATCH(IFERROR(1*LEFT(INDEX(ТУ!$CG:$CG,MATCH($U41*1,ТУ!$CP:$CP,0),1),SEARCH(" ",INDEX(ТУ!$CG:$CG,MATCH($U41*1,ТУ!$CP:$CP,0),1))-1),""),УСПД!$N:$N,0),1),SEARCH(":",INDEX(УСПД!$M:$M,MATCH(IFERROR(1*LEFT(INDEX(ТУ!$CG:$CG,MATCH($U41*1,ТУ!$CP:$CP,0),1),SEARCH(" ",INDEX(ТУ!$CG:$CG,MATCH($U41*1,ТУ!$CP:$CP,0),1))-1),""),УСПД!$N:$N,0),1))-1)),""))</f>
        <v/>
      </c>
      <c r="BC41" s="155" t="str">
        <f>INDEX(ТУ!$AF:$AF,MATCH($U41*1,ТУ!$CP:$CP,0),1)</f>
        <v>РТП-11064</v>
      </c>
      <c r="BD41" s="155">
        <f>INDEX(ТУ!$X:$X,MATCH($U41*1,ТУ!$CP:$CP,0),1)</f>
        <v>0</v>
      </c>
      <c r="BE41" s="155">
        <f>INDEX(ТУ!$CL:$CL,MATCH($U41*1,ТУ!$CP:$CP,0),1)</f>
        <v>0</v>
      </c>
      <c r="BF41" s="147" t="str">
        <f>IFERROR(INDEX(естьАЦ!$A:$A,MATCH($U41*1,естьАЦ!$A:$A,0),1),"нет в АЦ")</f>
        <v>нет в АЦ</v>
      </c>
    </row>
    <row r="42" spans="1:58" ht="15" x14ac:dyDescent="0.25">
      <c r="A42" s="55">
        <f>3</f>
        <v>3</v>
      </c>
      <c r="B42" s="42" t="str">
        <f>IFERROR(IFERROR(INDEX(Справочники!$A$2:$P$79,MATCH(INDEX(ТУ!$E:$E,MATCH($U42*1,ТУ!$CP:$CP,0),1),Справочники!$P$2:$P$79,0),2),INDEX(Справочники!$A$2:$P$79,MATCH((INDEX(ТУ!$E:$E,MATCH($U42*1,ТУ!$CP:$CP,0),1))*1,Справочники!$P$2:$P$79,0),2)),"")</f>
        <v>39 р-н МКС (ЗелОРУПЭ)</v>
      </c>
      <c r="C42" s="46" t="str">
        <f>IFERROR(TRIM(LEFT(INDEX(ТУ!$AF:$AF,MATCH($U42*1,ТУ!$CP:$CP,0),1),SEARCH("-",INDEX(ТУ!$AF:$AF,MATCH($U42*1,ТУ!$CP:$CP,0),1))-1)),IFERROR(LEFT(INDEX(ТУ!$X:$X,MATCH($U42*1,ТУ!$CP:$CP,0),1),SEARCH("-",INDEX(ТУ!$X:$X,MATCH($U42*1,ТУ!$CP:$CP,0),1))-1),"ТП"))</f>
        <v>ТП</v>
      </c>
      <c r="D42" s="47" t="str">
        <f>IF(TRIM(IF(ISNUMBER((IFERROR(RIGHT(INDEX(ТУ!$AF:$AF,MATCH($U42*1,ТУ!$CP:$CP,0),1),LEN(INDEX(ТУ!$AF:$AF,MATCH($U42*1,ТУ!$CP:$CP,0),1))-SEARCH("-",INDEX(ТУ!$AF:$AF,MATCH($U42*1,ТУ!$CP:$CP,0),1))),INDEX(ТУ!$AF:$AF,MATCH($U42*1,ТУ!$CP:$CP,0),1)))*1),IFERROR(RIGHT(INDEX(ТУ!$AF:$AF,MATCH($U42*1,ТУ!$CP:$CP,0),1),LEN(INDEX(ТУ!$AF:$AF,MATCH($U42*1,ТУ!$CP:$CP,0),1))-SEARCH("-",INDEX(ТУ!$AF:$AF,MATCH($U42*1,ТУ!$CP:$CP,0),1))),INDEX(ТУ!$AF:$AF,MATCH($U42*1,ТУ!$CP:$CP,0),1)),""))="",TRIM(IF(ISNUMBER((IFERROR(RIGHT(INDEX(ТУ!$X:$X,MATCH($U42*1,ТУ!$CP:$CP,0),1),LEN(INDEX(ТУ!$X:$X,MATCH($U42*1,ТУ!$CP:$CP,0),1))-SEARCH("-",INDEX(ТУ!$X:$X,MATCH($U42*1,ТУ!$CP:$CP,0),1))),INDEX(ТУ!$X:$X,MATCH($U42*1,ТУ!$CP:$CP,0),1)))*1),IFERROR(RIGHT(INDEX(ТУ!$X:$X,MATCH($U42*1,ТУ!$CP:$CP,0),1),LEN(INDEX(ТУ!$X:$X,MATCH($U42*1,ТУ!$CP:$CP,0),1))-SEARCH("-",INDEX(ТУ!$X:$X,MATCH($U42*1,ТУ!$CP:$CP,0),1))),INDEX(ТУ!$X:$X,MATCH($U42*1,ТУ!$CP:$CP,0),1)),"")),TRIM(IF(ISNUMBER((IFERROR(RIGHT(INDEX(ТУ!$AF:$AF,MATCH($U42*1,ТУ!$CP:$CP,0),1),LEN(INDEX(ТУ!$AF:$AF,MATCH($U42*1,ТУ!$CP:$CP,0),1))-SEARCH("-",INDEX(ТУ!$AF:$AF,MATCH($U42*1,ТУ!$CP:$CP,0),1))),INDEX(ТУ!$AF:$AF,MATCH($U42*1,ТУ!$CP:$CP,0),1)))*1),IFERROR(RIGHT(INDEX(ТУ!$AF:$AF,MATCH($U42*1,ТУ!$CP:$CP,0),1),LEN(INDEX(ТУ!$AF:$AF,MATCH($U42*1,ТУ!$CP:$CP,0),1))-SEARCH("-",INDEX(ТУ!$AF:$AF,MATCH($U42*1,ТУ!$CP:$CP,0),1))),INDEX(ТУ!$AF:$AF,MATCH($U42*1,ТУ!$CP:$CP,0),1)),"")))</f>
        <v>21688</v>
      </c>
      <c r="E42" s="25" t="str">
        <f t="shared" si="2"/>
        <v>МКС</v>
      </c>
      <c r="F42" s="20">
        <f t="shared" si="3"/>
        <v>39</v>
      </c>
      <c r="G42" s="21">
        <f t="shared" si="4"/>
        <v>5</v>
      </c>
      <c r="H42" s="25" t="str">
        <f t="shared" si="5"/>
        <v>ТП-21688</v>
      </c>
      <c r="I42" s="25" t="str">
        <f t="shared" si="6"/>
        <v>39521688</v>
      </c>
      <c r="J42" s="42" t="str">
        <f>INDEX(Справочники!$M:$M,MATCH(IF(INDEX(ТУ!$BO:$BO,MATCH($U42*1,ТУ!$CP:$CP,0),1)=1,1,INDEX(ТУ!$BO:$BO,MATCH($U42*1,ТУ!$CP:$CP,0),1)*100),Справочники!$N:$N,0),1)</f>
        <v>0.4 кВ</v>
      </c>
      <c r="K42" s="40">
        <f>1</f>
        <v>1</v>
      </c>
      <c r="L42" s="20" t="str">
        <f t="shared" si="7"/>
        <v>СШ-1</v>
      </c>
      <c r="M42" s="20">
        <f t="shared" si="8"/>
        <v>1</v>
      </c>
      <c r="N42" s="40"/>
      <c r="O42" s="56" t="str">
        <f t="shared" si="9"/>
        <v>Ввод-1-1</v>
      </c>
      <c r="P42" s="57" t="str">
        <f>IFERROR(IF(INDEX(ТУ!$AO:$AO,MATCH($U42*1,ТУ!$CP:$CP,0),1)=0,"",INDEX(ТУ!$AO:$AO,MATCH($U42*1,ТУ!$CP:$CP,0),1)),"")</f>
        <v>№120073008_фид._Магазин А</v>
      </c>
      <c r="Q42" s="40">
        <f>IFERROR(IF(INDEX(ТУ!$BN:$BN,MATCH($U42*1,ТУ!$CP:$CP,0),1)=1,1,INDEX(ТУ!$BN:$BN,MATCH($U42*1,ТУ!$CP:$CP,0),1)*5),"")</f>
        <v>400</v>
      </c>
      <c r="R42" s="25">
        <f t="shared" si="10"/>
        <v>5</v>
      </c>
      <c r="S42" s="25">
        <f t="shared" si="11"/>
        <v>1</v>
      </c>
      <c r="T42" s="25">
        <f t="shared" si="12"/>
        <v>1</v>
      </c>
      <c r="U42" s="105" t="s">
        <v>909</v>
      </c>
      <c r="V42" s="43">
        <f>IF(INDEX(ТУ!$BH:$BH,MATCH($U42*1,ТУ!$CP:$CP,0),1)=0,"",INDEX(ТУ!$BH:$BH,MATCH($U42*1,ТУ!$CP:$CP,0),1))</f>
        <v>43767</v>
      </c>
      <c r="W42" s="43" t="str">
        <f>IF(INDEX(ТУ!$BI:$BI,MATCH($U42*1,ТУ!$CP:$CP,0),1)=0,"",INDEX(ТУ!$BI:$BI,MATCH($U42*1,ТУ!$CP:$CP,0),1))</f>
        <v>28.10.2019</v>
      </c>
      <c r="X42" s="58" t="str">
        <f t="shared" si="13"/>
        <v>СЭТ-4ТМ</v>
      </c>
      <c r="Y42" s="25">
        <f t="shared" si="14"/>
        <v>7</v>
      </c>
      <c r="Z42" s="42" t="str">
        <f t="shared" si="15"/>
        <v/>
      </c>
      <c r="AA42" s="25" t="str">
        <f t="shared" si="16"/>
        <v/>
      </c>
      <c r="AB42" s="40" t="str">
        <f>IF(ISNUMBER(SEARCH("Приборы с поддержкой протокола СПОДЭС - Нартис-И300 (СПОДЭС)",INDEX(ТУ!$BD:$BD,MATCH($U42*1,ТУ!$CP:$CP,0),1))),"Нартис-И300",
IF(ISNUMBER(SEARCH("Приборы с поддержкой протокола СПОДЭС - Меркурий 234 (СПОДЭС)",INDEX(ТУ!$BD:$BD,MATCH($U42*1,ТУ!$CP:$CP,0),1))),"Меркурий 234 (СПОДЭС)",
IF(ISNUMBER(SEARCH("Приборы с поддержкой протокола СПОДЭС - Нартис-300 (СПОДЭС)",INDEX(ТУ!$BD:$BD,MATCH($U42*1,ТУ!$CP:$CP,0),1))),"Нартис-300",
IF(ISNUMBER(SEARCH("Инкотекс - Меркурий 234",INDEX(ТУ!$BD:$BD,MATCH($U42*1,ТУ!$CP:$CP,0),1))),"Меркурий 234",
IF(ISNUMBER(SEARCH("Инкотекс - Меркурий 206",INDEX(ТУ!$BD:$BD,MATCH($U42*1,ТУ!$CP:$CP,0),1))),"Меркурий 206",
IF(ISNUMBER(SEARCH("Приборы с поддержкой протокола СПОДЭС - Универсальный счетчик СПОДЭС 2 трехфазный",INDEX(ТУ!$BD:$BD,MATCH($U42*1,ТУ!$CP:$CP,0),1))),"Нартис-И300",
IF(ISNUMBER(SEARCH("Приборы с поддержкой протокола СПОДЭС - Универсальный счетчик СПОДЭС 2 однофазный",INDEX(ТУ!$BD:$BD,MATCH($U42*1,ТУ!$CP:$CP,0),1))),"Нартис-И100",
IF(ISNUMBER(SEARCH("Приборы с поддержкой протокола СПОДЭС - Нартис-И100 (СПОДЭС)",INDEX(ТУ!$BD:$BD,MATCH($U42*1,ТУ!$CP:$CP,0),1))),"Нартис-И100",
IF(ISNUMBER(SEARCH("Приборы с поддержкой протокола СПОДЭС - СЕ308 (СПОДЭС)",INDEX(ТУ!$BD:$BD,MATCH($U42*1,ТУ!$CP:$CP,0),1))),"СЕ308 (СПОДЭС)",
IF(ISNUMBER(SEARCH("Приборы с поддержкой протокола СПОДЭС - СЕ207 (СПОДЭС)",INDEX(ТУ!$BD:$BD,MATCH($U42*1,ТУ!$CP:$CP,0),1))),"СЕ207 (СПОДЭС)",
IF(ISNUMBER(SEARCH("Приборы с поддержкой протокола СПОДЭС - СТЭМ-300 (СПОДЭС)",INDEX(ТУ!$BD:$BD,MATCH($U42*1,ТУ!$CP:$CP,0),1))),"СТЭМ-300 (СПОДЭС)",
IF(ISNUMBER(SEARCH("ТехноЭнерго - ТЕ3000",INDEX(ТУ!$BD:$BD,MATCH($U42*1,ТУ!$CP:$CP,0),1))),"ТЕ3000",
IF(ISNUMBER(SEARCH("НЗиФ - СЭТ-4ТМ",INDEX(ТУ!$BD:$BD,MATCH($U42*1,ТУ!$CP:$CP,0),1))),"СЭТ-4ТМ",
INDEX(ТУ!$BD:$BD,MATCH($U42*1,ТУ!$CP:$CP,0),1)
)))))))))))))</f>
        <v>СЭТ-4ТМ</v>
      </c>
      <c r="AC42" s="40" t="s">
        <v>2</v>
      </c>
      <c r="AD42" s="40" t="str">
        <f>IF(ISNUMBER(IFERROR(LEFT(IF(INDEX(ТУ!$CI:$CI,MATCH($U42*1,ТУ!$CP:$CP,0),1)=0,"",INDEX(ТУ!$CI:$CI,MATCH($U42*1,ТУ!$CP:$CP,0),1)),SEARCH(" ",IF(INDEX(ТУ!$CI:$CI,MATCH($U42*1,ТУ!$CP:$CP,0),1)=0,"",INDEX(ТУ!$CI:$CI,MATCH($U42*1,ТУ!$CP:$CP,0),1)),1)-1),"")*1),IFERROR(LEFT(IF(INDEX(ТУ!$CI:$CI,MATCH($U42*1,ТУ!$CP:$CP,0),1)=0,"",INDEX(ТУ!$CI:$CI,MATCH($U42*1,ТУ!$CP:$CP,0),1)),SEARCH(" ",IF(INDEX(ТУ!$CI:$CI,MATCH($U42*1,ТУ!$CP:$CP,0),1)=0,"",INDEX(ТУ!$CI:$CI,MATCH($U42*1,ТУ!$CP:$CP,0),1)),1)-1),""),"")</f>
        <v>77650001004615</v>
      </c>
      <c r="AE42" s="40" t="str">
        <f>IF(INDEX(ТУ!$CB:$CB,MATCH($U42*1,ТУ!$CP:$CP,0),1)=0,INDEX(Adr!$B:$B,MATCH($U42*1,Adr!$C:$C,0),1),INDEX(ТУ!$CB:$CB,MATCH($U42*1,ТУ!$CP:$CP,0),1))</f>
        <v>4</v>
      </c>
      <c r="AF42" s="45" t="str">
        <f>IF(INDEX(ТУ!$CD:$CD,MATCH($U42*1,ТУ!$CP:$CP,0),1)=0,"",INDEX(ТУ!$CD:$CD,MATCH($U42*1,ТУ!$CP:$CP,0),1))</f>
        <v/>
      </c>
      <c r="AG42" s="45">
        <f>0</f>
        <v>0</v>
      </c>
      <c r="AH42" s="26">
        <f t="shared" si="17"/>
        <v>39</v>
      </c>
      <c r="AI42" s="20" t="str">
        <f t="shared" si="18"/>
        <v>395216881</v>
      </c>
      <c r="AJ42" s="41" t="str">
        <f t="shared" si="1"/>
        <v/>
      </c>
      <c r="AK42" s="41" t="str">
        <f>IF($AP42="",IFERROR(IFERROR(LEFT(RIGHT(INDEX(ТУ!$CE:$CE,MATCH($U42*1,ТУ!$CP:$CP,0),1),LEN(INDEX(ТУ!$CE:$CE,MATCH($U42*1,ТУ!$CP:$CP,0),1))-SEARCH(":",INDEX(ТУ!$CE:$CE,MATCH($U42*1,ТУ!$CP:$CP,0),1))),SEARCH("/",RIGHT(INDEX(ТУ!$CE:$CE,MATCH($U42*1,ТУ!$CP:$CP,0),1),LEN(INDEX(ТУ!$CE:$CE,MATCH($U42*1,ТУ!$CP:$CP,0),1))-SEARCH(":",INDEX(ТУ!$CE:$CE,MATCH($U42*1,ТУ!$CP:$CP,0),1))))-1), RIGHT(INDEX(ТУ!$CE:$CE,MATCH($U42*1,ТУ!$CP:$CP,0),1),LEN(INDEX(ТУ!$CE:$CE,MATCH($U42*1,ТУ!$CP:$CP,0),1))-SEARCH(":",INDEX(ТУ!$CE:$CE,MATCH($U42*1,ТУ!$CP:$CP,0),1)))), ""),IFERROR(IFERROR(LEFT(RIGHT(INDEX(УСПД!$M:$M,MATCH(IFERROR(1*LEFT(INDEX(ТУ!$CG:$CG,MATCH($U42*1,ТУ!$CP:$CP,0),1),SEARCH(" ",INDEX(ТУ!$CG:$CG,MATCH($U42*1,ТУ!$CP:$CP,0),1))-1),""),УСПД!$N:$N,0),1),LEN(INDEX(УСПД!$M:$M,MATCH(IFERROR(1*LEFT(INDEX(ТУ!$CG:$CG,MATCH($U42*1,ТУ!$CP:$CP,0),1),SEARCH(" ",INDEX(ТУ!$CG:$CG,MATCH($U42*1,ТУ!$CP:$CP,0),1))-1),""),УСПД!$N:$N,0),1))-SEARCH(":",INDEX(УСПД!$M:$M,MATCH(IFERROR(1*LEFT(INDEX(ТУ!$CG:$CG,MATCH($U42*1,ТУ!$CP:$CP,0),1),SEARCH(" ",INDEX(ТУ!$CG:$CG,MATCH($U42*1,ТУ!$CP:$CP,0),1))-1),""),УСПД!$N:$N,0),1))),SEARCH("/",RIGHT(INDEX(УСПД!$M:$M,MATCH(IFERROR(1*LEFT(INDEX(ТУ!$CG:$CG,MATCH($U42*1,ТУ!$CP:$CP,0),1),SEARCH(" ",INDEX(ТУ!$CG:$CG,MATCH($U42*1,ТУ!$CP:$CP,0),1))-1),""),УСПД!$N:$N,0),1),LEN(INDEX(УСПД!$M:$M,MATCH(IFERROR(1*LEFT(INDEX(ТУ!$CG:$CG,MATCH($U42*1,ТУ!$CP:$CP,0),1),SEARCH(" ",INDEX(ТУ!$CG:$CG,MATCH($U42*1,ТУ!$CP:$CP,0),1))-1),""),УСПД!$N:$N,0),1))-SEARCH(":",INDEX(УСПД!$M:$M,MATCH(IFERROR(1*LEFT(INDEX(ТУ!$CG:$CG,MATCH($U42*1,ТУ!$CP:$CP,0),1),SEARCH(" ",INDEX(ТУ!$CG:$CG,MATCH($U42*1,ТУ!$CP:$CP,0),1))-1),""),УСПД!$N:$N,0),1))))-1), RIGHT(INDEX(УСПД!$M:$M,MATCH(IFERROR(1*LEFT(INDEX(ТУ!$CG:$CG,MATCH($U42*1,ТУ!$CP:$CP,0),1),SEARCH(" ",INDEX(ТУ!$CG:$CG,MATCH($U42*1,ТУ!$CP:$CP,0),1))-1),""),УСПД!$N:$N,0),1),LEN(INDEX(УСПД!$M:$M,MATCH(IFERROR(1*LEFT(INDEX(ТУ!$CG:$CG,MATCH($U42*1,ТУ!$CP:$CP,0),1),SEARCH(" ",INDEX(ТУ!$CG:$CG,MATCH($U42*1,ТУ!$CP:$CP,0),1))-1),""),УСПД!$N:$N,0),1))-SEARCH(":",INDEX(УСПД!$M:$M,MATCH(IFERROR(1*LEFT(INDEX(ТУ!$CG:$CG,MATCH($U42*1,ТУ!$CP:$CP,0),1),SEARCH(" ",INDEX(ТУ!$CG:$CG,MATCH($U42*1,ТУ!$CP:$CP,0),1))-1),""),УСПД!$N:$N,0),1)))), ""))</f>
        <v/>
      </c>
      <c r="AL42" s="41"/>
      <c r="AM42" s="57" t="str">
        <f>IFERROR(IFERROR(INDEX(Tel!$B:$B,MATCH($AJ42,Tel!$E:$E,0),1),INDEX(Tel!$B:$B,MATCH($AJ42,Tel!$D:$D,0),1)),"")</f>
        <v/>
      </c>
      <c r="AN42" s="59" t="str">
        <f>IF(ISNUMBER(SEARCH("ТОПАЗ - ТОПАЗ УСПД",IFERROR(RIGHT(LEFT(INDEX(ТУ!$CG:$CG,MATCH($U42*1,ТУ!$CP:$CP,0),1),SEARCH(")",INDEX(ТУ!$CG:$CG,MATCH($U42*1,ТУ!$CP:$CP,0),1))-1),LEN(LEFT(INDEX(ТУ!$CG:$CG,MATCH($U42*1,ТУ!$CP:$CP,0),1),SEARCH(")",INDEX(ТУ!$CG:$CG,MATCH($U42*1,ТУ!$CP:$CP,0),1))-1))-SEARCH("(",INDEX(ТУ!$CG:$CG,MATCH($U42*1,ТУ!$CP:$CP,0),1))),""),1)),"RTU-327",
IF(ISNUMBER(SEARCH("TELEOFIS",$AP42)),"Модем",
""))</f>
        <v>Модем</v>
      </c>
      <c r="AO42" s="27">
        <f t="shared" si="24"/>
        <v>0</v>
      </c>
      <c r="AP42" s="57" t="str">
        <f>IF(ISNUMBER(SEARCH("Миландр - Милур GSM/GPRS модем",IFERROR(RIGHT(LEFT(INDEX(ТУ!$CG:$CG,MATCH($U42*1,ТУ!$CP:$CP,0),1),SEARCH(")",INDEX(ТУ!$CG:$CG,MATCH($U42*1,ТУ!$CP:$CP,0),1))-1),LEN(LEFT(INDEX(ТУ!$CG:$CG,MATCH($U42*1,ТУ!$CP:$CP,0),1),SEARCH(")",INDEX(ТУ!$CG:$CG,MATCH($U42*1,ТУ!$CP:$CP,0),1))-1))-SEARCH("(",INDEX(ТУ!$CG:$CG,MATCH($U42*1,ТУ!$CP:$CP,0),1))),""),1)), "TELEOFIS WRX708-L4",IFERROR(RIGHT(LEFT(INDEX(ТУ!$CG:$CG,MATCH($U42*1,ТУ!$CP:$CP,0),1),SEARCH(")",INDEX(ТУ!$CG:$CG,MATCH($U42*1,ТУ!$CP:$CP,0),1))-1),LEN(LEFT(INDEX(ТУ!$CG:$CG,MATCH($U42*1,ТУ!$CP:$CP,0),1),SEARCH(")",INDEX(ТУ!$CG:$CG,MATCH($U42*1,ТУ!$CP:$CP,0),1))-1))-SEARCH("(",INDEX(ТУ!$CG:$CG,MATCH($U42*1,ТУ!$CP:$CP,0),1))),""))</f>
        <v>TELEOFIS WRX708-L4</v>
      </c>
      <c r="AQ42" s="57" t="str">
        <f>IFERROR(IF(INDEX(УСПД!$K:$K,MATCH($AS42*1,УСПД!$N:$N,0),1)=0,"",INDEX(УСПД!$K:$K,MATCH($AS42*1,УСПД!$N:$N,0),1)),"")</f>
        <v/>
      </c>
      <c r="AR42" s="57" t="str">
        <f>IFERROR(IF(INDEX(УСПД!$L:$L,MATCH($AS42*1,УСПД!$N:$N,0),1)=0,"",INDEX(УСПД!$L:$L,MATCH($AS42*1,УСПД!$N:$N,0),1)),"")</f>
        <v/>
      </c>
      <c r="AS42" s="60" t="str">
        <f>IFERROR(LEFT(INDEX(ТУ!$CG:$CG,MATCH($U42*1,ТУ!$CP:$CP,0),1),SEARCH(" ",INDEX(ТУ!$CG:$CG,MATCH($U42*1,ТУ!$CP:$CP,0),1))-1),"")</f>
        <v>79258383478</v>
      </c>
      <c r="AT42" s="59" t="s">
        <v>360</v>
      </c>
      <c r="AU42" s="59">
        <f>3</f>
        <v>3</v>
      </c>
      <c r="AV42" s="59" t="s">
        <v>368</v>
      </c>
      <c r="AW42" s="149">
        <f t="shared" si="19"/>
        <v>78</v>
      </c>
      <c r="AX42" s="149">
        <f t="shared" si="20"/>
        <v>7</v>
      </c>
      <c r="AY42" s="149" t="str">
        <f t="shared" si="21"/>
        <v/>
      </c>
      <c r="AZ42" s="149">
        <f t="shared" si="22"/>
        <v>25</v>
      </c>
      <c r="BA42" s="149">
        <f t="shared" si="23"/>
        <v>1</v>
      </c>
      <c r="BB42" s="154" t="str">
        <f>IF($AP42="",IFERROR(IFERROR(LEFT(RIGHT(INDEX(ТУ!$CE:$CE,MATCH($U42*1,ТУ!$CP:$CP,0),1),LEN(INDEX(ТУ!$CE:$CE,MATCH($U42*1,ТУ!$CP:$CP,0),1))-SEARCH(", ",INDEX(ТУ!$CE:$CE,MATCH($U42*1,ТУ!$CP:$CP,0),1),SEARCH(", ",INDEX(ТУ!$CE:$CE,MATCH($U42*1,ТУ!$CP:$CP,0),1))+1)-1),SEARCH(":",RIGHT(INDEX(ТУ!$CE:$CE,MATCH($U42*1,ТУ!$CP:$CP,0),1),LEN(INDEX(ТУ!$CE:$CE,MATCH($U42*1,ТУ!$CP:$CP,0),1))-SEARCH(", ",INDEX(ТУ!$CE:$CE,MATCH($U42*1,ТУ!$CP:$CP,0),1),SEARCH(", ",INDEX(ТУ!$CE:$CE,MATCH($U42*1,ТУ!$CP:$CP,0),1))+1)-1))-1),LEFT(INDEX(ТУ!$CE:$CE,MATCH($U42*1,ТУ!$CP:$CP,0),1),SEARCH(":",INDEX(ТУ!$CE:$CE,MATCH($U42*1,ТУ!$CP:$CP,0),1))-1)),""),IFERROR(IFERROR(LEFT(RIGHT(INDEX(УСПД!$M:$M,MATCH(IFERROR(1*LEFT(INDEX(ТУ!$CG:$CG,MATCH($U42*1,ТУ!$CP:$CP,0),1),SEARCH(" ",INDEX(ТУ!$CG:$CG,MATCH($U42*1,ТУ!$CP:$CP,0),1))-1),""),УСПД!$N:$N,0),1),LEN(INDEX(УСПД!$M:$M,MATCH(IFERROR(1*LEFT(INDEX(ТУ!$CG:$CG,MATCH($U42*1,ТУ!$CP:$CP,0),1),SEARCH(" ",INDEX(ТУ!$CG:$CG,MATCH($U42*1,ТУ!$CP:$CP,0),1))-1),""),УСПД!$N:$N,0),1))-SEARCH(", ",INDEX(УСПД!$M:$M,MATCH(IFERROR(1*LEFT(INDEX(ТУ!$CG:$CG,MATCH($U42*1,ТУ!$CP:$CP,0),1),SEARCH(" ",INDEX(ТУ!$CG:$CG,MATCH($U42*1,ТУ!$CP:$CP,0),1))-1),""),УСПД!$N:$N,0),1),SEARCH(", ",INDEX(УСПД!$M:$M,MATCH(IFERROR(1*LEFT(INDEX(ТУ!$CG:$CG,MATCH($U42*1,ТУ!$CP:$CP,0),1),SEARCH(" ",INDEX(ТУ!$CG:$CG,MATCH($U42*1,ТУ!$CP:$CP,0),1))-1),""),УСПД!$N:$N,0),1))+1)-1),SEARCH(":",RIGHT(INDEX(УСПД!$M:$M,MATCH(IFERROR(1*LEFT(INDEX(ТУ!$CG:$CG,MATCH($U42*1,ТУ!$CP:$CP,0),1),SEARCH(" ",INDEX(ТУ!$CG:$CG,MATCH($U42*1,ТУ!$CP:$CP,0),1))-1),""),УСПД!$N:$N,0),1),LEN(INDEX(УСПД!$M:$M,MATCH(IFERROR(1*LEFT(INDEX(ТУ!$CG:$CG,MATCH($U42*1,ТУ!$CP:$CP,0),1),SEARCH(" ",INDEX(ТУ!$CG:$CG,MATCH($U42*1,ТУ!$CP:$CP,0),1))-1),""),УСПД!$N:$N,0),1))-SEARCH(", ",INDEX(УСПД!$M:$M,MATCH(IFERROR(1*LEFT(INDEX(ТУ!$CG:$CG,MATCH($U42*1,ТУ!$CP:$CP,0),1),SEARCH(" ",INDEX(ТУ!$CG:$CG,MATCH($U42*1,ТУ!$CP:$CP,0),1))-1),""),УСПД!$N:$N,0),1),SEARCH(", ",INDEX(УСПД!$M:$M,MATCH(IFERROR(1*LEFT(INDEX(ТУ!$CG:$CG,MATCH($U42*1,ТУ!$CP:$CP,0),1),SEARCH(" ",INDEX(ТУ!$CG:$CG,MATCH($U42*1,ТУ!$CP:$CP,0),1))-1),""),УСПД!$N:$N,0),1))+1)-1))-1),LEFT(INDEX(УСПД!$M:$M,MATCH(IFERROR(1*LEFT(INDEX(ТУ!$CG:$CG,MATCH($U42*1,ТУ!$CP:$CP,0),1),SEARCH(" ",INDEX(ТУ!$CG:$CG,MATCH($U42*1,ТУ!$CP:$CP,0),1))-1),""),УСПД!$N:$N,0),1),SEARCH(":",INDEX(УСПД!$M:$M,MATCH(IFERROR(1*LEFT(INDEX(ТУ!$CG:$CG,MATCH($U42*1,ТУ!$CP:$CP,0),1),SEARCH(" ",INDEX(ТУ!$CG:$CG,MATCH($U42*1,ТУ!$CP:$CP,0),1))-1),""),УСПД!$N:$N,0),1))-1)),""))</f>
        <v/>
      </c>
      <c r="BC42" s="155" t="str">
        <f>INDEX(ТУ!$AF:$AF,MATCH($U42*1,ТУ!$CP:$CP,0),1)</f>
        <v>ТП-21688</v>
      </c>
      <c r="BD42" s="155">
        <f>INDEX(ТУ!$X:$X,MATCH($U42*1,ТУ!$CP:$CP,0),1)</f>
        <v>0</v>
      </c>
      <c r="BE42" s="155">
        <f>INDEX(ТУ!$CL:$CL,MATCH($U42*1,ТУ!$CP:$CP,0),1)</f>
        <v>0</v>
      </c>
      <c r="BF42" s="147" t="str">
        <f>IFERROR(INDEX(естьАЦ!$A:$A,MATCH($U42*1,естьАЦ!$A:$A,0),1),"нет в АЦ")</f>
        <v>нет в АЦ</v>
      </c>
    </row>
    <row r="43" spans="1:58" ht="25.5" x14ac:dyDescent="0.25">
      <c r="A43" s="55">
        <f>3</f>
        <v>3</v>
      </c>
      <c r="B43" s="42" t="str">
        <f>IFERROR(IFERROR(INDEX(Справочники!$A$2:$P$79,MATCH(INDEX(ТУ!$E:$E,MATCH($U43*1,ТУ!$CP:$CP,0),1),Справочники!$P$2:$P$79,0),2),INDEX(Справочники!$A$2:$P$79,MATCH((INDEX(ТУ!$E:$E,MATCH($U43*1,ТУ!$CP:$CP,0),1))*1,Справочники!$P$2:$P$79,0),2)),"")</f>
        <v>04 р-н МКС (ЮОРУПЭ)</v>
      </c>
      <c r="C43" s="46" t="str">
        <f>IFERROR(TRIM(LEFT(INDEX(ТУ!$AF:$AF,MATCH($U43*1,ТУ!$CP:$CP,0),1),SEARCH("-",INDEX(ТУ!$AF:$AF,MATCH($U43*1,ТУ!$CP:$CP,0),1))-1)),IFERROR(LEFT(INDEX(ТУ!$X:$X,MATCH($U43*1,ТУ!$CP:$CP,0),1),SEARCH("-",INDEX(ТУ!$X:$X,MATCH($U43*1,ТУ!$CP:$CP,0),1))-1),"ТП"))</f>
        <v>ТП</v>
      </c>
      <c r="D43" s="47" t="str">
        <f>IF(TRIM(IF(ISNUMBER((IFERROR(RIGHT(INDEX(ТУ!$AF:$AF,MATCH($U43*1,ТУ!$CP:$CP,0),1),LEN(INDEX(ТУ!$AF:$AF,MATCH($U43*1,ТУ!$CP:$CP,0),1))-SEARCH("-",INDEX(ТУ!$AF:$AF,MATCH($U43*1,ТУ!$CP:$CP,0),1))),INDEX(ТУ!$AF:$AF,MATCH($U43*1,ТУ!$CP:$CP,0),1)))*1),IFERROR(RIGHT(INDEX(ТУ!$AF:$AF,MATCH($U43*1,ТУ!$CP:$CP,0),1),LEN(INDEX(ТУ!$AF:$AF,MATCH($U43*1,ТУ!$CP:$CP,0),1))-SEARCH("-",INDEX(ТУ!$AF:$AF,MATCH($U43*1,ТУ!$CP:$CP,0),1))),INDEX(ТУ!$AF:$AF,MATCH($U43*1,ТУ!$CP:$CP,0),1)),""))="",TRIM(IF(ISNUMBER((IFERROR(RIGHT(INDEX(ТУ!$X:$X,MATCH($U43*1,ТУ!$CP:$CP,0),1),LEN(INDEX(ТУ!$X:$X,MATCH($U43*1,ТУ!$CP:$CP,0),1))-SEARCH("-",INDEX(ТУ!$X:$X,MATCH($U43*1,ТУ!$CP:$CP,0),1))),INDEX(ТУ!$X:$X,MATCH($U43*1,ТУ!$CP:$CP,0),1)))*1),IFERROR(RIGHT(INDEX(ТУ!$X:$X,MATCH($U43*1,ТУ!$CP:$CP,0),1),LEN(INDEX(ТУ!$X:$X,MATCH($U43*1,ТУ!$CP:$CP,0),1))-SEARCH("-",INDEX(ТУ!$X:$X,MATCH($U43*1,ТУ!$CP:$CP,0),1))),INDEX(ТУ!$X:$X,MATCH($U43*1,ТУ!$CP:$CP,0),1)),"")),TRIM(IF(ISNUMBER((IFERROR(RIGHT(INDEX(ТУ!$AF:$AF,MATCH($U43*1,ТУ!$CP:$CP,0),1),LEN(INDEX(ТУ!$AF:$AF,MATCH($U43*1,ТУ!$CP:$CP,0),1))-SEARCH("-",INDEX(ТУ!$AF:$AF,MATCH($U43*1,ТУ!$CP:$CP,0),1))),INDEX(ТУ!$AF:$AF,MATCH($U43*1,ТУ!$CP:$CP,0),1)))*1),IFERROR(RIGHT(INDEX(ТУ!$AF:$AF,MATCH($U43*1,ТУ!$CP:$CP,0),1),LEN(INDEX(ТУ!$AF:$AF,MATCH($U43*1,ТУ!$CP:$CP,0),1))-SEARCH("-",INDEX(ТУ!$AF:$AF,MATCH($U43*1,ТУ!$CP:$CP,0),1))),INDEX(ТУ!$AF:$AF,MATCH($U43*1,ТУ!$CP:$CP,0),1)),"")))</f>
        <v>27712</v>
      </c>
      <c r="E43" s="25" t="str">
        <f t="shared" si="2"/>
        <v>МКС</v>
      </c>
      <c r="F43" s="20">
        <f t="shared" si="3"/>
        <v>78</v>
      </c>
      <c r="G43" s="21">
        <f t="shared" si="4"/>
        <v>5</v>
      </c>
      <c r="H43" s="25" t="str">
        <f t="shared" si="5"/>
        <v>ТП-27712</v>
      </c>
      <c r="I43" s="25" t="str">
        <f t="shared" si="6"/>
        <v>78527712</v>
      </c>
      <c r="J43" s="42" t="str">
        <f>INDEX(Справочники!$M:$M,MATCH(IF(INDEX(ТУ!$BO:$BO,MATCH($U43*1,ТУ!$CP:$CP,0),1)=1,1,INDEX(ТУ!$BO:$BO,MATCH($U43*1,ТУ!$CP:$CP,0),1)*100),Справочники!$N:$N,0),1)</f>
        <v>0.4 кВ</v>
      </c>
      <c r="K43" s="40">
        <f>1</f>
        <v>1</v>
      </c>
      <c r="L43" s="20" t="str">
        <f t="shared" si="7"/>
        <v>СШ-1</v>
      </c>
      <c r="M43" s="20">
        <f t="shared" si="8"/>
        <v>1</v>
      </c>
      <c r="N43" s="40"/>
      <c r="O43" s="56" t="str">
        <f t="shared" si="9"/>
        <v>Ввод-1-1</v>
      </c>
      <c r="P43" s="57" t="str">
        <f>IFERROR(IF(INDEX(ТУ!$AO:$AO,MATCH($U43*1,ТУ!$CP:$CP,0),1)=0,"",INDEX(ТУ!$AO:$AO,MATCH($U43*1,ТУ!$CP:$CP,0),1)),"")</f>
        <v>ЮЗАО_вв. абонента 545</v>
      </c>
      <c r="Q43" s="40">
        <f>IFERROR(IF(INDEX(ТУ!$BN:$BN,MATCH($U43*1,ТУ!$CP:$CP,0),1)=1,1,INDEX(ТУ!$BN:$BN,MATCH($U43*1,ТУ!$CP:$CP,0),1)*5),"")</f>
        <v>1</v>
      </c>
      <c r="R43" s="25">
        <f t="shared" si="10"/>
        <v>1</v>
      </c>
      <c r="S43" s="25">
        <f t="shared" si="11"/>
        <v>1</v>
      </c>
      <c r="T43" s="25">
        <f t="shared" si="12"/>
        <v>1</v>
      </c>
      <c r="U43" s="105" t="s">
        <v>920</v>
      </c>
      <c r="V43" s="43">
        <f>IF(INDEX(ТУ!$BH:$BH,MATCH($U43*1,ТУ!$CP:$CP,0),1)=0,"",INDEX(ТУ!$BH:$BH,MATCH($U43*1,ТУ!$CP:$CP,0),1))</f>
        <v>44067</v>
      </c>
      <c r="W43" s="43" t="str">
        <f>IF(INDEX(ТУ!$BI:$BI,MATCH($U43*1,ТУ!$CP:$CP,0),1)=0,"",INDEX(ТУ!$BI:$BI,MATCH($U43*1,ТУ!$CP:$CP,0),1))</f>
        <v>07.07.2020</v>
      </c>
      <c r="X43" s="58" t="str">
        <f t="shared" si="13"/>
        <v/>
      </c>
      <c r="Y43" s="25">
        <f t="shared" si="14"/>
        <v>35</v>
      </c>
      <c r="Z43" s="42" t="str">
        <f t="shared" si="15"/>
        <v/>
      </c>
      <c r="AA43" s="25" t="str">
        <f t="shared" si="16"/>
        <v/>
      </c>
      <c r="AB43" s="40" t="str">
        <f>IF(ISNUMBER(SEARCH("Приборы с поддержкой протокола СПОДЭС - Нартис-И300 (СПОДЭС)",INDEX(ТУ!$BD:$BD,MATCH($U43*1,ТУ!$CP:$CP,0),1))),"Нартис-И300",
IF(ISNUMBER(SEARCH("Приборы с поддержкой протокола СПОДЭС - Меркурий 234 (СПОДЭС)",INDEX(ТУ!$BD:$BD,MATCH($U43*1,ТУ!$CP:$CP,0),1))),"Меркурий 234 (СПОДЭС)",
IF(ISNUMBER(SEARCH("Приборы с поддержкой протокола СПОДЭС - Нартис-300 (СПОДЭС)",INDEX(ТУ!$BD:$BD,MATCH($U43*1,ТУ!$CP:$CP,0),1))),"Нартис-300",
IF(ISNUMBER(SEARCH("Инкотекс - Меркурий 234",INDEX(ТУ!$BD:$BD,MATCH($U43*1,ТУ!$CP:$CP,0),1))),"Меркурий 234",
IF(ISNUMBER(SEARCH("Инкотекс - Меркурий 206",INDEX(ТУ!$BD:$BD,MATCH($U43*1,ТУ!$CP:$CP,0),1))),"Меркурий 206",
IF(ISNUMBER(SEARCH("Приборы с поддержкой протокола СПОДЭС - Универсальный счетчик СПОДЭС 2 трехфазный",INDEX(ТУ!$BD:$BD,MATCH($U43*1,ТУ!$CP:$CP,0),1))),"Нартис-И300",
IF(ISNUMBER(SEARCH("Приборы с поддержкой протокола СПОДЭС - Универсальный счетчик СПОДЭС 2 однофазный",INDEX(ТУ!$BD:$BD,MATCH($U43*1,ТУ!$CP:$CP,0),1))),"Нартис-И100",
IF(ISNUMBER(SEARCH("Приборы с поддержкой протокола СПОДЭС - Нартис-И100 (СПОДЭС)",INDEX(ТУ!$BD:$BD,MATCH($U43*1,ТУ!$CP:$CP,0),1))),"Нартис-И100",
IF(ISNUMBER(SEARCH("Приборы с поддержкой протокола СПОДЭС - СЕ308 (СПОДЭС)",INDEX(ТУ!$BD:$BD,MATCH($U43*1,ТУ!$CP:$CP,0),1))),"СЕ308 (СПОДЭС)",
IF(ISNUMBER(SEARCH("Приборы с поддержкой протокола СПОДЭС - СЕ207 (СПОДЭС)",INDEX(ТУ!$BD:$BD,MATCH($U43*1,ТУ!$CP:$CP,0),1))),"СЕ207 (СПОДЭС)",
IF(ISNUMBER(SEARCH("Приборы с поддержкой протокола СПОДЭС - СТЭМ-300 (СПОДЭС)",INDEX(ТУ!$BD:$BD,MATCH($U43*1,ТУ!$CP:$CP,0),1))),"СТЭМ-300 (СПОДЭС)",
IF(ISNUMBER(SEARCH("ТехноЭнерго - ТЕ3000",INDEX(ТУ!$BD:$BD,MATCH($U43*1,ТУ!$CP:$CP,0),1))),"ТЕ3000",
IF(ISNUMBER(SEARCH("НЗиФ - СЭТ-4ТМ",INDEX(ТУ!$BD:$BD,MATCH($U43*1,ТУ!$CP:$CP,0),1))),"СЭТ-4ТМ",
INDEX(ТУ!$BD:$BD,MATCH($U43*1,ТУ!$CP:$CP,0),1)
)))))))))))))</f>
        <v>Инкотекс - Меркурий 236 (Постоянная счетчика - 1000, Учитываемые типы энергии - А+,А-,Р+,Р-)</v>
      </c>
      <c r="AC43" s="40" t="s">
        <v>2</v>
      </c>
      <c r="AD43" s="40" t="str">
        <f>IF(ISNUMBER(IFERROR(LEFT(IF(INDEX(ТУ!$CI:$CI,MATCH($U43*1,ТУ!$CP:$CP,0),1)=0,"",INDEX(ТУ!$CI:$CI,MATCH($U43*1,ТУ!$CP:$CP,0),1)),SEARCH(" ",IF(INDEX(ТУ!$CI:$CI,MATCH($U43*1,ТУ!$CP:$CP,0),1)=0,"",INDEX(ТУ!$CI:$CI,MATCH($U43*1,ТУ!$CP:$CP,0),1)),1)-1),"")*1),IFERROR(LEFT(IF(INDEX(ТУ!$CI:$CI,MATCH($U43*1,ТУ!$CP:$CP,0),1)=0,"",INDEX(ТУ!$CI:$CI,MATCH($U43*1,ТУ!$CP:$CP,0),1)),SEARCH(" ",IF(INDEX(ТУ!$CI:$CI,MATCH($U43*1,ТУ!$CP:$CP,0),1)=0,"",INDEX(ТУ!$CI:$CI,MATCH($U43*1,ТУ!$CP:$CP,0),1)),1)-1),""),"")</f>
        <v>77670001012920</v>
      </c>
      <c r="AE43" s="40" t="str">
        <f>IF(INDEX(ТУ!$CB:$CB,MATCH($U43*1,ТУ!$CP:$CP,0),1)=0,INDEX(Adr!$B:$B,MATCH($U43*1,Adr!$C:$C,0),1),INDEX(ТУ!$CB:$CB,MATCH($U43*1,ТУ!$CP:$CP,0),1))</f>
        <v>27</v>
      </c>
      <c r="AF43" s="45" t="str">
        <f>IF(INDEX(ТУ!$CD:$CD,MATCH($U43*1,ТУ!$CP:$CP,0),1)=0,"",INDEX(ТУ!$CD:$CD,MATCH($U43*1,ТУ!$CP:$CP,0),1))</f>
        <v>222222</v>
      </c>
      <c r="AG43" s="45">
        <f>0</f>
        <v>0</v>
      </c>
      <c r="AH43" s="26">
        <f t="shared" si="17"/>
        <v>78</v>
      </c>
      <c r="AI43" s="20" t="str">
        <f t="shared" si="18"/>
        <v>785277121</v>
      </c>
      <c r="AJ43" s="41" t="str">
        <f t="shared" si="1"/>
        <v/>
      </c>
      <c r="AK43" s="41" t="str">
        <f>IF($AP43="",IFERROR(IFERROR(LEFT(RIGHT(INDEX(ТУ!$CE:$CE,MATCH($U43*1,ТУ!$CP:$CP,0),1),LEN(INDEX(ТУ!$CE:$CE,MATCH($U43*1,ТУ!$CP:$CP,0),1))-SEARCH(":",INDEX(ТУ!$CE:$CE,MATCH($U43*1,ТУ!$CP:$CP,0),1))),SEARCH("/",RIGHT(INDEX(ТУ!$CE:$CE,MATCH($U43*1,ТУ!$CP:$CP,0),1),LEN(INDEX(ТУ!$CE:$CE,MATCH($U43*1,ТУ!$CP:$CP,0),1))-SEARCH(":",INDEX(ТУ!$CE:$CE,MATCH($U43*1,ТУ!$CP:$CP,0),1))))-1), RIGHT(INDEX(ТУ!$CE:$CE,MATCH($U43*1,ТУ!$CP:$CP,0),1),LEN(INDEX(ТУ!$CE:$CE,MATCH($U43*1,ТУ!$CP:$CP,0),1))-SEARCH(":",INDEX(ТУ!$CE:$CE,MATCH($U43*1,ТУ!$CP:$CP,0),1)))), ""),IFERROR(IFERROR(LEFT(RIGHT(INDEX(УСПД!$M:$M,MATCH(IFERROR(1*LEFT(INDEX(ТУ!$CG:$CG,MATCH($U43*1,ТУ!$CP:$CP,0),1),SEARCH(" ",INDEX(ТУ!$CG:$CG,MATCH($U43*1,ТУ!$CP:$CP,0),1))-1),""),УСПД!$N:$N,0),1),LEN(INDEX(УСПД!$M:$M,MATCH(IFERROR(1*LEFT(INDEX(ТУ!$CG:$CG,MATCH($U43*1,ТУ!$CP:$CP,0),1),SEARCH(" ",INDEX(ТУ!$CG:$CG,MATCH($U43*1,ТУ!$CP:$CP,0),1))-1),""),УСПД!$N:$N,0),1))-SEARCH(":",INDEX(УСПД!$M:$M,MATCH(IFERROR(1*LEFT(INDEX(ТУ!$CG:$CG,MATCH($U43*1,ТУ!$CP:$CP,0),1),SEARCH(" ",INDEX(ТУ!$CG:$CG,MATCH($U43*1,ТУ!$CP:$CP,0),1))-1),""),УСПД!$N:$N,0),1))),SEARCH("/",RIGHT(INDEX(УСПД!$M:$M,MATCH(IFERROR(1*LEFT(INDEX(ТУ!$CG:$CG,MATCH($U43*1,ТУ!$CP:$CP,0),1),SEARCH(" ",INDEX(ТУ!$CG:$CG,MATCH($U43*1,ТУ!$CP:$CP,0),1))-1),""),УСПД!$N:$N,0),1),LEN(INDEX(УСПД!$M:$M,MATCH(IFERROR(1*LEFT(INDEX(ТУ!$CG:$CG,MATCH($U43*1,ТУ!$CP:$CP,0),1),SEARCH(" ",INDEX(ТУ!$CG:$CG,MATCH($U43*1,ТУ!$CP:$CP,0),1))-1),""),УСПД!$N:$N,0),1))-SEARCH(":",INDEX(УСПД!$M:$M,MATCH(IFERROR(1*LEFT(INDEX(ТУ!$CG:$CG,MATCH($U43*1,ТУ!$CP:$CP,0),1),SEARCH(" ",INDEX(ТУ!$CG:$CG,MATCH($U43*1,ТУ!$CP:$CP,0),1))-1),""),УСПД!$N:$N,0),1))))-1), RIGHT(INDEX(УСПД!$M:$M,MATCH(IFERROR(1*LEFT(INDEX(ТУ!$CG:$CG,MATCH($U43*1,ТУ!$CP:$CP,0),1),SEARCH(" ",INDEX(ТУ!$CG:$CG,MATCH($U43*1,ТУ!$CP:$CP,0),1))-1),""),УСПД!$N:$N,0),1),LEN(INDEX(УСПД!$M:$M,MATCH(IFERROR(1*LEFT(INDEX(ТУ!$CG:$CG,MATCH($U43*1,ТУ!$CP:$CP,0),1),SEARCH(" ",INDEX(ТУ!$CG:$CG,MATCH($U43*1,ТУ!$CP:$CP,0),1))-1),""),УСПД!$N:$N,0),1))-SEARCH(":",INDEX(УСПД!$M:$M,MATCH(IFERROR(1*LEFT(INDEX(ТУ!$CG:$CG,MATCH($U43*1,ТУ!$CP:$CP,0),1),SEARCH(" ",INDEX(ТУ!$CG:$CG,MATCH($U43*1,ТУ!$CP:$CP,0),1))-1),""),УСПД!$N:$N,0),1)))), ""))</f>
        <v/>
      </c>
      <c r="AL43" s="41"/>
      <c r="AM43" s="57" t="str">
        <f>IFERROR(IFERROR(INDEX(Tel!$B:$B,MATCH($AJ43,Tel!$E:$E,0),1),INDEX(Tel!$B:$B,MATCH($AJ43,Tel!$D:$D,0),1)),"")</f>
        <v/>
      </c>
      <c r="AN43" s="59" t="str">
        <f>IF(ISNUMBER(SEARCH("ТОПАЗ - ТОПАЗ УСПД",IFERROR(RIGHT(LEFT(INDEX(ТУ!$CG:$CG,MATCH($U43*1,ТУ!$CP:$CP,0),1),SEARCH(")",INDEX(ТУ!$CG:$CG,MATCH($U43*1,ТУ!$CP:$CP,0),1))-1),LEN(LEFT(INDEX(ТУ!$CG:$CG,MATCH($U43*1,ТУ!$CP:$CP,0),1),SEARCH(")",INDEX(ТУ!$CG:$CG,MATCH($U43*1,ТУ!$CP:$CP,0),1))-1))-SEARCH("(",INDEX(ТУ!$CG:$CG,MATCH($U43*1,ТУ!$CP:$CP,0),1))),""),1)),"RTU-327",
IF(ISNUMBER(SEARCH("TELEOFIS",$AP43)),"Модем",
""))</f>
        <v>Модем</v>
      </c>
      <c r="AO43" s="27">
        <f t="shared" si="24"/>
        <v>0</v>
      </c>
      <c r="AP43" s="57" t="str">
        <f>IF(ISNUMBER(SEARCH("Миландр - Милур GSM/GPRS модем",IFERROR(RIGHT(LEFT(INDEX(ТУ!$CG:$CG,MATCH($U43*1,ТУ!$CP:$CP,0),1),SEARCH(")",INDEX(ТУ!$CG:$CG,MATCH($U43*1,ТУ!$CP:$CP,0),1))-1),LEN(LEFT(INDEX(ТУ!$CG:$CG,MATCH($U43*1,ТУ!$CP:$CP,0),1),SEARCH(")",INDEX(ТУ!$CG:$CG,MATCH($U43*1,ТУ!$CP:$CP,0),1))-1))-SEARCH("(",INDEX(ТУ!$CG:$CG,MATCH($U43*1,ТУ!$CP:$CP,0),1))),""),1)), "TELEOFIS WRX708-L4",IFERROR(RIGHT(LEFT(INDEX(ТУ!$CG:$CG,MATCH($U43*1,ТУ!$CP:$CP,0),1),SEARCH(")",INDEX(ТУ!$CG:$CG,MATCH($U43*1,ТУ!$CP:$CP,0),1))-1),LEN(LEFT(INDEX(ТУ!$CG:$CG,MATCH($U43*1,ТУ!$CP:$CP,0),1),SEARCH(")",INDEX(ТУ!$CG:$CG,MATCH($U43*1,ТУ!$CP:$CP,0),1))-1))-SEARCH("(",INDEX(ТУ!$CG:$CG,MATCH($U43*1,ТУ!$CP:$CP,0),1))),""))</f>
        <v>TELEOFIS WRX708-L4</v>
      </c>
      <c r="AQ43" s="57" t="str">
        <f>IFERROR(IF(INDEX(УСПД!$K:$K,MATCH($AS43*1,УСПД!$N:$N,0),1)=0,"",INDEX(УСПД!$K:$K,MATCH($AS43*1,УСПД!$N:$N,0),1)),"")</f>
        <v/>
      </c>
      <c r="AR43" s="57" t="str">
        <f>IFERROR(IF(INDEX(УСПД!$L:$L,MATCH($AS43*1,УСПД!$N:$N,0),1)=0,"",INDEX(УСПД!$L:$L,MATCH($AS43*1,УСПД!$N:$N,0),1)),"")</f>
        <v/>
      </c>
      <c r="AS43" s="60" t="str">
        <f>IFERROR(LEFT(INDEX(ТУ!$CG:$CG,MATCH($U43*1,ТУ!$CP:$CP,0),1),SEARCH(" ",INDEX(ТУ!$CG:$CG,MATCH($U43*1,ТУ!$CP:$CP,0),1))-1),"")</f>
        <v>353656108235666</v>
      </c>
      <c r="AT43" s="59" t="s">
        <v>360</v>
      </c>
      <c r="AU43" s="59">
        <f>3</f>
        <v>3</v>
      </c>
      <c r="AV43" s="59" t="s">
        <v>368</v>
      </c>
      <c r="AW43" s="149">
        <f t="shared" si="19"/>
        <v>56</v>
      </c>
      <c r="AX43" s="149">
        <f t="shared" si="20"/>
        <v>34</v>
      </c>
      <c r="AY43" s="149" t="str">
        <f t="shared" si="21"/>
        <v/>
      </c>
      <c r="AZ43" s="149">
        <f t="shared" si="22"/>
        <v>25</v>
      </c>
      <c r="BA43" s="149">
        <f t="shared" si="23"/>
        <v>1</v>
      </c>
      <c r="BB43" s="154" t="str">
        <f>IF($AP43="",IFERROR(IFERROR(LEFT(RIGHT(INDEX(ТУ!$CE:$CE,MATCH($U43*1,ТУ!$CP:$CP,0),1),LEN(INDEX(ТУ!$CE:$CE,MATCH($U43*1,ТУ!$CP:$CP,0),1))-SEARCH(", ",INDEX(ТУ!$CE:$CE,MATCH($U43*1,ТУ!$CP:$CP,0),1),SEARCH(", ",INDEX(ТУ!$CE:$CE,MATCH($U43*1,ТУ!$CP:$CP,0),1))+1)-1),SEARCH(":",RIGHT(INDEX(ТУ!$CE:$CE,MATCH($U43*1,ТУ!$CP:$CP,0),1),LEN(INDEX(ТУ!$CE:$CE,MATCH($U43*1,ТУ!$CP:$CP,0),1))-SEARCH(", ",INDEX(ТУ!$CE:$CE,MATCH($U43*1,ТУ!$CP:$CP,0),1),SEARCH(", ",INDEX(ТУ!$CE:$CE,MATCH($U43*1,ТУ!$CP:$CP,0),1))+1)-1))-1),LEFT(INDEX(ТУ!$CE:$CE,MATCH($U43*1,ТУ!$CP:$CP,0),1),SEARCH(":",INDEX(ТУ!$CE:$CE,MATCH($U43*1,ТУ!$CP:$CP,0),1))-1)),""),IFERROR(IFERROR(LEFT(RIGHT(INDEX(УСПД!$M:$M,MATCH(IFERROR(1*LEFT(INDEX(ТУ!$CG:$CG,MATCH($U43*1,ТУ!$CP:$CP,0),1),SEARCH(" ",INDEX(ТУ!$CG:$CG,MATCH($U43*1,ТУ!$CP:$CP,0),1))-1),""),УСПД!$N:$N,0),1),LEN(INDEX(УСПД!$M:$M,MATCH(IFERROR(1*LEFT(INDEX(ТУ!$CG:$CG,MATCH($U43*1,ТУ!$CP:$CP,0),1),SEARCH(" ",INDEX(ТУ!$CG:$CG,MATCH($U43*1,ТУ!$CP:$CP,0),1))-1),""),УСПД!$N:$N,0),1))-SEARCH(", ",INDEX(УСПД!$M:$M,MATCH(IFERROR(1*LEFT(INDEX(ТУ!$CG:$CG,MATCH($U43*1,ТУ!$CP:$CP,0),1),SEARCH(" ",INDEX(ТУ!$CG:$CG,MATCH($U43*1,ТУ!$CP:$CP,0),1))-1),""),УСПД!$N:$N,0),1),SEARCH(", ",INDEX(УСПД!$M:$M,MATCH(IFERROR(1*LEFT(INDEX(ТУ!$CG:$CG,MATCH($U43*1,ТУ!$CP:$CP,0),1),SEARCH(" ",INDEX(ТУ!$CG:$CG,MATCH($U43*1,ТУ!$CP:$CP,0),1))-1),""),УСПД!$N:$N,0),1))+1)-1),SEARCH(":",RIGHT(INDEX(УСПД!$M:$M,MATCH(IFERROR(1*LEFT(INDEX(ТУ!$CG:$CG,MATCH($U43*1,ТУ!$CP:$CP,0),1),SEARCH(" ",INDEX(ТУ!$CG:$CG,MATCH($U43*1,ТУ!$CP:$CP,0),1))-1),""),УСПД!$N:$N,0),1),LEN(INDEX(УСПД!$M:$M,MATCH(IFERROR(1*LEFT(INDEX(ТУ!$CG:$CG,MATCH($U43*1,ТУ!$CP:$CP,0),1),SEARCH(" ",INDEX(ТУ!$CG:$CG,MATCH($U43*1,ТУ!$CP:$CP,0),1))-1),""),УСПД!$N:$N,0),1))-SEARCH(", ",INDEX(УСПД!$M:$M,MATCH(IFERROR(1*LEFT(INDEX(ТУ!$CG:$CG,MATCH($U43*1,ТУ!$CP:$CP,0),1),SEARCH(" ",INDEX(ТУ!$CG:$CG,MATCH($U43*1,ТУ!$CP:$CP,0),1))-1),""),УСПД!$N:$N,0),1),SEARCH(", ",INDEX(УСПД!$M:$M,MATCH(IFERROR(1*LEFT(INDEX(ТУ!$CG:$CG,MATCH($U43*1,ТУ!$CP:$CP,0),1),SEARCH(" ",INDEX(ТУ!$CG:$CG,MATCH($U43*1,ТУ!$CP:$CP,0),1))-1),""),УСПД!$N:$N,0),1))+1)-1))-1),LEFT(INDEX(УСПД!$M:$M,MATCH(IFERROR(1*LEFT(INDEX(ТУ!$CG:$CG,MATCH($U43*1,ТУ!$CP:$CP,0),1),SEARCH(" ",INDEX(ТУ!$CG:$CG,MATCH($U43*1,ТУ!$CP:$CP,0),1))-1),""),УСПД!$N:$N,0),1),SEARCH(":",INDEX(УСПД!$M:$M,MATCH(IFERROR(1*LEFT(INDEX(ТУ!$CG:$CG,MATCH($U43*1,ТУ!$CP:$CP,0),1),SEARCH(" ",INDEX(ТУ!$CG:$CG,MATCH($U43*1,ТУ!$CP:$CP,0),1))-1),""),УСПД!$N:$N,0),1))-1)),""))</f>
        <v/>
      </c>
      <c r="BC43" s="155" t="str">
        <f>INDEX(ТУ!$AF:$AF,MATCH($U43*1,ТУ!$CP:$CP,0),1)</f>
        <v>ТП-27712</v>
      </c>
      <c r="BD43" s="155">
        <f>INDEX(ТУ!$X:$X,MATCH($U43*1,ТУ!$CP:$CP,0),1)</f>
        <v>0</v>
      </c>
      <c r="BE43" s="155">
        <f>INDEX(ТУ!$CL:$CL,MATCH($U43*1,ТУ!$CP:$CP,0),1)</f>
        <v>0</v>
      </c>
      <c r="BF43" s="147" t="str">
        <f>IFERROR(INDEX(естьАЦ!$A:$A,MATCH($U43*1,естьАЦ!$A:$A,0),1),"нет в АЦ")</f>
        <v>нет в АЦ</v>
      </c>
    </row>
    <row r="44" spans="1:58" ht="15" x14ac:dyDescent="0.25">
      <c r="A44" s="55">
        <f>3</f>
        <v>3</v>
      </c>
      <c r="B44" s="42" t="str">
        <f>IFERROR(IFERROR(INDEX(Справочники!$A$2:$P$79,MATCH(INDEX(ТУ!$E:$E,MATCH($U44*1,ТУ!$CP:$CP,0),1),Справочники!$P$2:$P$79,0),2),INDEX(Справочники!$A$2:$P$79,MATCH((INDEX(ТУ!$E:$E,MATCH($U44*1,ТУ!$CP:$CP,0),1))*1,Справочники!$P$2:$P$79,0),2)),"")</f>
        <v>04 р-н МКС (ЮОРУПЭ)</v>
      </c>
      <c r="C44" s="46" t="str">
        <f>IFERROR(TRIM(LEFT(INDEX(ТУ!$AF:$AF,MATCH($U44*1,ТУ!$CP:$CP,0),1),SEARCH("-",INDEX(ТУ!$AF:$AF,MATCH($U44*1,ТУ!$CP:$CP,0),1))-1)),IFERROR(LEFT(INDEX(ТУ!$X:$X,MATCH($U44*1,ТУ!$CP:$CP,0),1),SEARCH("-",INDEX(ТУ!$X:$X,MATCH($U44*1,ТУ!$CP:$CP,0),1))-1),"ТП"))</f>
        <v>ТП</v>
      </c>
      <c r="D44" s="47" t="str">
        <f>IF(TRIM(IF(ISNUMBER((IFERROR(RIGHT(INDEX(ТУ!$AF:$AF,MATCH($U44*1,ТУ!$CP:$CP,0),1),LEN(INDEX(ТУ!$AF:$AF,MATCH($U44*1,ТУ!$CP:$CP,0),1))-SEARCH("-",INDEX(ТУ!$AF:$AF,MATCH($U44*1,ТУ!$CP:$CP,0),1))),INDEX(ТУ!$AF:$AF,MATCH($U44*1,ТУ!$CP:$CP,0),1)))*1),IFERROR(RIGHT(INDEX(ТУ!$AF:$AF,MATCH($U44*1,ТУ!$CP:$CP,0),1),LEN(INDEX(ТУ!$AF:$AF,MATCH($U44*1,ТУ!$CP:$CP,0),1))-SEARCH("-",INDEX(ТУ!$AF:$AF,MATCH($U44*1,ТУ!$CP:$CP,0),1))),INDEX(ТУ!$AF:$AF,MATCH($U44*1,ТУ!$CP:$CP,0),1)),""))="",TRIM(IF(ISNUMBER((IFERROR(RIGHT(INDEX(ТУ!$X:$X,MATCH($U44*1,ТУ!$CP:$CP,0),1),LEN(INDEX(ТУ!$X:$X,MATCH($U44*1,ТУ!$CP:$CP,0),1))-SEARCH("-",INDEX(ТУ!$X:$X,MATCH($U44*1,ТУ!$CP:$CP,0),1))),INDEX(ТУ!$X:$X,MATCH($U44*1,ТУ!$CP:$CP,0),1)))*1),IFERROR(RIGHT(INDEX(ТУ!$X:$X,MATCH($U44*1,ТУ!$CP:$CP,0),1),LEN(INDEX(ТУ!$X:$X,MATCH($U44*1,ТУ!$CP:$CP,0),1))-SEARCH("-",INDEX(ТУ!$X:$X,MATCH($U44*1,ТУ!$CP:$CP,0),1))),INDEX(ТУ!$X:$X,MATCH($U44*1,ТУ!$CP:$CP,0),1)),"")),TRIM(IF(ISNUMBER((IFERROR(RIGHT(INDEX(ТУ!$AF:$AF,MATCH($U44*1,ТУ!$CP:$CP,0),1),LEN(INDEX(ТУ!$AF:$AF,MATCH($U44*1,ТУ!$CP:$CP,0),1))-SEARCH("-",INDEX(ТУ!$AF:$AF,MATCH($U44*1,ТУ!$CP:$CP,0),1))),INDEX(ТУ!$AF:$AF,MATCH($U44*1,ТУ!$CP:$CP,0),1)))*1),IFERROR(RIGHT(INDEX(ТУ!$AF:$AF,MATCH($U44*1,ТУ!$CP:$CP,0),1),LEN(INDEX(ТУ!$AF:$AF,MATCH($U44*1,ТУ!$CP:$CP,0),1))-SEARCH("-",INDEX(ТУ!$AF:$AF,MATCH($U44*1,ТУ!$CP:$CP,0),1))),INDEX(ТУ!$AF:$AF,MATCH($U44*1,ТУ!$CP:$CP,0),1)),"")))</f>
        <v>21924</v>
      </c>
      <c r="E44" s="25" t="str">
        <f t="shared" si="2"/>
        <v>МКС</v>
      </c>
      <c r="F44" s="20">
        <f t="shared" si="3"/>
        <v>78</v>
      </c>
      <c r="G44" s="21">
        <f t="shared" si="4"/>
        <v>5</v>
      </c>
      <c r="H44" s="25" t="str">
        <f t="shared" si="5"/>
        <v>ТП-21924</v>
      </c>
      <c r="I44" s="25" t="str">
        <f t="shared" si="6"/>
        <v>78521924</v>
      </c>
      <c r="J44" s="42" t="str">
        <f>INDEX(Справочники!$M:$M,MATCH(IF(INDEX(ТУ!$BO:$BO,MATCH($U44*1,ТУ!$CP:$CP,0),1)=1,1,INDEX(ТУ!$BO:$BO,MATCH($U44*1,ТУ!$CP:$CP,0),1)*100),Справочники!$N:$N,0),1)</f>
        <v>0.4 кВ</v>
      </c>
      <c r="K44" s="40">
        <f>1</f>
        <v>1</v>
      </c>
      <c r="L44" s="20" t="str">
        <f t="shared" si="7"/>
        <v>СШ-1</v>
      </c>
      <c r="M44" s="20">
        <f t="shared" si="8"/>
        <v>1</v>
      </c>
      <c r="N44" s="40"/>
      <c r="O44" s="56" t="str">
        <f t="shared" si="9"/>
        <v>Ввод-1-1</v>
      </c>
      <c r="P44" s="57" t="str">
        <f>IFERROR(IF(INDEX(ТУ!$AO:$AO,MATCH($U44*1,ТУ!$CP:$CP,0),1)=0,"",INDEX(ТУ!$AO:$AO,MATCH($U44*1,ТУ!$CP:$CP,0),1)),"")</f>
        <v>ВВ абонента 1</v>
      </c>
      <c r="Q44" s="40">
        <f>IFERROR(IF(INDEX(ТУ!$BN:$BN,MATCH($U44*1,ТУ!$CP:$CP,0),1)=1,1,INDEX(ТУ!$BN:$BN,MATCH($U44*1,ТУ!$CP:$CP,0),1)*5),"")</f>
        <v>1</v>
      </c>
      <c r="R44" s="25">
        <f t="shared" si="10"/>
        <v>1</v>
      </c>
      <c r="S44" s="25">
        <f t="shared" si="11"/>
        <v>1</v>
      </c>
      <c r="T44" s="25">
        <f t="shared" si="12"/>
        <v>1</v>
      </c>
      <c r="U44" s="105" t="s">
        <v>932</v>
      </c>
      <c r="V44" s="43">
        <f>IF(INDEX(ТУ!$BH:$BH,MATCH($U44*1,ТУ!$CP:$CP,0),1)=0,"",INDEX(ТУ!$BH:$BH,MATCH($U44*1,ТУ!$CP:$CP,0),1))</f>
        <v>45306</v>
      </c>
      <c r="W44" s="43" t="str">
        <f>IF(INDEX(ТУ!$BI:$BI,MATCH($U44*1,ТУ!$CP:$CP,0),1)=0,"",INDEX(ТУ!$BI:$BI,MATCH($U44*1,ТУ!$CP:$CP,0),1))</f>
        <v>13.12.2021</v>
      </c>
      <c r="X44" s="58" t="str">
        <f t="shared" si="13"/>
        <v/>
      </c>
      <c r="Y44" s="25">
        <f t="shared" si="14"/>
        <v>35</v>
      </c>
      <c r="Z44" s="42" t="str">
        <f t="shared" si="15"/>
        <v/>
      </c>
      <c r="AA44" s="25" t="str">
        <f t="shared" si="16"/>
        <v/>
      </c>
      <c r="AB44" s="40" t="str">
        <f>IF(ISNUMBER(SEARCH("Приборы с поддержкой протокола СПОДЭС - Нартис-И300 (СПОДЭС)",INDEX(ТУ!$BD:$BD,MATCH($U44*1,ТУ!$CP:$CP,0),1))),"Нартис-И300",
IF(ISNUMBER(SEARCH("Приборы с поддержкой протокола СПОДЭС - Меркурий 234 (СПОДЭС)",INDEX(ТУ!$BD:$BD,MATCH($U44*1,ТУ!$CP:$CP,0),1))),"Меркурий 234 (СПОДЭС)",
IF(ISNUMBER(SEARCH("Приборы с поддержкой протокола СПОДЭС - Нартис-300 (СПОДЭС)",INDEX(ТУ!$BD:$BD,MATCH($U44*1,ТУ!$CP:$CP,0),1))),"Нартис-300",
IF(ISNUMBER(SEARCH("Инкотекс - Меркурий 234",INDEX(ТУ!$BD:$BD,MATCH($U44*1,ТУ!$CP:$CP,0),1))),"Меркурий 234",
IF(ISNUMBER(SEARCH("Инкотекс - Меркурий 206",INDEX(ТУ!$BD:$BD,MATCH($U44*1,ТУ!$CP:$CP,0),1))),"Меркурий 206",
IF(ISNUMBER(SEARCH("Приборы с поддержкой протокола СПОДЭС - Универсальный счетчик СПОДЭС 2 трехфазный",INDEX(ТУ!$BD:$BD,MATCH($U44*1,ТУ!$CP:$CP,0),1))),"Нартис-И300",
IF(ISNUMBER(SEARCH("Приборы с поддержкой протокола СПОДЭС - Универсальный счетчик СПОДЭС 2 однофазный",INDEX(ТУ!$BD:$BD,MATCH($U44*1,ТУ!$CP:$CP,0),1))),"Нартис-И100",
IF(ISNUMBER(SEARCH("Приборы с поддержкой протокола СПОДЭС - Нартис-И100 (СПОДЭС)",INDEX(ТУ!$BD:$BD,MATCH($U44*1,ТУ!$CP:$CP,0),1))),"Нартис-И100",
IF(ISNUMBER(SEARCH("Приборы с поддержкой протокола СПОДЭС - СЕ308 (СПОДЭС)",INDEX(ТУ!$BD:$BD,MATCH($U44*1,ТУ!$CP:$CP,0),1))),"СЕ308 (СПОДЭС)",
IF(ISNUMBER(SEARCH("Приборы с поддержкой протокола СПОДЭС - СЕ207 (СПОДЭС)",INDEX(ТУ!$BD:$BD,MATCH($U44*1,ТУ!$CP:$CP,0),1))),"СЕ207 (СПОДЭС)",
IF(ISNUMBER(SEARCH("Приборы с поддержкой протокола СПОДЭС - СТЭМ-300 (СПОДЭС)",INDEX(ТУ!$BD:$BD,MATCH($U44*1,ТУ!$CP:$CP,0),1))),"СТЭМ-300 (СПОДЭС)",
IF(ISNUMBER(SEARCH("ТехноЭнерго - ТЕ3000",INDEX(ТУ!$BD:$BD,MATCH($U44*1,ТУ!$CP:$CP,0),1))),"ТЕ3000",
IF(ISNUMBER(SEARCH("НЗиФ - СЭТ-4ТМ",INDEX(ТУ!$BD:$BD,MATCH($U44*1,ТУ!$CP:$CP,0),1))),"СЭТ-4ТМ",
INDEX(ТУ!$BD:$BD,MATCH($U44*1,ТУ!$CP:$CP,0),1)
)))))))))))))</f>
        <v>Инкотекс - Меркурий 208</v>
      </c>
      <c r="AC44" s="40" t="s">
        <v>2</v>
      </c>
      <c r="AD44" s="40" t="str">
        <f>IF(ISNUMBER(IFERROR(LEFT(IF(INDEX(ТУ!$CI:$CI,MATCH($U44*1,ТУ!$CP:$CP,0),1)=0,"",INDEX(ТУ!$CI:$CI,MATCH($U44*1,ТУ!$CP:$CP,0),1)),SEARCH(" ",IF(INDEX(ТУ!$CI:$CI,MATCH($U44*1,ТУ!$CP:$CP,0),1)=0,"",INDEX(ТУ!$CI:$CI,MATCH($U44*1,ТУ!$CP:$CP,0),1)),1)-1),"")*1),IFERROR(LEFT(IF(INDEX(ТУ!$CI:$CI,MATCH($U44*1,ТУ!$CP:$CP,0),1)=0,"",INDEX(ТУ!$CI:$CI,MATCH($U44*1,ТУ!$CP:$CP,0),1)),SEARCH(" ",IF(INDEX(ТУ!$CI:$CI,MATCH($U44*1,ТУ!$CP:$CP,0),1)=0,"",INDEX(ТУ!$CI:$CI,MATCH($U44*1,ТУ!$CP:$CP,0),1)),1)-1),""),"")</f>
        <v>77670001014222</v>
      </c>
      <c r="AE44" s="40" t="str">
        <f>IF(INDEX(ТУ!$CB:$CB,MATCH($U44*1,ТУ!$CP:$CP,0),1)=0,INDEX(Adr!$B:$B,MATCH($U44*1,Adr!$C:$C,0),1),INDEX(ТУ!$CB:$CB,MATCH($U44*1,ТУ!$CP:$CP,0),1))</f>
        <v>54</v>
      </c>
      <c r="AF44" s="45" t="str">
        <f>IF(INDEX(ТУ!$CD:$CD,MATCH($U44*1,ТУ!$CP:$CP,0),1)=0,"",INDEX(ТУ!$CD:$CD,MATCH($U44*1,ТУ!$CP:$CP,0),1))</f>
        <v>222222</v>
      </c>
      <c r="AG44" s="45">
        <f>0</f>
        <v>0</v>
      </c>
      <c r="AH44" s="26">
        <f t="shared" si="17"/>
        <v>78</v>
      </c>
      <c r="AI44" s="20" t="str">
        <f t="shared" si="18"/>
        <v>785219241</v>
      </c>
      <c r="AJ44" s="41" t="str">
        <f t="shared" si="1"/>
        <v>10.210.144.241</v>
      </c>
      <c r="AK44" s="41" t="str">
        <f>IF($AP44="",IFERROR(IFERROR(LEFT(RIGHT(INDEX(ТУ!$CE:$CE,MATCH($U44*1,ТУ!$CP:$CP,0),1),LEN(INDEX(ТУ!$CE:$CE,MATCH($U44*1,ТУ!$CP:$CP,0),1))-SEARCH(":",INDEX(ТУ!$CE:$CE,MATCH($U44*1,ТУ!$CP:$CP,0),1))),SEARCH("/",RIGHT(INDEX(ТУ!$CE:$CE,MATCH($U44*1,ТУ!$CP:$CP,0),1),LEN(INDEX(ТУ!$CE:$CE,MATCH($U44*1,ТУ!$CP:$CP,0),1))-SEARCH(":",INDEX(ТУ!$CE:$CE,MATCH($U44*1,ТУ!$CP:$CP,0),1))))-1), RIGHT(INDEX(ТУ!$CE:$CE,MATCH($U44*1,ТУ!$CP:$CP,0),1),LEN(INDEX(ТУ!$CE:$CE,MATCH($U44*1,ТУ!$CP:$CP,0),1))-SEARCH(":",INDEX(ТУ!$CE:$CE,MATCH($U44*1,ТУ!$CP:$CP,0),1)))), ""),IFERROR(IFERROR(LEFT(RIGHT(INDEX(УСПД!$M:$M,MATCH(IFERROR(1*LEFT(INDEX(ТУ!$CG:$CG,MATCH($U44*1,ТУ!$CP:$CP,0),1),SEARCH(" ",INDEX(ТУ!$CG:$CG,MATCH($U44*1,ТУ!$CP:$CP,0),1))-1),""),УСПД!$N:$N,0),1),LEN(INDEX(УСПД!$M:$M,MATCH(IFERROR(1*LEFT(INDEX(ТУ!$CG:$CG,MATCH($U44*1,ТУ!$CP:$CP,0),1),SEARCH(" ",INDEX(ТУ!$CG:$CG,MATCH($U44*1,ТУ!$CP:$CP,0),1))-1),""),УСПД!$N:$N,0),1))-SEARCH(":",INDEX(УСПД!$M:$M,MATCH(IFERROR(1*LEFT(INDEX(ТУ!$CG:$CG,MATCH($U44*1,ТУ!$CP:$CP,0),1),SEARCH(" ",INDEX(ТУ!$CG:$CG,MATCH($U44*1,ТУ!$CP:$CP,0),1))-1),""),УСПД!$N:$N,0),1))),SEARCH("/",RIGHT(INDEX(УСПД!$M:$M,MATCH(IFERROR(1*LEFT(INDEX(ТУ!$CG:$CG,MATCH($U44*1,ТУ!$CP:$CP,0),1),SEARCH(" ",INDEX(ТУ!$CG:$CG,MATCH($U44*1,ТУ!$CP:$CP,0),1))-1),""),УСПД!$N:$N,0),1),LEN(INDEX(УСПД!$M:$M,MATCH(IFERROR(1*LEFT(INDEX(ТУ!$CG:$CG,MATCH($U44*1,ТУ!$CP:$CP,0),1),SEARCH(" ",INDEX(ТУ!$CG:$CG,MATCH($U44*1,ТУ!$CP:$CP,0),1))-1),""),УСПД!$N:$N,0),1))-SEARCH(":",INDEX(УСПД!$M:$M,MATCH(IFERROR(1*LEFT(INDEX(ТУ!$CG:$CG,MATCH($U44*1,ТУ!$CP:$CP,0),1),SEARCH(" ",INDEX(ТУ!$CG:$CG,MATCH($U44*1,ТУ!$CP:$CP,0),1))-1),""),УСПД!$N:$N,0),1))))-1), RIGHT(INDEX(УСПД!$M:$M,MATCH(IFERROR(1*LEFT(INDEX(ТУ!$CG:$CG,MATCH($U44*1,ТУ!$CP:$CP,0),1),SEARCH(" ",INDEX(ТУ!$CG:$CG,MATCH($U44*1,ТУ!$CP:$CP,0),1))-1),""),УСПД!$N:$N,0),1),LEN(INDEX(УСПД!$M:$M,MATCH(IFERROR(1*LEFT(INDEX(ТУ!$CG:$CG,MATCH($U44*1,ТУ!$CP:$CP,0),1),SEARCH(" ",INDEX(ТУ!$CG:$CG,MATCH($U44*1,ТУ!$CP:$CP,0),1))-1),""),УСПД!$N:$N,0),1))-SEARCH(":",INDEX(УСПД!$M:$M,MATCH(IFERROR(1*LEFT(INDEX(ТУ!$CG:$CG,MATCH($U44*1,ТУ!$CP:$CP,0),1),SEARCH(" ",INDEX(ТУ!$CG:$CG,MATCH($U44*1,ТУ!$CP:$CP,0),1))-1),""),УСПД!$N:$N,0),1)))), ""))</f>
        <v>4001</v>
      </c>
      <c r="AL44" s="41"/>
      <c r="AM44" s="57" t="str">
        <f>IFERROR(IFERROR(INDEX(Tel!$B:$B,MATCH($AJ44,Tel!$E:$E,0),1),INDEX(Tel!$B:$B,MATCH($AJ44,Tel!$D:$D,0),1)),"")</f>
        <v/>
      </c>
      <c r="AN44" s="59" t="str">
        <f>IF(ISNUMBER(SEARCH("ТОПАЗ - ТОПАЗ УСПД",IFERROR(RIGHT(LEFT(INDEX(ТУ!$CG:$CG,MATCH($U44*1,ТУ!$CP:$CP,0),1),SEARCH(")",INDEX(ТУ!$CG:$CG,MATCH($U44*1,ТУ!$CP:$CP,0),1))-1),LEN(LEFT(INDEX(ТУ!$CG:$CG,MATCH($U44*1,ТУ!$CP:$CP,0),1),SEARCH(")",INDEX(ТУ!$CG:$CG,MATCH($U44*1,ТУ!$CP:$CP,0),1))-1))-SEARCH("(",INDEX(ТУ!$CG:$CG,MATCH($U44*1,ТУ!$CP:$CP,0),1))),""),1)),"RTU-327",
IF(ISNUMBER(SEARCH("TELEOFIS",$AP44)),"Модем",
""))</f>
        <v/>
      </c>
      <c r="AO44" s="27" t="str">
        <f t="shared" si="24"/>
        <v/>
      </c>
      <c r="AP44" s="57" t="str">
        <f>IF(ISNUMBER(SEARCH("Миландр - Милур GSM/GPRS модем",IFERROR(RIGHT(LEFT(INDEX(ТУ!$CG:$CG,MATCH($U44*1,ТУ!$CP:$CP,0),1),SEARCH(")",INDEX(ТУ!$CG:$CG,MATCH($U44*1,ТУ!$CP:$CP,0),1))-1),LEN(LEFT(INDEX(ТУ!$CG:$CG,MATCH($U44*1,ТУ!$CP:$CP,0),1),SEARCH(")",INDEX(ТУ!$CG:$CG,MATCH($U44*1,ТУ!$CP:$CP,0),1))-1))-SEARCH("(",INDEX(ТУ!$CG:$CG,MATCH($U44*1,ТУ!$CP:$CP,0),1))),""),1)), "TELEOFIS WRX708-L4",IFERROR(RIGHT(LEFT(INDEX(ТУ!$CG:$CG,MATCH($U44*1,ТУ!$CP:$CP,0),1),SEARCH(")",INDEX(ТУ!$CG:$CG,MATCH($U44*1,ТУ!$CP:$CP,0),1))-1),LEN(LEFT(INDEX(ТУ!$CG:$CG,MATCH($U44*1,ТУ!$CP:$CP,0),1),SEARCH(")",INDEX(ТУ!$CG:$CG,MATCH($U44*1,ТУ!$CP:$CP,0),1))-1))-SEARCH("(",INDEX(ТУ!$CG:$CG,MATCH($U44*1,ТУ!$CP:$CP,0),1))),""))</f>
        <v/>
      </c>
      <c r="AQ44" s="57" t="str">
        <f>IFERROR(IF(INDEX(УСПД!$K:$K,MATCH($AS44*1,УСПД!$N:$N,0),1)=0,"",INDEX(УСПД!$K:$K,MATCH($AS44*1,УСПД!$N:$N,0),1)),"")</f>
        <v/>
      </c>
      <c r="AR44" s="57" t="str">
        <f>IFERROR(IF(INDEX(УСПД!$L:$L,MATCH($AS44*1,УСПД!$N:$N,0),1)=0,"",INDEX(УСПД!$L:$L,MATCH($AS44*1,УСПД!$N:$N,0),1)),"")</f>
        <v/>
      </c>
      <c r="AS44" s="60" t="str">
        <f>IFERROR(LEFT(INDEX(ТУ!$CG:$CG,MATCH($U44*1,ТУ!$CP:$CP,0),1),SEARCH(" ",INDEX(ТУ!$CG:$CG,MATCH($U44*1,ТУ!$CP:$CP,0),1))-1),"")</f>
        <v/>
      </c>
      <c r="AT44" s="59" t="s">
        <v>360</v>
      </c>
      <c r="AU44" s="59">
        <f>3</f>
        <v>3</v>
      </c>
      <c r="AV44" s="59" t="s">
        <v>368</v>
      </c>
      <c r="AW44" s="149">
        <f t="shared" si="19"/>
        <v>56</v>
      </c>
      <c r="AX44" s="149">
        <f t="shared" si="20"/>
        <v>34</v>
      </c>
      <c r="AY44" s="149" t="str">
        <f t="shared" si="21"/>
        <v/>
      </c>
      <c r="AZ44" s="149" t="str">
        <f t="shared" si="22"/>
        <v/>
      </c>
      <c r="BA44" s="149">
        <f t="shared" si="23"/>
        <v>1</v>
      </c>
      <c r="BB44" s="154" t="str">
        <f>IF($AP44="",IFERROR(IFERROR(LEFT(RIGHT(INDEX(ТУ!$CE:$CE,MATCH($U44*1,ТУ!$CP:$CP,0),1),LEN(INDEX(ТУ!$CE:$CE,MATCH($U44*1,ТУ!$CP:$CP,0),1))-SEARCH(", ",INDEX(ТУ!$CE:$CE,MATCH($U44*1,ТУ!$CP:$CP,0),1),SEARCH(", ",INDEX(ТУ!$CE:$CE,MATCH($U44*1,ТУ!$CP:$CP,0),1))+1)-1),SEARCH(":",RIGHT(INDEX(ТУ!$CE:$CE,MATCH($U44*1,ТУ!$CP:$CP,0),1),LEN(INDEX(ТУ!$CE:$CE,MATCH($U44*1,ТУ!$CP:$CP,0),1))-SEARCH(", ",INDEX(ТУ!$CE:$CE,MATCH($U44*1,ТУ!$CP:$CP,0),1),SEARCH(", ",INDEX(ТУ!$CE:$CE,MATCH($U44*1,ТУ!$CP:$CP,0),1))+1)-1))-1),LEFT(INDEX(ТУ!$CE:$CE,MATCH($U44*1,ТУ!$CP:$CP,0),1),SEARCH(":",INDEX(ТУ!$CE:$CE,MATCH($U44*1,ТУ!$CP:$CP,0),1))-1)),""),IFERROR(IFERROR(LEFT(RIGHT(INDEX(УСПД!$M:$M,MATCH(IFERROR(1*LEFT(INDEX(ТУ!$CG:$CG,MATCH($U44*1,ТУ!$CP:$CP,0),1),SEARCH(" ",INDEX(ТУ!$CG:$CG,MATCH($U44*1,ТУ!$CP:$CP,0),1))-1),""),УСПД!$N:$N,0),1),LEN(INDEX(УСПД!$M:$M,MATCH(IFERROR(1*LEFT(INDEX(ТУ!$CG:$CG,MATCH($U44*1,ТУ!$CP:$CP,0),1),SEARCH(" ",INDEX(ТУ!$CG:$CG,MATCH($U44*1,ТУ!$CP:$CP,0),1))-1),""),УСПД!$N:$N,0),1))-SEARCH(", ",INDEX(УСПД!$M:$M,MATCH(IFERROR(1*LEFT(INDEX(ТУ!$CG:$CG,MATCH($U44*1,ТУ!$CP:$CP,0),1),SEARCH(" ",INDEX(ТУ!$CG:$CG,MATCH($U44*1,ТУ!$CP:$CP,0),1))-1),""),УСПД!$N:$N,0),1),SEARCH(", ",INDEX(УСПД!$M:$M,MATCH(IFERROR(1*LEFT(INDEX(ТУ!$CG:$CG,MATCH($U44*1,ТУ!$CP:$CP,0),1),SEARCH(" ",INDEX(ТУ!$CG:$CG,MATCH($U44*1,ТУ!$CP:$CP,0),1))-1),""),УСПД!$N:$N,0),1))+1)-1),SEARCH(":",RIGHT(INDEX(УСПД!$M:$M,MATCH(IFERROR(1*LEFT(INDEX(ТУ!$CG:$CG,MATCH($U44*1,ТУ!$CP:$CP,0),1),SEARCH(" ",INDEX(ТУ!$CG:$CG,MATCH($U44*1,ТУ!$CP:$CP,0),1))-1),""),УСПД!$N:$N,0),1),LEN(INDEX(УСПД!$M:$M,MATCH(IFERROR(1*LEFT(INDEX(ТУ!$CG:$CG,MATCH($U44*1,ТУ!$CP:$CP,0),1),SEARCH(" ",INDEX(ТУ!$CG:$CG,MATCH($U44*1,ТУ!$CP:$CP,0),1))-1),""),УСПД!$N:$N,0),1))-SEARCH(", ",INDEX(УСПД!$M:$M,MATCH(IFERROR(1*LEFT(INDEX(ТУ!$CG:$CG,MATCH($U44*1,ТУ!$CP:$CP,0),1),SEARCH(" ",INDEX(ТУ!$CG:$CG,MATCH($U44*1,ТУ!$CP:$CP,0),1))-1),""),УСПД!$N:$N,0),1),SEARCH(", ",INDEX(УСПД!$M:$M,MATCH(IFERROR(1*LEFT(INDEX(ТУ!$CG:$CG,MATCH($U44*1,ТУ!$CP:$CP,0),1),SEARCH(" ",INDEX(ТУ!$CG:$CG,MATCH($U44*1,ТУ!$CP:$CP,0),1))-1),""),УСПД!$N:$N,0),1))+1)-1))-1),LEFT(INDEX(УСПД!$M:$M,MATCH(IFERROR(1*LEFT(INDEX(ТУ!$CG:$CG,MATCH($U44*1,ТУ!$CP:$CP,0),1),SEARCH(" ",INDEX(ТУ!$CG:$CG,MATCH($U44*1,ТУ!$CP:$CP,0),1))-1),""),УСПД!$N:$N,0),1),SEARCH(":",INDEX(УСПД!$M:$M,MATCH(IFERROR(1*LEFT(INDEX(ТУ!$CG:$CG,MATCH($U44*1,ТУ!$CP:$CP,0),1),SEARCH(" ",INDEX(ТУ!$CG:$CG,MATCH($U44*1,ТУ!$CP:$CP,0),1))-1),""),УСПД!$N:$N,0),1))-1)),""))</f>
        <v>10.210.144.241</v>
      </c>
      <c r="BC44" s="155" t="str">
        <f>INDEX(ТУ!$AF:$AF,MATCH($U44*1,ТУ!$CP:$CP,0),1)</f>
        <v>ТП-21924</v>
      </c>
      <c r="BD44" s="155">
        <f>INDEX(ТУ!$X:$X,MATCH($U44*1,ТУ!$CP:$CP,0),1)</f>
        <v>0</v>
      </c>
      <c r="BE44" s="155">
        <f>INDEX(ТУ!$CL:$CL,MATCH($U44*1,ТУ!$CP:$CP,0),1)</f>
        <v>0</v>
      </c>
      <c r="BF44" s="147" t="str">
        <f>IFERROR(INDEX(естьАЦ!$A:$A,MATCH($U44*1,естьАЦ!$A:$A,0),1),"нет в АЦ")</f>
        <v>нет в АЦ</v>
      </c>
    </row>
    <row r="45" spans="1:58" ht="15" x14ac:dyDescent="0.25">
      <c r="A45" s="55">
        <f>3</f>
        <v>3</v>
      </c>
      <c r="B45" s="42" t="str">
        <f>IFERROR(IFERROR(INDEX(Справочники!$A$2:$P$79,MATCH(INDEX(ТУ!$E:$E,MATCH($U45*1,ТУ!$CP:$CP,0),1),Справочники!$P$2:$P$79,0),2),INDEX(Справочники!$A$2:$P$79,MATCH((INDEX(ТУ!$E:$E,MATCH($U45*1,ТУ!$CP:$CP,0),1))*1,Справочники!$P$2:$P$79,0),2)),"")</f>
        <v>09 р-н МКС (СВОРУПЭ)</v>
      </c>
      <c r="C45" s="46" t="str">
        <f>IFERROR(TRIM(LEFT(INDEX(ТУ!$AF:$AF,MATCH($U45*1,ТУ!$CP:$CP,0),1),SEARCH("-",INDEX(ТУ!$AF:$AF,MATCH($U45*1,ТУ!$CP:$CP,0),1))-1)),IFERROR(LEFT(INDEX(ТУ!$X:$X,MATCH($U45*1,ТУ!$CP:$CP,0),1),SEARCH("-",INDEX(ТУ!$X:$X,MATCH($U45*1,ТУ!$CP:$CP,0),1))-1),"ТП"))</f>
        <v>ТП</v>
      </c>
      <c r="D45" s="47" t="str">
        <f>IF(TRIM(IF(ISNUMBER((IFERROR(RIGHT(INDEX(ТУ!$AF:$AF,MATCH($U45*1,ТУ!$CP:$CP,0),1),LEN(INDEX(ТУ!$AF:$AF,MATCH($U45*1,ТУ!$CP:$CP,0),1))-SEARCH("-",INDEX(ТУ!$AF:$AF,MATCH($U45*1,ТУ!$CP:$CP,0),1))),INDEX(ТУ!$AF:$AF,MATCH($U45*1,ТУ!$CP:$CP,0),1)))*1),IFERROR(RIGHT(INDEX(ТУ!$AF:$AF,MATCH($U45*1,ТУ!$CP:$CP,0),1),LEN(INDEX(ТУ!$AF:$AF,MATCH($U45*1,ТУ!$CP:$CP,0),1))-SEARCH("-",INDEX(ТУ!$AF:$AF,MATCH($U45*1,ТУ!$CP:$CP,0),1))),INDEX(ТУ!$AF:$AF,MATCH($U45*1,ТУ!$CP:$CP,0),1)),""))="",TRIM(IF(ISNUMBER((IFERROR(RIGHT(INDEX(ТУ!$X:$X,MATCH($U45*1,ТУ!$CP:$CP,0),1),LEN(INDEX(ТУ!$X:$X,MATCH($U45*1,ТУ!$CP:$CP,0),1))-SEARCH("-",INDEX(ТУ!$X:$X,MATCH($U45*1,ТУ!$CP:$CP,0),1))),INDEX(ТУ!$X:$X,MATCH($U45*1,ТУ!$CP:$CP,0),1)))*1),IFERROR(RIGHT(INDEX(ТУ!$X:$X,MATCH($U45*1,ТУ!$CP:$CP,0),1),LEN(INDEX(ТУ!$X:$X,MATCH($U45*1,ТУ!$CP:$CP,0),1))-SEARCH("-",INDEX(ТУ!$X:$X,MATCH($U45*1,ТУ!$CP:$CP,0),1))),INDEX(ТУ!$X:$X,MATCH($U45*1,ТУ!$CP:$CP,0),1)),"")),TRIM(IF(ISNUMBER((IFERROR(RIGHT(INDEX(ТУ!$AF:$AF,MATCH($U45*1,ТУ!$CP:$CP,0),1),LEN(INDEX(ТУ!$AF:$AF,MATCH($U45*1,ТУ!$CP:$CP,0),1))-SEARCH("-",INDEX(ТУ!$AF:$AF,MATCH($U45*1,ТУ!$CP:$CP,0),1))),INDEX(ТУ!$AF:$AF,MATCH($U45*1,ТУ!$CP:$CP,0),1)))*1),IFERROR(RIGHT(INDEX(ТУ!$AF:$AF,MATCH($U45*1,ТУ!$CP:$CP,0),1),LEN(INDEX(ТУ!$AF:$AF,MATCH($U45*1,ТУ!$CP:$CP,0),1))-SEARCH("-",INDEX(ТУ!$AF:$AF,MATCH($U45*1,ТУ!$CP:$CP,0),1))),INDEX(ТУ!$AF:$AF,MATCH($U45*1,ТУ!$CP:$CP,0),1)),"")))</f>
        <v>16911</v>
      </c>
      <c r="E45" s="25" t="str">
        <f t="shared" si="2"/>
        <v>МКС</v>
      </c>
      <c r="F45" s="20">
        <f t="shared" si="3"/>
        <v>83</v>
      </c>
      <c r="G45" s="21">
        <f t="shared" si="4"/>
        <v>5</v>
      </c>
      <c r="H45" s="25" t="str">
        <f t="shared" si="5"/>
        <v>ТП-16911</v>
      </c>
      <c r="I45" s="25" t="str">
        <f t="shared" si="6"/>
        <v>83516911</v>
      </c>
      <c r="J45" s="42" t="str">
        <f>INDEX(Справочники!$M:$M,MATCH(IF(INDEX(ТУ!$BO:$BO,MATCH($U45*1,ТУ!$CP:$CP,0),1)=1,1,INDEX(ТУ!$BO:$BO,MATCH($U45*1,ТУ!$CP:$CP,0),1)*100),Справочники!$N:$N,0),1)</f>
        <v>0.4 кВ</v>
      </c>
      <c r="K45" s="40">
        <f>1</f>
        <v>1</v>
      </c>
      <c r="L45" s="20" t="str">
        <f t="shared" si="7"/>
        <v>СШ-1</v>
      </c>
      <c r="M45" s="20">
        <f t="shared" si="8"/>
        <v>1</v>
      </c>
      <c r="N45" s="40"/>
      <c r="O45" s="56" t="str">
        <f t="shared" si="9"/>
        <v>Ввод-1-1</v>
      </c>
      <c r="P45" s="57" t="str">
        <f>IFERROR(IF(INDEX(ТУ!$AO:$AO,MATCH($U45*1,ТУ!$CP:$CP,0),1)=0,"",INDEX(ТУ!$AO:$AO,MATCH($U45*1,ТУ!$CP:$CP,0),1)),"")</f>
        <v>вв. абонента 3</v>
      </c>
      <c r="Q45" s="40">
        <f>IFERROR(IF(INDEX(ТУ!$BN:$BN,MATCH($U45*1,ТУ!$CP:$CP,0),1)=1,1,INDEX(ТУ!$BN:$BN,MATCH($U45*1,ТУ!$CP:$CP,0),1)*5),"")</f>
        <v>300</v>
      </c>
      <c r="R45" s="25">
        <f t="shared" si="10"/>
        <v>5</v>
      </c>
      <c r="S45" s="25">
        <f t="shared" si="11"/>
        <v>1</v>
      </c>
      <c r="T45" s="25">
        <f t="shared" si="12"/>
        <v>1</v>
      </c>
      <c r="U45" s="105" t="s">
        <v>945</v>
      </c>
      <c r="V45" s="43">
        <f>IF(INDEX(ТУ!$BH:$BH,MATCH($U45*1,ТУ!$CP:$CP,0),1)=0,"",INDEX(ТУ!$BH:$BH,MATCH($U45*1,ТУ!$CP:$CP,0),1))</f>
        <v>45546</v>
      </c>
      <c r="W45" s="43" t="str">
        <f>IF(INDEX(ТУ!$BI:$BI,MATCH($U45*1,ТУ!$CP:$CP,0),1)=0,"",INDEX(ТУ!$BI:$BI,MATCH($U45*1,ТУ!$CP:$CP,0),1))</f>
        <v/>
      </c>
      <c r="X45" s="58" t="str">
        <f t="shared" si="13"/>
        <v>СЭТ-4ТМ</v>
      </c>
      <c r="Y45" s="25">
        <f t="shared" si="14"/>
        <v>7</v>
      </c>
      <c r="Z45" s="42" t="str">
        <f t="shared" si="15"/>
        <v/>
      </c>
      <c r="AA45" s="25" t="str">
        <f t="shared" si="16"/>
        <v/>
      </c>
      <c r="AB45" s="40" t="str">
        <f>IF(ISNUMBER(SEARCH("Приборы с поддержкой протокола СПОДЭС - Нартис-И300 (СПОДЭС)",INDEX(ТУ!$BD:$BD,MATCH($U45*1,ТУ!$CP:$CP,0),1))),"Нартис-И300",
IF(ISNUMBER(SEARCH("Приборы с поддержкой протокола СПОДЭС - Меркурий 234 (СПОДЭС)",INDEX(ТУ!$BD:$BD,MATCH($U45*1,ТУ!$CP:$CP,0),1))),"Меркурий 234 (СПОДЭС)",
IF(ISNUMBER(SEARCH("Приборы с поддержкой протокола СПОДЭС - Нартис-300 (СПОДЭС)",INDEX(ТУ!$BD:$BD,MATCH($U45*1,ТУ!$CP:$CP,0),1))),"Нартис-300",
IF(ISNUMBER(SEARCH("Инкотекс - Меркурий 234",INDEX(ТУ!$BD:$BD,MATCH($U45*1,ТУ!$CP:$CP,0),1))),"Меркурий 234",
IF(ISNUMBER(SEARCH("Инкотекс - Меркурий 206",INDEX(ТУ!$BD:$BD,MATCH($U45*1,ТУ!$CP:$CP,0),1))),"Меркурий 206",
IF(ISNUMBER(SEARCH("Приборы с поддержкой протокола СПОДЭС - Универсальный счетчик СПОДЭС 2 трехфазный",INDEX(ТУ!$BD:$BD,MATCH($U45*1,ТУ!$CP:$CP,0),1))),"Нартис-И300",
IF(ISNUMBER(SEARCH("Приборы с поддержкой протокола СПОДЭС - Универсальный счетчик СПОДЭС 2 однофазный",INDEX(ТУ!$BD:$BD,MATCH($U45*1,ТУ!$CP:$CP,0),1))),"Нартис-И100",
IF(ISNUMBER(SEARCH("Приборы с поддержкой протокола СПОДЭС - Нартис-И100 (СПОДЭС)",INDEX(ТУ!$BD:$BD,MATCH($U45*1,ТУ!$CP:$CP,0),1))),"Нартис-И100",
IF(ISNUMBER(SEARCH("Приборы с поддержкой протокола СПОДЭС - СЕ308 (СПОДЭС)",INDEX(ТУ!$BD:$BD,MATCH($U45*1,ТУ!$CP:$CP,0),1))),"СЕ308 (СПОДЭС)",
IF(ISNUMBER(SEARCH("Приборы с поддержкой протокола СПОДЭС - СЕ207 (СПОДЭС)",INDEX(ТУ!$BD:$BD,MATCH($U45*1,ТУ!$CP:$CP,0),1))),"СЕ207 (СПОДЭС)",
IF(ISNUMBER(SEARCH("Приборы с поддержкой протокола СПОДЭС - СТЭМ-300 (СПОДЭС)",INDEX(ТУ!$BD:$BD,MATCH($U45*1,ТУ!$CP:$CP,0),1))),"СТЭМ-300 (СПОДЭС)",
IF(ISNUMBER(SEARCH("ТехноЭнерго - ТЕ3000",INDEX(ТУ!$BD:$BD,MATCH($U45*1,ТУ!$CP:$CP,0),1))),"ТЕ3000",
IF(ISNUMBER(SEARCH("НЗиФ - СЭТ-4ТМ",INDEX(ТУ!$BD:$BD,MATCH($U45*1,ТУ!$CP:$CP,0),1))),"СЭТ-4ТМ",
INDEX(ТУ!$BD:$BD,MATCH($U45*1,ТУ!$CP:$CP,0),1)
)))))))))))))</f>
        <v>СЭТ-4ТМ</v>
      </c>
      <c r="AC45" s="40" t="s">
        <v>2</v>
      </c>
      <c r="AD45" s="40" t="str">
        <f>IF(ISNUMBER(IFERROR(LEFT(IF(INDEX(ТУ!$CI:$CI,MATCH($U45*1,ТУ!$CP:$CP,0),1)=0,"",INDEX(ТУ!$CI:$CI,MATCH($U45*1,ТУ!$CP:$CP,0),1)),SEARCH(" ",IF(INDEX(ТУ!$CI:$CI,MATCH($U45*1,ТУ!$CP:$CP,0),1)=0,"",INDEX(ТУ!$CI:$CI,MATCH($U45*1,ТУ!$CP:$CP,0),1)),1)-1),"")*1),IFERROR(LEFT(IF(INDEX(ТУ!$CI:$CI,MATCH($U45*1,ТУ!$CP:$CP,0),1)=0,"",INDEX(ТУ!$CI:$CI,MATCH($U45*1,ТУ!$CP:$CP,0),1)),SEARCH(" ",IF(INDEX(ТУ!$CI:$CI,MATCH($U45*1,ТУ!$CP:$CP,0),1)=0,"",INDEX(ТУ!$CI:$CI,MATCH($U45*1,ТУ!$CP:$CP,0),1)),1)-1),""),"")</f>
        <v>1030000074</v>
      </c>
      <c r="AE45" s="40" t="str">
        <f>IF(INDEX(ТУ!$CB:$CB,MATCH($U45*1,ТУ!$CP:$CP,0),1)=0,INDEX(Adr!$B:$B,MATCH($U45*1,Adr!$C:$C,0),1),INDEX(ТУ!$CB:$CB,MATCH($U45*1,ТУ!$CP:$CP,0),1))</f>
        <v>84</v>
      </c>
      <c r="AF45" s="45" t="str">
        <f>IF(INDEX(ТУ!$CD:$CD,MATCH($U45*1,ТУ!$CP:$CP,0),1)=0,"",INDEX(ТУ!$CD:$CD,MATCH($U45*1,ТУ!$CP:$CP,0),1))</f>
        <v>000000</v>
      </c>
      <c r="AG45" s="45">
        <f>0</f>
        <v>0</v>
      </c>
      <c r="AH45" s="26">
        <f t="shared" si="17"/>
        <v>83</v>
      </c>
      <c r="AI45" s="20" t="str">
        <f t="shared" si="18"/>
        <v>835169111</v>
      </c>
      <c r="AJ45" s="41" t="str">
        <f t="shared" si="1"/>
        <v>10.212.51.195</v>
      </c>
      <c r="AK45" s="41" t="str">
        <f>IF($AP45="",IFERROR(IFERROR(LEFT(RIGHT(INDEX(ТУ!$CE:$CE,MATCH($U45*1,ТУ!$CP:$CP,0),1),LEN(INDEX(ТУ!$CE:$CE,MATCH($U45*1,ТУ!$CP:$CP,0),1))-SEARCH(":",INDEX(ТУ!$CE:$CE,MATCH($U45*1,ТУ!$CP:$CP,0),1))),SEARCH("/",RIGHT(INDEX(ТУ!$CE:$CE,MATCH($U45*1,ТУ!$CP:$CP,0),1),LEN(INDEX(ТУ!$CE:$CE,MATCH($U45*1,ТУ!$CP:$CP,0),1))-SEARCH(":",INDEX(ТУ!$CE:$CE,MATCH($U45*1,ТУ!$CP:$CP,0),1))))-1), RIGHT(INDEX(ТУ!$CE:$CE,MATCH($U45*1,ТУ!$CP:$CP,0),1),LEN(INDEX(ТУ!$CE:$CE,MATCH($U45*1,ТУ!$CP:$CP,0),1))-SEARCH(":",INDEX(ТУ!$CE:$CE,MATCH($U45*1,ТУ!$CP:$CP,0),1)))), ""),IFERROR(IFERROR(LEFT(RIGHT(INDEX(УСПД!$M:$M,MATCH(IFERROR(1*LEFT(INDEX(ТУ!$CG:$CG,MATCH($U45*1,ТУ!$CP:$CP,0),1),SEARCH(" ",INDEX(ТУ!$CG:$CG,MATCH($U45*1,ТУ!$CP:$CP,0),1))-1),""),УСПД!$N:$N,0),1),LEN(INDEX(УСПД!$M:$M,MATCH(IFERROR(1*LEFT(INDEX(ТУ!$CG:$CG,MATCH($U45*1,ТУ!$CP:$CP,0),1),SEARCH(" ",INDEX(ТУ!$CG:$CG,MATCH($U45*1,ТУ!$CP:$CP,0),1))-1),""),УСПД!$N:$N,0),1))-SEARCH(":",INDEX(УСПД!$M:$M,MATCH(IFERROR(1*LEFT(INDEX(ТУ!$CG:$CG,MATCH($U45*1,ТУ!$CP:$CP,0),1),SEARCH(" ",INDEX(ТУ!$CG:$CG,MATCH($U45*1,ТУ!$CP:$CP,0),1))-1),""),УСПД!$N:$N,0),1))),SEARCH("/",RIGHT(INDEX(УСПД!$M:$M,MATCH(IFERROR(1*LEFT(INDEX(ТУ!$CG:$CG,MATCH($U45*1,ТУ!$CP:$CP,0),1),SEARCH(" ",INDEX(ТУ!$CG:$CG,MATCH($U45*1,ТУ!$CP:$CP,0),1))-1),""),УСПД!$N:$N,0),1),LEN(INDEX(УСПД!$M:$M,MATCH(IFERROR(1*LEFT(INDEX(ТУ!$CG:$CG,MATCH($U45*1,ТУ!$CP:$CP,0),1),SEARCH(" ",INDEX(ТУ!$CG:$CG,MATCH($U45*1,ТУ!$CP:$CP,0),1))-1),""),УСПД!$N:$N,0),1))-SEARCH(":",INDEX(УСПД!$M:$M,MATCH(IFERROR(1*LEFT(INDEX(ТУ!$CG:$CG,MATCH($U45*1,ТУ!$CP:$CP,0),1),SEARCH(" ",INDEX(ТУ!$CG:$CG,MATCH($U45*1,ТУ!$CP:$CP,0),1))-1),""),УСПД!$N:$N,0),1))))-1), RIGHT(INDEX(УСПД!$M:$M,MATCH(IFERROR(1*LEFT(INDEX(ТУ!$CG:$CG,MATCH($U45*1,ТУ!$CP:$CP,0),1),SEARCH(" ",INDEX(ТУ!$CG:$CG,MATCH($U45*1,ТУ!$CP:$CP,0),1))-1),""),УСПД!$N:$N,0),1),LEN(INDEX(УСПД!$M:$M,MATCH(IFERROR(1*LEFT(INDEX(ТУ!$CG:$CG,MATCH($U45*1,ТУ!$CP:$CP,0),1),SEARCH(" ",INDEX(ТУ!$CG:$CG,MATCH($U45*1,ТУ!$CP:$CP,0),1))-1),""),УСПД!$N:$N,0),1))-SEARCH(":",INDEX(УСПД!$M:$M,MATCH(IFERROR(1*LEFT(INDEX(ТУ!$CG:$CG,MATCH($U45*1,ТУ!$CP:$CP,0),1),SEARCH(" ",INDEX(ТУ!$CG:$CG,MATCH($U45*1,ТУ!$CP:$CP,0),1))-1),""),УСПД!$N:$N,0),1)))), ""))</f>
        <v>5000</v>
      </c>
      <c r="AL45" s="41"/>
      <c r="AM45" s="57" t="str">
        <f>IFERROR(IFERROR(INDEX(Tel!$B:$B,MATCH($AJ45,Tel!$E:$E,0),1),INDEX(Tel!$B:$B,MATCH($AJ45,Tel!$D:$D,0),1)),"")</f>
        <v/>
      </c>
      <c r="AN45" s="59" t="str">
        <f>IF(ISNUMBER(SEARCH("ТОПАЗ - ТОПАЗ УСПД",IFERROR(RIGHT(LEFT(INDEX(ТУ!$CG:$CG,MATCH($U45*1,ТУ!$CP:$CP,0),1),SEARCH(")",INDEX(ТУ!$CG:$CG,MATCH($U45*1,ТУ!$CP:$CP,0),1))-1),LEN(LEFT(INDEX(ТУ!$CG:$CG,MATCH($U45*1,ТУ!$CP:$CP,0),1),SEARCH(")",INDEX(ТУ!$CG:$CG,MATCH($U45*1,ТУ!$CP:$CP,0),1))-1))-SEARCH("(",INDEX(ТУ!$CG:$CG,MATCH($U45*1,ТУ!$CP:$CP,0),1))),""),1)),"RTU-327",
IF(ISNUMBER(SEARCH("TELEOFIS",$AP45)),"Модем",
""))</f>
        <v/>
      </c>
      <c r="AO45" s="27" t="str">
        <f t="shared" si="24"/>
        <v/>
      </c>
      <c r="AP45" s="57" t="str">
        <f>IF(ISNUMBER(SEARCH("Миландр - Милур GSM/GPRS модем",IFERROR(RIGHT(LEFT(INDEX(ТУ!$CG:$CG,MATCH($U45*1,ТУ!$CP:$CP,0),1),SEARCH(")",INDEX(ТУ!$CG:$CG,MATCH($U45*1,ТУ!$CP:$CP,0),1))-1),LEN(LEFT(INDEX(ТУ!$CG:$CG,MATCH($U45*1,ТУ!$CP:$CP,0),1),SEARCH(")",INDEX(ТУ!$CG:$CG,MATCH($U45*1,ТУ!$CP:$CP,0),1))-1))-SEARCH("(",INDEX(ТУ!$CG:$CG,MATCH($U45*1,ТУ!$CP:$CP,0),1))),""),1)), "TELEOFIS WRX708-L4",IFERROR(RIGHT(LEFT(INDEX(ТУ!$CG:$CG,MATCH($U45*1,ТУ!$CP:$CP,0),1),SEARCH(")",INDEX(ТУ!$CG:$CG,MATCH($U45*1,ТУ!$CP:$CP,0),1))-1),LEN(LEFT(INDEX(ТУ!$CG:$CG,MATCH($U45*1,ТУ!$CP:$CP,0),1),SEARCH(")",INDEX(ТУ!$CG:$CG,MATCH($U45*1,ТУ!$CP:$CP,0),1))-1))-SEARCH("(",INDEX(ТУ!$CG:$CG,MATCH($U45*1,ТУ!$CP:$CP,0),1))),""))</f>
        <v/>
      </c>
      <c r="AQ45" s="57" t="str">
        <f>IFERROR(IF(INDEX(УСПД!$K:$K,MATCH($AS45*1,УСПД!$N:$N,0),1)=0,"",INDEX(УСПД!$K:$K,MATCH($AS45*1,УСПД!$N:$N,0),1)),"")</f>
        <v/>
      </c>
      <c r="AR45" s="57" t="str">
        <f>IFERROR(IF(INDEX(УСПД!$L:$L,MATCH($AS45*1,УСПД!$N:$N,0),1)=0,"",INDEX(УСПД!$L:$L,MATCH($AS45*1,УСПД!$N:$N,0),1)),"")</f>
        <v/>
      </c>
      <c r="AS45" s="60" t="str">
        <f>IFERROR(LEFT(INDEX(ТУ!$CG:$CG,MATCH($U45*1,ТУ!$CP:$CP,0),1),SEARCH(" ",INDEX(ТУ!$CG:$CG,MATCH($U45*1,ТУ!$CP:$CP,0),1))-1),"")</f>
        <v/>
      </c>
      <c r="AT45" s="59" t="s">
        <v>360</v>
      </c>
      <c r="AU45" s="59">
        <f>3</f>
        <v>3</v>
      </c>
      <c r="AV45" s="59" t="s">
        <v>368</v>
      </c>
      <c r="AW45" s="149">
        <f t="shared" si="19"/>
        <v>61</v>
      </c>
      <c r="AX45" s="149">
        <f t="shared" si="20"/>
        <v>7</v>
      </c>
      <c r="AY45" s="149" t="str">
        <f t="shared" si="21"/>
        <v/>
      </c>
      <c r="AZ45" s="149" t="str">
        <f t="shared" si="22"/>
        <v/>
      </c>
      <c r="BA45" s="149">
        <f t="shared" si="23"/>
        <v>1</v>
      </c>
      <c r="BB45" s="154" t="str">
        <f>IF($AP45="",IFERROR(IFERROR(LEFT(RIGHT(INDEX(ТУ!$CE:$CE,MATCH($U45*1,ТУ!$CP:$CP,0),1),LEN(INDEX(ТУ!$CE:$CE,MATCH($U45*1,ТУ!$CP:$CP,0),1))-SEARCH(", ",INDEX(ТУ!$CE:$CE,MATCH($U45*1,ТУ!$CP:$CP,0),1),SEARCH(", ",INDEX(ТУ!$CE:$CE,MATCH($U45*1,ТУ!$CP:$CP,0),1))+1)-1),SEARCH(":",RIGHT(INDEX(ТУ!$CE:$CE,MATCH($U45*1,ТУ!$CP:$CP,0),1),LEN(INDEX(ТУ!$CE:$CE,MATCH($U45*1,ТУ!$CP:$CP,0),1))-SEARCH(", ",INDEX(ТУ!$CE:$CE,MATCH($U45*1,ТУ!$CP:$CP,0),1),SEARCH(", ",INDEX(ТУ!$CE:$CE,MATCH($U45*1,ТУ!$CP:$CP,0),1))+1)-1))-1),LEFT(INDEX(ТУ!$CE:$CE,MATCH($U45*1,ТУ!$CP:$CP,0),1),SEARCH(":",INDEX(ТУ!$CE:$CE,MATCH($U45*1,ТУ!$CP:$CP,0),1))-1)),""),IFERROR(IFERROR(LEFT(RIGHT(INDEX(УСПД!$M:$M,MATCH(IFERROR(1*LEFT(INDEX(ТУ!$CG:$CG,MATCH($U45*1,ТУ!$CP:$CP,0),1),SEARCH(" ",INDEX(ТУ!$CG:$CG,MATCH($U45*1,ТУ!$CP:$CP,0),1))-1),""),УСПД!$N:$N,0),1),LEN(INDEX(УСПД!$M:$M,MATCH(IFERROR(1*LEFT(INDEX(ТУ!$CG:$CG,MATCH($U45*1,ТУ!$CP:$CP,0),1),SEARCH(" ",INDEX(ТУ!$CG:$CG,MATCH($U45*1,ТУ!$CP:$CP,0),1))-1),""),УСПД!$N:$N,0),1))-SEARCH(", ",INDEX(УСПД!$M:$M,MATCH(IFERROR(1*LEFT(INDEX(ТУ!$CG:$CG,MATCH($U45*1,ТУ!$CP:$CP,0),1),SEARCH(" ",INDEX(ТУ!$CG:$CG,MATCH($U45*1,ТУ!$CP:$CP,0),1))-1),""),УСПД!$N:$N,0),1),SEARCH(", ",INDEX(УСПД!$M:$M,MATCH(IFERROR(1*LEFT(INDEX(ТУ!$CG:$CG,MATCH($U45*1,ТУ!$CP:$CP,0),1),SEARCH(" ",INDEX(ТУ!$CG:$CG,MATCH($U45*1,ТУ!$CP:$CP,0),1))-1),""),УСПД!$N:$N,0),1))+1)-1),SEARCH(":",RIGHT(INDEX(УСПД!$M:$M,MATCH(IFERROR(1*LEFT(INDEX(ТУ!$CG:$CG,MATCH($U45*1,ТУ!$CP:$CP,0),1),SEARCH(" ",INDEX(ТУ!$CG:$CG,MATCH($U45*1,ТУ!$CP:$CP,0),1))-1),""),УСПД!$N:$N,0),1),LEN(INDEX(УСПД!$M:$M,MATCH(IFERROR(1*LEFT(INDEX(ТУ!$CG:$CG,MATCH($U45*1,ТУ!$CP:$CP,0),1),SEARCH(" ",INDEX(ТУ!$CG:$CG,MATCH($U45*1,ТУ!$CP:$CP,0),1))-1),""),УСПД!$N:$N,0),1))-SEARCH(", ",INDEX(УСПД!$M:$M,MATCH(IFERROR(1*LEFT(INDEX(ТУ!$CG:$CG,MATCH($U45*1,ТУ!$CP:$CP,0),1),SEARCH(" ",INDEX(ТУ!$CG:$CG,MATCH($U45*1,ТУ!$CP:$CP,0),1))-1),""),УСПД!$N:$N,0),1),SEARCH(", ",INDEX(УСПД!$M:$M,MATCH(IFERROR(1*LEFT(INDEX(ТУ!$CG:$CG,MATCH($U45*1,ТУ!$CP:$CP,0),1),SEARCH(" ",INDEX(ТУ!$CG:$CG,MATCH($U45*1,ТУ!$CP:$CP,0),1))-1),""),УСПД!$N:$N,0),1))+1)-1))-1),LEFT(INDEX(УСПД!$M:$M,MATCH(IFERROR(1*LEFT(INDEX(ТУ!$CG:$CG,MATCH($U45*1,ТУ!$CP:$CP,0),1),SEARCH(" ",INDEX(ТУ!$CG:$CG,MATCH($U45*1,ТУ!$CP:$CP,0),1))-1),""),УСПД!$N:$N,0),1),SEARCH(":",INDEX(УСПД!$M:$M,MATCH(IFERROR(1*LEFT(INDEX(ТУ!$CG:$CG,MATCH($U45*1,ТУ!$CP:$CP,0),1),SEARCH(" ",INDEX(ТУ!$CG:$CG,MATCH($U45*1,ТУ!$CP:$CP,0),1))-1),""),УСПД!$N:$N,0),1))-1)),""))</f>
        <v>10.212.51.195</v>
      </c>
      <c r="BC45" s="155" t="str">
        <f>INDEX(ТУ!$AF:$AF,MATCH($U45*1,ТУ!$CP:$CP,0),1)</f>
        <v>ТП-16911</v>
      </c>
      <c r="BD45" s="155">
        <f>INDEX(ТУ!$X:$X,MATCH($U45*1,ТУ!$CP:$CP,0),1)</f>
        <v>0</v>
      </c>
      <c r="BE45" s="155">
        <f>INDEX(ТУ!$CL:$CL,MATCH($U45*1,ТУ!$CP:$CP,0),1)</f>
        <v>0</v>
      </c>
      <c r="BF45" s="147" t="str">
        <f>IFERROR(INDEX(естьАЦ!$A:$A,MATCH($U45*1,естьАЦ!$A:$A,0),1),"нет в АЦ")</f>
        <v>нет в АЦ</v>
      </c>
    </row>
    <row r="46" spans="1:58" ht="25.5" x14ac:dyDescent="0.25">
      <c r="A46" s="55">
        <f>3</f>
        <v>3</v>
      </c>
      <c r="B46" s="42" t="str">
        <f>IFERROR(IFERROR(INDEX(Справочники!$A$2:$P$79,MATCH(INDEX(ТУ!$E:$E,MATCH($U46*1,ТУ!$CP:$CP,0),1),Справочники!$P$2:$P$79,0),2),INDEX(Справочники!$A$2:$P$79,MATCH((INDEX(ТУ!$E:$E,MATCH($U46*1,ТУ!$CP:$CP,0),1))*1,Справочники!$P$2:$P$79,0),2)),"")</f>
        <v>20 р-н МКС (ЗОРУПЭ)</v>
      </c>
      <c r="C46" s="46" t="str">
        <f>IFERROR(TRIM(LEFT(INDEX(ТУ!$AF:$AF,MATCH($U46*1,ТУ!$CP:$CP,0),1),SEARCH("-",INDEX(ТУ!$AF:$AF,MATCH($U46*1,ТУ!$CP:$CP,0),1))-1)),IFERROR(LEFT(INDEX(ТУ!$X:$X,MATCH($U46*1,ТУ!$CP:$CP,0),1),SEARCH("-",INDEX(ТУ!$X:$X,MATCH($U46*1,ТУ!$CP:$CP,0),1))-1),"ТП"))</f>
        <v>ТП</v>
      </c>
      <c r="D46" s="47" t="str">
        <f>IF(TRIM(IF(ISNUMBER((IFERROR(RIGHT(INDEX(ТУ!$AF:$AF,MATCH($U46*1,ТУ!$CP:$CP,0),1),LEN(INDEX(ТУ!$AF:$AF,MATCH($U46*1,ТУ!$CP:$CP,0),1))-SEARCH("-",INDEX(ТУ!$AF:$AF,MATCH($U46*1,ТУ!$CP:$CP,0),1))),INDEX(ТУ!$AF:$AF,MATCH($U46*1,ТУ!$CP:$CP,0),1)))*1),IFERROR(RIGHT(INDEX(ТУ!$AF:$AF,MATCH($U46*1,ТУ!$CP:$CP,0),1),LEN(INDEX(ТУ!$AF:$AF,MATCH($U46*1,ТУ!$CP:$CP,0),1))-SEARCH("-",INDEX(ТУ!$AF:$AF,MATCH($U46*1,ТУ!$CP:$CP,0),1))),INDEX(ТУ!$AF:$AF,MATCH($U46*1,ТУ!$CP:$CP,0),1)),""))="",TRIM(IF(ISNUMBER((IFERROR(RIGHT(INDEX(ТУ!$X:$X,MATCH($U46*1,ТУ!$CP:$CP,0),1),LEN(INDEX(ТУ!$X:$X,MATCH($U46*1,ТУ!$CP:$CP,0),1))-SEARCH("-",INDEX(ТУ!$X:$X,MATCH($U46*1,ТУ!$CP:$CP,0),1))),INDEX(ТУ!$X:$X,MATCH($U46*1,ТУ!$CP:$CP,0),1)))*1),IFERROR(RIGHT(INDEX(ТУ!$X:$X,MATCH($U46*1,ТУ!$CP:$CP,0),1),LEN(INDEX(ТУ!$X:$X,MATCH($U46*1,ТУ!$CP:$CP,0),1))-SEARCH("-",INDEX(ТУ!$X:$X,MATCH($U46*1,ТУ!$CP:$CP,0),1))),INDEX(ТУ!$X:$X,MATCH($U46*1,ТУ!$CP:$CP,0),1)),"")),TRIM(IF(ISNUMBER((IFERROR(RIGHT(INDEX(ТУ!$AF:$AF,MATCH($U46*1,ТУ!$CP:$CP,0),1),LEN(INDEX(ТУ!$AF:$AF,MATCH($U46*1,ТУ!$CP:$CP,0),1))-SEARCH("-",INDEX(ТУ!$AF:$AF,MATCH($U46*1,ТУ!$CP:$CP,0),1))),INDEX(ТУ!$AF:$AF,MATCH($U46*1,ТУ!$CP:$CP,0),1)))*1),IFERROR(RIGHT(INDEX(ТУ!$AF:$AF,MATCH($U46*1,ТУ!$CP:$CP,0),1),LEN(INDEX(ТУ!$AF:$AF,MATCH($U46*1,ТУ!$CP:$CP,0),1))-SEARCH("-",INDEX(ТУ!$AF:$AF,MATCH($U46*1,ТУ!$CP:$CP,0),1))),INDEX(ТУ!$AF:$AF,MATCH($U46*1,ТУ!$CP:$CP,0),1)),"")))</f>
        <v>11828</v>
      </c>
      <c r="E46" s="25" t="str">
        <f t="shared" si="2"/>
        <v>МКС</v>
      </c>
      <c r="F46" s="20">
        <f t="shared" si="3"/>
        <v>94</v>
      </c>
      <c r="G46" s="21">
        <f t="shared" si="4"/>
        <v>5</v>
      </c>
      <c r="H46" s="25" t="str">
        <f t="shared" si="5"/>
        <v>ТП-11828</v>
      </c>
      <c r="I46" s="25" t="str">
        <f t="shared" si="6"/>
        <v>94511828</v>
      </c>
      <c r="J46" s="42" t="str">
        <f>INDEX(Справочники!$M:$M,MATCH(IF(INDEX(ТУ!$BO:$BO,MATCH($U46*1,ТУ!$CP:$CP,0),1)=1,1,INDEX(ТУ!$BO:$BO,MATCH($U46*1,ТУ!$CP:$CP,0),1)*100),Справочники!$N:$N,0),1)</f>
        <v>0.4 кВ</v>
      </c>
      <c r="K46" s="40">
        <f>1</f>
        <v>1</v>
      </c>
      <c r="L46" s="20" t="str">
        <f t="shared" si="7"/>
        <v>СШ-1</v>
      </c>
      <c r="M46" s="20">
        <f t="shared" si="8"/>
        <v>1</v>
      </c>
      <c r="N46" s="40"/>
      <c r="O46" s="56" t="str">
        <f t="shared" si="9"/>
        <v>Ввод-1-1</v>
      </c>
      <c r="P46" s="57" t="str">
        <f>IFERROR(IF(INDEX(ТУ!$AO:$AO,MATCH($U46*1,ТУ!$CP:$CP,0),1)=0,"",INDEX(ТУ!$AO:$AO,MATCH($U46*1,ТУ!$CP:$CP,0),1)),"")</f>
        <v>ВВ абонента 1</v>
      </c>
      <c r="Q46" s="40">
        <f>IFERROR(IF(INDEX(ТУ!$BN:$BN,MATCH($U46*1,ТУ!$CP:$CP,0),1)=1,1,INDEX(ТУ!$BN:$BN,MATCH($U46*1,ТУ!$CP:$CP,0),1)*5),"")</f>
        <v>1</v>
      </c>
      <c r="R46" s="25">
        <f t="shared" si="10"/>
        <v>1</v>
      </c>
      <c r="S46" s="25">
        <f t="shared" si="11"/>
        <v>1</v>
      </c>
      <c r="T46" s="25">
        <f t="shared" si="12"/>
        <v>1</v>
      </c>
      <c r="U46" s="105" t="s">
        <v>952</v>
      </c>
      <c r="V46" s="43">
        <f>IF(INDEX(ТУ!$BH:$BH,MATCH($U46*1,ТУ!$CP:$CP,0),1)=0,"",INDEX(ТУ!$BH:$BH,MATCH($U46*1,ТУ!$CP:$CP,0),1))</f>
        <v>45105</v>
      </c>
      <c r="W46" s="43" t="str">
        <f>IF(INDEX(ТУ!$BI:$BI,MATCH($U46*1,ТУ!$CP:$CP,0),1)=0,"",INDEX(ТУ!$BI:$BI,MATCH($U46*1,ТУ!$CP:$CP,0),1))</f>
        <v>29.07.2022</v>
      </c>
      <c r="X46" s="58" t="str">
        <f t="shared" si="13"/>
        <v>Меркурий 203.2Т</v>
      </c>
      <c r="Y46" s="25">
        <f t="shared" si="14"/>
        <v>17</v>
      </c>
      <c r="Z46" s="42" t="str">
        <f t="shared" si="15"/>
        <v/>
      </c>
      <c r="AA46" s="25" t="str">
        <f t="shared" si="16"/>
        <v/>
      </c>
      <c r="AB46" s="40" t="str">
        <f>IF(ISNUMBER(SEARCH("Приборы с поддержкой протокола СПОДЭС - Нартис-И300 (СПОДЭС)",INDEX(ТУ!$BD:$BD,MATCH($U46*1,ТУ!$CP:$CP,0),1))),"Нартис-И300",
IF(ISNUMBER(SEARCH("Приборы с поддержкой протокола СПОДЭС - Меркурий 234 (СПОДЭС)",INDEX(ТУ!$BD:$BD,MATCH($U46*1,ТУ!$CP:$CP,0),1))),"Меркурий 234 (СПОДЭС)",
IF(ISNUMBER(SEARCH("Приборы с поддержкой протокола СПОДЭС - Нартис-300 (СПОДЭС)",INDEX(ТУ!$BD:$BD,MATCH($U46*1,ТУ!$CP:$CP,0),1))),"Нартис-300",
IF(ISNUMBER(SEARCH("Инкотекс - Меркурий 234",INDEX(ТУ!$BD:$BD,MATCH($U46*1,ТУ!$CP:$CP,0),1))),"Меркурий 234",
IF(ISNUMBER(SEARCH("Инкотекс - Меркурий 206",INDEX(ТУ!$BD:$BD,MATCH($U46*1,ТУ!$CP:$CP,0),1))),"Меркурий 206",
IF(ISNUMBER(SEARCH("Приборы с поддержкой протокола СПОДЭС - Универсальный счетчик СПОДЭС 2 трехфазный",INDEX(ТУ!$BD:$BD,MATCH($U46*1,ТУ!$CP:$CP,0),1))),"Нартис-И300",
IF(ISNUMBER(SEARCH("Приборы с поддержкой протокола СПОДЭС - Универсальный счетчик СПОДЭС 2 однофазный",INDEX(ТУ!$BD:$BD,MATCH($U46*1,ТУ!$CP:$CP,0),1))),"Нартис-И100",
IF(ISNUMBER(SEARCH("Приборы с поддержкой протокола СПОДЭС - Нартис-И100 (СПОДЭС)",INDEX(ТУ!$BD:$BD,MATCH($U46*1,ТУ!$CP:$CP,0),1))),"Нартис-И100",
IF(ISNUMBER(SEARCH("Приборы с поддержкой протокола СПОДЭС - СЕ308 (СПОДЭС)",INDEX(ТУ!$BD:$BD,MATCH($U46*1,ТУ!$CP:$CP,0),1))),"СЕ308 (СПОДЭС)",
IF(ISNUMBER(SEARCH("Приборы с поддержкой протокола СПОДЭС - СЕ207 (СПОДЭС)",INDEX(ТУ!$BD:$BD,MATCH($U46*1,ТУ!$CP:$CP,0),1))),"СЕ207 (СПОДЭС)",
IF(ISNUMBER(SEARCH("Приборы с поддержкой протокола СПОДЭС - СТЭМ-300 (СПОДЭС)",INDEX(ТУ!$BD:$BD,MATCH($U46*1,ТУ!$CP:$CP,0),1))),"СТЭМ-300 (СПОДЭС)",
IF(ISNUMBER(SEARCH("ТехноЭнерго - ТЕ3000",INDEX(ТУ!$BD:$BD,MATCH($U46*1,ТУ!$CP:$CP,0),1))),"ТЕ3000",
IF(ISNUMBER(SEARCH("НЗиФ - СЭТ-4ТМ",INDEX(ТУ!$BD:$BD,MATCH($U46*1,ТУ!$CP:$CP,0),1))),"СЭТ-4ТМ",
INDEX(ТУ!$BD:$BD,MATCH($U46*1,ТУ!$CP:$CP,0),1)
)))))))))))))</f>
        <v>Приборы с поддержкой протокола СПОДЭС - Меркурий 206 (СПОДЭС)</v>
      </c>
      <c r="AC46" s="40" t="s">
        <v>2</v>
      </c>
      <c r="AD46" s="40" t="str">
        <f>IF(ISNUMBER(IFERROR(LEFT(IF(INDEX(ТУ!$CI:$CI,MATCH($U46*1,ТУ!$CP:$CP,0),1)=0,"",INDEX(ТУ!$CI:$CI,MATCH($U46*1,ТУ!$CP:$CP,0),1)),SEARCH(" ",IF(INDEX(ТУ!$CI:$CI,MATCH($U46*1,ТУ!$CP:$CP,0),1)=0,"",INDEX(ТУ!$CI:$CI,MATCH($U46*1,ТУ!$CP:$CP,0),1)),1)-1),"")*1),IFERROR(LEFT(IF(INDEX(ТУ!$CI:$CI,MATCH($U46*1,ТУ!$CP:$CP,0),1)=0,"",INDEX(ТУ!$CI:$CI,MATCH($U46*1,ТУ!$CP:$CP,0),1)),SEARCH(" ",IF(INDEX(ТУ!$CI:$CI,MATCH($U46*1,ТУ!$CP:$CP,0),1)=0,"",INDEX(ТУ!$CI:$CI,MATCH($U46*1,ТУ!$CP:$CP,0),1)),1)-1),""),"")</f>
        <v>77640001012836</v>
      </c>
      <c r="AE46" s="40">
        <f>IF(INDEX(ТУ!$CB:$CB,MATCH($U46*1,ТУ!$CP:$CP,0),1)=0,INDEX(Adr!$B:$B,MATCH($U46*1,Adr!$C:$C,0),1),INDEX(ТУ!$CB:$CB,MATCH($U46*1,ТУ!$CP:$CP,0),1))</f>
        <v>28</v>
      </c>
      <c r="AF46" s="45" t="str">
        <f>IF(INDEX(ТУ!$CD:$CD,MATCH($U46*1,ТУ!$CP:$CP,0),1)=0,"",INDEX(ТУ!$CD:$CD,MATCH($U46*1,ТУ!$CP:$CP,0),1))</f>
        <v>2222222222222222</v>
      </c>
      <c r="AG46" s="45">
        <f>0</f>
        <v>0</v>
      </c>
      <c r="AH46" s="26">
        <f t="shared" si="17"/>
        <v>94</v>
      </c>
      <c r="AI46" s="20" t="str">
        <f t="shared" si="18"/>
        <v>945118281</v>
      </c>
      <c r="AJ46" s="41" t="str">
        <f t="shared" si="1"/>
        <v/>
      </c>
      <c r="AK46" s="41" t="str">
        <f>IF($AP46="",IFERROR(IFERROR(LEFT(RIGHT(INDEX(ТУ!$CE:$CE,MATCH($U46*1,ТУ!$CP:$CP,0),1),LEN(INDEX(ТУ!$CE:$CE,MATCH($U46*1,ТУ!$CP:$CP,0),1))-SEARCH(":",INDEX(ТУ!$CE:$CE,MATCH($U46*1,ТУ!$CP:$CP,0),1))),SEARCH("/",RIGHT(INDEX(ТУ!$CE:$CE,MATCH($U46*1,ТУ!$CP:$CP,0),1),LEN(INDEX(ТУ!$CE:$CE,MATCH($U46*1,ТУ!$CP:$CP,0),1))-SEARCH(":",INDEX(ТУ!$CE:$CE,MATCH($U46*1,ТУ!$CP:$CP,0),1))))-1), RIGHT(INDEX(ТУ!$CE:$CE,MATCH($U46*1,ТУ!$CP:$CP,0),1),LEN(INDEX(ТУ!$CE:$CE,MATCH($U46*1,ТУ!$CP:$CP,0),1))-SEARCH(":",INDEX(ТУ!$CE:$CE,MATCH($U46*1,ТУ!$CP:$CP,0),1)))), ""),IFERROR(IFERROR(LEFT(RIGHT(INDEX(УСПД!$M:$M,MATCH(IFERROR(1*LEFT(INDEX(ТУ!$CG:$CG,MATCH($U46*1,ТУ!$CP:$CP,0),1),SEARCH(" ",INDEX(ТУ!$CG:$CG,MATCH($U46*1,ТУ!$CP:$CP,0),1))-1),""),УСПД!$N:$N,0),1),LEN(INDEX(УСПД!$M:$M,MATCH(IFERROR(1*LEFT(INDEX(ТУ!$CG:$CG,MATCH($U46*1,ТУ!$CP:$CP,0),1),SEARCH(" ",INDEX(ТУ!$CG:$CG,MATCH($U46*1,ТУ!$CP:$CP,0),1))-1),""),УСПД!$N:$N,0),1))-SEARCH(":",INDEX(УСПД!$M:$M,MATCH(IFERROR(1*LEFT(INDEX(ТУ!$CG:$CG,MATCH($U46*1,ТУ!$CP:$CP,0),1),SEARCH(" ",INDEX(ТУ!$CG:$CG,MATCH($U46*1,ТУ!$CP:$CP,0),1))-1),""),УСПД!$N:$N,0),1))),SEARCH("/",RIGHT(INDEX(УСПД!$M:$M,MATCH(IFERROR(1*LEFT(INDEX(ТУ!$CG:$CG,MATCH($U46*1,ТУ!$CP:$CP,0),1),SEARCH(" ",INDEX(ТУ!$CG:$CG,MATCH($U46*1,ТУ!$CP:$CP,0),1))-1),""),УСПД!$N:$N,0),1),LEN(INDEX(УСПД!$M:$M,MATCH(IFERROR(1*LEFT(INDEX(ТУ!$CG:$CG,MATCH($U46*1,ТУ!$CP:$CP,0),1),SEARCH(" ",INDEX(ТУ!$CG:$CG,MATCH($U46*1,ТУ!$CP:$CP,0),1))-1),""),УСПД!$N:$N,0),1))-SEARCH(":",INDEX(УСПД!$M:$M,MATCH(IFERROR(1*LEFT(INDEX(ТУ!$CG:$CG,MATCH($U46*1,ТУ!$CP:$CP,0),1),SEARCH(" ",INDEX(ТУ!$CG:$CG,MATCH($U46*1,ТУ!$CP:$CP,0),1))-1),""),УСПД!$N:$N,0),1))))-1), RIGHT(INDEX(УСПД!$M:$M,MATCH(IFERROR(1*LEFT(INDEX(ТУ!$CG:$CG,MATCH($U46*1,ТУ!$CP:$CP,0),1),SEARCH(" ",INDEX(ТУ!$CG:$CG,MATCH($U46*1,ТУ!$CP:$CP,0),1))-1),""),УСПД!$N:$N,0),1),LEN(INDEX(УСПД!$M:$M,MATCH(IFERROR(1*LEFT(INDEX(ТУ!$CG:$CG,MATCH($U46*1,ТУ!$CP:$CP,0),1),SEARCH(" ",INDEX(ТУ!$CG:$CG,MATCH($U46*1,ТУ!$CP:$CP,0),1))-1),""),УСПД!$N:$N,0),1))-SEARCH(":",INDEX(УСПД!$M:$M,MATCH(IFERROR(1*LEFT(INDEX(ТУ!$CG:$CG,MATCH($U46*1,ТУ!$CP:$CP,0),1),SEARCH(" ",INDEX(ТУ!$CG:$CG,MATCH($U46*1,ТУ!$CP:$CP,0),1))-1),""),УСПД!$N:$N,0),1)))), ""))</f>
        <v/>
      </c>
      <c r="AL46" s="41"/>
      <c r="AM46" s="57" t="str">
        <f>IFERROR(IFERROR(INDEX(Tel!$B:$B,MATCH($AJ46,Tel!$E:$E,0),1),INDEX(Tel!$B:$B,MATCH($AJ46,Tel!$D:$D,0),1)),"")</f>
        <v/>
      </c>
      <c r="AN46" s="59" t="str">
        <f>IF(ISNUMBER(SEARCH("ТОПАЗ - ТОПАЗ УСПД",IFERROR(RIGHT(LEFT(INDEX(ТУ!$CG:$CG,MATCH($U46*1,ТУ!$CP:$CP,0),1),SEARCH(")",INDEX(ТУ!$CG:$CG,MATCH($U46*1,ТУ!$CP:$CP,0),1))-1),LEN(LEFT(INDEX(ТУ!$CG:$CG,MATCH($U46*1,ТУ!$CP:$CP,0),1),SEARCH(")",INDEX(ТУ!$CG:$CG,MATCH($U46*1,ТУ!$CP:$CP,0),1))-1))-SEARCH("(",INDEX(ТУ!$CG:$CG,MATCH($U46*1,ТУ!$CP:$CP,0),1))),""),1)),"RTU-327",
IF(ISNUMBER(SEARCH("TELEOFIS",$AP46)),"Модем",
""))</f>
        <v>Модем</v>
      </c>
      <c r="AO46" s="27">
        <f t="shared" si="24"/>
        <v>0</v>
      </c>
      <c r="AP46" s="57" t="str">
        <f>IF(ISNUMBER(SEARCH("Миландр - Милур GSM/GPRS модем",IFERROR(RIGHT(LEFT(INDEX(ТУ!$CG:$CG,MATCH($U46*1,ТУ!$CP:$CP,0),1),SEARCH(")",INDEX(ТУ!$CG:$CG,MATCH($U46*1,ТУ!$CP:$CP,0),1))-1),LEN(LEFT(INDEX(ТУ!$CG:$CG,MATCH($U46*1,ТУ!$CP:$CP,0),1),SEARCH(")",INDEX(ТУ!$CG:$CG,MATCH($U46*1,ТУ!$CP:$CP,0),1))-1))-SEARCH("(",INDEX(ТУ!$CG:$CG,MATCH($U46*1,ТУ!$CP:$CP,0),1))),""),1)), "TELEOFIS WRX708-L4",IFERROR(RIGHT(LEFT(INDEX(ТУ!$CG:$CG,MATCH($U46*1,ТУ!$CP:$CP,0),1),SEARCH(")",INDEX(ТУ!$CG:$CG,MATCH($U46*1,ТУ!$CP:$CP,0),1))-1),LEN(LEFT(INDEX(ТУ!$CG:$CG,MATCH($U46*1,ТУ!$CP:$CP,0),1),SEARCH(")",INDEX(ТУ!$CG:$CG,MATCH($U46*1,ТУ!$CP:$CP,0),1))-1))-SEARCH("(",INDEX(ТУ!$CG:$CG,MATCH($U46*1,ТУ!$CP:$CP,0),1))),""))</f>
        <v>TELEOFIS WRX708-L4</v>
      </c>
      <c r="AQ46" s="57" t="str">
        <f>IFERROR(IF(INDEX(УСПД!$K:$K,MATCH($AS46*1,УСПД!$N:$N,0),1)=0,"",INDEX(УСПД!$K:$K,MATCH($AS46*1,УСПД!$N:$N,0),1)),"")</f>
        <v/>
      </c>
      <c r="AR46" s="57" t="str">
        <f>IFERROR(IF(INDEX(УСПД!$L:$L,MATCH($AS46*1,УСПД!$N:$N,0),1)=0,"",INDEX(УСПД!$L:$L,MATCH($AS46*1,УСПД!$N:$N,0),1)),"")</f>
        <v/>
      </c>
      <c r="AS46" s="60" t="str">
        <f>IFERROR(LEFT(INDEX(ТУ!$CG:$CG,MATCH($U46*1,ТУ!$CP:$CP,0),1),SEARCH(" ",INDEX(ТУ!$CG:$CG,MATCH($U46*1,ТУ!$CP:$CP,0),1))-1),"")</f>
        <v>356945326002595</v>
      </c>
      <c r="AT46" s="59" t="s">
        <v>360</v>
      </c>
      <c r="AU46" s="59">
        <f>3</f>
        <v>3</v>
      </c>
      <c r="AV46" s="59" t="s">
        <v>368</v>
      </c>
      <c r="AW46" s="149">
        <f t="shared" si="19"/>
        <v>72</v>
      </c>
      <c r="AX46" s="149">
        <f t="shared" si="20"/>
        <v>17</v>
      </c>
      <c r="AY46" s="149" t="str">
        <f t="shared" si="21"/>
        <v/>
      </c>
      <c r="AZ46" s="149">
        <f t="shared" si="22"/>
        <v>25</v>
      </c>
      <c r="BA46" s="149">
        <f t="shared" si="23"/>
        <v>1</v>
      </c>
      <c r="BB46" s="154" t="str">
        <f>IF($AP46="",IFERROR(IFERROR(LEFT(RIGHT(INDEX(ТУ!$CE:$CE,MATCH($U46*1,ТУ!$CP:$CP,0),1),LEN(INDEX(ТУ!$CE:$CE,MATCH($U46*1,ТУ!$CP:$CP,0),1))-SEARCH(", ",INDEX(ТУ!$CE:$CE,MATCH($U46*1,ТУ!$CP:$CP,0),1),SEARCH(", ",INDEX(ТУ!$CE:$CE,MATCH($U46*1,ТУ!$CP:$CP,0),1))+1)-1),SEARCH(":",RIGHT(INDEX(ТУ!$CE:$CE,MATCH($U46*1,ТУ!$CP:$CP,0),1),LEN(INDEX(ТУ!$CE:$CE,MATCH($U46*1,ТУ!$CP:$CP,0),1))-SEARCH(", ",INDEX(ТУ!$CE:$CE,MATCH($U46*1,ТУ!$CP:$CP,0),1),SEARCH(", ",INDEX(ТУ!$CE:$CE,MATCH($U46*1,ТУ!$CP:$CP,0),1))+1)-1))-1),LEFT(INDEX(ТУ!$CE:$CE,MATCH($U46*1,ТУ!$CP:$CP,0),1),SEARCH(":",INDEX(ТУ!$CE:$CE,MATCH($U46*1,ТУ!$CP:$CP,0),1))-1)),""),IFERROR(IFERROR(LEFT(RIGHT(INDEX(УСПД!$M:$M,MATCH(IFERROR(1*LEFT(INDEX(ТУ!$CG:$CG,MATCH($U46*1,ТУ!$CP:$CP,0),1),SEARCH(" ",INDEX(ТУ!$CG:$CG,MATCH($U46*1,ТУ!$CP:$CP,0),1))-1),""),УСПД!$N:$N,0),1),LEN(INDEX(УСПД!$M:$M,MATCH(IFERROR(1*LEFT(INDEX(ТУ!$CG:$CG,MATCH($U46*1,ТУ!$CP:$CP,0),1),SEARCH(" ",INDEX(ТУ!$CG:$CG,MATCH($U46*1,ТУ!$CP:$CP,0),1))-1),""),УСПД!$N:$N,0),1))-SEARCH(", ",INDEX(УСПД!$M:$M,MATCH(IFERROR(1*LEFT(INDEX(ТУ!$CG:$CG,MATCH($U46*1,ТУ!$CP:$CP,0),1),SEARCH(" ",INDEX(ТУ!$CG:$CG,MATCH($U46*1,ТУ!$CP:$CP,0),1))-1),""),УСПД!$N:$N,0),1),SEARCH(", ",INDEX(УСПД!$M:$M,MATCH(IFERROR(1*LEFT(INDEX(ТУ!$CG:$CG,MATCH($U46*1,ТУ!$CP:$CP,0),1),SEARCH(" ",INDEX(ТУ!$CG:$CG,MATCH($U46*1,ТУ!$CP:$CP,0),1))-1),""),УСПД!$N:$N,0),1))+1)-1),SEARCH(":",RIGHT(INDEX(УСПД!$M:$M,MATCH(IFERROR(1*LEFT(INDEX(ТУ!$CG:$CG,MATCH($U46*1,ТУ!$CP:$CP,0),1),SEARCH(" ",INDEX(ТУ!$CG:$CG,MATCH($U46*1,ТУ!$CP:$CP,0),1))-1),""),УСПД!$N:$N,0),1),LEN(INDEX(УСПД!$M:$M,MATCH(IFERROR(1*LEFT(INDEX(ТУ!$CG:$CG,MATCH($U46*1,ТУ!$CP:$CP,0),1),SEARCH(" ",INDEX(ТУ!$CG:$CG,MATCH($U46*1,ТУ!$CP:$CP,0),1))-1),""),УСПД!$N:$N,0),1))-SEARCH(", ",INDEX(УСПД!$M:$M,MATCH(IFERROR(1*LEFT(INDEX(ТУ!$CG:$CG,MATCH($U46*1,ТУ!$CP:$CP,0),1),SEARCH(" ",INDEX(ТУ!$CG:$CG,MATCH($U46*1,ТУ!$CP:$CP,0),1))-1),""),УСПД!$N:$N,0),1),SEARCH(", ",INDEX(УСПД!$M:$M,MATCH(IFERROR(1*LEFT(INDEX(ТУ!$CG:$CG,MATCH($U46*1,ТУ!$CP:$CP,0),1),SEARCH(" ",INDEX(ТУ!$CG:$CG,MATCH($U46*1,ТУ!$CP:$CP,0),1))-1),""),УСПД!$N:$N,0),1))+1)-1))-1),LEFT(INDEX(УСПД!$M:$M,MATCH(IFERROR(1*LEFT(INDEX(ТУ!$CG:$CG,MATCH($U46*1,ТУ!$CP:$CP,0),1),SEARCH(" ",INDEX(ТУ!$CG:$CG,MATCH($U46*1,ТУ!$CP:$CP,0),1))-1),""),УСПД!$N:$N,0),1),SEARCH(":",INDEX(УСПД!$M:$M,MATCH(IFERROR(1*LEFT(INDEX(ТУ!$CG:$CG,MATCH($U46*1,ТУ!$CP:$CP,0),1),SEARCH(" ",INDEX(ТУ!$CG:$CG,MATCH($U46*1,ТУ!$CP:$CP,0),1))-1),""),УСПД!$N:$N,0),1))-1)),""))</f>
        <v/>
      </c>
      <c r="BC46" s="155" t="str">
        <f>INDEX(ТУ!$AF:$AF,MATCH($U46*1,ТУ!$CP:$CP,0),1)</f>
        <v>ТП-11828</v>
      </c>
      <c r="BD46" s="155">
        <f>INDEX(ТУ!$X:$X,MATCH($U46*1,ТУ!$CP:$CP,0),1)</f>
        <v>0</v>
      </c>
      <c r="BE46" s="155" t="str">
        <f>INDEX(ТУ!$CL:$CL,MATCH($U46*1,ТУ!$CP:$CP,0),1)</f>
        <v>Не принят ПНР</v>
      </c>
      <c r="BF46" s="147" t="str">
        <f>IFERROR(INDEX(естьАЦ!$A:$A,MATCH($U46*1,естьАЦ!$A:$A,0),1),"нет в АЦ")</f>
        <v>нет в АЦ</v>
      </c>
    </row>
    <row r="47" spans="1:58" ht="15" x14ac:dyDescent="0.25">
      <c r="A47" s="55">
        <f>3</f>
        <v>3</v>
      </c>
      <c r="B47" s="42" t="str">
        <f>IFERROR(IFERROR(INDEX(Справочники!$A$2:$P$79,MATCH(INDEX(ТУ!$E:$E,MATCH($U47*1,ТУ!$CP:$CP,0),1),Справочники!$P$2:$P$79,0),2),INDEX(Справочники!$A$2:$P$79,MATCH((INDEX(ТУ!$E:$E,MATCH($U47*1,ТУ!$CP:$CP,0),1))*1,Справочники!$P$2:$P$79,0),2)),"")</f>
        <v>24 р-н МКС (ЮОРУПЭ)</v>
      </c>
      <c r="C47" s="46" t="str">
        <f>IFERROR(TRIM(LEFT(INDEX(ТУ!$AF:$AF,MATCH($U47*1,ТУ!$CP:$CP,0),1),SEARCH("-",INDEX(ТУ!$AF:$AF,MATCH($U47*1,ТУ!$CP:$CP,0),1))-1)),IFERROR(LEFT(INDEX(ТУ!$X:$X,MATCH($U47*1,ТУ!$CP:$CP,0),1),SEARCH("-",INDEX(ТУ!$X:$X,MATCH($U47*1,ТУ!$CP:$CP,0),1))-1),"ТП"))</f>
        <v>ТП</v>
      </c>
      <c r="D47" s="47" t="str">
        <f>IF(TRIM(IF(ISNUMBER((IFERROR(RIGHT(INDEX(ТУ!$AF:$AF,MATCH($U47*1,ТУ!$CP:$CP,0),1),LEN(INDEX(ТУ!$AF:$AF,MATCH($U47*1,ТУ!$CP:$CP,0),1))-SEARCH("-",INDEX(ТУ!$AF:$AF,MATCH($U47*1,ТУ!$CP:$CP,0),1))),INDEX(ТУ!$AF:$AF,MATCH($U47*1,ТУ!$CP:$CP,0),1)))*1),IFERROR(RIGHT(INDEX(ТУ!$AF:$AF,MATCH($U47*1,ТУ!$CP:$CP,0),1),LEN(INDEX(ТУ!$AF:$AF,MATCH($U47*1,ТУ!$CP:$CP,0),1))-SEARCH("-",INDEX(ТУ!$AF:$AF,MATCH($U47*1,ТУ!$CP:$CP,0),1))),INDEX(ТУ!$AF:$AF,MATCH($U47*1,ТУ!$CP:$CP,0),1)),""))="",TRIM(IF(ISNUMBER((IFERROR(RIGHT(INDEX(ТУ!$X:$X,MATCH($U47*1,ТУ!$CP:$CP,0),1),LEN(INDEX(ТУ!$X:$X,MATCH($U47*1,ТУ!$CP:$CP,0),1))-SEARCH("-",INDEX(ТУ!$X:$X,MATCH($U47*1,ТУ!$CP:$CP,0),1))),INDEX(ТУ!$X:$X,MATCH($U47*1,ТУ!$CP:$CP,0),1)))*1),IFERROR(RIGHT(INDEX(ТУ!$X:$X,MATCH($U47*1,ТУ!$CP:$CP,0),1),LEN(INDEX(ТУ!$X:$X,MATCH($U47*1,ТУ!$CP:$CP,0),1))-SEARCH("-",INDEX(ТУ!$X:$X,MATCH($U47*1,ТУ!$CP:$CP,0),1))),INDEX(ТУ!$X:$X,MATCH($U47*1,ТУ!$CP:$CP,0),1)),"")),TRIM(IF(ISNUMBER((IFERROR(RIGHT(INDEX(ТУ!$AF:$AF,MATCH($U47*1,ТУ!$CP:$CP,0),1),LEN(INDEX(ТУ!$AF:$AF,MATCH($U47*1,ТУ!$CP:$CP,0),1))-SEARCH("-",INDEX(ТУ!$AF:$AF,MATCH($U47*1,ТУ!$CP:$CP,0),1))),INDEX(ТУ!$AF:$AF,MATCH($U47*1,ТУ!$CP:$CP,0),1)))*1),IFERROR(RIGHT(INDEX(ТУ!$AF:$AF,MATCH($U47*1,ТУ!$CP:$CP,0),1),LEN(INDEX(ТУ!$AF:$AF,MATCH($U47*1,ТУ!$CP:$CP,0),1))-SEARCH("-",INDEX(ТУ!$AF:$AF,MATCH($U47*1,ТУ!$CP:$CP,0),1))),INDEX(ТУ!$AF:$AF,MATCH($U47*1,ТУ!$CP:$CP,0),1)),"")))</f>
        <v>11332</v>
      </c>
      <c r="E47" s="25" t="str">
        <f t="shared" si="2"/>
        <v>МКС</v>
      </c>
      <c r="F47" s="20">
        <f t="shared" si="3"/>
        <v>98</v>
      </c>
      <c r="G47" s="21">
        <f t="shared" si="4"/>
        <v>5</v>
      </c>
      <c r="H47" s="25" t="str">
        <f t="shared" si="5"/>
        <v>ТП-11332</v>
      </c>
      <c r="I47" s="25" t="str">
        <f t="shared" si="6"/>
        <v>98511332</v>
      </c>
      <c r="J47" s="42" t="str">
        <f>INDEX(Справочники!$M:$M,MATCH(IF(INDEX(ТУ!$BO:$BO,MATCH($U47*1,ТУ!$CP:$CP,0),1)=1,1,INDEX(ТУ!$BO:$BO,MATCH($U47*1,ТУ!$CP:$CP,0),1)*100),Справочники!$N:$N,0),1)</f>
        <v>0.4 кВ</v>
      </c>
      <c r="K47" s="40">
        <f>1</f>
        <v>1</v>
      </c>
      <c r="L47" s="20" t="str">
        <f t="shared" si="7"/>
        <v>СШ-1</v>
      </c>
      <c r="M47" s="20">
        <f t="shared" si="8"/>
        <v>1</v>
      </c>
      <c r="N47" s="40"/>
      <c r="O47" s="56" t="str">
        <f t="shared" si="9"/>
        <v>Ввод-1-1</v>
      </c>
      <c r="P47" s="57" t="str">
        <f>IFERROR(IF(INDEX(ТУ!$AO:$AO,MATCH($U47*1,ТУ!$CP:$CP,0),1)=0,"",INDEX(ТУ!$AO:$AO,MATCH($U47*1,ТУ!$CP:$CP,0),1)),"")</f>
        <v>33138А</v>
      </c>
      <c r="Q47" s="40">
        <f>IFERROR(IF(INDEX(ТУ!$BN:$BN,MATCH($U47*1,ТУ!$CP:$CP,0),1)=1,1,INDEX(ТУ!$BN:$BN,MATCH($U47*1,ТУ!$CP:$CP,0),1)*5),"")</f>
        <v>400</v>
      </c>
      <c r="R47" s="25">
        <f t="shared" si="10"/>
        <v>5</v>
      </c>
      <c r="S47" s="25">
        <f t="shared" si="11"/>
        <v>1</v>
      </c>
      <c r="T47" s="25">
        <f t="shared" si="12"/>
        <v>1</v>
      </c>
      <c r="U47" s="105" t="s">
        <v>960</v>
      </c>
      <c r="V47" s="43">
        <f>IF(INDEX(ТУ!$BH:$BH,MATCH($U47*1,ТУ!$CP:$CP,0),1)=0,"",INDEX(ТУ!$BH:$BH,MATCH($U47*1,ТУ!$CP:$CP,0),1))</f>
        <v>43760</v>
      </c>
      <c r="W47" s="43" t="str">
        <f>IF(INDEX(ТУ!$BI:$BI,MATCH($U47*1,ТУ!$CP:$CP,0),1)=0,"",INDEX(ТУ!$BI:$BI,MATCH($U47*1,ТУ!$CP:$CP,0),1))</f>
        <v>27.04.2018</v>
      </c>
      <c r="X47" s="58" t="str">
        <f t="shared" si="13"/>
        <v/>
      </c>
      <c r="Y47" s="25">
        <f t="shared" si="14"/>
        <v>35</v>
      </c>
      <c r="Z47" s="42" t="str">
        <f t="shared" si="15"/>
        <v/>
      </c>
      <c r="AA47" s="25" t="str">
        <f t="shared" si="16"/>
        <v/>
      </c>
      <c r="AB47" s="40" t="str">
        <f>IF(ISNUMBER(SEARCH("Приборы с поддержкой протокола СПОДЭС - Нартис-И300 (СПОДЭС)",INDEX(ТУ!$BD:$BD,MATCH($U47*1,ТУ!$CP:$CP,0),1))),"Нартис-И300",
IF(ISNUMBER(SEARCH("Приборы с поддержкой протокола СПОДЭС - Меркурий 234 (СПОДЭС)",INDEX(ТУ!$BD:$BD,MATCH($U47*1,ТУ!$CP:$CP,0),1))),"Меркурий 234 (СПОДЭС)",
IF(ISNUMBER(SEARCH("Приборы с поддержкой протокола СПОДЭС - Нартис-300 (СПОДЭС)",INDEX(ТУ!$BD:$BD,MATCH($U47*1,ТУ!$CP:$CP,0),1))),"Нартис-300",
IF(ISNUMBER(SEARCH("Инкотекс - Меркурий 234",INDEX(ТУ!$BD:$BD,MATCH($U47*1,ТУ!$CP:$CP,0),1))),"Меркурий 234",
IF(ISNUMBER(SEARCH("Инкотекс - Меркурий 206",INDEX(ТУ!$BD:$BD,MATCH($U47*1,ТУ!$CP:$CP,0),1))),"Меркурий 206",
IF(ISNUMBER(SEARCH("Приборы с поддержкой протокола СПОДЭС - Универсальный счетчик СПОДЭС 2 трехфазный",INDEX(ТУ!$BD:$BD,MATCH($U47*1,ТУ!$CP:$CP,0),1))),"Нартис-И300",
IF(ISNUMBER(SEARCH("Приборы с поддержкой протокола СПОДЭС - Универсальный счетчик СПОДЭС 2 однофазный",INDEX(ТУ!$BD:$BD,MATCH($U47*1,ТУ!$CP:$CP,0),1))),"Нартис-И100",
IF(ISNUMBER(SEARCH("Приборы с поддержкой протокола СПОДЭС - Нартис-И100 (СПОДЭС)",INDEX(ТУ!$BD:$BD,MATCH($U47*1,ТУ!$CP:$CP,0),1))),"Нартис-И100",
IF(ISNUMBER(SEARCH("Приборы с поддержкой протокола СПОДЭС - СЕ308 (СПОДЭС)",INDEX(ТУ!$BD:$BD,MATCH($U47*1,ТУ!$CP:$CP,0),1))),"СЕ308 (СПОДЭС)",
IF(ISNUMBER(SEARCH("Приборы с поддержкой протокола СПОДЭС - СЕ207 (СПОДЭС)",INDEX(ТУ!$BD:$BD,MATCH($U47*1,ТУ!$CP:$CP,0),1))),"СЕ207 (СПОДЭС)",
IF(ISNUMBER(SEARCH("Приборы с поддержкой протокола СПОДЭС - СТЭМ-300 (СПОДЭС)",INDEX(ТУ!$BD:$BD,MATCH($U47*1,ТУ!$CP:$CP,0),1))),"СТЭМ-300 (СПОДЭС)",
IF(ISNUMBER(SEARCH("ТехноЭнерго - ТЕ3000",INDEX(ТУ!$BD:$BD,MATCH($U47*1,ТУ!$CP:$CP,0),1))),"ТЕ3000",
IF(ISNUMBER(SEARCH("НЗиФ - СЭТ-4ТМ",INDEX(ТУ!$BD:$BD,MATCH($U47*1,ТУ!$CP:$CP,0),1))),"СЭТ-4ТМ",
INDEX(ТУ!$BD:$BD,MATCH($U47*1,ТУ!$CP:$CP,0),1)
)))))))))))))</f>
        <v>НЗиФ - ПСЧ-4ТМ.05МД</v>
      </c>
      <c r="AC47" s="40" t="s">
        <v>2</v>
      </c>
      <c r="AD47" s="40" t="str">
        <f>IF(ISNUMBER(IFERROR(LEFT(IF(INDEX(ТУ!$CI:$CI,MATCH($U47*1,ТУ!$CP:$CP,0),1)=0,"",INDEX(ТУ!$CI:$CI,MATCH($U47*1,ТУ!$CP:$CP,0),1)),SEARCH(" ",IF(INDEX(ТУ!$CI:$CI,MATCH($U47*1,ТУ!$CP:$CP,0),1)=0,"",INDEX(ТУ!$CI:$CI,MATCH($U47*1,ТУ!$CP:$CP,0),1)),1)-1),"")*1),IFERROR(LEFT(IF(INDEX(ТУ!$CI:$CI,MATCH($U47*1,ТУ!$CP:$CP,0),1)=0,"",INDEX(ТУ!$CI:$CI,MATCH($U47*1,ТУ!$CP:$CP,0),1)),SEARCH(" ",IF(INDEX(ТУ!$CI:$CI,MATCH($U47*1,ТУ!$CP:$CP,0),1)=0,"",INDEX(ТУ!$CI:$CI,MATCH($U47*1,ТУ!$CP:$CP,0),1)),1)-1),""),"")</f>
        <v>77670001005936</v>
      </c>
      <c r="AE47" s="40" t="str">
        <f>IF(INDEX(ТУ!$CB:$CB,MATCH($U47*1,ТУ!$CP:$CP,0),1)=0,INDEX(Adr!$B:$B,MATCH($U47*1,Adr!$C:$C,0),1),INDEX(ТУ!$CB:$CB,MATCH($U47*1,ТУ!$CP:$CP,0),1))</f>
        <v>2</v>
      </c>
      <c r="AF47" s="45" t="str">
        <f>IF(INDEX(ТУ!$CD:$CD,MATCH($U47*1,ТУ!$CP:$CP,0),1)=0,"",INDEX(ТУ!$CD:$CD,MATCH($U47*1,ТУ!$CP:$CP,0),1))</f>
        <v>000000</v>
      </c>
      <c r="AG47" s="45">
        <f>0</f>
        <v>0</v>
      </c>
      <c r="AH47" s="26">
        <f t="shared" si="17"/>
        <v>98</v>
      </c>
      <c r="AI47" s="20" t="str">
        <f t="shared" si="18"/>
        <v>985113321</v>
      </c>
      <c r="AJ47" s="41" t="str">
        <f t="shared" si="1"/>
        <v/>
      </c>
      <c r="AK47" s="41" t="str">
        <f>IF($AP47="",IFERROR(IFERROR(LEFT(RIGHT(INDEX(ТУ!$CE:$CE,MATCH($U47*1,ТУ!$CP:$CP,0),1),LEN(INDEX(ТУ!$CE:$CE,MATCH($U47*1,ТУ!$CP:$CP,0),1))-SEARCH(":",INDEX(ТУ!$CE:$CE,MATCH($U47*1,ТУ!$CP:$CP,0),1))),SEARCH("/",RIGHT(INDEX(ТУ!$CE:$CE,MATCH($U47*1,ТУ!$CP:$CP,0),1),LEN(INDEX(ТУ!$CE:$CE,MATCH($U47*1,ТУ!$CP:$CP,0),1))-SEARCH(":",INDEX(ТУ!$CE:$CE,MATCH($U47*1,ТУ!$CP:$CP,0),1))))-1), RIGHT(INDEX(ТУ!$CE:$CE,MATCH($U47*1,ТУ!$CP:$CP,0),1),LEN(INDEX(ТУ!$CE:$CE,MATCH($U47*1,ТУ!$CP:$CP,0),1))-SEARCH(":",INDEX(ТУ!$CE:$CE,MATCH($U47*1,ТУ!$CP:$CP,0),1)))), ""),IFERROR(IFERROR(LEFT(RIGHT(INDEX(УСПД!$M:$M,MATCH(IFERROR(1*LEFT(INDEX(ТУ!$CG:$CG,MATCH($U47*1,ТУ!$CP:$CP,0),1),SEARCH(" ",INDEX(ТУ!$CG:$CG,MATCH($U47*1,ТУ!$CP:$CP,0),1))-1),""),УСПД!$N:$N,0),1),LEN(INDEX(УСПД!$M:$M,MATCH(IFERROR(1*LEFT(INDEX(ТУ!$CG:$CG,MATCH($U47*1,ТУ!$CP:$CP,0),1),SEARCH(" ",INDEX(ТУ!$CG:$CG,MATCH($U47*1,ТУ!$CP:$CP,0),1))-1),""),УСПД!$N:$N,0),1))-SEARCH(":",INDEX(УСПД!$M:$M,MATCH(IFERROR(1*LEFT(INDEX(ТУ!$CG:$CG,MATCH($U47*1,ТУ!$CP:$CP,0),1),SEARCH(" ",INDEX(ТУ!$CG:$CG,MATCH($U47*1,ТУ!$CP:$CP,0),1))-1),""),УСПД!$N:$N,0),1))),SEARCH("/",RIGHT(INDEX(УСПД!$M:$M,MATCH(IFERROR(1*LEFT(INDEX(ТУ!$CG:$CG,MATCH($U47*1,ТУ!$CP:$CP,0),1),SEARCH(" ",INDEX(ТУ!$CG:$CG,MATCH($U47*1,ТУ!$CP:$CP,0),1))-1),""),УСПД!$N:$N,0),1),LEN(INDEX(УСПД!$M:$M,MATCH(IFERROR(1*LEFT(INDEX(ТУ!$CG:$CG,MATCH($U47*1,ТУ!$CP:$CP,0),1),SEARCH(" ",INDEX(ТУ!$CG:$CG,MATCH($U47*1,ТУ!$CP:$CP,0),1))-1),""),УСПД!$N:$N,0),1))-SEARCH(":",INDEX(УСПД!$M:$M,MATCH(IFERROR(1*LEFT(INDEX(ТУ!$CG:$CG,MATCH($U47*1,ТУ!$CP:$CP,0),1),SEARCH(" ",INDEX(ТУ!$CG:$CG,MATCH($U47*1,ТУ!$CP:$CP,0),1))-1),""),УСПД!$N:$N,0),1))))-1), RIGHT(INDEX(УСПД!$M:$M,MATCH(IFERROR(1*LEFT(INDEX(ТУ!$CG:$CG,MATCH($U47*1,ТУ!$CP:$CP,0),1),SEARCH(" ",INDEX(ТУ!$CG:$CG,MATCH($U47*1,ТУ!$CP:$CP,0),1))-1),""),УСПД!$N:$N,0),1),LEN(INDEX(УСПД!$M:$M,MATCH(IFERROR(1*LEFT(INDEX(ТУ!$CG:$CG,MATCH($U47*1,ТУ!$CP:$CP,0),1),SEARCH(" ",INDEX(ТУ!$CG:$CG,MATCH($U47*1,ТУ!$CP:$CP,0),1))-1),""),УСПД!$N:$N,0),1))-SEARCH(":",INDEX(УСПД!$M:$M,MATCH(IFERROR(1*LEFT(INDEX(ТУ!$CG:$CG,MATCH($U47*1,ТУ!$CP:$CP,0),1),SEARCH(" ",INDEX(ТУ!$CG:$CG,MATCH($U47*1,ТУ!$CP:$CP,0),1))-1),""),УСПД!$N:$N,0),1)))), ""))</f>
        <v/>
      </c>
      <c r="AL47" s="41"/>
      <c r="AM47" s="57" t="str">
        <f>IFERROR(IFERROR(INDEX(Tel!$B:$B,MATCH($AJ47,Tel!$E:$E,0),1),INDEX(Tel!$B:$B,MATCH($AJ47,Tel!$D:$D,0),1)),"")</f>
        <v/>
      </c>
      <c r="AN47" s="59" t="str">
        <f>IF(ISNUMBER(SEARCH("ТОПАЗ - ТОПАЗ УСПД",IFERROR(RIGHT(LEFT(INDEX(ТУ!$CG:$CG,MATCH($U47*1,ТУ!$CP:$CP,0),1),SEARCH(")",INDEX(ТУ!$CG:$CG,MATCH($U47*1,ТУ!$CP:$CP,0),1))-1),LEN(LEFT(INDEX(ТУ!$CG:$CG,MATCH($U47*1,ТУ!$CP:$CP,0),1),SEARCH(")",INDEX(ТУ!$CG:$CG,MATCH($U47*1,ТУ!$CP:$CP,0),1))-1))-SEARCH("(",INDEX(ТУ!$CG:$CG,MATCH($U47*1,ТУ!$CP:$CP,0),1))),""),1)),"RTU-327",
IF(ISNUMBER(SEARCH("TELEOFIS",$AP47)),"Модем",
""))</f>
        <v/>
      </c>
      <c r="AO47" s="27" t="str">
        <f t="shared" si="24"/>
        <v/>
      </c>
      <c r="AP47" s="57" t="str">
        <f>IF(ISNUMBER(SEARCH("Миландр - Милур GSM/GPRS модем",IFERROR(RIGHT(LEFT(INDEX(ТУ!$CG:$CG,MATCH($U47*1,ТУ!$CP:$CP,0),1),SEARCH(")",INDEX(ТУ!$CG:$CG,MATCH($U47*1,ТУ!$CP:$CP,0),1))-1),LEN(LEFT(INDEX(ТУ!$CG:$CG,MATCH($U47*1,ТУ!$CP:$CP,0),1),SEARCH(")",INDEX(ТУ!$CG:$CG,MATCH($U47*1,ТУ!$CP:$CP,0),1))-1))-SEARCH("(",INDEX(ТУ!$CG:$CG,MATCH($U47*1,ТУ!$CP:$CP,0),1))),""),1)), "TELEOFIS WRX708-L4",IFERROR(RIGHT(LEFT(INDEX(ТУ!$CG:$CG,MATCH($U47*1,ТУ!$CP:$CP,0),1),SEARCH(")",INDEX(ТУ!$CG:$CG,MATCH($U47*1,ТУ!$CP:$CP,0),1))-1),LEN(LEFT(INDEX(ТУ!$CG:$CG,MATCH($U47*1,ТУ!$CP:$CP,0),1),SEARCH(")",INDEX(ТУ!$CG:$CG,MATCH($U47*1,ТУ!$CP:$CP,0),1))-1))-SEARCH("(",INDEX(ТУ!$CG:$CG,MATCH($U47*1,ТУ!$CP:$CP,0),1))),""))</f>
        <v>Связь Инжиниринг М - УМ-40 (RTU-327</v>
      </c>
      <c r="AQ47" s="57" t="str">
        <f>IFERROR(IF(INDEX(УСПД!$K:$K,MATCH($AS47*1,УСПД!$N:$N,0),1)=0,"",INDEX(УСПД!$K:$K,MATCH($AS47*1,УСПД!$N:$N,0),1)),"")</f>
        <v/>
      </c>
      <c r="AR47" s="57" t="str">
        <f>IFERROR(IF(INDEX(УСПД!$L:$L,MATCH($AS47*1,УСПД!$N:$N,0),1)=0,"",INDEX(УСПД!$L:$L,MATCH($AS47*1,УСПД!$N:$N,0),1)),"")</f>
        <v/>
      </c>
      <c r="AS47" s="60" t="str">
        <f>IFERROR(LEFT(INDEX(ТУ!$CG:$CG,MATCH($U47*1,ТУ!$CP:$CP,0),1),SEARCH(" ",INDEX(ТУ!$CG:$CG,MATCH($U47*1,ТУ!$CP:$CP,0),1))-1),"")</f>
        <v>200000089054</v>
      </c>
      <c r="AT47" s="59" t="s">
        <v>360</v>
      </c>
      <c r="AU47" s="59">
        <f>3</f>
        <v>3</v>
      </c>
      <c r="AV47" s="59" t="s">
        <v>368</v>
      </c>
      <c r="AW47" s="149">
        <f t="shared" si="19"/>
        <v>76</v>
      </c>
      <c r="AX47" s="149">
        <f t="shared" si="20"/>
        <v>34</v>
      </c>
      <c r="AY47" s="149" t="str">
        <f t="shared" si="21"/>
        <v/>
      </c>
      <c r="AZ47" s="149" t="str">
        <f t="shared" si="22"/>
        <v/>
      </c>
      <c r="BA47" s="149">
        <f t="shared" si="23"/>
        <v>1</v>
      </c>
      <c r="BB47" s="154" t="str">
        <f>IF($AP47="",IFERROR(IFERROR(LEFT(RIGHT(INDEX(ТУ!$CE:$CE,MATCH($U47*1,ТУ!$CP:$CP,0),1),LEN(INDEX(ТУ!$CE:$CE,MATCH($U47*1,ТУ!$CP:$CP,0),1))-SEARCH(", ",INDEX(ТУ!$CE:$CE,MATCH($U47*1,ТУ!$CP:$CP,0),1),SEARCH(", ",INDEX(ТУ!$CE:$CE,MATCH($U47*1,ТУ!$CP:$CP,0),1))+1)-1),SEARCH(":",RIGHT(INDEX(ТУ!$CE:$CE,MATCH($U47*1,ТУ!$CP:$CP,0),1),LEN(INDEX(ТУ!$CE:$CE,MATCH($U47*1,ТУ!$CP:$CP,0),1))-SEARCH(", ",INDEX(ТУ!$CE:$CE,MATCH($U47*1,ТУ!$CP:$CP,0),1),SEARCH(", ",INDEX(ТУ!$CE:$CE,MATCH($U47*1,ТУ!$CP:$CP,0),1))+1)-1))-1),LEFT(INDEX(ТУ!$CE:$CE,MATCH($U47*1,ТУ!$CP:$CP,0),1),SEARCH(":",INDEX(ТУ!$CE:$CE,MATCH($U47*1,ТУ!$CP:$CP,0),1))-1)),""),IFERROR(IFERROR(LEFT(RIGHT(INDEX(УСПД!$M:$M,MATCH(IFERROR(1*LEFT(INDEX(ТУ!$CG:$CG,MATCH($U47*1,ТУ!$CP:$CP,0),1),SEARCH(" ",INDEX(ТУ!$CG:$CG,MATCH($U47*1,ТУ!$CP:$CP,0),1))-1),""),УСПД!$N:$N,0),1),LEN(INDEX(УСПД!$M:$M,MATCH(IFERROR(1*LEFT(INDEX(ТУ!$CG:$CG,MATCH($U47*1,ТУ!$CP:$CP,0),1),SEARCH(" ",INDEX(ТУ!$CG:$CG,MATCH($U47*1,ТУ!$CP:$CP,0),1))-1),""),УСПД!$N:$N,0),1))-SEARCH(", ",INDEX(УСПД!$M:$M,MATCH(IFERROR(1*LEFT(INDEX(ТУ!$CG:$CG,MATCH($U47*1,ТУ!$CP:$CP,0),1),SEARCH(" ",INDEX(ТУ!$CG:$CG,MATCH($U47*1,ТУ!$CP:$CP,0),1))-1),""),УСПД!$N:$N,0),1),SEARCH(", ",INDEX(УСПД!$M:$M,MATCH(IFERROR(1*LEFT(INDEX(ТУ!$CG:$CG,MATCH($U47*1,ТУ!$CP:$CP,0),1),SEARCH(" ",INDEX(ТУ!$CG:$CG,MATCH($U47*1,ТУ!$CP:$CP,0),1))-1),""),УСПД!$N:$N,0),1))+1)-1),SEARCH(":",RIGHT(INDEX(УСПД!$M:$M,MATCH(IFERROR(1*LEFT(INDEX(ТУ!$CG:$CG,MATCH($U47*1,ТУ!$CP:$CP,0),1),SEARCH(" ",INDEX(ТУ!$CG:$CG,MATCH($U47*1,ТУ!$CP:$CP,0),1))-1),""),УСПД!$N:$N,0),1),LEN(INDEX(УСПД!$M:$M,MATCH(IFERROR(1*LEFT(INDEX(ТУ!$CG:$CG,MATCH($U47*1,ТУ!$CP:$CP,0),1),SEARCH(" ",INDEX(ТУ!$CG:$CG,MATCH($U47*1,ТУ!$CP:$CP,0),1))-1),""),УСПД!$N:$N,0),1))-SEARCH(", ",INDEX(УСПД!$M:$M,MATCH(IFERROR(1*LEFT(INDEX(ТУ!$CG:$CG,MATCH($U47*1,ТУ!$CP:$CP,0),1),SEARCH(" ",INDEX(ТУ!$CG:$CG,MATCH($U47*1,ТУ!$CP:$CP,0),1))-1),""),УСПД!$N:$N,0),1),SEARCH(", ",INDEX(УСПД!$M:$M,MATCH(IFERROR(1*LEFT(INDEX(ТУ!$CG:$CG,MATCH($U47*1,ТУ!$CP:$CP,0),1),SEARCH(" ",INDEX(ТУ!$CG:$CG,MATCH($U47*1,ТУ!$CP:$CP,0),1))-1),""),УСПД!$N:$N,0),1))+1)-1))-1),LEFT(INDEX(УСПД!$M:$M,MATCH(IFERROR(1*LEFT(INDEX(ТУ!$CG:$CG,MATCH($U47*1,ТУ!$CP:$CP,0),1),SEARCH(" ",INDEX(ТУ!$CG:$CG,MATCH($U47*1,ТУ!$CP:$CP,0),1))-1),""),УСПД!$N:$N,0),1),SEARCH(":",INDEX(УСПД!$M:$M,MATCH(IFERROR(1*LEFT(INDEX(ТУ!$CG:$CG,MATCH($U47*1,ТУ!$CP:$CP,0),1),SEARCH(" ",INDEX(ТУ!$CG:$CG,MATCH($U47*1,ТУ!$CP:$CP,0),1))-1),""),УСПД!$N:$N,0),1))-1)),""))</f>
        <v/>
      </c>
      <c r="BC47" s="155" t="str">
        <f>INDEX(ТУ!$AF:$AF,MATCH($U47*1,ТУ!$CP:$CP,0),1)</f>
        <v>11332</v>
      </c>
      <c r="BD47" s="155">
        <f>INDEX(ТУ!$X:$X,MATCH($U47*1,ТУ!$CP:$CP,0),1)</f>
        <v>0</v>
      </c>
      <c r="BE47" s="155" t="str">
        <f>INDEX(ТУ!$CL:$CL,MATCH($U47*1,ТУ!$CP:$CP,0),1)</f>
        <v>ИПР до 2016 (МКД)</v>
      </c>
      <c r="BF47" s="147" t="str">
        <f>IFERROR(INDEX(естьАЦ!$A:$A,MATCH($U47*1,естьАЦ!$A:$A,0),1),"нет в АЦ")</f>
        <v>нет в АЦ</v>
      </c>
    </row>
    <row r="48" spans="1:58" ht="38.25" x14ac:dyDescent="0.25">
      <c r="A48" s="55">
        <f>3</f>
        <v>3</v>
      </c>
      <c r="B48" s="42" t="str">
        <f>IFERROR(IFERROR(INDEX(Справочники!$A$2:$P$79,MATCH(INDEX(ТУ!$E:$E,MATCH($U48*1,ТУ!$CP:$CP,0),1),Справочники!$P$2:$P$79,0),2),INDEX(Справочники!$A$2:$P$79,MATCH((INDEX(ТУ!$E:$E,MATCH($U48*1,ТУ!$CP:$CP,0),1))*1,Справочники!$P$2:$P$79,0),2)),"")</f>
        <v>22 р-н МКС (ЮЗОРУПЭ)</v>
      </c>
      <c r="C48" s="46" t="str">
        <f>IFERROR(TRIM(LEFT(INDEX(ТУ!$AF:$AF,MATCH($U48*1,ТУ!$CP:$CP,0),1),SEARCH("-",INDEX(ТУ!$AF:$AF,MATCH($U48*1,ТУ!$CP:$CP,0),1))-1)),IFERROR(LEFT(INDEX(ТУ!$X:$X,MATCH($U48*1,ТУ!$CP:$CP,0),1),SEARCH("-",INDEX(ТУ!$X:$X,MATCH($U48*1,ТУ!$CP:$CP,0),1))-1),"ТП"))</f>
        <v>ТП</v>
      </c>
      <c r="D48" s="47" t="str">
        <f>IF(TRIM(IF(ISNUMBER((IFERROR(RIGHT(INDEX(ТУ!$AF:$AF,MATCH($U48*1,ТУ!$CP:$CP,0),1),LEN(INDEX(ТУ!$AF:$AF,MATCH($U48*1,ТУ!$CP:$CP,0),1))-SEARCH("-",INDEX(ТУ!$AF:$AF,MATCH($U48*1,ТУ!$CP:$CP,0),1))),INDEX(ТУ!$AF:$AF,MATCH($U48*1,ТУ!$CP:$CP,0),1)))*1),IFERROR(RIGHT(INDEX(ТУ!$AF:$AF,MATCH($U48*1,ТУ!$CP:$CP,0),1),LEN(INDEX(ТУ!$AF:$AF,MATCH($U48*1,ТУ!$CP:$CP,0),1))-SEARCH("-",INDEX(ТУ!$AF:$AF,MATCH($U48*1,ТУ!$CP:$CP,0),1))),INDEX(ТУ!$AF:$AF,MATCH($U48*1,ТУ!$CP:$CP,0),1)),""))="",TRIM(IF(ISNUMBER((IFERROR(RIGHT(INDEX(ТУ!$X:$X,MATCH($U48*1,ТУ!$CP:$CP,0),1),LEN(INDEX(ТУ!$X:$X,MATCH($U48*1,ТУ!$CP:$CP,0),1))-SEARCH("-",INDEX(ТУ!$X:$X,MATCH($U48*1,ТУ!$CP:$CP,0),1))),INDEX(ТУ!$X:$X,MATCH($U48*1,ТУ!$CP:$CP,0),1)))*1),IFERROR(RIGHT(INDEX(ТУ!$X:$X,MATCH($U48*1,ТУ!$CP:$CP,0),1),LEN(INDEX(ТУ!$X:$X,MATCH($U48*1,ТУ!$CP:$CP,0),1))-SEARCH("-",INDEX(ТУ!$X:$X,MATCH($U48*1,ТУ!$CP:$CP,0),1))),INDEX(ТУ!$X:$X,MATCH($U48*1,ТУ!$CP:$CP,0),1)),"")),TRIM(IF(ISNUMBER((IFERROR(RIGHT(INDEX(ТУ!$AF:$AF,MATCH($U48*1,ТУ!$CP:$CP,0),1),LEN(INDEX(ТУ!$AF:$AF,MATCH($U48*1,ТУ!$CP:$CP,0),1))-SEARCH("-",INDEX(ТУ!$AF:$AF,MATCH($U48*1,ТУ!$CP:$CP,0),1))),INDEX(ТУ!$AF:$AF,MATCH($U48*1,ТУ!$CP:$CP,0),1)))*1),IFERROR(RIGHT(INDEX(ТУ!$AF:$AF,MATCH($U48*1,ТУ!$CP:$CP,0),1),LEN(INDEX(ТУ!$AF:$AF,MATCH($U48*1,ТУ!$CP:$CP,0),1))-SEARCH("-",INDEX(ТУ!$AF:$AF,MATCH($U48*1,ТУ!$CP:$CP,0),1))),INDEX(ТУ!$AF:$AF,MATCH($U48*1,ТУ!$CP:$CP,0),1)),"")))</f>
        <v>16984</v>
      </c>
      <c r="E48" s="25" t="str">
        <f t="shared" si="2"/>
        <v>МКС</v>
      </c>
      <c r="F48" s="20">
        <f t="shared" si="3"/>
        <v>96</v>
      </c>
      <c r="G48" s="21">
        <f t="shared" si="4"/>
        <v>5</v>
      </c>
      <c r="H48" s="25" t="str">
        <f t="shared" si="5"/>
        <v>ТП-16984</v>
      </c>
      <c r="I48" s="25" t="str">
        <f t="shared" si="6"/>
        <v>96516984</v>
      </c>
      <c r="J48" s="42" t="str">
        <f>INDEX(Справочники!$M:$M,MATCH(IF(INDEX(ТУ!$BO:$BO,MATCH($U48*1,ТУ!$CP:$CP,0),1)=1,1,INDEX(ТУ!$BO:$BO,MATCH($U48*1,ТУ!$CP:$CP,0),1)*100),Справочники!$N:$N,0),1)</f>
        <v>0.4 кВ</v>
      </c>
      <c r="K48" s="40">
        <f>1</f>
        <v>1</v>
      </c>
      <c r="L48" s="20" t="str">
        <f t="shared" si="7"/>
        <v>СШ-1</v>
      </c>
      <c r="M48" s="20">
        <f t="shared" si="8"/>
        <v>1</v>
      </c>
      <c r="N48" s="40"/>
      <c r="O48" s="56" t="str">
        <f t="shared" si="9"/>
        <v>Ввод-1-1</v>
      </c>
      <c r="P48" s="57" t="str">
        <f>IFERROR(IF(INDEX(ТУ!$AO:$AO,MATCH($U48*1,ТУ!$CP:$CP,0),1)=0,"",INDEX(ТУ!$AO:$AO,MATCH($U48*1,ТУ!$CP:$CP,0),1)),"")</f>
        <v>87452А</v>
      </c>
      <c r="Q48" s="40">
        <f>IFERROR(IF(INDEX(ТУ!$BN:$BN,MATCH($U48*1,ТУ!$CP:$CP,0),1)=1,1,INDEX(ТУ!$BN:$BN,MATCH($U48*1,ТУ!$CP:$CP,0),1)*5),"")</f>
        <v>400</v>
      </c>
      <c r="R48" s="25">
        <f t="shared" si="10"/>
        <v>5</v>
      </c>
      <c r="S48" s="25">
        <f t="shared" si="11"/>
        <v>1</v>
      </c>
      <c r="T48" s="25">
        <f t="shared" si="12"/>
        <v>1</v>
      </c>
      <c r="U48" s="105" t="s">
        <v>970</v>
      </c>
      <c r="V48" s="43">
        <f>IF(INDEX(ТУ!$BH:$BH,MATCH($U48*1,ТУ!$CP:$CP,0),1)=0,"",INDEX(ТУ!$BH:$BH,MATCH($U48*1,ТУ!$CP:$CP,0),1))</f>
        <v>44047</v>
      </c>
      <c r="W48" s="43" t="str">
        <f>IF(INDEX(ТУ!$BI:$BI,MATCH($U48*1,ТУ!$CP:$CP,0),1)=0,"",INDEX(ТУ!$BI:$BI,MATCH($U48*1,ТУ!$CP:$CP,0),1))</f>
        <v>14.05.2018</v>
      </c>
      <c r="X48" s="58" t="str">
        <f t="shared" si="13"/>
        <v/>
      </c>
      <c r="Y48" s="25">
        <f t="shared" si="14"/>
        <v>35</v>
      </c>
      <c r="Z48" s="42" t="str">
        <f t="shared" si="15"/>
        <v/>
      </c>
      <c r="AA48" s="25" t="str">
        <f t="shared" si="16"/>
        <v/>
      </c>
      <c r="AB48" s="40" t="str">
        <f>IF(ISNUMBER(SEARCH("Приборы с поддержкой протокола СПОДЭС - Нартис-И300 (СПОДЭС)",INDEX(ТУ!$BD:$BD,MATCH($U48*1,ТУ!$CP:$CP,0),1))),"Нартис-И300",
IF(ISNUMBER(SEARCH("Приборы с поддержкой протокола СПОДЭС - Меркурий 234 (СПОДЭС)",INDEX(ТУ!$BD:$BD,MATCH($U48*1,ТУ!$CP:$CP,0),1))),"Меркурий 234 (СПОДЭС)",
IF(ISNUMBER(SEARCH("Приборы с поддержкой протокола СПОДЭС - Нартис-300 (СПОДЭС)",INDEX(ТУ!$BD:$BD,MATCH($U48*1,ТУ!$CP:$CP,0),1))),"Нартис-300",
IF(ISNUMBER(SEARCH("Инкотекс - Меркурий 234",INDEX(ТУ!$BD:$BD,MATCH($U48*1,ТУ!$CP:$CP,0),1))),"Меркурий 234",
IF(ISNUMBER(SEARCH("Инкотекс - Меркурий 206",INDEX(ТУ!$BD:$BD,MATCH($U48*1,ТУ!$CP:$CP,0),1))),"Меркурий 206",
IF(ISNUMBER(SEARCH("Приборы с поддержкой протокола СПОДЭС - Универсальный счетчик СПОДЭС 2 трехфазный",INDEX(ТУ!$BD:$BD,MATCH($U48*1,ТУ!$CP:$CP,0),1))),"Нартис-И300",
IF(ISNUMBER(SEARCH("Приборы с поддержкой протокола СПОДЭС - Универсальный счетчик СПОДЭС 2 однофазный",INDEX(ТУ!$BD:$BD,MATCH($U48*1,ТУ!$CP:$CP,0),1))),"Нартис-И100",
IF(ISNUMBER(SEARCH("Приборы с поддержкой протокола СПОДЭС - Нартис-И100 (СПОДЭС)",INDEX(ТУ!$BD:$BD,MATCH($U48*1,ТУ!$CP:$CP,0),1))),"Нартис-И100",
IF(ISNUMBER(SEARCH("Приборы с поддержкой протокола СПОДЭС - СЕ308 (СПОДЭС)",INDEX(ТУ!$BD:$BD,MATCH($U48*1,ТУ!$CP:$CP,0),1))),"СЕ308 (СПОДЭС)",
IF(ISNUMBER(SEARCH("Приборы с поддержкой протокола СПОДЭС - СЕ207 (СПОДЭС)",INDEX(ТУ!$BD:$BD,MATCH($U48*1,ТУ!$CP:$CP,0),1))),"СЕ207 (СПОДЭС)",
IF(ISNUMBER(SEARCH("Приборы с поддержкой протокола СПОДЭС - СТЭМ-300 (СПОДЭС)",INDEX(ТУ!$BD:$BD,MATCH($U48*1,ТУ!$CP:$CP,0),1))),"СТЭМ-300 (СПОДЭС)",
IF(ISNUMBER(SEARCH("ТехноЭнерго - ТЕ3000",INDEX(ТУ!$BD:$BD,MATCH($U48*1,ТУ!$CP:$CP,0),1))),"ТЕ3000",
IF(ISNUMBER(SEARCH("НЗиФ - СЭТ-4ТМ",INDEX(ТУ!$BD:$BD,MATCH($U48*1,ТУ!$CP:$CP,0),1))),"СЭТ-4ТМ",
INDEX(ТУ!$BD:$BD,MATCH($U48*1,ТУ!$CP:$CP,0),1)
)))))))))))))</f>
        <v>НЗиФ - ПСЧ-4ТМ.05 (Номинальное напряжение - 220 (380) В, Номинальный ток - 5 А, Учитываемые типы энергии - А+,А-,Р+,Р-)</v>
      </c>
      <c r="AC48" s="40" t="s">
        <v>2</v>
      </c>
      <c r="AD48" s="40" t="str">
        <f>IF(ISNUMBER(IFERROR(LEFT(IF(INDEX(ТУ!$CI:$CI,MATCH($U48*1,ТУ!$CP:$CP,0),1)=0,"",INDEX(ТУ!$CI:$CI,MATCH($U48*1,ТУ!$CP:$CP,0),1)),SEARCH(" ",IF(INDEX(ТУ!$CI:$CI,MATCH($U48*1,ТУ!$CP:$CP,0),1)=0,"",INDEX(ТУ!$CI:$CI,MATCH($U48*1,ТУ!$CP:$CP,0),1)),1)-1),"")*1),IFERROR(LEFT(IF(INDEX(ТУ!$CI:$CI,MATCH($U48*1,ТУ!$CP:$CP,0),1)=0,"",INDEX(ТУ!$CI:$CI,MATCH($U48*1,ТУ!$CP:$CP,0),1)),SEARCH(" ",IF(INDEX(ТУ!$CI:$CI,MATCH($U48*1,ТУ!$CP:$CP,0),1)=0,"",INDEX(ТУ!$CI:$CI,MATCH($U48*1,ТУ!$CP:$CP,0),1)),1)-1),""),"")</f>
        <v>77700001012635</v>
      </c>
      <c r="AE48" s="40" t="str">
        <f>IF(INDEX(ТУ!$CB:$CB,MATCH($U48*1,ТУ!$CP:$CP,0),1)=0,INDEX(Adr!$B:$B,MATCH($U48*1,Adr!$C:$C,0),1),INDEX(ТУ!$CB:$CB,MATCH($U48*1,ТУ!$CP:$CP,0),1))</f>
        <v>1</v>
      </c>
      <c r="AF48" s="45" t="str">
        <f>IF(INDEX(ТУ!$CD:$CD,MATCH($U48*1,ТУ!$CP:$CP,0),1)=0,"",INDEX(ТУ!$CD:$CD,MATCH($U48*1,ТУ!$CP:$CP,0),1))</f>
        <v>000000</v>
      </c>
      <c r="AG48" s="45">
        <f>0</f>
        <v>0</v>
      </c>
      <c r="AH48" s="26">
        <f t="shared" si="17"/>
        <v>96</v>
      </c>
      <c r="AI48" s="20" t="str">
        <f t="shared" si="18"/>
        <v>965169841</v>
      </c>
      <c r="AJ48" s="41" t="str">
        <f t="shared" si="1"/>
        <v/>
      </c>
      <c r="AK48" s="41" t="str">
        <f>IF($AP48="",IFERROR(IFERROR(LEFT(RIGHT(INDEX(ТУ!$CE:$CE,MATCH($U48*1,ТУ!$CP:$CP,0),1),LEN(INDEX(ТУ!$CE:$CE,MATCH($U48*1,ТУ!$CP:$CP,0),1))-SEARCH(":",INDEX(ТУ!$CE:$CE,MATCH($U48*1,ТУ!$CP:$CP,0),1))),SEARCH("/",RIGHT(INDEX(ТУ!$CE:$CE,MATCH($U48*1,ТУ!$CP:$CP,0),1),LEN(INDEX(ТУ!$CE:$CE,MATCH($U48*1,ТУ!$CP:$CP,0),1))-SEARCH(":",INDEX(ТУ!$CE:$CE,MATCH($U48*1,ТУ!$CP:$CP,0),1))))-1), RIGHT(INDEX(ТУ!$CE:$CE,MATCH($U48*1,ТУ!$CP:$CP,0),1),LEN(INDEX(ТУ!$CE:$CE,MATCH($U48*1,ТУ!$CP:$CP,0),1))-SEARCH(":",INDEX(ТУ!$CE:$CE,MATCH($U48*1,ТУ!$CP:$CP,0),1)))), ""),IFERROR(IFERROR(LEFT(RIGHT(INDEX(УСПД!$M:$M,MATCH(IFERROR(1*LEFT(INDEX(ТУ!$CG:$CG,MATCH($U48*1,ТУ!$CP:$CP,0),1),SEARCH(" ",INDEX(ТУ!$CG:$CG,MATCH($U48*1,ТУ!$CP:$CP,0),1))-1),""),УСПД!$N:$N,0),1),LEN(INDEX(УСПД!$M:$M,MATCH(IFERROR(1*LEFT(INDEX(ТУ!$CG:$CG,MATCH($U48*1,ТУ!$CP:$CP,0),1),SEARCH(" ",INDEX(ТУ!$CG:$CG,MATCH($U48*1,ТУ!$CP:$CP,0),1))-1),""),УСПД!$N:$N,0),1))-SEARCH(":",INDEX(УСПД!$M:$M,MATCH(IFERROR(1*LEFT(INDEX(ТУ!$CG:$CG,MATCH($U48*1,ТУ!$CP:$CP,0),1),SEARCH(" ",INDEX(ТУ!$CG:$CG,MATCH($U48*1,ТУ!$CP:$CP,0),1))-1),""),УСПД!$N:$N,0),1))),SEARCH("/",RIGHT(INDEX(УСПД!$M:$M,MATCH(IFERROR(1*LEFT(INDEX(ТУ!$CG:$CG,MATCH($U48*1,ТУ!$CP:$CP,0),1),SEARCH(" ",INDEX(ТУ!$CG:$CG,MATCH($U48*1,ТУ!$CP:$CP,0),1))-1),""),УСПД!$N:$N,0),1),LEN(INDEX(УСПД!$M:$M,MATCH(IFERROR(1*LEFT(INDEX(ТУ!$CG:$CG,MATCH($U48*1,ТУ!$CP:$CP,0),1),SEARCH(" ",INDEX(ТУ!$CG:$CG,MATCH($U48*1,ТУ!$CP:$CP,0),1))-1),""),УСПД!$N:$N,0),1))-SEARCH(":",INDEX(УСПД!$M:$M,MATCH(IFERROR(1*LEFT(INDEX(ТУ!$CG:$CG,MATCH($U48*1,ТУ!$CP:$CP,0),1),SEARCH(" ",INDEX(ТУ!$CG:$CG,MATCH($U48*1,ТУ!$CP:$CP,0),1))-1),""),УСПД!$N:$N,0),1))))-1), RIGHT(INDEX(УСПД!$M:$M,MATCH(IFERROR(1*LEFT(INDEX(ТУ!$CG:$CG,MATCH($U48*1,ТУ!$CP:$CP,0),1),SEARCH(" ",INDEX(ТУ!$CG:$CG,MATCH($U48*1,ТУ!$CP:$CP,0),1))-1),""),УСПД!$N:$N,0),1),LEN(INDEX(УСПД!$M:$M,MATCH(IFERROR(1*LEFT(INDEX(ТУ!$CG:$CG,MATCH($U48*1,ТУ!$CP:$CP,0),1),SEARCH(" ",INDEX(ТУ!$CG:$CG,MATCH($U48*1,ТУ!$CP:$CP,0),1))-1),""),УСПД!$N:$N,0),1))-SEARCH(":",INDEX(УСПД!$M:$M,MATCH(IFERROR(1*LEFT(INDEX(ТУ!$CG:$CG,MATCH($U48*1,ТУ!$CP:$CP,0),1),SEARCH(" ",INDEX(ТУ!$CG:$CG,MATCH($U48*1,ТУ!$CP:$CP,0),1))-1),""),УСПД!$N:$N,0),1)))), ""))</f>
        <v/>
      </c>
      <c r="AL48" s="41"/>
      <c r="AM48" s="57" t="str">
        <f>IFERROR(IFERROR(INDEX(Tel!$B:$B,MATCH($AJ48,Tel!$E:$E,0),1),INDEX(Tel!$B:$B,MATCH($AJ48,Tel!$D:$D,0),1)),"")</f>
        <v/>
      </c>
      <c r="AN48" s="59" t="str">
        <f>IF(ISNUMBER(SEARCH("ТОПАЗ - ТОПАЗ УСПД",IFERROR(RIGHT(LEFT(INDEX(ТУ!$CG:$CG,MATCH($U48*1,ТУ!$CP:$CP,0),1),SEARCH(")",INDEX(ТУ!$CG:$CG,MATCH($U48*1,ТУ!$CP:$CP,0),1))-1),LEN(LEFT(INDEX(ТУ!$CG:$CG,MATCH($U48*1,ТУ!$CP:$CP,0),1),SEARCH(")",INDEX(ТУ!$CG:$CG,MATCH($U48*1,ТУ!$CP:$CP,0),1))-1))-SEARCH("(",INDEX(ТУ!$CG:$CG,MATCH($U48*1,ТУ!$CP:$CP,0),1))),""),1)),"RTU-327",
IF(ISNUMBER(SEARCH("TELEOFIS",$AP48)),"Модем",
""))</f>
        <v/>
      </c>
      <c r="AO48" s="27" t="str">
        <f t="shared" si="24"/>
        <v/>
      </c>
      <c r="AP48" s="57" t="str">
        <f>IF(ISNUMBER(SEARCH("Миландр - Милур GSM/GPRS модем",IFERROR(RIGHT(LEFT(INDEX(ТУ!$CG:$CG,MATCH($U48*1,ТУ!$CP:$CP,0),1),SEARCH(")",INDEX(ТУ!$CG:$CG,MATCH($U48*1,ТУ!$CP:$CP,0),1))-1),LEN(LEFT(INDEX(ТУ!$CG:$CG,MATCH($U48*1,ТУ!$CP:$CP,0),1),SEARCH(")",INDEX(ТУ!$CG:$CG,MATCH($U48*1,ТУ!$CP:$CP,0),1))-1))-SEARCH("(",INDEX(ТУ!$CG:$CG,MATCH($U48*1,ТУ!$CP:$CP,0),1))),""),1)), "TELEOFIS WRX708-L4",IFERROR(RIGHT(LEFT(INDEX(ТУ!$CG:$CG,MATCH($U48*1,ТУ!$CP:$CP,0),1),SEARCH(")",INDEX(ТУ!$CG:$CG,MATCH($U48*1,ТУ!$CP:$CP,0),1))-1),LEN(LEFT(INDEX(ТУ!$CG:$CG,MATCH($U48*1,ТУ!$CP:$CP,0),1),SEARCH(")",INDEX(ТУ!$CG:$CG,MATCH($U48*1,ТУ!$CP:$CP,0),1))-1))-SEARCH("(",INDEX(ТУ!$CG:$CG,MATCH($U48*1,ТУ!$CP:$CP,0),1))),""))</f>
        <v>Связь Инжиниринг М - УМ-40 (RTU-327</v>
      </c>
      <c r="AQ48" s="57" t="str">
        <f>IFERROR(IF(INDEX(УСПД!$K:$K,MATCH($AS48*1,УСПД!$N:$N,0),1)=0,"",INDEX(УСПД!$K:$K,MATCH($AS48*1,УСПД!$N:$N,0),1)),"")</f>
        <v/>
      </c>
      <c r="AR48" s="57" t="str">
        <f>IFERROR(IF(INDEX(УСПД!$L:$L,MATCH($AS48*1,УСПД!$N:$N,0),1)=0,"",INDEX(УСПД!$L:$L,MATCH($AS48*1,УСПД!$N:$N,0),1)),"")</f>
        <v/>
      </c>
      <c r="AS48" s="60" t="str">
        <f>IFERROR(LEFT(INDEX(ТУ!$CG:$CG,MATCH($U48*1,ТУ!$CP:$CP,0),1),SEARCH(" ",INDEX(ТУ!$CG:$CG,MATCH($U48*1,ТУ!$CP:$CP,0),1))-1),"")</f>
        <v>200000315030</v>
      </c>
      <c r="AT48" s="59" t="s">
        <v>360</v>
      </c>
      <c r="AU48" s="59">
        <f>3</f>
        <v>3</v>
      </c>
      <c r="AV48" s="59" t="s">
        <v>368</v>
      </c>
      <c r="AW48" s="149">
        <f t="shared" si="19"/>
        <v>74</v>
      </c>
      <c r="AX48" s="149">
        <f t="shared" si="20"/>
        <v>34</v>
      </c>
      <c r="AY48" s="149" t="str">
        <f t="shared" si="21"/>
        <v/>
      </c>
      <c r="AZ48" s="149" t="str">
        <f t="shared" si="22"/>
        <v/>
      </c>
      <c r="BA48" s="149">
        <f t="shared" si="23"/>
        <v>1</v>
      </c>
      <c r="BB48" s="154" t="str">
        <f>IF($AP48="",IFERROR(IFERROR(LEFT(RIGHT(INDEX(ТУ!$CE:$CE,MATCH($U48*1,ТУ!$CP:$CP,0),1),LEN(INDEX(ТУ!$CE:$CE,MATCH($U48*1,ТУ!$CP:$CP,0),1))-SEARCH(", ",INDEX(ТУ!$CE:$CE,MATCH($U48*1,ТУ!$CP:$CP,0),1),SEARCH(", ",INDEX(ТУ!$CE:$CE,MATCH($U48*1,ТУ!$CP:$CP,0),1))+1)-1),SEARCH(":",RIGHT(INDEX(ТУ!$CE:$CE,MATCH($U48*1,ТУ!$CP:$CP,0),1),LEN(INDEX(ТУ!$CE:$CE,MATCH($U48*1,ТУ!$CP:$CP,0),1))-SEARCH(", ",INDEX(ТУ!$CE:$CE,MATCH($U48*1,ТУ!$CP:$CP,0),1),SEARCH(", ",INDEX(ТУ!$CE:$CE,MATCH($U48*1,ТУ!$CP:$CP,0),1))+1)-1))-1),LEFT(INDEX(ТУ!$CE:$CE,MATCH($U48*1,ТУ!$CP:$CP,0),1),SEARCH(":",INDEX(ТУ!$CE:$CE,MATCH($U48*1,ТУ!$CP:$CP,0),1))-1)),""),IFERROR(IFERROR(LEFT(RIGHT(INDEX(УСПД!$M:$M,MATCH(IFERROR(1*LEFT(INDEX(ТУ!$CG:$CG,MATCH($U48*1,ТУ!$CP:$CP,0),1),SEARCH(" ",INDEX(ТУ!$CG:$CG,MATCH($U48*1,ТУ!$CP:$CP,0),1))-1),""),УСПД!$N:$N,0),1),LEN(INDEX(УСПД!$M:$M,MATCH(IFERROR(1*LEFT(INDEX(ТУ!$CG:$CG,MATCH($U48*1,ТУ!$CP:$CP,0),1),SEARCH(" ",INDEX(ТУ!$CG:$CG,MATCH($U48*1,ТУ!$CP:$CP,0),1))-1),""),УСПД!$N:$N,0),1))-SEARCH(", ",INDEX(УСПД!$M:$M,MATCH(IFERROR(1*LEFT(INDEX(ТУ!$CG:$CG,MATCH($U48*1,ТУ!$CP:$CP,0),1),SEARCH(" ",INDEX(ТУ!$CG:$CG,MATCH($U48*1,ТУ!$CP:$CP,0),1))-1),""),УСПД!$N:$N,0),1),SEARCH(", ",INDEX(УСПД!$M:$M,MATCH(IFERROR(1*LEFT(INDEX(ТУ!$CG:$CG,MATCH($U48*1,ТУ!$CP:$CP,0),1),SEARCH(" ",INDEX(ТУ!$CG:$CG,MATCH($U48*1,ТУ!$CP:$CP,0),1))-1),""),УСПД!$N:$N,0),1))+1)-1),SEARCH(":",RIGHT(INDEX(УСПД!$M:$M,MATCH(IFERROR(1*LEFT(INDEX(ТУ!$CG:$CG,MATCH($U48*1,ТУ!$CP:$CP,0),1),SEARCH(" ",INDEX(ТУ!$CG:$CG,MATCH($U48*1,ТУ!$CP:$CP,0),1))-1),""),УСПД!$N:$N,0),1),LEN(INDEX(УСПД!$M:$M,MATCH(IFERROR(1*LEFT(INDEX(ТУ!$CG:$CG,MATCH($U48*1,ТУ!$CP:$CP,0),1),SEARCH(" ",INDEX(ТУ!$CG:$CG,MATCH($U48*1,ТУ!$CP:$CP,0),1))-1),""),УСПД!$N:$N,0),1))-SEARCH(", ",INDEX(УСПД!$M:$M,MATCH(IFERROR(1*LEFT(INDEX(ТУ!$CG:$CG,MATCH($U48*1,ТУ!$CP:$CP,0),1),SEARCH(" ",INDEX(ТУ!$CG:$CG,MATCH($U48*1,ТУ!$CP:$CP,0),1))-1),""),УСПД!$N:$N,0),1),SEARCH(", ",INDEX(УСПД!$M:$M,MATCH(IFERROR(1*LEFT(INDEX(ТУ!$CG:$CG,MATCH($U48*1,ТУ!$CP:$CP,0),1),SEARCH(" ",INDEX(ТУ!$CG:$CG,MATCH($U48*1,ТУ!$CP:$CP,0),1))-1),""),УСПД!$N:$N,0),1))+1)-1))-1),LEFT(INDEX(УСПД!$M:$M,MATCH(IFERROR(1*LEFT(INDEX(ТУ!$CG:$CG,MATCH($U48*1,ТУ!$CP:$CP,0),1),SEARCH(" ",INDEX(ТУ!$CG:$CG,MATCH($U48*1,ТУ!$CP:$CP,0),1))-1),""),УСПД!$N:$N,0),1),SEARCH(":",INDEX(УСПД!$M:$M,MATCH(IFERROR(1*LEFT(INDEX(ТУ!$CG:$CG,MATCH($U48*1,ТУ!$CP:$CP,0),1),SEARCH(" ",INDEX(ТУ!$CG:$CG,MATCH($U48*1,ТУ!$CP:$CP,0),1))-1),""),УСПД!$N:$N,0),1))-1)),""))</f>
        <v/>
      </c>
      <c r="BC48" s="155" t="str">
        <f>INDEX(ТУ!$AF:$AF,MATCH($U48*1,ТУ!$CP:$CP,0),1)</f>
        <v>16984</v>
      </c>
      <c r="BD48" s="155">
        <f>INDEX(ТУ!$X:$X,MATCH($U48*1,ТУ!$CP:$CP,0),1)</f>
        <v>0</v>
      </c>
      <c r="BE48" s="155" t="str">
        <f>INDEX(ТУ!$CL:$CL,MATCH($U48*1,ТУ!$CP:$CP,0),1)</f>
        <v>ИПР до 2016 (МКД)</v>
      </c>
      <c r="BF48" s="147" t="str">
        <f>IFERROR(INDEX(естьАЦ!$A:$A,MATCH($U48*1,естьАЦ!$A:$A,0),1),"нет в АЦ")</f>
        <v>нет в АЦ</v>
      </c>
    </row>
    <row r="49" spans="1:58" ht="15" x14ac:dyDescent="0.25">
      <c r="A49" s="55">
        <f>3</f>
        <v>3</v>
      </c>
      <c r="B49" s="42" t="str">
        <f>IFERROR(IFERROR(INDEX(Справочники!$A$2:$P$79,MATCH(INDEX(ТУ!$E:$E,MATCH($U49*1,ТУ!$CP:$CP,0),1),Справочники!$P$2:$P$79,0),2),INDEX(Справочники!$A$2:$P$79,MATCH((INDEX(ТУ!$E:$E,MATCH($U49*1,ТУ!$CP:$CP,0),1))*1,Справочники!$P$2:$P$79,0),2)),"")</f>
        <v>18 р-н МКС (ВОРУПЭ)</v>
      </c>
      <c r="C49" s="46" t="str">
        <f>IFERROR(TRIM(LEFT(INDEX(ТУ!$AF:$AF,MATCH($U49*1,ТУ!$CP:$CP,0),1),SEARCH("-",INDEX(ТУ!$AF:$AF,MATCH($U49*1,ТУ!$CP:$CP,0),1))-1)),IFERROR(LEFT(INDEX(ТУ!$X:$X,MATCH($U49*1,ТУ!$CP:$CP,0),1),SEARCH("-",INDEX(ТУ!$X:$X,MATCH($U49*1,ТУ!$CP:$CP,0),1))-1),"ТП"))</f>
        <v>ТП</v>
      </c>
      <c r="D49" s="47" t="str">
        <f>IF(TRIM(IF(ISNUMBER((IFERROR(RIGHT(INDEX(ТУ!$AF:$AF,MATCH($U49*1,ТУ!$CP:$CP,0),1),LEN(INDEX(ТУ!$AF:$AF,MATCH($U49*1,ТУ!$CP:$CP,0),1))-SEARCH("-",INDEX(ТУ!$AF:$AF,MATCH($U49*1,ТУ!$CP:$CP,0),1))),INDEX(ТУ!$AF:$AF,MATCH($U49*1,ТУ!$CP:$CP,0),1)))*1),IFERROR(RIGHT(INDEX(ТУ!$AF:$AF,MATCH($U49*1,ТУ!$CP:$CP,0),1),LEN(INDEX(ТУ!$AF:$AF,MATCH($U49*1,ТУ!$CP:$CP,0),1))-SEARCH("-",INDEX(ТУ!$AF:$AF,MATCH($U49*1,ТУ!$CP:$CP,0),1))),INDEX(ТУ!$AF:$AF,MATCH($U49*1,ТУ!$CP:$CP,0),1)),""))="",TRIM(IF(ISNUMBER((IFERROR(RIGHT(INDEX(ТУ!$X:$X,MATCH($U49*1,ТУ!$CP:$CP,0),1),LEN(INDEX(ТУ!$X:$X,MATCH($U49*1,ТУ!$CP:$CP,0),1))-SEARCH("-",INDEX(ТУ!$X:$X,MATCH($U49*1,ТУ!$CP:$CP,0),1))),INDEX(ТУ!$X:$X,MATCH($U49*1,ТУ!$CP:$CP,0),1)))*1),IFERROR(RIGHT(INDEX(ТУ!$X:$X,MATCH($U49*1,ТУ!$CP:$CP,0),1),LEN(INDEX(ТУ!$X:$X,MATCH($U49*1,ТУ!$CP:$CP,0),1))-SEARCH("-",INDEX(ТУ!$X:$X,MATCH($U49*1,ТУ!$CP:$CP,0),1))),INDEX(ТУ!$X:$X,MATCH($U49*1,ТУ!$CP:$CP,0),1)),"")),TRIM(IF(ISNUMBER((IFERROR(RIGHT(INDEX(ТУ!$AF:$AF,MATCH($U49*1,ТУ!$CP:$CP,0),1),LEN(INDEX(ТУ!$AF:$AF,MATCH($U49*1,ТУ!$CP:$CP,0),1))-SEARCH("-",INDEX(ТУ!$AF:$AF,MATCH($U49*1,ТУ!$CP:$CP,0),1))),INDEX(ТУ!$AF:$AF,MATCH($U49*1,ТУ!$CP:$CP,0),1)))*1),IFERROR(RIGHT(INDEX(ТУ!$AF:$AF,MATCH($U49*1,ТУ!$CP:$CP,0),1),LEN(INDEX(ТУ!$AF:$AF,MATCH($U49*1,ТУ!$CP:$CP,0),1))-SEARCH("-",INDEX(ТУ!$AF:$AF,MATCH($U49*1,ТУ!$CP:$CP,0),1))),INDEX(ТУ!$AF:$AF,MATCH($U49*1,ТУ!$CP:$CP,0),1)),"")))</f>
        <v>23633</v>
      </c>
      <c r="E49" s="25" t="str">
        <f t="shared" si="2"/>
        <v>МКС</v>
      </c>
      <c r="F49" s="20">
        <f t="shared" si="3"/>
        <v>92</v>
      </c>
      <c r="G49" s="21">
        <f t="shared" si="4"/>
        <v>5</v>
      </c>
      <c r="H49" s="25" t="str">
        <f t="shared" si="5"/>
        <v>ТП-23633</v>
      </c>
      <c r="I49" s="25" t="str">
        <f t="shared" si="6"/>
        <v>92523633</v>
      </c>
      <c r="J49" s="42" t="str">
        <f>INDEX(Справочники!$M:$M,MATCH(IF(INDEX(ТУ!$BO:$BO,MATCH($U49*1,ТУ!$CP:$CP,0),1)=1,1,INDEX(ТУ!$BO:$BO,MATCH($U49*1,ТУ!$CP:$CP,0),1)*100),Справочники!$N:$N,0),1)</f>
        <v>0.4 кВ</v>
      </c>
      <c r="K49" s="40">
        <f>1</f>
        <v>1</v>
      </c>
      <c r="L49" s="20" t="str">
        <f t="shared" si="7"/>
        <v>СШ-1</v>
      </c>
      <c r="M49" s="20">
        <f t="shared" si="8"/>
        <v>1</v>
      </c>
      <c r="N49" s="40"/>
      <c r="O49" s="56" t="str">
        <f t="shared" si="9"/>
        <v>Ввод-1-1</v>
      </c>
      <c r="P49" s="57" t="str">
        <f>IFERROR(IF(INDEX(ТУ!$AO:$AO,MATCH($U49*1,ТУ!$CP:$CP,0),1)=0,"",INDEX(ТУ!$AO:$AO,MATCH($U49*1,ТУ!$CP:$CP,0),1)),"")</f>
        <v>97631А</v>
      </c>
      <c r="Q49" s="40">
        <f>IFERROR(IF(INDEX(ТУ!$BN:$BN,MATCH($U49*1,ТУ!$CP:$CP,0),1)=1,1,INDEX(ТУ!$BN:$BN,MATCH($U49*1,ТУ!$CP:$CP,0),1)*5),"")</f>
        <v>400</v>
      </c>
      <c r="R49" s="25">
        <f t="shared" si="10"/>
        <v>5</v>
      </c>
      <c r="S49" s="25">
        <f t="shared" si="11"/>
        <v>1</v>
      </c>
      <c r="T49" s="25">
        <f t="shared" si="12"/>
        <v>1</v>
      </c>
      <c r="U49" s="105" t="s">
        <v>980</v>
      </c>
      <c r="V49" s="43">
        <f>IF(INDEX(ТУ!$BH:$BH,MATCH($U49*1,ТУ!$CP:$CP,0),1)=0,"",INDEX(ТУ!$BH:$BH,MATCH($U49*1,ТУ!$CP:$CP,0),1))</f>
        <v>43760</v>
      </c>
      <c r="W49" s="43" t="str">
        <f>IF(INDEX(ТУ!$BI:$BI,MATCH($U49*1,ТУ!$CP:$CP,0),1)=0,"",INDEX(ТУ!$BI:$BI,MATCH($U49*1,ТУ!$CP:$CP,0),1))</f>
        <v>21.09.2018</v>
      </c>
      <c r="X49" s="58" t="str">
        <f t="shared" si="13"/>
        <v/>
      </c>
      <c r="Y49" s="25">
        <f t="shared" si="14"/>
        <v>35</v>
      </c>
      <c r="Z49" s="42" t="str">
        <f t="shared" si="15"/>
        <v/>
      </c>
      <c r="AA49" s="25" t="str">
        <f t="shared" si="16"/>
        <v/>
      </c>
      <c r="AB49" s="40" t="str">
        <f>IF(ISNUMBER(SEARCH("Приборы с поддержкой протокола СПОДЭС - Нартис-И300 (СПОДЭС)",INDEX(ТУ!$BD:$BD,MATCH($U49*1,ТУ!$CP:$CP,0),1))),"Нартис-И300",
IF(ISNUMBER(SEARCH("Приборы с поддержкой протокола СПОДЭС - Меркурий 234 (СПОДЭС)",INDEX(ТУ!$BD:$BD,MATCH($U49*1,ТУ!$CP:$CP,0),1))),"Меркурий 234 (СПОДЭС)",
IF(ISNUMBER(SEARCH("Приборы с поддержкой протокола СПОДЭС - Нартис-300 (СПОДЭС)",INDEX(ТУ!$BD:$BD,MATCH($U49*1,ТУ!$CP:$CP,0),1))),"Нартис-300",
IF(ISNUMBER(SEARCH("Инкотекс - Меркурий 234",INDEX(ТУ!$BD:$BD,MATCH($U49*1,ТУ!$CP:$CP,0),1))),"Меркурий 234",
IF(ISNUMBER(SEARCH("Инкотекс - Меркурий 206",INDEX(ТУ!$BD:$BD,MATCH($U49*1,ТУ!$CP:$CP,0),1))),"Меркурий 206",
IF(ISNUMBER(SEARCH("Приборы с поддержкой протокола СПОДЭС - Универсальный счетчик СПОДЭС 2 трехфазный",INDEX(ТУ!$BD:$BD,MATCH($U49*1,ТУ!$CP:$CP,0),1))),"Нартис-И300",
IF(ISNUMBER(SEARCH("Приборы с поддержкой протокола СПОДЭС - Универсальный счетчик СПОДЭС 2 однофазный",INDEX(ТУ!$BD:$BD,MATCH($U49*1,ТУ!$CP:$CP,0),1))),"Нартис-И100",
IF(ISNUMBER(SEARCH("Приборы с поддержкой протокола СПОДЭС - Нартис-И100 (СПОДЭС)",INDEX(ТУ!$BD:$BD,MATCH($U49*1,ТУ!$CP:$CP,0),1))),"Нартис-И100",
IF(ISNUMBER(SEARCH("Приборы с поддержкой протокола СПОДЭС - СЕ308 (СПОДЭС)",INDEX(ТУ!$BD:$BD,MATCH($U49*1,ТУ!$CP:$CP,0),1))),"СЕ308 (СПОДЭС)",
IF(ISNUMBER(SEARCH("Приборы с поддержкой протокола СПОДЭС - СЕ207 (СПОДЭС)",INDEX(ТУ!$BD:$BD,MATCH($U49*1,ТУ!$CP:$CP,0),1))),"СЕ207 (СПОДЭС)",
IF(ISNUMBER(SEARCH("Приборы с поддержкой протокола СПОДЭС - СТЭМ-300 (СПОДЭС)",INDEX(ТУ!$BD:$BD,MATCH($U49*1,ТУ!$CP:$CP,0),1))),"СТЭМ-300 (СПОДЭС)",
IF(ISNUMBER(SEARCH("ТехноЭнерго - ТЕ3000",INDEX(ТУ!$BD:$BD,MATCH($U49*1,ТУ!$CP:$CP,0),1))),"ТЕ3000",
IF(ISNUMBER(SEARCH("НЗиФ - СЭТ-4ТМ",INDEX(ТУ!$BD:$BD,MATCH($U49*1,ТУ!$CP:$CP,0),1))),"СЭТ-4ТМ",
INDEX(ТУ!$BD:$BD,MATCH($U49*1,ТУ!$CP:$CP,0),1)
)))))))))))))</f>
        <v>НЗиФ - ПСЧ-4ТМ.05М</v>
      </c>
      <c r="AC49" s="40" t="s">
        <v>2</v>
      </c>
      <c r="AD49" s="40" t="str">
        <f>IF(ISNUMBER(IFERROR(LEFT(IF(INDEX(ТУ!$CI:$CI,MATCH($U49*1,ТУ!$CP:$CP,0),1)=0,"",INDEX(ТУ!$CI:$CI,MATCH($U49*1,ТУ!$CP:$CP,0),1)),SEARCH(" ",IF(INDEX(ТУ!$CI:$CI,MATCH($U49*1,ТУ!$CP:$CP,0),1)=0,"",INDEX(ТУ!$CI:$CI,MATCH($U49*1,ТУ!$CP:$CP,0),1)),1)-1),"")*1),IFERROR(LEFT(IF(INDEX(ТУ!$CI:$CI,MATCH($U49*1,ТУ!$CP:$CP,0),1)=0,"",INDEX(ТУ!$CI:$CI,MATCH($U49*1,ТУ!$CP:$CP,0),1)),SEARCH(" ",IF(INDEX(ТУ!$CI:$CI,MATCH($U49*1,ТУ!$CP:$CP,0),1)=0,"",INDEX(ТУ!$CI:$CI,MATCH($U49*1,ТУ!$CP:$CP,0),1)),1)-1),""),"")</f>
        <v>77690001010222</v>
      </c>
      <c r="AE49" s="40" t="str">
        <f>IF(INDEX(ТУ!$CB:$CB,MATCH($U49*1,ТУ!$CP:$CP,0),1)=0,INDEX(Adr!$B:$B,MATCH($U49*1,Adr!$C:$C,0),1),INDEX(ТУ!$CB:$CB,MATCH($U49*1,ТУ!$CP:$CP,0),1))</f>
        <v>1</v>
      </c>
      <c r="AF49" s="45" t="str">
        <f>IF(INDEX(ТУ!$CD:$CD,MATCH($U49*1,ТУ!$CP:$CP,0),1)=0,"",INDEX(ТУ!$CD:$CD,MATCH($U49*1,ТУ!$CP:$CP,0),1))</f>
        <v>000000</v>
      </c>
      <c r="AG49" s="45">
        <f>0</f>
        <v>0</v>
      </c>
      <c r="AH49" s="26">
        <f t="shared" si="17"/>
        <v>92</v>
      </c>
      <c r="AI49" s="20" t="str">
        <f t="shared" si="18"/>
        <v>925236331</v>
      </c>
      <c r="AJ49" s="41" t="str">
        <f t="shared" si="1"/>
        <v/>
      </c>
      <c r="AK49" s="41" t="str">
        <f>IF($AP49="",IFERROR(IFERROR(LEFT(RIGHT(INDEX(ТУ!$CE:$CE,MATCH($U49*1,ТУ!$CP:$CP,0),1),LEN(INDEX(ТУ!$CE:$CE,MATCH($U49*1,ТУ!$CP:$CP,0),1))-SEARCH(":",INDEX(ТУ!$CE:$CE,MATCH($U49*1,ТУ!$CP:$CP,0),1))),SEARCH("/",RIGHT(INDEX(ТУ!$CE:$CE,MATCH($U49*1,ТУ!$CP:$CP,0),1),LEN(INDEX(ТУ!$CE:$CE,MATCH($U49*1,ТУ!$CP:$CP,0),1))-SEARCH(":",INDEX(ТУ!$CE:$CE,MATCH($U49*1,ТУ!$CP:$CP,0),1))))-1), RIGHT(INDEX(ТУ!$CE:$CE,MATCH($U49*1,ТУ!$CP:$CP,0),1),LEN(INDEX(ТУ!$CE:$CE,MATCH($U49*1,ТУ!$CP:$CP,0),1))-SEARCH(":",INDEX(ТУ!$CE:$CE,MATCH($U49*1,ТУ!$CP:$CP,0),1)))), ""),IFERROR(IFERROR(LEFT(RIGHT(INDEX(УСПД!$M:$M,MATCH(IFERROR(1*LEFT(INDEX(ТУ!$CG:$CG,MATCH($U49*1,ТУ!$CP:$CP,0),1),SEARCH(" ",INDEX(ТУ!$CG:$CG,MATCH($U49*1,ТУ!$CP:$CP,0),1))-1),""),УСПД!$N:$N,0),1),LEN(INDEX(УСПД!$M:$M,MATCH(IFERROR(1*LEFT(INDEX(ТУ!$CG:$CG,MATCH($U49*1,ТУ!$CP:$CP,0),1),SEARCH(" ",INDEX(ТУ!$CG:$CG,MATCH($U49*1,ТУ!$CP:$CP,0),1))-1),""),УСПД!$N:$N,0),1))-SEARCH(":",INDEX(УСПД!$M:$M,MATCH(IFERROR(1*LEFT(INDEX(ТУ!$CG:$CG,MATCH($U49*1,ТУ!$CP:$CP,0),1),SEARCH(" ",INDEX(ТУ!$CG:$CG,MATCH($U49*1,ТУ!$CP:$CP,0),1))-1),""),УСПД!$N:$N,0),1))),SEARCH("/",RIGHT(INDEX(УСПД!$M:$M,MATCH(IFERROR(1*LEFT(INDEX(ТУ!$CG:$CG,MATCH($U49*1,ТУ!$CP:$CP,0),1),SEARCH(" ",INDEX(ТУ!$CG:$CG,MATCH($U49*1,ТУ!$CP:$CP,0),1))-1),""),УСПД!$N:$N,0),1),LEN(INDEX(УСПД!$M:$M,MATCH(IFERROR(1*LEFT(INDEX(ТУ!$CG:$CG,MATCH($U49*1,ТУ!$CP:$CP,0),1),SEARCH(" ",INDEX(ТУ!$CG:$CG,MATCH($U49*1,ТУ!$CP:$CP,0),1))-1),""),УСПД!$N:$N,0),1))-SEARCH(":",INDEX(УСПД!$M:$M,MATCH(IFERROR(1*LEFT(INDEX(ТУ!$CG:$CG,MATCH($U49*1,ТУ!$CP:$CP,0),1),SEARCH(" ",INDEX(ТУ!$CG:$CG,MATCH($U49*1,ТУ!$CP:$CP,0),1))-1),""),УСПД!$N:$N,0),1))))-1), RIGHT(INDEX(УСПД!$M:$M,MATCH(IFERROR(1*LEFT(INDEX(ТУ!$CG:$CG,MATCH($U49*1,ТУ!$CP:$CP,0),1),SEARCH(" ",INDEX(ТУ!$CG:$CG,MATCH($U49*1,ТУ!$CP:$CP,0),1))-1),""),УСПД!$N:$N,0),1),LEN(INDEX(УСПД!$M:$M,MATCH(IFERROR(1*LEFT(INDEX(ТУ!$CG:$CG,MATCH($U49*1,ТУ!$CP:$CP,0),1),SEARCH(" ",INDEX(ТУ!$CG:$CG,MATCH($U49*1,ТУ!$CP:$CP,0),1))-1),""),УСПД!$N:$N,0),1))-SEARCH(":",INDEX(УСПД!$M:$M,MATCH(IFERROR(1*LEFT(INDEX(ТУ!$CG:$CG,MATCH($U49*1,ТУ!$CP:$CP,0),1),SEARCH(" ",INDEX(ТУ!$CG:$CG,MATCH($U49*1,ТУ!$CP:$CP,0),1))-1),""),УСПД!$N:$N,0),1)))), ""))</f>
        <v/>
      </c>
      <c r="AL49" s="41"/>
      <c r="AM49" s="57" t="str">
        <f>IFERROR(IFERROR(INDEX(Tel!$B:$B,MATCH($AJ49,Tel!$E:$E,0),1),INDEX(Tel!$B:$B,MATCH($AJ49,Tel!$D:$D,0),1)),"")</f>
        <v/>
      </c>
      <c r="AN49" s="59" t="str">
        <f>IF(ISNUMBER(SEARCH("ТОПАЗ - ТОПАЗ УСПД",IFERROR(RIGHT(LEFT(INDEX(ТУ!$CG:$CG,MATCH($U49*1,ТУ!$CP:$CP,0),1),SEARCH(")",INDEX(ТУ!$CG:$CG,MATCH($U49*1,ТУ!$CP:$CP,0),1))-1),LEN(LEFT(INDEX(ТУ!$CG:$CG,MATCH($U49*1,ТУ!$CP:$CP,0),1),SEARCH(")",INDEX(ТУ!$CG:$CG,MATCH($U49*1,ТУ!$CP:$CP,0),1))-1))-SEARCH("(",INDEX(ТУ!$CG:$CG,MATCH($U49*1,ТУ!$CP:$CP,0),1))),""),1)),"RTU-327",
IF(ISNUMBER(SEARCH("TELEOFIS",$AP49)),"Модем",
""))</f>
        <v/>
      </c>
      <c r="AO49" s="27" t="str">
        <f t="shared" si="24"/>
        <v/>
      </c>
      <c r="AP49" s="57" t="str">
        <f>IF(ISNUMBER(SEARCH("Миландр - Милур GSM/GPRS модем",IFERROR(RIGHT(LEFT(INDEX(ТУ!$CG:$CG,MATCH($U49*1,ТУ!$CP:$CP,0),1),SEARCH(")",INDEX(ТУ!$CG:$CG,MATCH($U49*1,ТУ!$CP:$CP,0),1))-1),LEN(LEFT(INDEX(ТУ!$CG:$CG,MATCH($U49*1,ТУ!$CP:$CP,0),1),SEARCH(")",INDEX(ТУ!$CG:$CG,MATCH($U49*1,ТУ!$CP:$CP,0),1))-1))-SEARCH("(",INDEX(ТУ!$CG:$CG,MATCH($U49*1,ТУ!$CP:$CP,0),1))),""),1)), "TELEOFIS WRX708-L4",IFERROR(RIGHT(LEFT(INDEX(ТУ!$CG:$CG,MATCH($U49*1,ТУ!$CP:$CP,0),1),SEARCH(")",INDEX(ТУ!$CG:$CG,MATCH($U49*1,ТУ!$CP:$CP,0),1))-1),LEN(LEFT(INDEX(ТУ!$CG:$CG,MATCH($U49*1,ТУ!$CP:$CP,0),1),SEARCH(")",INDEX(ТУ!$CG:$CG,MATCH($U49*1,ТУ!$CP:$CP,0),1))-1))-SEARCH("(",INDEX(ТУ!$CG:$CG,MATCH($U49*1,ТУ!$CP:$CP,0),1))),""))</f>
        <v>Связь Инжиниринг М - УМ-40 (RTU-327</v>
      </c>
      <c r="AQ49" s="57" t="str">
        <f>IFERROR(IF(INDEX(УСПД!$K:$K,MATCH($AS49*1,УСПД!$N:$N,0),1)=0,"",INDEX(УСПД!$K:$K,MATCH($AS49*1,УСПД!$N:$N,0),1)),"")</f>
        <v/>
      </c>
      <c r="AR49" s="57" t="str">
        <f>IFERROR(IF(INDEX(УСПД!$L:$L,MATCH($AS49*1,УСПД!$N:$N,0),1)=0,"",INDEX(УСПД!$L:$L,MATCH($AS49*1,УСПД!$N:$N,0),1)),"")</f>
        <v/>
      </c>
      <c r="AS49" s="60" t="str">
        <f>IFERROR(LEFT(INDEX(ТУ!$CG:$CG,MATCH($U49*1,ТУ!$CP:$CP,0),1),SEARCH(" ",INDEX(ТУ!$CG:$CG,MATCH($U49*1,ТУ!$CP:$CP,0),1))-1),"")</f>
        <v>200000509651</v>
      </c>
      <c r="AT49" s="59" t="s">
        <v>360</v>
      </c>
      <c r="AU49" s="59">
        <f>3</f>
        <v>3</v>
      </c>
      <c r="AV49" s="59" t="s">
        <v>368</v>
      </c>
      <c r="AW49" s="149">
        <f t="shared" si="19"/>
        <v>70</v>
      </c>
      <c r="AX49" s="149">
        <f t="shared" si="20"/>
        <v>34</v>
      </c>
      <c r="AY49" s="149" t="str">
        <f t="shared" si="21"/>
        <v/>
      </c>
      <c r="AZ49" s="149" t="str">
        <f t="shared" si="22"/>
        <v/>
      </c>
      <c r="BA49" s="149">
        <f t="shared" si="23"/>
        <v>1</v>
      </c>
      <c r="BB49" s="154" t="str">
        <f>IF($AP49="",IFERROR(IFERROR(LEFT(RIGHT(INDEX(ТУ!$CE:$CE,MATCH($U49*1,ТУ!$CP:$CP,0),1),LEN(INDEX(ТУ!$CE:$CE,MATCH($U49*1,ТУ!$CP:$CP,0),1))-SEARCH(", ",INDEX(ТУ!$CE:$CE,MATCH($U49*1,ТУ!$CP:$CP,0),1),SEARCH(", ",INDEX(ТУ!$CE:$CE,MATCH($U49*1,ТУ!$CP:$CP,0),1))+1)-1),SEARCH(":",RIGHT(INDEX(ТУ!$CE:$CE,MATCH($U49*1,ТУ!$CP:$CP,0),1),LEN(INDEX(ТУ!$CE:$CE,MATCH($U49*1,ТУ!$CP:$CP,0),1))-SEARCH(", ",INDEX(ТУ!$CE:$CE,MATCH($U49*1,ТУ!$CP:$CP,0),1),SEARCH(", ",INDEX(ТУ!$CE:$CE,MATCH($U49*1,ТУ!$CP:$CP,0),1))+1)-1))-1),LEFT(INDEX(ТУ!$CE:$CE,MATCH($U49*1,ТУ!$CP:$CP,0),1),SEARCH(":",INDEX(ТУ!$CE:$CE,MATCH($U49*1,ТУ!$CP:$CP,0),1))-1)),""),IFERROR(IFERROR(LEFT(RIGHT(INDEX(УСПД!$M:$M,MATCH(IFERROR(1*LEFT(INDEX(ТУ!$CG:$CG,MATCH($U49*1,ТУ!$CP:$CP,0),1),SEARCH(" ",INDEX(ТУ!$CG:$CG,MATCH($U49*1,ТУ!$CP:$CP,0),1))-1),""),УСПД!$N:$N,0),1),LEN(INDEX(УСПД!$M:$M,MATCH(IFERROR(1*LEFT(INDEX(ТУ!$CG:$CG,MATCH($U49*1,ТУ!$CP:$CP,0),1),SEARCH(" ",INDEX(ТУ!$CG:$CG,MATCH($U49*1,ТУ!$CP:$CP,0),1))-1),""),УСПД!$N:$N,0),1))-SEARCH(", ",INDEX(УСПД!$M:$M,MATCH(IFERROR(1*LEFT(INDEX(ТУ!$CG:$CG,MATCH($U49*1,ТУ!$CP:$CP,0),1),SEARCH(" ",INDEX(ТУ!$CG:$CG,MATCH($U49*1,ТУ!$CP:$CP,0),1))-1),""),УСПД!$N:$N,0),1),SEARCH(", ",INDEX(УСПД!$M:$M,MATCH(IFERROR(1*LEFT(INDEX(ТУ!$CG:$CG,MATCH($U49*1,ТУ!$CP:$CP,0),1),SEARCH(" ",INDEX(ТУ!$CG:$CG,MATCH($U49*1,ТУ!$CP:$CP,0),1))-1),""),УСПД!$N:$N,0),1))+1)-1),SEARCH(":",RIGHT(INDEX(УСПД!$M:$M,MATCH(IFERROR(1*LEFT(INDEX(ТУ!$CG:$CG,MATCH($U49*1,ТУ!$CP:$CP,0),1),SEARCH(" ",INDEX(ТУ!$CG:$CG,MATCH($U49*1,ТУ!$CP:$CP,0),1))-1),""),УСПД!$N:$N,0),1),LEN(INDEX(УСПД!$M:$M,MATCH(IFERROR(1*LEFT(INDEX(ТУ!$CG:$CG,MATCH($U49*1,ТУ!$CP:$CP,0),1),SEARCH(" ",INDEX(ТУ!$CG:$CG,MATCH($U49*1,ТУ!$CP:$CP,0),1))-1),""),УСПД!$N:$N,0),1))-SEARCH(", ",INDEX(УСПД!$M:$M,MATCH(IFERROR(1*LEFT(INDEX(ТУ!$CG:$CG,MATCH($U49*1,ТУ!$CP:$CP,0),1),SEARCH(" ",INDEX(ТУ!$CG:$CG,MATCH($U49*1,ТУ!$CP:$CP,0),1))-1),""),УСПД!$N:$N,0),1),SEARCH(", ",INDEX(УСПД!$M:$M,MATCH(IFERROR(1*LEFT(INDEX(ТУ!$CG:$CG,MATCH($U49*1,ТУ!$CP:$CP,0),1),SEARCH(" ",INDEX(ТУ!$CG:$CG,MATCH($U49*1,ТУ!$CP:$CP,0),1))-1),""),УСПД!$N:$N,0),1))+1)-1))-1),LEFT(INDEX(УСПД!$M:$M,MATCH(IFERROR(1*LEFT(INDEX(ТУ!$CG:$CG,MATCH($U49*1,ТУ!$CP:$CP,0),1),SEARCH(" ",INDEX(ТУ!$CG:$CG,MATCH($U49*1,ТУ!$CP:$CP,0),1))-1),""),УСПД!$N:$N,0),1),SEARCH(":",INDEX(УСПД!$M:$M,MATCH(IFERROR(1*LEFT(INDEX(ТУ!$CG:$CG,MATCH($U49*1,ТУ!$CP:$CP,0),1),SEARCH(" ",INDEX(ТУ!$CG:$CG,MATCH($U49*1,ТУ!$CP:$CP,0),1))-1),""),УСПД!$N:$N,0),1))-1)),""))</f>
        <v/>
      </c>
      <c r="BC49" s="155" t="str">
        <f>INDEX(ТУ!$AF:$AF,MATCH($U49*1,ТУ!$CP:$CP,0),1)</f>
        <v>23633</v>
      </c>
      <c r="BD49" s="155">
        <f>INDEX(ТУ!$X:$X,MATCH($U49*1,ТУ!$CP:$CP,0),1)</f>
        <v>0</v>
      </c>
      <c r="BE49" s="155" t="str">
        <f>INDEX(ТУ!$CL:$CL,MATCH($U49*1,ТУ!$CP:$CP,0),1)</f>
        <v>ИПР до 2016 (МКД)</v>
      </c>
      <c r="BF49" s="147" t="str">
        <f>IFERROR(INDEX(естьАЦ!$A:$A,MATCH($U49*1,естьАЦ!$A:$A,0),1),"нет в АЦ")</f>
        <v>нет в АЦ</v>
      </c>
    </row>
    <row r="50" spans="1:58" ht="15" x14ac:dyDescent="0.25">
      <c r="A50" s="55">
        <f>3</f>
        <v>3</v>
      </c>
      <c r="B50" s="42" t="str">
        <f>IFERROR(IFERROR(INDEX(Справочники!$A$2:$P$79,MATCH(INDEX(ТУ!$E:$E,MATCH($U50*1,ТУ!$CP:$CP,0),1),Справочники!$P$2:$P$79,0),2),INDEX(Справочники!$A$2:$P$79,MATCH((INDEX(ТУ!$E:$E,MATCH($U50*1,ТУ!$CP:$CP,0),1))*1,Справочники!$P$2:$P$79,0),2)),"")</f>
        <v>22 р-н МКС (ЮЗОРУПЭ)</v>
      </c>
      <c r="C50" s="46" t="str">
        <f>IFERROR(TRIM(LEFT(INDEX(ТУ!$AF:$AF,MATCH($U50*1,ТУ!$CP:$CP,0),1),SEARCH("-",INDEX(ТУ!$AF:$AF,MATCH($U50*1,ТУ!$CP:$CP,0),1))-1)),IFERROR(LEFT(INDEX(ТУ!$X:$X,MATCH($U50*1,ТУ!$CP:$CP,0),1),SEARCH("-",INDEX(ТУ!$X:$X,MATCH($U50*1,ТУ!$CP:$CP,0),1))-1),"ТП"))</f>
        <v>ТП</v>
      </c>
      <c r="D50" s="47" t="str">
        <f>IF(TRIM(IF(ISNUMBER((IFERROR(RIGHT(INDEX(ТУ!$AF:$AF,MATCH($U50*1,ТУ!$CP:$CP,0),1),LEN(INDEX(ТУ!$AF:$AF,MATCH($U50*1,ТУ!$CP:$CP,0),1))-SEARCH("-",INDEX(ТУ!$AF:$AF,MATCH($U50*1,ТУ!$CP:$CP,0),1))),INDEX(ТУ!$AF:$AF,MATCH($U50*1,ТУ!$CP:$CP,0),1)))*1),IFERROR(RIGHT(INDEX(ТУ!$AF:$AF,MATCH($U50*1,ТУ!$CP:$CP,0),1),LEN(INDEX(ТУ!$AF:$AF,MATCH($U50*1,ТУ!$CP:$CP,0),1))-SEARCH("-",INDEX(ТУ!$AF:$AF,MATCH($U50*1,ТУ!$CP:$CP,0),1))),INDEX(ТУ!$AF:$AF,MATCH($U50*1,ТУ!$CP:$CP,0),1)),""))="",TRIM(IF(ISNUMBER((IFERROR(RIGHT(INDEX(ТУ!$X:$X,MATCH($U50*1,ТУ!$CP:$CP,0),1),LEN(INDEX(ТУ!$X:$X,MATCH($U50*1,ТУ!$CP:$CP,0),1))-SEARCH("-",INDEX(ТУ!$X:$X,MATCH($U50*1,ТУ!$CP:$CP,0),1))),INDEX(ТУ!$X:$X,MATCH($U50*1,ТУ!$CP:$CP,0),1)))*1),IFERROR(RIGHT(INDEX(ТУ!$X:$X,MATCH($U50*1,ТУ!$CP:$CP,0),1),LEN(INDEX(ТУ!$X:$X,MATCH($U50*1,ТУ!$CP:$CP,0),1))-SEARCH("-",INDEX(ТУ!$X:$X,MATCH($U50*1,ТУ!$CP:$CP,0),1))),INDEX(ТУ!$X:$X,MATCH($U50*1,ТУ!$CP:$CP,0),1)),"")),TRIM(IF(ISNUMBER((IFERROR(RIGHT(INDEX(ТУ!$AF:$AF,MATCH($U50*1,ТУ!$CP:$CP,0),1),LEN(INDEX(ТУ!$AF:$AF,MATCH($U50*1,ТУ!$CP:$CP,0),1))-SEARCH("-",INDEX(ТУ!$AF:$AF,MATCH($U50*1,ТУ!$CP:$CP,0),1))),INDEX(ТУ!$AF:$AF,MATCH($U50*1,ТУ!$CP:$CP,0),1)))*1),IFERROR(RIGHT(INDEX(ТУ!$AF:$AF,MATCH($U50*1,ТУ!$CP:$CP,0),1),LEN(INDEX(ТУ!$AF:$AF,MATCH($U50*1,ТУ!$CP:$CP,0),1))-SEARCH("-",INDEX(ТУ!$AF:$AF,MATCH($U50*1,ТУ!$CP:$CP,0),1))),INDEX(ТУ!$AF:$AF,MATCH($U50*1,ТУ!$CP:$CP,0),1)),"")))</f>
        <v>16487</v>
      </c>
      <c r="E50" s="25" t="str">
        <f t="shared" si="2"/>
        <v>МКС</v>
      </c>
      <c r="F50" s="20">
        <f t="shared" si="3"/>
        <v>96</v>
      </c>
      <c r="G50" s="21">
        <f t="shared" si="4"/>
        <v>5</v>
      </c>
      <c r="H50" s="25" t="str">
        <f t="shared" si="5"/>
        <v>ТП-16487</v>
      </c>
      <c r="I50" s="25" t="str">
        <f t="shared" si="6"/>
        <v>96516487</v>
      </c>
      <c r="J50" s="42" t="str">
        <f>INDEX(Справочники!$M:$M,MATCH(IF(INDEX(ТУ!$BO:$BO,MATCH($U50*1,ТУ!$CP:$CP,0),1)=1,1,INDEX(ТУ!$BO:$BO,MATCH($U50*1,ТУ!$CP:$CP,0),1)*100),Справочники!$N:$N,0),1)</f>
        <v>0.4 кВ</v>
      </c>
      <c r="K50" s="40">
        <f>1</f>
        <v>1</v>
      </c>
      <c r="L50" s="20" t="str">
        <f t="shared" si="7"/>
        <v>СШ-1</v>
      </c>
      <c r="M50" s="20">
        <f t="shared" si="8"/>
        <v>1</v>
      </c>
      <c r="N50" s="40"/>
      <c r="O50" s="56" t="str">
        <f t="shared" si="9"/>
        <v>Ввод-1-1</v>
      </c>
      <c r="P50" s="57" t="str">
        <f>IFERROR(IF(INDEX(ТУ!$AO:$AO,MATCH($U50*1,ТУ!$CP:$CP,0),1)=0,"",INDEX(ТУ!$AO:$AO,MATCH($U50*1,ТУ!$CP:$CP,0),1)),"")</f>
        <v>85589Б</v>
      </c>
      <c r="Q50" s="40">
        <f>IFERROR(IF(INDEX(ТУ!$BN:$BN,MATCH($U50*1,ТУ!$CP:$CP,0),1)=1,1,INDEX(ТУ!$BN:$BN,MATCH($U50*1,ТУ!$CP:$CP,0),1)*5),"")</f>
        <v>400</v>
      </c>
      <c r="R50" s="25">
        <f t="shared" si="10"/>
        <v>5</v>
      </c>
      <c r="S50" s="25">
        <f t="shared" si="11"/>
        <v>1</v>
      </c>
      <c r="T50" s="25">
        <f t="shared" si="12"/>
        <v>1</v>
      </c>
      <c r="U50" s="105" t="s">
        <v>989</v>
      </c>
      <c r="V50" s="43">
        <f>IF(INDEX(ТУ!$BH:$BH,MATCH($U50*1,ТУ!$CP:$CP,0),1)=0,"",INDEX(ТУ!$BH:$BH,MATCH($U50*1,ТУ!$CP:$CP,0),1))</f>
        <v>43761</v>
      </c>
      <c r="W50" s="43" t="str">
        <f>IF(INDEX(ТУ!$BI:$BI,MATCH($U50*1,ТУ!$CP:$CP,0),1)=0,"",INDEX(ТУ!$BI:$BI,MATCH($U50*1,ТУ!$CP:$CP,0),1))</f>
        <v>14.05.2018</v>
      </c>
      <c r="X50" s="58" t="str">
        <f t="shared" si="13"/>
        <v/>
      </c>
      <c r="Y50" s="25">
        <f t="shared" si="14"/>
        <v>35</v>
      </c>
      <c r="Z50" s="42" t="str">
        <f t="shared" si="15"/>
        <v/>
      </c>
      <c r="AA50" s="25" t="str">
        <f t="shared" si="16"/>
        <v/>
      </c>
      <c r="AB50" s="40" t="str">
        <f>IF(ISNUMBER(SEARCH("Приборы с поддержкой протокола СПОДЭС - Нартис-И300 (СПОДЭС)",INDEX(ТУ!$BD:$BD,MATCH($U50*1,ТУ!$CP:$CP,0),1))),"Нартис-И300",
IF(ISNUMBER(SEARCH("Приборы с поддержкой протокола СПОДЭС - Меркурий 234 (СПОДЭС)",INDEX(ТУ!$BD:$BD,MATCH($U50*1,ТУ!$CP:$CP,0),1))),"Меркурий 234 (СПОДЭС)",
IF(ISNUMBER(SEARCH("Приборы с поддержкой протокола СПОДЭС - Нартис-300 (СПОДЭС)",INDEX(ТУ!$BD:$BD,MATCH($U50*1,ТУ!$CP:$CP,0),1))),"Нартис-300",
IF(ISNUMBER(SEARCH("Инкотекс - Меркурий 234",INDEX(ТУ!$BD:$BD,MATCH($U50*1,ТУ!$CP:$CP,0),1))),"Меркурий 234",
IF(ISNUMBER(SEARCH("Инкотекс - Меркурий 206",INDEX(ТУ!$BD:$BD,MATCH($U50*1,ТУ!$CP:$CP,0),1))),"Меркурий 206",
IF(ISNUMBER(SEARCH("Приборы с поддержкой протокола СПОДЭС - Универсальный счетчик СПОДЭС 2 трехфазный",INDEX(ТУ!$BD:$BD,MATCH($U50*1,ТУ!$CP:$CP,0),1))),"Нартис-И300",
IF(ISNUMBER(SEARCH("Приборы с поддержкой протокола СПОДЭС - Универсальный счетчик СПОДЭС 2 однофазный",INDEX(ТУ!$BD:$BD,MATCH($U50*1,ТУ!$CP:$CP,0),1))),"Нартис-И100",
IF(ISNUMBER(SEARCH("Приборы с поддержкой протокола СПОДЭС - Нартис-И100 (СПОДЭС)",INDEX(ТУ!$BD:$BD,MATCH($U50*1,ТУ!$CP:$CP,0),1))),"Нартис-И100",
IF(ISNUMBER(SEARCH("Приборы с поддержкой протокола СПОДЭС - СЕ308 (СПОДЭС)",INDEX(ТУ!$BD:$BD,MATCH($U50*1,ТУ!$CP:$CP,0),1))),"СЕ308 (СПОДЭС)",
IF(ISNUMBER(SEARCH("Приборы с поддержкой протокола СПОДЭС - СЕ207 (СПОДЭС)",INDEX(ТУ!$BD:$BD,MATCH($U50*1,ТУ!$CP:$CP,0),1))),"СЕ207 (СПОДЭС)",
IF(ISNUMBER(SEARCH("Приборы с поддержкой протокола СПОДЭС - СТЭМ-300 (СПОДЭС)",INDEX(ТУ!$BD:$BD,MATCH($U50*1,ТУ!$CP:$CP,0),1))),"СТЭМ-300 (СПОДЭС)",
IF(ISNUMBER(SEARCH("ТехноЭнерго - ТЕ3000",INDEX(ТУ!$BD:$BD,MATCH($U50*1,ТУ!$CP:$CP,0),1))),"ТЕ3000",
IF(ISNUMBER(SEARCH("НЗиФ - СЭТ-4ТМ",INDEX(ТУ!$BD:$BD,MATCH($U50*1,ТУ!$CP:$CP,0),1))),"СЭТ-4ТМ",
INDEX(ТУ!$BD:$BD,MATCH($U50*1,ТУ!$CP:$CP,0),1)
)))))))))))))</f>
        <v>НЗиФ - ПСЧ-3ТМ.05М</v>
      </c>
      <c r="AC50" s="40" t="s">
        <v>2</v>
      </c>
      <c r="AD50" s="40" t="str">
        <f>IF(ISNUMBER(IFERROR(LEFT(IF(INDEX(ТУ!$CI:$CI,MATCH($U50*1,ТУ!$CP:$CP,0),1)=0,"",INDEX(ТУ!$CI:$CI,MATCH($U50*1,ТУ!$CP:$CP,0),1)),SEARCH(" ",IF(INDEX(ТУ!$CI:$CI,MATCH($U50*1,ТУ!$CP:$CP,0),1)=0,"",INDEX(ТУ!$CI:$CI,MATCH($U50*1,ТУ!$CP:$CP,0),1)),1)-1),"")*1),IFERROR(LEFT(IF(INDEX(ТУ!$CI:$CI,MATCH($U50*1,ТУ!$CP:$CP,0),1)=0,"",INDEX(ТУ!$CI:$CI,MATCH($U50*1,ТУ!$CP:$CP,0),1)),SEARCH(" ",IF(INDEX(ТУ!$CI:$CI,MATCH($U50*1,ТУ!$CP:$CP,0),1)=0,"",INDEX(ТУ!$CI:$CI,MATCH($U50*1,ТУ!$CP:$CP,0),1)),1)-1),""),"")</f>
        <v>77700001012635</v>
      </c>
      <c r="AE50" s="40" t="str">
        <f>IF(INDEX(ТУ!$CB:$CB,MATCH($U50*1,ТУ!$CP:$CP,0),1)=0,INDEX(Adr!$B:$B,MATCH($U50*1,Adr!$C:$C,0),1),INDEX(ТУ!$CB:$CB,MATCH($U50*1,ТУ!$CP:$CP,0),1))</f>
        <v>1</v>
      </c>
      <c r="AF50" s="45" t="str">
        <f>IF(INDEX(ТУ!$CD:$CD,MATCH($U50*1,ТУ!$CP:$CP,0),1)=0,"",INDEX(ТУ!$CD:$CD,MATCH($U50*1,ТУ!$CP:$CP,0),1))</f>
        <v>000000</v>
      </c>
      <c r="AG50" s="45">
        <f>0</f>
        <v>0</v>
      </c>
      <c r="AH50" s="26">
        <f t="shared" si="17"/>
        <v>96</v>
      </c>
      <c r="AI50" s="20" t="str">
        <f t="shared" si="18"/>
        <v>965164871</v>
      </c>
      <c r="AJ50" s="41" t="str">
        <f t="shared" si="1"/>
        <v/>
      </c>
      <c r="AK50" s="41" t="str">
        <f>IF($AP50="",IFERROR(IFERROR(LEFT(RIGHT(INDEX(ТУ!$CE:$CE,MATCH($U50*1,ТУ!$CP:$CP,0),1),LEN(INDEX(ТУ!$CE:$CE,MATCH($U50*1,ТУ!$CP:$CP,0),1))-SEARCH(":",INDEX(ТУ!$CE:$CE,MATCH($U50*1,ТУ!$CP:$CP,0),1))),SEARCH("/",RIGHT(INDEX(ТУ!$CE:$CE,MATCH($U50*1,ТУ!$CP:$CP,0),1),LEN(INDEX(ТУ!$CE:$CE,MATCH($U50*1,ТУ!$CP:$CP,0),1))-SEARCH(":",INDEX(ТУ!$CE:$CE,MATCH($U50*1,ТУ!$CP:$CP,0),1))))-1), RIGHT(INDEX(ТУ!$CE:$CE,MATCH($U50*1,ТУ!$CP:$CP,0),1),LEN(INDEX(ТУ!$CE:$CE,MATCH($U50*1,ТУ!$CP:$CP,0),1))-SEARCH(":",INDEX(ТУ!$CE:$CE,MATCH($U50*1,ТУ!$CP:$CP,0),1)))), ""),IFERROR(IFERROR(LEFT(RIGHT(INDEX(УСПД!$M:$M,MATCH(IFERROR(1*LEFT(INDEX(ТУ!$CG:$CG,MATCH($U50*1,ТУ!$CP:$CP,0),1),SEARCH(" ",INDEX(ТУ!$CG:$CG,MATCH($U50*1,ТУ!$CP:$CP,0),1))-1),""),УСПД!$N:$N,0),1),LEN(INDEX(УСПД!$M:$M,MATCH(IFERROR(1*LEFT(INDEX(ТУ!$CG:$CG,MATCH($U50*1,ТУ!$CP:$CP,0),1),SEARCH(" ",INDEX(ТУ!$CG:$CG,MATCH($U50*1,ТУ!$CP:$CP,0),1))-1),""),УСПД!$N:$N,0),1))-SEARCH(":",INDEX(УСПД!$M:$M,MATCH(IFERROR(1*LEFT(INDEX(ТУ!$CG:$CG,MATCH($U50*1,ТУ!$CP:$CP,0),1),SEARCH(" ",INDEX(ТУ!$CG:$CG,MATCH($U50*1,ТУ!$CP:$CP,0),1))-1),""),УСПД!$N:$N,0),1))),SEARCH("/",RIGHT(INDEX(УСПД!$M:$M,MATCH(IFERROR(1*LEFT(INDEX(ТУ!$CG:$CG,MATCH($U50*1,ТУ!$CP:$CP,0),1),SEARCH(" ",INDEX(ТУ!$CG:$CG,MATCH($U50*1,ТУ!$CP:$CP,0),1))-1),""),УСПД!$N:$N,0),1),LEN(INDEX(УСПД!$M:$M,MATCH(IFERROR(1*LEFT(INDEX(ТУ!$CG:$CG,MATCH($U50*1,ТУ!$CP:$CP,0),1),SEARCH(" ",INDEX(ТУ!$CG:$CG,MATCH($U50*1,ТУ!$CP:$CP,0),1))-1),""),УСПД!$N:$N,0),1))-SEARCH(":",INDEX(УСПД!$M:$M,MATCH(IFERROR(1*LEFT(INDEX(ТУ!$CG:$CG,MATCH($U50*1,ТУ!$CP:$CP,0),1),SEARCH(" ",INDEX(ТУ!$CG:$CG,MATCH($U50*1,ТУ!$CP:$CP,0),1))-1),""),УСПД!$N:$N,0),1))))-1), RIGHT(INDEX(УСПД!$M:$M,MATCH(IFERROR(1*LEFT(INDEX(ТУ!$CG:$CG,MATCH($U50*1,ТУ!$CP:$CP,0),1),SEARCH(" ",INDEX(ТУ!$CG:$CG,MATCH($U50*1,ТУ!$CP:$CP,0),1))-1),""),УСПД!$N:$N,0),1),LEN(INDEX(УСПД!$M:$M,MATCH(IFERROR(1*LEFT(INDEX(ТУ!$CG:$CG,MATCH($U50*1,ТУ!$CP:$CP,0),1),SEARCH(" ",INDEX(ТУ!$CG:$CG,MATCH($U50*1,ТУ!$CP:$CP,0),1))-1),""),УСПД!$N:$N,0),1))-SEARCH(":",INDEX(УСПД!$M:$M,MATCH(IFERROR(1*LEFT(INDEX(ТУ!$CG:$CG,MATCH($U50*1,ТУ!$CP:$CP,0),1),SEARCH(" ",INDEX(ТУ!$CG:$CG,MATCH($U50*1,ТУ!$CP:$CP,0),1))-1),""),УСПД!$N:$N,0),1)))), ""))</f>
        <v/>
      </c>
      <c r="AL50" s="41"/>
      <c r="AM50" s="57" t="str">
        <f>IFERROR(IFERROR(INDEX(Tel!$B:$B,MATCH($AJ50,Tel!$E:$E,0),1),INDEX(Tel!$B:$B,MATCH($AJ50,Tel!$D:$D,0),1)),"")</f>
        <v/>
      </c>
      <c r="AN50" s="59" t="str">
        <f>IF(ISNUMBER(SEARCH("ТОПАЗ - ТОПАЗ УСПД",IFERROR(RIGHT(LEFT(INDEX(ТУ!$CG:$CG,MATCH($U50*1,ТУ!$CP:$CP,0),1),SEARCH(")",INDEX(ТУ!$CG:$CG,MATCH($U50*1,ТУ!$CP:$CP,0),1))-1),LEN(LEFT(INDEX(ТУ!$CG:$CG,MATCH($U50*1,ТУ!$CP:$CP,0),1),SEARCH(")",INDEX(ТУ!$CG:$CG,MATCH($U50*1,ТУ!$CP:$CP,0),1))-1))-SEARCH("(",INDEX(ТУ!$CG:$CG,MATCH($U50*1,ТУ!$CP:$CP,0),1))),""),1)),"RTU-327",
IF(ISNUMBER(SEARCH("TELEOFIS",$AP50)),"Модем",
""))</f>
        <v>Модем</v>
      </c>
      <c r="AO50" s="27">
        <f t="shared" si="24"/>
        <v>0</v>
      </c>
      <c r="AP50" s="57" t="str">
        <f>IF(ISNUMBER(SEARCH("Миландр - Милур GSM/GPRS модем",IFERROR(RIGHT(LEFT(INDEX(ТУ!$CG:$CG,MATCH($U50*1,ТУ!$CP:$CP,0),1),SEARCH(")",INDEX(ТУ!$CG:$CG,MATCH($U50*1,ТУ!$CP:$CP,0),1))-1),LEN(LEFT(INDEX(ТУ!$CG:$CG,MATCH($U50*1,ТУ!$CP:$CP,0),1),SEARCH(")",INDEX(ТУ!$CG:$CG,MATCH($U50*1,ТУ!$CP:$CP,0),1))-1))-SEARCH("(",INDEX(ТУ!$CG:$CG,MATCH($U50*1,ТУ!$CP:$CP,0),1))),""),1)), "TELEOFIS WRX708-L4",IFERROR(RIGHT(LEFT(INDEX(ТУ!$CG:$CG,MATCH($U50*1,ТУ!$CP:$CP,0),1),SEARCH(")",INDEX(ТУ!$CG:$CG,MATCH($U50*1,ТУ!$CP:$CP,0),1))-1),LEN(LEFT(INDEX(ТУ!$CG:$CG,MATCH($U50*1,ТУ!$CP:$CP,0),1),SEARCH(")",INDEX(ТУ!$CG:$CG,MATCH($U50*1,ТУ!$CP:$CP,0),1))-1))-SEARCH("(",INDEX(ТУ!$CG:$CG,MATCH($U50*1,ТУ!$CP:$CP,0),1))),""))</f>
        <v>TELEOFIS WRX708-L4</v>
      </c>
      <c r="AQ50" s="57" t="str">
        <f>IFERROR(IF(INDEX(УСПД!$K:$K,MATCH($AS50*1,УСПД!$N:$N,0),1)=0,"",INDEX(УСПД!$K:$K,MATCH($AS50*1,УСПД!$N:$N,0),1)),"")</f>
        <v/>
      </c>
      <c r="AR50" s="57" t="str">
        <f>IFERROR(IF(INDEX(УСПД!$L:$L,MATCH($AS50*1,УСПД!$N:$N,0),1)=0,"",INDEX(УСПД!$L:$L,MATCH($AS50*1,УСПД!$N:$N,0),1)),"")</f>
        <v/>
      </c>
      <c r="AS50" s="60" t="str">
        <f>IFERROR(LEFT(INDEX(ТУ!$CG:$CG,MATCH($U50*1,ТУ!$CP:$CP,0),1),SEARCH(" ",INDEX(ТУ!$CG:$CG,MATCH($U50*1,ТУ!$CP:$CP,0),1))-1),"")</f>
        <v>350294723343211</v>
      </c>
      <c r="AT50" s="59" t="s">
        <v>360</v>
      </c>
      <c r="AU50" s="59">
        <f>3</f>
        <v>3</v>
      </c>
      <c r="AV50" s="59" t="s">
        <v>368</v>
      </c>
      <c r="AW50" s="149">
        <f t="shared" si="19"/>
        <v>74</v>
      </c>
      <c r="AX50" s="149">
        <f t="shared" si="20"/>
        <v>34</v>
      </c>
      <c r="AY50" s="149" t="str">
        <f t="shared" si="21"/>
        <v/>
      </c>
      <c r="AZ50" s="149">
        <f t="shared" si="22"/>
        <v>25</v>
      </c>
      <c r="BA50" s="149">
        <f t="shared" si="23"/>
        <v>1</v>
      </c>
      <c r="BB50" s="154" t="str">
        <f>IF($AP50="",IFERROR(IFERROR(LEFT(RIGHT(INDEX(ТУ!$CE:$CE,MATCH($U50*1,ТУ!$CP:$CP,0),1),LEN(INDEX(ТУ!$CE:$CE,MATCH($U50*1,ТУ!$CP:$CP,0),1))-SEARCH(", ",INDEX(ТУ!$CE:$CE,MATCH($U50*1,ТУ!$CP:$CP,0),1),SEARCH(", ",INDEX(ТУ!$CE:$CE,MATCH($U50*1,ТУ!$CP:$CP,0),1))+1)-1),SEARCH(":",RIGHT(INDEX(ТУ!$CE:$CE,MATCH($U50*1,ТУ!$CP:$CP,0),1),LEN(INDEX(ТУ!$CE:$CE,MATCH($U50*1,ТУ!$CP:$CP,0),1))-SEARCH(", ",INDEX(ТУ!$CE:$CE,MATCH($U50*1,ТУ!$CP:$CP,0),1),SEARCH(", ",INDEX(ТУ!$CE:$CE,MATCH($U50*1,ТУ!$CP:$CP,0),1))+1)-1))-1),LEFT(INDEX(ТУ!$CE:$CE,MATCH($U50*1,ТУ!$CP:$CP,0),1),SEARCH(":",INDEX(ТУ!$CE:$CE,MATCH($U50*1,ТУ!$CP:$CP,0),1))-1)),""),IFERROR(IFERROR(LEFT(RIGHT(INDEX(УСПД!$M:$M,MATCH(IFERROR(1*LEFT(INDEX(ТУ!$CG:$CG,MATCH($U50*1,ТУ!$CP:$CP,0),1),SEARCH(" ",INDEX(ТУ!$CG:$CG,MATCH($U50*1,ТУ!$CP:$CP,0),1))-1),""),УСПД!$N:$N,0),1),LEN(INDEX(УСПД!$M:$M,MATCH(IFERROR(1*LEFT(INDEX(ТУ!$CG:$CG,MATCH($U50*1,ТУ!$CP:$CP,0),1),SEARCH(" ",INDEX(ТУ!$CG:$CG,MATCH($U50*1,ТУ!$CP:$CP,0),1))-1),""),УСПД!$N:$N,0),1))-SEARCH(", ",INDEX(УСПД!$M:$M,MATCH(IFERROR(1*LEFT(INDEX(ТУ!$CG:$CG,MATCH($U50*1,ТУ!$CP:$CP,0),1),SEARCH(" ",INDEX(ТУ!$CG:$CG,MATCH($U50*1,ТУ!$CP:$CP,0),1))-1),""),УСПД!$N:$N,0),1),SEARCH(", ",INDEX(УСПД!$M:$M,MATCH(IFERROR(1*LEFT(INDEX(ТУ!$CG:$CG,MATCH($U50*1,ТУ!$CP:$CP,0),1),SEARCH(" ",INDEX(ТУ!$CG:$CG,MATCH($U50*1,ТУ!$CP:$CP,0),1))-1),""),УСПД!$N:$N,0),1))+1)-1),SEARCH(":",RIGHT(INDEX(УСПД!$M:$M,MATCH(IFERROR(1*LEFT(INDEX(ТУ!$CG:$CG,MATCH($U50*1,ТУ!$CP:$CP,0),1),SEARCH(" ",INDEX(ТУ!$CG:$CG,MATCH($U50*1,ТУ!$CP:$CP,0),1))-1),""),УСПД!$N:$N,0),1),LEN(INDEX(УСПД!$M:$M,MATCH(IFERROR(1*LEFT(INDEX(ТУ!$CG:$CG,MATCH($U50*1,ТУ!$CP:$CP,0),1),SEARCH(" ",INDEX(ТУ!$CG:$CG,MATCH($U50*1,ТУ!$CP:$CP,0),1))-1),""),УСПД!$N:$N,0),1))-SEARCH(", ",INDEX(УСПД!$M:$M,MATCH(IFERROR(1*LEFT(INDEX(ТУ!$CG:$CG,MATCH($U50*1,ТУ!$CP:$CP,0),1),SEARCH(" ",INDEX(ТУ!$CG:$CG,MATCH($U50*1,ТУ!$CP:$CP,0),1))-1),""),УСПД!$N:$N,0),1),SEARCH(", ",INDEX(УСПД!$M:$M,MATCH(IFERROR(1*LEFT(INDEX(ТУ!$CG:$CG,MATCH($U50*1,ТУ!$CP:$CP,0),1),SEARCH(" ",INDEX(ТУ!$CG:$CG,MATCH($U50*1,ТУ!$CP:$CP,0),1))-1),""),УСПД!$N:$N,0),1))+1)-1))-1),LEFT(INDEX(УСПД!$M:$M,MATCH(IFERROR(1*LEFT(INDEX(ТУ!$CG:$CG,MATCH($U50*1,ТУ!$CP:$CP,0),1),SEARCH(" ",INDEX(ТУ!$CG:$CG,MATCH($U50*1,ТУ!$CP:$CP,0),1))-1),""),УСПД!$N:$N,0),1),SEARCH(":",INDEX(УСПД!$M:$M,MATCH(IFERROR(1*LEFT(INDEX(ТУ!$CG:$CG,MATCH($U50*1,ТУ!$CP:$CP,0),1),SEARCH(" ",INDEX(ТУ!$CG:$CG,MATCH($U50*1,ТУ!$CP:$CP,0),1))-1),""),УСПД!$N:$N,0),1))-1)),""))</f>
        <v/>
      </c>
      <c r="BC50" s="155" t="str">
        <f>INDEX(ТУ!$AF:$AF,MATCH($U50*1,ТУ!$CP:$CP,0),1)</f>
        <v>16487</v>
      </c>
      <c r="BD50" s="155">
        <f>INDEX(ТУ!$X:$X,MATCH($U50*1,ТУ!$CP:$CP,0),1)</f>
        <v>0</v>
      </c>
      <c r="BE50" s="155" t="str">
        <f>INDEX(ТУ!$CL:$CL,MATCH($U50*1,ТУ!$CP:$CP,0),1)</f>
        <v>ИПР до 2016 (МКД)</v>
      </c>
      <c r="BF50" s="147" t="str">
        <f>IFERROR(INDEX(естьАЦ!$A:$A,MATCH($U50*1,естьАЦ!$A:$A,0),1),"нет в АЦ")</f>
        <v>нет в АЦ</v>
      </c>
    </row>
    <row r="51" spans="1:58" ht="25.5" x14ac:dyDescent="0.25">
      <c r="A51" s="55">
        <f>3</f>
        <v>3</v>
      </c>
      <c r="B51" s="42" t="str">
        <f>IFERROR(IFERROR(INDEX(Справочники!$A$2:$P$79,MATCH(INDEX(ТУ!$E:$E,MATCH($U51*1,ТУ!$CP:$CP,0),1),Справочники!$P$2:$P$79,0),2),INDEX(Справочники!$A$2:$P$79,MATCH((INDEX(ТУ!$E:$E,MATCH($U51*1,ТУ!$CP:$CP,0),1))*1,Справочники!$P$2:$P$79,0),2)),"")</f>
        <v>14 р-н МКС (ВОРУПЭ)</v>
      </c>
      <c r="C51" s="46" t="str">
        <f>IFERROR(TRIM(LEFT(INDEX(ТУ!$AF:$AF,MATCH($U51*1,ТУ!$CP:$CP,0),1),SEARCH("-",INDEX(ТУ!$AF:$AF,MATCH($U51*1,ТУ!$CP:$CP,0),1))-1)),IFERROR(LEFT(INDEX(ТУ!$X:$X,MATCH($U51*1,ТУ!$CP:$CP,0),1),SEARCH("-",INDEX(ТУ!$X:$X,MATCH($U51*1,ТУ!$CP:$CP,0),1))-1),"ТП"))</f>
        <v>ТП</v>
      </c>
      <c r="D51" s="47" t="str">
        <f>IF(TRIM(IF(ISNUMBER((IFERROR(RIGHT(INDEX(ТУ!$AF:$AF,MATCH($U51*1,ТУ!$CP:$CP,0),1),LEN(INDEX(ТУ!$AF:$AF,MATCH($U51*1,ТУ!$CP:$CP,0),1))-SEARCH("-",INDEX(ТУ!$AF:$AF,MATCH($U51*1,ТУ!$CP:$CP,0),1))),INDEX(ТУ!$AF:$AF,MATCH($U51*1,ТУ!$CP:$CP,0),1)))*1),IFERROR(RIGHT(INDEX(ТУ!$AF:$AF,MATCH($U51*1,ТУ!$CP:$CP,0),1),LEN(INDEX(ТУ!$AF:$AF,MATCH($U51*1,ТУ!$CP:$CP,0),1))-SEARCH("-",INDEX(ТУ!$AF:$AF,MATCH($U51*1,ТУ!$CP:$CP,0),1))),INDEX(ТУ!$AF:$AF,MATCH($U51*1,ТУ!$CP:$CP,0),1)),""))="",TRIM(IF(ISNUMBER((IFERROR(RIGHT(INDEX(ТУ!$X:$X,MATCH($U51*1,ТУ!$CP:$CP,0),1),LEN(INDEX(ТУ!$X:$X,MATCH($U51*1,ТУ!$CP:$CP,0),1))-SEARCH("-",INDEX(ТУ!$X:$X,MATCH($U51*1,ТУ!$CP:$CP,0),1))),INDEX(ТУ!$X:$X,MATCH($U51*1,ТУ!$CP:$CP,0),1)))*1),IFERROR(RIGHT(INDEX(ТУ!$X:$X,MATCH($U51*1,ТУ!$CP:$CP,0),1),LEN(INDEX(ТУ!$X:$X,MATCH($U51*1,ТУ!$CP:$CP,0),1))-SEARCH("-",INDEX(ТУ!$X:$X,MATCH($U51*1,ТУ!$CP:$CP,0),1))),INDEX(ТУ!$X:$X,MATCH($U51*1,ТУ!$CP:$CP,0),1)),"")),TRIM(IF(ISNUMBER((IFERROR(RIGHT(INDEX(ТУ!$AF:$AF,MATCH($U51*1,ТУ!$CP:$CP,0),1),LEN(INDEX(ТУ!$AF:$AF,MATCH($U51*1,ТУ!$CP:$CP,0),1))-SEARCH("-",INDEX(ТУ!$AF:$AF,MATCH($U51*1,ТУ!$CP:$CP,0),1))),INDEX(ТУ!$AF:$AF,MATCH($U51*1,ТУ!$CP:$CP,0),1)))*1),IFERROR(RIGHT(INDEX(ТУ!$AF:$AF,MATCH($U51*1,ТУ!$CP:$CP,0),1),LEN(INDEX(ТУ!$AF:$AF,MATCH($U51*1,ТУ!$CP:$CP,0),1))-SEARCH("-",INDEX(ТУ!$AF:$AF,MATCH($U51*1,ТУ!$CP:$CP,0),1))),INDEX(ТУ!$AF:$AF,MATCH($U51*1,ТУ!$CP:$CP,0),1)),"")))</f>
        <v>10012</v>
      </c>
      <c r="E51" s="25" t="str">
        <f t="shared" si="2"/>
        <v>МКС</v>
      </c>
      <c r="F51" s="20">
        <f t="shared" si="3"/>
        <v>88</v>
      </c>
      <c r="G51" s="21">
        <f t="shared" si="4"/>
        <v>5</v>
      </c>
      <c r="H51" s="25" t="str">
        <f t="shared" si="5"/>
        <v>ТП-10012</v>
      </c>
      <c r="I51" s="25" t="str">
        <f t="shared" si="6"/>
        <v>88510012</v>
      </c>
      <c r="J51" s="42" t="str">
        <f>INDEX(Справочники!$M:$M,MATCH(IF(INDEX(ТУ!$BO:$BO,MATCH($U51*1,ТУ!$CP:$CP,0),1)=1,1,INDEX(ТУ!$BO:$BO,MATCH($U51*1,ТУ!$CP:$CP,0),1)*100),Справочники!$N:$N,0),1)</f>
        <v>0.4 кВ</v>
      </c>
      <c r="K51" s="40">
        <f>1</f>
        <v>1</v>
      </c>
      <c r="L51" s="20" t="str">
        <f t="shared" si="7"/>
        <v>СШ-1</v>
      </c>
      <c r="M51" s="20">
        <f t="shared" si="8"/>
        <v>1</v>
      </c>
      <c r="N51" s="40"/>
      <c r="O51" s="56" t="str">
        <f t="shared" si="9"/>
        <v>Ввод-1-1</v>
      </c>
      <c r="P51" s="57" t="str">
        <f>IFERROR(IF(INDEX(ТУ!$AO:$AO,MATCH($U51*1,ТУ!$CP:$CP,0),1)=0,"",INDEX(ТУ!$AO:$AO,MATCH($U51*1,ТУ!$CP:$CP,0),1)),"")</f>
        <v>яч.11</v>
      </c>
      <c r="Q51" s="40">
        <f>IFERROR(IF(INDEX(ТУ!$BN:$BN,MATCH($U51*1,ТУ!$CP:$CP,0),1)=1,1,INDEX(ТУ!$BN:$BN,MATCH($U51*1,ТУ!$CP:$CP,0),1)*5),"")</f>
        <v>1</v>
      </c>
      <c r="R51" s="25">
        <f t="shared" si="10"/>
        <v>1</v>
      </c>
      <c r="S51" s="25">
        <f t="shared" si="11"/>
        <v>1</v>
      </c>
      <c r="T51" s="25">
        <f t="shared" si="12"/>
        <v>1</v>
      </c>
      <c r="U51" s="105" t="s">
        <v>997</v>
      </c>
      <c r="V51" s="43">
        <f>IF(INDEX(ТУ!$BH:$BH,MATCH($U51*1,ТУ!$CP:$CP,0),1)=0,"",INDEX(ТУ!$BH:$BH,MATCH($U51*1,ТУ!$CP:$CP,0),1))</f>
        <v>45674</v>
      </c>
      <c r="W51" s="43" t="str">
        <f>IF(INDEX(ТУ!$BI:$BI,MATCH($U51*1,ТУ!$CP:$CP,0),1)=0,"",INDEX(ТУ!$BI:$BI,MATCH($U51*1,ТУ!$CP:$CP,0),1))</f>
        <v/>
      </c>
      <c r="X51" s="58" t="str">
        <f t="shared" si="13"/>
        <v>СЭТ-4ТМ</v>
      </c>
      <c r="Y51" s="25">
        <f t="shared" si="14"/>
        <v>7</v>
      </c>
      <c r="Z51" s="42" t="str">
        <f t="shared" si="15"/>
        <v/>
      </c>
      <c r="AA51" s="25" t="str">
        <f t="shared" si="16"/>
        <v/>
      </c>
      <c r="AB51" s="40" t="str">
        <f>IF(ISNUMBER(SEARCH("Приборы с поддержкой протокола СПОДЭС - Нартис-И300 (СПОДЭС)",INDEX(ТУ!$BD:$BD,MATCH($U51*1,ТУ!$CP:$CP,0),1))),"Нартис-И300",
IF(ISNUMBER(SEARCH("Приборы с поддержкой протокола СПОДЭС - Меркурий 234 (СПОДЭС)",INDEX(ТУ!$BD:$BD,MATCH($U51*1,ТУ!$CP:$CP,0),1))),"Меркурий 234 (СПОДЭС)",
IF(ISNUMBER(SEARCH("Приборы с поддержкой протокола СПОДЭС - Нартис-300 (СПОДЭС)",INDEX(ТУ!$BD:$BD,MATCH($U51*1,ТУ!$CP:$CP,0),1))),"Нартис-300",
IF(ISNUMBER(SEARCH("Инкотекс - Меркурий 234",INDEX(ТУ!$BD:$BD,MATCH($U51*1,ТУ!$CP:$CP,0),1))),"Меркурий 234",
IF(ISNUMBER(SEARCH("Инкотекс - Меркурий 206",INDEX(ТУ!$BD:$BD,MATCH($U51*1,ТУ!$CP:$CP,0),1))),"Меркурий 206",
IF(ISNUMBER(SEARCH("Приборы с поддержкой протокола СПОДЭС - Универсальный счетчик СПОДЭС 2 трехфазный",INDEX(ТУ!$BD:$BD,MATCH($U51*1,ТУ!$CP:$CP,0),1))),"Нартис-И300",
IF(ISNUMBER(SEARCH("Приборы с поддержкой протокола СПОДЭС - Универсальный счетчик СПОДЭС 2 однофазный",INDEX(ТУ!$BD:$BD,MATCH($U51*1,ТУ!$CP:$CP,0),1))),"Нартис-И100",
IF(ISNUMBER(SEARCH("Приборы с поддержкой протокола СПОДЭС - Нартис-И100 (СПОДЭС)",INDEX(ТУ!$BD:$BD,MATCH($U51*1,ТУ!$CP:$CP,0),1))),"Нартис-И100",
IF(ISNUMBER(SEARCH("Приборы с поддержкой протокола СПОДЭС - СЕ308 (СПОДЭС)",INDEX(ТУ!$BD:$BD,MATCH($U51*1,ТУ!$CP:$CP,0),1))),"СЕ308 (СПОДЭС)",
IF(ISNUMBER(SEARCH("Приборы с поддержкой протокола СПОДЭС - СЕ207 (СПОДЭС)",INDEX(ТУ!$BD:$BD,MATCH($U51*1,ТУ!$CP:$CP,0),1))),"СЕ207 (СПОДЭС)",
IF(ISNUMBER(SEARCH("Приборы с поддержкой протокола СПОДЭС - СТЭМ-300 (СПОДЭС)",INDEX(ТУ!$BD:$BD,MATCH($U51*1,ТУ!$CP:$CP,0),1))),"СТЭМ-300 (СПОДЭС)",
IF(ISNUMBER(SEARCH("ТехноЭнерго - ТЕ3000",INDEX(ТУ!$BD:$BD,MATCH($U51*1,ТУ!$CP:$CP,0),1))),"ТЕ3000",
IF(ISNUMBER(SEARCH("НЗиФ - СЭТ-4ТМ",INDEX(ТУ!$BD:$BD,MATCH($U51*1,ТУ!$CP:$CP,0),1))),"СЭТ-4ТМ",
INDEX(ТУ!$BD:$BD,MATCH($U51*1,ТУ!$CP:$CP,0),1)
)))))))))))))</f>
        <v>Приборы с поддержкой протокола СПОДЭС - ТЕ3000 (СПОДЭС)</v>
      </c>
      <c r="AC51" s="40" t="s">
        <v>2</v>
      </c>
      <c r="AD51" s="40" t="str">
        <f>IF(ISNUMBER(IFERROR(LEFT(IF(INDEX(ТУ!$CI:$CI,MATCH($U51*1,ТУ!$CP:$CP,0),1)=0,"",INDEX(ТУ!$CI:$CI,MATCH($U51*1,ТУ!$CP:$CP,0),1)),SEARCH(" ",IF(INDEX(ТУ!$CI:$CI,MATCH($U51*1,ТУ!$CP:$CP,0),1)=0,"",INDEX(ТУ!$CI:$CI,MATCH($U51*1,ТУ!$CP:$CP,0),1)),1)-1),"")*1),IFERROR(LEFT(IF(INDEX(ТУ!$CI:$CI,MATCH($U51*1,ТУ!$CP:$CP,0),1)=0,"",INDEX(ТУ!$CI:$CI,MATCH($U51*1,ТУ!$CP:$CP,0),1)),SEARCH(" ",IF(INDEX(ТУ!$CI:$CI,MATCH($U51*1,ТУ!$CP:$CP,0),1)=0,"",INDEX(ТУ!$CI:$CI,MATCH($U51*1,ТУ!$CP:$CP,0),1)),1)-1),""),"")</f>
        <v/>
      </c>
      <c r="AE51" s="40">
        <f>IF(INDEX(ТУ!$CB:$CB,MATCH($U51*1,ТУ!$CP:$CP,0),1)=0,INDEX(Adr!$B:$B,MATCH($U51*1,Adr!$C:$C,0),1),INDEX(ТУ!$CB:$CB,MATCH($U51*1,ТУ!$CP:$CP,0),1))</f>
        <v>8</v>
      </c>
      <c r="AF51" s="45" t="str">
        <f>IF(INDEX(ТУ!$CD:$CD,MATCH($U51*1,ТУ!$CP:$CP,0),1)=0,"",INDEX(ТУ!$CD:$CD,MATCH($U51*1,ТУ!$CP:$CP,0),1))</f>
        <v>222222</v>
      </c>
      <c r="AG51" s="45">
        <f>0</f>
        <v>0</v>
      </c>
      <c r="AH51" s="26">
        <f t="shared" si="17"/>
        <v>88</v>
      </c>
      <c r="AI51" s="20" t="str">
        <f t="shared" si="18"/>
        <v>885100121</v>
      </c>
      <c r="AJ51" s="41" t="str">
        <f t="shared" si="1"/>
        <v>10.211.140.136</v>
      </c>
      <c r="AK51" s="41" t="str">
        <f>IF($AP51="",IFERROR(IFERROR(LEFT(RIGHT(INDEX(ТУ!$CE:$CE,MATCH($U51*1,ТУ!$CP:$CP,0),1),LEN(INDEX(ТУ!$CE:$CE,MATCH($U51*1,ТУ!$CP:$CP,0),1))-SEARCH(":",INDEX(ТУ!$CE:$CE,MATCH($U51*1,ТУ!$CP:$CP,0),1))),SEARCH("/",RIGHT(INDEX(ТУ!$CE:$CE,MATCH($U51*1,ТУ!$CP:$CP,0),1),LEN(INDEX(ТУ!$CE:$CE,MATCH($U51*1,ТУ!$CP:$CP,0),1))-SEARCH(":",INDEX(ТУ!$CE:$CE,MATCH($U51*1,ТУ!$CP:$CP,0),1))))-1), RIGHT(INDEX(ТУ!$CE:$CE,MATCH($U51*1,ТУ!$CP:$CP,0),1),LEN(INDEX(ТУ!$CE:$CE,MATCH($U51*1,ТУ!$CP:$CP,0),1))-SEARCH(":",INDEX(ТУ!$CE:$CE,MATCH($U51*1,ТУ!$CP:$CP,0),1)))), ""),IFERROR(IFERROR(LEFT(RIGHT(INDEX(УСПД!$M:$M,MATCH(IFERROR(1*LEFT(INDEX(ТУ!$CG:$CG,MATCH($U51*1,ТУ!$CP:$CP,0),1),SEARCH(" ",INDEX(ТУ!$CG:$CG,MATCH($U51*1,ТУ!$CP:$CP,0),1))-1),""),УСПД!$N:$N,0),1),LEN(INDEX(УСПД!$M:$M,MATCH(IFERROR(1*LEFT(INDEX(ТУ!$CG:$CG,MATCH($U51*1,ТУ!$CP:$CP,0),1),SEARCH(" ",INDEX(ТУ!$CG:$CG,MATCH($U51*1,ТУ!$CP:$CP,0),1))-1),""),УСПД!$N:$N,0),1))-SEARCH(":",INDEX(УСПД!$M:$M,MATCH(IFERROR(1*LEFT(INDEX(ТУ!$CG:$CG,MATCH($U51*1,ТУ!$CP:$CP,0),1),SEARCH(" ",INDEX(ТУ!$CG:$CG,MATCH($U51*1,ТУ!$CP:$CP,0),1))-1),""),УСПД!$N:$N,0),1))),SEARCH("/",RIGHT(INDEX(УСПД!$M:$M,MATCH(IFERROR(1*LEFT(INDEX(ТУ!$CG:$CG,MATCH($U51*1,ТУ!$CP:$CP,0),1),SEARCH(" ",INDEX(ТУ!$CG:$CG,MATCH($U51*1,ТУ!$CP:$CP,0),1))-1),""),УСПД!$N:$N,0),1),LEN(INDEX(УСПД!$M:$M,MATCH(IFERROR(1*LEFT(INDEX(ТУ!$CG:$CG,MATCH($U51*1,ТУ!$CP:$CP,0),1),SEARCH(" ",INDEX(ТУ!$CG:$CG,MATCH($U51*1,ТУ!$CP:$CP,0),1))-1),""),УСПД!$N:$N,0),1))-SEARCH(":",INDEX(УСПД!$M:$M,MATCH(IFERROR(1*LEFT(INDEX(ТУ!$CG:$CG,MATCH($U51*1,ТУ!$CP:$CP,0),1),SEARCH(" ",INDEX(ТУ!$CG:$CG,MATCH($U51*1,ТУ!$CP:$CP,0),1))-1),""),УСПД!$N:$N,0),1))))-1), RIGHT(INDEX(УСПД!$M:$M,MATCH(IFERROR(1*LEFT(INDEX(ТУ!$CG:$CG,MATCH($U51*1,ТУ!$CP:$CP,0),1),SEARCH(" ",INDEX(ТУ!$CG:$CG,MATCH($U51*1,ТУ!$CP:$CP,0),1))-1),""),УСПД!$N:$N,0),1),LEN(INDEX(УСПД!$M:$M,MATCH(IFERROR(1*LEFT(INDEX(ТУ!$CG:$CG,MATCH($U51*1,ТУ!$CP:$CP,0),1),SEARCH(" ",INDEX(ТУ!$CG:$CG,MATCH($U51*1,ТУ!$CP:$CP,0),1))-1),""),УСПД!$N:$N,0),1))-SEARCH(":",INDEX(УСПД!$M:$M,MATCH(IFERROR(1*LEFT(INDEX(ТУ!$CG:$CG,MATCH($U51*1,ТУ!$CP:$CP,0),1),SEARCH(" ",INDEX(ТУ!$CG:$CG,MATCH($U51*1,ТУ!$CP:$CP,0),1))-1),""),УСПД!$N:$N,0),1)))), ""))</f>
        <v>4001</v>
      </c>
      <c r="AL51" s="41"/>
      <c r="AM51" s="57" t="str">
        <f>IFERROR(IFERROR(INDEX(Tel!$B:$B,MATCH($AJ51,Tel!$E:$E,0),1),INDEX(Tel!$B:$B,MATCH($AJ51,Tel!$D:$D,0),1)),"")</f>
        <v/>
      </c>
      <c r="AN51" s="59" t="str">
        <f>IF(ISNUMBER(SEARCH("ТОПАЗ - ТОПАЗ УСПД",IFERROR(RIGHT(LEFT(INDEX(ТУ!$CG:$CG,MATCH($U51*1,ТУ!$CP:$CP,0),1),SEARCH(")",INDEX(ТУ!$CG:$CG,MATCH($U51*1,ТУ!$CP:$CP,0),1))-1),LEN(LEFT(INDEX(ТУ!$CG:$CG,MATCH($U51*1,ТУ!$CP:$CP,0),1),SEARCH(")",INDEX(ТУ!$CG:$CG,MATCH($U51*1,ТУ!$CP:$CP,0),1))-1))-SEARCH("(",INDEX(ТУ!$CG:$CG,MATCH($U51*1,ТУ!$CP:$CP,0),1))),""),1)),"RTU-327",
IF(ISNUMBER(SEARCH("TELEOFIS",$AP51)),"Модем",
""))</f>
        <v/>
      </c>
      <c r="AO51" s="27" t="str">
        <f t="shared" si="24"/>
        <v/>
      </c>
      <c r="AP51" s="57" t="str">
        <f>IF(ISNUMBER(SEARCH("Миландр - Милур GSM/GPRS модем",IFERROR(RIGHT(LEFT(INDEX(ТУ!$CG:$CG,MATCH($U51*1,ТУ!$CP:$CP,0),1),SEARCH(")",INDEX(ТУ!$CG:$CG,MATCH($U51*1,ТУ!$CP:$CP,0),1))-1),LEN(LEFT(INDEX(ТУ!$CG:$CG,MATCH($U51*1,ТУ!$CP:$CP,0),1),SEARCH(")",INDEX(ТУ!$CG:$CG,MATCH($U51*1,ТУ!$CP:$CP,0),1))-1))-SEARCH("(",INDEX(ТУ!$CG:$CG,MATCH($U51*1,ТУ!$CP:$CP,0),1))),""),1)), "TELEOFIS WRX708-L4",IFERROR(RIGHT(LEFT(INDEX(ТУ!$CG:$CG,MATCH($U51*1,ТУ!$CP:$CP,0),1),SEARCH(")",INDEX(ТУ!$CG:$CG,MATCH($U51*1,ТУ!$CP:$CP,0),1))-1),LEN(LEFT(INDEX(ТУ!$CG:$CG,MATCH($U51*1,ТУ!$CP:$CP,0),1),SEARCH(")",INDEX(ТУ!$CG:$CG,MATCH($U51*1,ТУ!$CP:$CP,0),1))-1))-SEARCH("(",INDEX(ТУ!$CG:$CG,MATCH($U51*1,ТУ!$CP:$CP,0),1))),""))</f>
        <v/>
      </c>
      <c r="AQ51" s="57" t="str">
        <f>IFERROR(IF(INDEX(УСПД!$K:$K,MATCH($AS51*1,УСПД!$N:$N,0),1)=0,"",INDEX(УСПД!$K:$K,MATCH($AS51*1,УСПД!$N:$N,0),1)),"")</f>
        <v/>
      </c>
      <c r="AR51" s="57" t="str">
        <f>IFERROR(IF(INDEX(УСПД!$L:$L,MATCH($AS51*1,УСПД!$N:$N,0),1)=0,"",INDEX(УСПД!$L:$L,MATCH($AS51*1,УСПД!$N:$N,0),1)),"")</f>
        <v/>
      </c>
      <c r="AS51" s="60" t="str">
        <f>IFERROR(LEFT(INDEX(ТУ!$CG:$CG,MATCH($U51*1,ТУ!$CP:$CP,0),1),SEARCH(" ",INDEX(ТУ!$CG:$CG,MATCH($U51*1,ТУ!$CP:$CP,0),1))-1),"")</f>
        <v/>
      </c>
      <c r="AT51" s="59" t="s">
        <v>360</v>
      </c>
      <c r="AU51" s="59">
        <f>3</f>
        <v>3</v>
      </c>
      <c r="AV51" s="59" t="s">
        <v>368</v>
      </c>
      <c r="AW51" s="149">
        <f t="shared" si="19"/>
        <v>66</v>
      </c>
      <c r="AX51" s="149">
        <f t="shared" si="20"/>
        <v>7</v>
      </c>
      <c r="AY51" s="149" t="str">
        <f t="shared" si="21"/>
        <v/>
      </c>
      <c r="AZ51" s="149" t="str">
        <f t="shared" si="22"/>
        <v/>
      </c>
      <c r="BA51" s="149">
        <f t="shared" si="23"/>
        <v>1</v>
      </c>
      <c r="BB51" s="154" t="str">
        <f>IF($AP51="",IFERROR(IFERROR(LEFT(RIGHT(INDEX(ТУ!$CE:$CE,MATCH($U51*1,ТУ!$CP:$CP,0),1),LEN(INDEX(ТУ!$CE:$CE,MATCH($U51*1,ТУ!$CP:$CP,0),1))-SEARCH(", ",INDEX(ТУ!$CE:$CE,MATCH($U51*1,ТУ!$CP:$CP,0),1),SEARCH(", ",INDEX(ТУ!$CE:$CE,MATCH($U51*1,ТУ!$CP:$CP,0),1))+1)-1),SEARCH(":",RIGHT(INDEX(ТУ!$CE:$CE,MATCH($U51*1,ТУ!$CP:$CP,0),1),LEN(INDEX(ТУ!$CE:$CE,MATCH($U51*1,ТУ!$CP:$CP,0),1))-SEARCH(", ",INDEX(ТУ!$CE:$CE,MATCH($U51*1,ТУ!$CP:$CP,0),1),SEARCH(", ",INDEX(ТУ!$CE:$CE,MATCH($U51*1,ТУ!$CP:$CP,0),1))+1)-1))-1),LEFT(INDEX(ТУ!$CE:$CE,MATCH($U51*1,ТУ!$CP:$CP,0),1),SEARCH(":",INDEX(ТУ!$CE:$CE,MATCH($U51*1,ТУ!$CP:$CP,0),1))-1)),""),IFERROR(IFERROR(LEFT(RIGHT(INDEX(УСПД!$M:$M,MATCH(IFERROR(1*LEFT(INDEX(ТУ!$CG:$CG,MATCH($U51*1,ТУ!$CP:$CP,0),1),SEARCH(" ",INDEX(ТУ!$CG:$CG,MATCH($U51*1,ТУ!$CP:$CP,0),1))-1),""),УСПД!$N:$N,0),1),LEN(INDEX(УСПД!$M:$M,MATCH(IFERROR(1*LEFT(INDEX(ТУ!$CG:$CG,MATCH($U51*1,ТУ!$CP:$CP,0),1),SEARCH(" ",INDEX(ТУ!$CG:$CG,MATCH($U51*1,ТУ!$CP:$CP,0),1))-1),""),УСПД!$N:$N,0),1))-SEARCH(", ",INDEX(УСПД!$M:$M,MATCH(IFERROR(1*LEFT(INDEX(ТУ!$CG:$CG,MATCH($U51*1,ТУ!$CP:$CP,0),1),SEARCH(" ",INDEX(ТУ!$CG:$CG,MATCH($U51*1,ТУ!$CP:$CP,0),1))-1),""),УСПД!$N:$N,0),1),SEARCH(", ",INDEX(УСПД!$M:$M,MATCH(IFERROR(1*LEFT(INDEX(ТУ!$CG:$CG,MATCH($U51*1,ТУ!$CP:$CP,0),1),SEARCH(" ",INDEX(ТУ!$CG:$CG,MATCH($U51*1,ТУ!$CP:$CP,0),1))-1),""),УСПД!$N:$N,0),1))+1)-1),SEARCH(":",RIGHT(INDEX(УСПД!$M:$M,MATCH(IFERROR(1*LEFT(INDEX(ТУ!$CG:$CG,MATCH($U51*1,ТУ!$CP:$CP,0),1),SEARCH(" ",INDEX(ТУ!$CG:$CG,MATCH($U51*1,ТУ!$CP:$CP,0),1))-1),""),УСПД!$N:$N,0),1),LEN(INDEX(УСПД!$M:$M,MATCH(IFERROR(1*LEFT(INDEX(ТУ!$CG:$CG,MATCH($U51*1,ТУ!$CP:$CP,0),1),SEARCH(" ",INDEX(ТУ!$CG:$CG,MATCH($U51*1,ТУ!$CP:$CP,0),1))-1),""),УСПД!$N:$N,0),1))-SEARCH(", ",INDEX(УСПД!$M:$M,MATCH(IFERROR(1*LEFT(INDEX(ТУ!$CG:$CG,MATCH($U51*1,ТУ!$CP:$CP,0),1),SEARCH(" ",INDEX(ТУ!$CG:$CG,MATCH($U51*1,ТУ!$CP:$CP,0),1))-1),""),УСПД!$N:$N,0),1),SEARCH(", ",INDEX(УСПД!$M:$M,MATCH(IFERROR(1*LEFT(INDEX(ТУ!$CG:$CG,MATCH($U51*1,ТУ!$CP:$CP,0),1),SEARCH(" ",INDEX(ТУ!$CG:$CG,MATCH($U51*1,ТУ!$CP:$CP,0),1))-1),""),УСПД!$N:$N,0),1))+1)-1))-1),LEFT(INDEX(УСПД!$M:$M,MATCH(IFERROR(1*LEFT(INDEX(ТУ!$CG:$CG,MATCH($U51*1,ТУ!$CP:$CP,0),1),SEARCH(" ",INDEX(ТУ!$CG:$CG,MATCH($U51*1,ТУ!$CP:$CP,0),1))-1),""),УСПД!$N:$N,0),1),SEARCH(":",INDEX(УСПД!$M:$M,MATCH(IFERROR(1*LEFT(INDEX(ТУ!$CG:$CG,MATCH($U51*1,ТУ!$CP:$CP,0),1),SEARCH(" ",INDEX(ТУ!$CG:$CG,MATCH($U51*1,ТУ!$CP:$CP,0),1))-1),""),УСПД!$N:$N,0),1))-1)),""))</f>
        <v>10.211.140.136</v>
      </c>
      <c r="BC51" s="155" t="str">
        <f>INDEX(ТУ!$AF:$AF,MATCH($U51*1,ТУ!$CP:$CP,0),1)</f>
        <v>ТП-10012</v>
      </c>
      <c r="BD51" s="155">
        <f>INDEX(ТУ!$X:$X,MATCH($U51*1,ТУ!$CP:$CP,0),1)</f>
        <v>0</v>
      </c>
      <c r="BE51" s="155">
        <f>INDEX(ТУ!$CL:$CL,MATCH($U51*1,ТУ!$CP:$CP,0),1)</f>
        <v>0</v>
      </c>
      <c r="BF51" s="147" t="str">
        <f>IFERROR(INDEX(естьАЦ!$A:$A,MATCH($U51*1,естьАЦ!$A:$A,0),1),"нет в АЦ")</f>
        <v>нет в АЦ</v>
      </c>
    </row>
    <row r="52" spans="1:58" ht="15" x14ac:dyDescent="0.25">
      <c r="A52" s="55">
        <f>3</f>
        <v>3</v>
      </c>
      <c r="B52" s="42" t="str">
        <f>IFERROR(IFERROR(INDEX(Справочники!$A$2:$P$79,MATCH(INDEX(ТУ!$E:$E,MATCH($U52*1,ТУ!$CP:$CP,0),1),Справочники!$P$2:$P$79,0),2),INDEX(Справочники!$A$2:$P$79,MATCH((INDEX(ТУ!$E:$E,MATCH($U52*1,ТУ!$CP:$CP,0),1))*1,Справочники!$P$2:$P$79,0),2)),"")</f>
        <v>02 р-н МКС (ЦОРУПЭ)</v>
      </c>
      <c r="C52" s="46" t="str">
        <f>IFERROR(TRIM(LEFT(INDEX(ТУ!$AF:$AF,MATCH($U52*1,ТУ!$CP:$CP,0),1),SEARCH("-",INDEX(ТУ!$AF:$AF,MATCH($U52*1,ТУ!$CP:$CP,0),1))-1)),IFERROR(LEFT(INDEX(ТУ!$X:$X,MATCH($U52*1,ТУ!$CP:$CP,0),1),SEARCH("-",INDEX(ТУ!$X:$X,MATCH($U52*1,ТУ!$CP:$CP,0),1))-1),"ТП"))</f>
        <v>РП</v>
      </c>
      <c r="D52" s="47" t="str">
        <f>IF(TRIM(IF(ISNUMBER((IFERROR(RIGHT(INDEX(ТУ!$AF:$AF,MATCH($U52*1,ТУ!$CP:$CP,0),1),LEN(INDEX(ТУ!$AF:$AF,MATCH($U52*1,ТУ!$CP:$CP,0),1))-SEARCH("-",INDEX(ТУ!$AF:$AF,MATCH($U52*1,ТУ!$CP:$CP,0),1))),INDEX(ТУ!$AF:$AF,MATCH($U52*1,ТУ!$CP:$CP,0),1)))*1),IFERROR(RIGHT(INDEX(ТУ!$AF:$AF,MATCH($U52*1,ТУ!$CP:$CP,0),1),LEN(INDEX(ТУ!$AF:$AF,MATCH($U52*1,ТУ!$CP:$CP,0),1))-SEARCH("-",INDEX(ТУ!$AF:$AF,MATCH($U52*1,ТУ!$CP:$CP,0),1))),INDEX(ТУ!$AF:$AF,MATCH($U52*1,ТУ!$CP:$CP,0),1)),""))="",TRIM(IF(ISNUMBER((IFERROR(RIGHT(INDEX(ТУ!$X:$X,MATCH($U52*1,ТУ!$CP:$CP,0),1),LEN(INDEX(ТУ!$X:$X,MATCH($U52*1,ТУ!$CP:$CP,0),1))-SEARCH("-",INDEX(ТУ!$X:$X,MATCH($U52*1,ТУ!$CP:$CP,0),1))),INDEX(ТУ!$X:$X,MATCH($U52*1,ТУ!$CP:$CP,0),1)))*1),IFERROR(RIGHT(INDEX(ТУ!$X:$X,MATCH($U52*1,ТУ!$CP:$CP,0),1),LEN(INDEX(ТУ!$X:$X,MATCH($U52*1,ТУ!$CP:$CP,0),1))-SEARCH("-",INDEX(ТУ!$X:$X,MATCH($U52*1,ТУ!$CP:$CP,0),1))),INDEX(ТУ!$X:$X,MATCH($U52*1,ТУ!$CP:$CP,0),1)),"")),TRIM(IF(ISNUMBER((IFERROR(RIGHT(INDEX(ТУ!$AF:$AF,MATCH($U52*1,ТУ!$CP:$CP,0),1),LEN(INDEX(ТУ!$AF:$AF,MATCH($U52*1,ТУ!$CP:$CP,0),1))-SEARCH("-",INDEX(ТУ!$AF:$AF,MATCH($U52*1,ТУ!$CP:$CP,0),1))),INDEX(ТУ!$AF:$AF,MATCH($U52*1,ТУ!$CP:$CP,0),1)))*1),IFERROR(RIGHT(INDEX(ТУ!$AF:$AF,MATCH($U52*1,ТУ!$CP:$CP,0),1),LEN(INDEX(ТУ!$AF:$AF,MATCH($U52*1,ТУ!$CP:$CP,0),1))-SEARCH("-",INDEX(ТУ!$AF:$AF,MATCH($U52*1,ТУ!$CP:$CP,0),1))),INDEX(ТУ!$AF:$AF,MATCH($U52*1,ТУ!$CP:$CP,0),1)),"")))</f>
        <v>11149</v>
      </c>
      <c r="E52" s="25" t="str">
        <f t="shared" si="2"/>
        <v>МКС</v>
      </c>
      <c r="F52" s="20">
        <f t="shared" si="3"/>
        <v>76</v>
      </c>
      <c r="G52" s="21">
        <f t="shared" si="4"/>
        <v>2</v>
      </c>
      <c r="H52" s="25" t="str">
        <f t="shared" si="5"/>
        <v>РП-11149</v>
      </c>
      <c r="I52" s="25" t="str">
        <f t="shared" si="6"/>
        <v>76211149</v>
      </c>
      <c r="J52" s="42" t="str">
        <f>INDEX(Справочники!$M:$M,MATCH(IF(INDEX(ТУ!$BO:$BO,MATCH($U52*1,ТУ!$CP:$CP,0),1)=1,1,INDEX(ТУ!$BO:$BO,MATCH($U52*1,ТУ!$CP:$CP,0),1)*100),Справочники!$N:$N,0),1)</f>
        <v>0.4 кВ</v>
      </c>
      <c r="K52" s="40">
        <f>1</f>
        <v>1</v>
      </c>
      <c r="L52" s="20" t="str">
        <f t="shared" si="7"/>
        <v>СШ-1</v>
      </c>
      <c r="M52" s="20">
        <f t="shared" si="8"/>
        <v>1</v>
      </c>
      <c r="N52" s="40"/>
      <c r="O52" s="56" t="str">
        <f t="shared" si="9"/>
        <v>Ввод-1-1</v>
      </c>
      <c r="P52" s="57" t="str">
        <f>IFERROR(IF(INDEX(ТУ!$AO:$AO,MATCH($U52*1,ТУ!$CP:$CP,0),1)=0,"",INDEX(ТУ!$AO:$AO,MATCH($U52*1,ТУ!$CP:$CP,0),1)),"")</f>
        <v>яч.7</v>
      </c>
      <c r="Q52" s="40">
        <f>IFERROR(IF(INDEX(ТУ!$BN:$BN,MATCH($U52*1,ТУ!$CP:$CP,0),1)=1,1,INDEX(ТУ!$BN:$BN,MATCH($U52*1,ТУ!$CP:$CP,0),1)*5),"")</f>
        <v>1</v>
      </c>
      <c r="R52" s="25">
        <f t="shared" si="10"/>
        <v>1</v>
      </c>
      <c r="S52" s="25">
        <f t="shared" si="11"/>
        <v>1</v>
      </c>
      <c r="T52" s="25">
        <f t="shared" si="12"/>
        <v>1</v>
      </c>
      <c r="U52" s="105" t="s">
        <v>1004</v>
      </c>
      <c r="V52" s="43">
        <f>IF(INDEX(ТУ!$BH:$BH,MATCH($U52*1,ТУ!$CP:$CP,0),1)=0,"",INDEX(ТУ!$BH:$BH,MATCH($U52*1,ТУ!$CP:$CP,0),1))</f>
        <v>45601</v>
      </c>
      <c r="W52" s="43" t="str">
        <f>IF(INDEX(ТУ!$BI:$BI,MATCH($U52*1,ТУ!$CP:$CP,0),1)=0,"",INDEX(ТУ!$BI:$BI,MATCH($U52*1,ТУ!$CP:$CP,0),1))</f>
        <v/>
      </c>
      <c r="X52" s="58" t="str">
        <f t="shared" si="13"/>
        <v>СЭТ-4ТМ</v>
      </c>
      <c r="Y52" s="25">
        <f t="shared" si="14"/>
        <v>7</v>
      </c>
      <c r="Z52" s="42" t="str">
        <f t="shared" si="15"/>
        <v/>
      </c>
      <c r="AA52" s="25" t="str">
        <f t="shared" si="16"/>
        <v/>
      </c>
      <c r="AB52" s="40" t="str">
        <f>IF(ISNUMBER(SEARCH("Приборы с поддержкой протокола СПОДЭС - Нартис-И300 (СПОДЭС)",INDEX(ТУ!$BD:$BD,MATCH($U52*1,ТУ!$CP:$CP,0),1))),"Нартис-И300",
IF(ISNUMBER(SEARCH("Приборы с поддержкой протокола СПОДЭС - Меркурий 234 (СПОДЭС)",INDEX(ТУ!$BD:$BD,MATCH($U52*1,ТУ!$CP:$CP,0),1))),"Меркурий 234 (СПОДЭС)",
IF(ISNUMBER(SEARCH("Приборы с поддержкой протокола СПОДЭС - Нартис-300 (СПОДЭС)",INDEX(ТУ!$BD:$BD,MATCH($U52*1,ТУ!$CP:$CP,0),1))),"Нартис-300",
IF(ISNUMBER(SEARCH("Инкотекс - Меркурий 234",INDEX(ТУ!$BD:$BD,MATCH($U52*1,ТУ!$CP:$CP,0),1))),"Меркурий 234",
IF(ISNUMBER(SEARCH("Инкотекс - Меркурий 206",INDEX(ТУ!$BD:$BD,MATCH($U52*1,ТУ!$CP:$CP,0),1))),"Меркурий 206",
IF(ISNUMBER(SEARCH("Приборы с поддержкой протокола СПОДЭС - Универсальный счетчик СПОДЭС 2 трехфазный",INDEX(ТУ!$BD:$BD,MATCH($U52*1,ТУ!$CP:$CP,0),1))),"Нартис-И300",
IF(ISNUMBER(SEARCH("Приборы с поддержкой протокола СПОДЭС - Универсальный счетчик СПОДЭС 2 однофазный",INDEX(ТУ!$BD:$BD,MATCH($U52*1,ТУ!$CP:$CP,0),1))),"Нартис-И100",
IF(ISNUMBER(SEARCH("Приборы с поддержкой протокола СПОДЭС - Нартис-И100 (СПОДЭС)",INDEX(ТУ!$BD:$BD,MATCH($U52*1,ТУ!$CP:$CP,0),1))),"Нартис-И100",
IF(ISNUMBER(SEARCH("Приборы с поддержкой протокола СПОДЭС - СЕ308 (СПОДЭС)",INDEX(ТУ!$BD:$BD,MATCH($U52*1,ТУ!$CP:$CP,0),1))),"СЕ308 (СПОДЭС)",
IF(ISNUMBER(SEARCH("Приборы с поддержкой протокола СПОДЭС - СЕ207 (СПОДЭС)",INDEX(ТУ!$BD:$BD,MATCH($U52*1,ТУ!$CP:$CP,0),1))),"СЕ207 (СПОДЭС)",
IF(ISNUMBER(SEARCH("Приборы с поддержкой протокола СПОДЭС - СТЭМ-300 (СПОДЭС)",INDEX(ТУ!$BD:$BD,MATCH($U52*1,ТУ!$CP:$CP,0),1))),"СТЭМ-300 (СПОДЭС)",
IF(ISNUMBER(SEARCH("ТехноЭнерго - ТЕ3000",INDEX(ТУ!$BD:$BD,MATCH($U52*1,ТУ!$CP:$CP,0),1))),"ТЕ3000",
IF(ISNUMBER(SEARCH("НЗиФ - СЭТ-4ТМ",INDEX(ТУ!$BD:$BD,MATCH($U52*1,ТУ!$CP:$CP,0),1))),"СЭТ-4ТМ",
INDEX(ТУ!$BD:$BD,MATCH($U52*1,ТУ!$CP:$CP,0),1)
)))))))))))))</f>
        <v>СЭТ-4ТМ</v>
      </c>
      <c r="AC52" s="40" t="s">
        <v>2</v>
      </c>
      <c r="AD52" s="40" t="str">
        <f>IF(ISNUMBER(IFERROR(LEFT(IF(INDEX(ТУ!$CI:$CI,MATCH($U52*1,ТУ!$CP:$CP,0),1)=0,"",INDEX(ТУ!$CI:$CI,MATCH($U52*1,ТУ!$CP:$CP,0),1)),SEARCH(" ",IF(INDEX(ТУ!$CI:$CI,MATCH($U52*1,ТУ!$CP:$CP,0),1)=0,"",INDEX(ТУ!$CI:$CI,MATCH($U52*1,ТУ!$CP:$CP,0),1)),1)-1),"")*1),IFERROR(LEFT(IF(INDEX(ТУ!$CI:$CI,MATCH($U52*1,ТУ!$CP:$CP,0),1)=0,"",INDEX(ТУ!$CI:$CI,MATCH($U52*1,ТУ!$CP:$CP,0),1)),SEARCH(" ",IF(INDEX(ТУ!$CI:$CI,MATCH($U52*1,ТУ!$CP:$CP,0),1)=0,"",INDEX(ТУ!$CI:$CI,MATCH($U52*1,ТУ!$CP:$CP,0),1)),1)-1),""),"")</f>
        <v/>
      </c>
      <c r="AE52" s="40" t="str">
        <f>IF(INDEX(ТУ!$CB:$CB,MATCH($U52*1,ТУ!$CP:$CP,0),1)=0,INDEX(Adr!$B:$B,MATCH($U52*1,Adr!$C:$C,0),1),INDEX(ТУ!$CB:$CB,MATCH($U52*1,ТУ!$CP:$CP,0),1))</f>
        <v>101</v>
      </c>
      <c r="AF52" s="45" t="str">
        <f>IF(INDEX(ТУ!$CD:$CD,MATCH($U52*1,ТУ!$CP:$CP,0),1)=0,"",INDEX(ТУ!$CD:$CD,MATCH($U52*1,ТУ!$CP:$CP,0),1))</f>
        <v/>
      </c>
      <c r="AG52" s="45">
        <f>0</f>
        <v>0</v>
      </c>
      <c r="AH52" s="26">
        <f t="shared" si="17"/>
        <v>76</v>
      </c>
      <c r="AI52" s="20" t="str">
        <f t="shared" si="18"/>
        <v>762111491</v>
      </c>
      <c r="AJ52" s="41" t="str">
        <f t="shared" si="1"/>
        <v/>
      </c>
      <c r="AK52" s="41" t="str">
        <f>IF($AP52="",IFERROR(IFERROR(LEFT(RIGHT(INDEX(ТУ!$CE:$CE,MATCH($U52*1,ТУ!$CP:$CP,0),1),LEN(INDEX(ТУ!$CE:$CE,MATCH($U52*1,ТУ!$CP:$CP,0),1))-SEARCH(":",INDEX(ТУ!$CE:$CE,MATCH($U52*1,ТУ!$CP:$CP,0),1))),SEARCH("/",RIGHT(INDEX(ТУ!$CE:$CE,MATCH($U52*1,ТУ!$CP:$CP,0),1),LEN(INDEX(ТУ!$CE:$CE,MATCH($U52*1,ТУ!$CP:$CP,0),1))-SEARCH(":",INDEX(ТУ!$CE:$CE,MATCH($U52*1,ТУ!$CP:$CP,0),1))))-1), RIGHT(INDEX(ТУ!$CE:$CE,MATCH($U52*1,ТУ!$CP:$CP,0),1),LEN(INDEX(ТУ!$CE:$CE,MATCH($U52*1,ТУ!$CP:$CP,0),1))-SEARCH(":",INDEX(ТУ!$CE:$CE,MATCH($U52*1,ТУ!$CP:$CP,0),1)))), ""),IFERROR(IFERROR(LEFT(RIGHT(INDEX(УСПД!$M:$M,MATCH(IFERROR(1*LEFT(INDEX(ТУ!$CG:$CG,MATCH($U52*1,ТУ!$CP:$CP,0),1),SEARCH(" ",INDEX(ТУ!$CG:$CG,MATCH($U52*1,ТУ!$CP:$CP,0),1))-1),""),УСПД!$N:$N,0),1),LEN(INDEX(УСПД!$M:$M,MATCH(IFERROR(1*LEFT(INDEX(ТУ!$CG:$CG,MATCH($U52*1,ТУ!$CP:$CP,0),1),SEARCH(" ",INDEX(ТУ!$CG:$CG,MATCH($U52*1,ТУ!$CP:$CP,0),1))-1),""),УСПД!$N:$N,0),1))-SEARCH(":",INDEX(УСПД!$M:$M,MATCH(IFERROR(1*LEFT(INDEX(ТУ!$CG:$CG,MATCH($U52*1,ТУ!$CP:$CP,0),1),SEARCH(" ",INDEX(ТУ!$CG:$CG,MATCH($U52*1,ТУ!$CP:$CP,0),1))-1),""),УСПД!$N:$N,0),1))),SEARCH("/",RIGHT(INDEX(УСПД!$M:$M,MATCH(IFERROR(1*LEFT(INDEX(ТУ!$CG:$CG,MATCH($U52*1,ТУ!$CP:$CP,0),1),SEARCH(" ",INDEX(ТУ!$CG:$CG,MATCH($U52*1,ТУ!$CP:$CP,0),1))-1),""),УСПД!$N:$N,0),1),LEN(INDEX(УСПД!$M:$M,MATCH(IFERROR(1*LEFT(INDEX(ТУ!$CG:$CG,MATCH($U52*1,ТУ!$CP:$CP,0),1),SEARCH(" ",INDEX(ТУ!$CG:$CG,MATCH($U52*1,ТУ!$CP:$CP,0),1))-1),""),УСПД!$N:$N,0),1))-SEARCH(":",INDEX(УСПД!$M:$M,MATCH(IFERROR(1*LEFT(INDEX(ТУ!$CG:$CG,MATCH($U52*1,ТУ!$CP:$CP,0),1),SEARCH(" ",INDEX(ТУ!$CG:$CG,MATCH($U52*1,ТУ!$CP:$CP,0),1))-1),""),УСПД!$N:$N,0),1))))-1), RIGHT(INDEX(УСПД!$M:$M,MATCH(IFERROR(1*LEFT(INDEX(ТУ!$CG:$CG,MATCH($U52*1,ТУ!$CP:$CP,0),1),SEARCH(" ",INDEX(ТУ!$CG:$CG,MATCH($U52*1,ТУ!$CP:$CP,0),1))-1),""),УСПД!$N:$N,0),1),LEN(INDEX(УСПД!$M:$M,MATCH(IFERROR(1*LEFT(INDEX(ТУ!$CG:$CG,MATCH($U52*1,ТУ!$CP:$CP,0),1),SEARCH(" ",INDEX(ТУ!$CG:$CG,MATCH($U52*1,ТУ!$CP:$CP,0),1))-1),""),УСПД!$N:$N,0),1))-SEARCH(":",INDEX(УСПД!$M:$M,MATCH(IFERROR(1*LEFT(INDEX(ТУ!$CG:$CG,MATCH($U52*1,ТУ!$CP:$CP,0),1),SEARCH(" ",INDEX(ТУ!$CG:$CG,MATCH($U52*1,ТУ!$CP:$CP,0),1))-1),""),УСПД!$N:$N,0),1)))), ""))</f>
        <v/>
      </c>
      <c r="AL52" s="41"/>
      <c r="AM52" s="57" t="str">
        <f>IFERROR(IFERROR(INDEX(Tel!$B:$B,MATCH($AJ52,Tel!$E:$E,0),1),INDEX(Tel!$B:$B,MATCH($AJ52,Tel!$D:$D,0),1)),"")</f>
        <v/>
      </c>
      <c r="AN52" s="59" t="str">
        <f>IF(ISNUMBER(SEARCH("ТОПАЗ - ТОПАЗ УСПД",IFERROR(RIGHT(LEFT(INDEX(ТУ!$CG:$CG,MATCH($U52*1,ТУ!$CP:$CP,0),1),SEARCH(")",INDEX(ТУ!$CG:$CG,MATCH($U52*1,ТУ!$CP:$CP,0),1))-1),LEN(LEFT(INDEX(ТУ!$CG:$CG,MATCH($U52*1,ТУ!$CP:$CP,0),1),SEARCH(")",INDEX(ТУ!$CG:$CG,MATCH($U52*1,ТУ!$CP:$CP,0),1))-1))-SEARCH("(",INDEX(ТУ!$CG:$CG,MATCH($U52*1,ТУ!$CP:$CP,0),1))),""),1)),"RTU-327",
IF(ISNUMBER(SEARCH("TELEOFIS",$AP52)),"Модем",
""))</f>
        <v>RTU-327</v>
      </c>
      <c r="AO52" s="27">
        <f t="shared" si="24"/>
        <v>7</v>
      </c>
      <c r="AP52" s="57" t="str">
        <f>IF(ISNUMBER(SEARCH("Миландр - Милур GSM/GPRS модем",IFERROR(RIGHT(LEFT(INDEX(ТУ!$CG:$CG,MATCH($U52*1,ТУ!$CP:$CP,0),1),SEARCH(")",INDEX(ТУ!$CG:$CG,MATCH($U52*1,ТУ!$CP:$CP,0),1))-1),LEN(LEFT(INDEX(ТУ!$CG:$CG,MATCH($U52*1,ТУ!$CP:$CP,0),1),SEARCH(")",INDEX(ТУ!$CG:$CG,MATCH($U52*1,ТУ!$CP:$CP,0),1))-1))-SEARCH("(",INDEX(ТУ!$CG:$CG,MATCH($U52*1,ТУ!$CP:$CP,0),1))),""),1)), "TELEOFIS WRX708-L4",IFERROR(RIGHT(LEFT(INDEX(ТУ!$CG:$CG,MATCH($U52*1,ТУ!$CP:$CP,0),1),SEARCH(")",INDEX(ТУ!$CG:$CG,MATCH($U52*1,ТУ!$CP:$CP,0),1))-1),LEN(LEFT(INDEX(ТУ!$CG:$CG,MATCH($U52*1,ТУ!$CP:$CP,0),1),SEARCH(")",INDEX(ТУ!$CG:$CG,MATCH($U52*1,ТУ!$CP:$CP,0),1))-1))-SEARCH("(",INDEX(ТУ!$CG:$CG,MATCH($U52*1,ТУ!$CP:$CP,0),1))),""))</f>
        <v>ТОПАЗ - ТОПАЗ УСПД</v>
      </c>
      <c r="AQ52" s="57" t="str">
        <f>IFERROR(IF(INDEX(УСПД!$K:$K,MATCH($AS52*1,УСПД!$N:$N,0),1)=0,"",INDEX(УСПД!$K:$K,MATCH($AS52*1,УСПД!$N:$N,0),1)),"")</f>
        <v/>
      </c>
      <c r="AR52" s="57" t="str">
        <f>IFERROR(IF(INDEX(УСПД!$L:$L,MATCH($AS52*1,УСПД!$N:$N,0),1)=0,"",INDEX(УСПД!$L:$L,MATCH($AS52*1,УСПД!$N:$N,0),1)),"")</f>
        <v/>
      </c>
      <c r="AS52" s="60" t="str">
        <f>IFERROR(LEFT(INDEX(ТУ!$CG:$CG,MATCH($U52*1,ТУ!$CP:$CP,0),1),SEARCH(" ",INDEX(ТУ!$CG:$CG,MATCH($U52*1,ТУ!$CP:$CP,0),1))-1),"")</f>
        <v>5340000449</v>
      </c>
      <c r="AT52" s="59" t="s">
        <v>360</v>
      </c>
      <c r="AU52" s="59">
        <f>3</f>
        <v>3</v>
      </c>
      <c r="AV52" s="59" t="s">
        <v>368</v>
      </c>
      <c r="AW52" s="149">
        <f t="shared" si="19"/>
        <v>54</v>
      </c>
      <c r="AX52" s="149">
        <f t="shared" si="20"/>
        <v>7</v>
      </c>
      <c r="AY52" s="149" t="str">
        <f t="shared" si="21"/>
        <v/>
      </c>
      <c r="AZ52" s="149">
        <f t="shared" si="22"/>
        <v>6</v>
      </c>
      <c r="BA52" s="149">
        <f t="shared" si="23"/>
        <v>1</v>
      </c>
      <c r="BB52" s="154" t="str">
        <f>IF($AP52="",IFERROR(IFERROR(LEFT(RIGHT(INDEX(ТУ!$CE:$CE,MATCH($U52*1,ТУ!$CP:$CP,0),1),LEN(INDEX(ТУ!$CE:$CE,MATCH($U52*1,ТУ!$CP:$CP,0),1))-SEARCH(", ",INDEX(ТУ!$CE:$CE,MATCH($U52*1,ТУ!$CP:$CP,0),1),SEARCH(", ",INDEX(ТУ!$CE:$CE,MATCH($U52*1,ТУ!$CP:$CP,0),1))+1)-1),SEARCH(":",RIGHT(INDEX(ТУ!$CE:$CE,MATCH($U52*1,ТУ!$CP:$CP,0),1),LEN(INDEX(ТУ!$CE:$CE,MATCH($U52*1,ТУ!$CP:$CP,0),1))-SEARCH(", ",INDEX(ТУ!$CE:$CE,MATCH($U52*1,ТУ!$CP:$CP,0),1),SEARCH(", ",INDEX(ТУ!$CE:$CE,MATCH($U52*1,ТУ!$CP:$CP,0),1))+1)-1))-1),LEFT(INDEX(ТУ!$CE:$CE,MATCH($U52*1,ТУ!$CP:$CP,0),1),SEARCH(":",INDEX(ТУ!$CE:$CE,MATCH($U52*1,ТУ!$CP:$CP,0),1))-1)),""),IFERROR(IFERROR(LEFT(RIGHT(INDEX(УСПД!$M:$M,MATCH(IFERROR(1*LEFT(INDEX(ТУ!$CG:$CG,MATCH($U52*1,ТУ!$CP:$CP,0),1),SEARCH(" ",INDEX(ТУ!$CG:$CG,MATCH($U52*1,ТУ!$CP:$CP,0),1))-1),""),УСПД!$N:$N,0),1),LEN(INDEX(УСПД!$M:$M,MATCH(IFERROR(1*LEFT(INDEX(ТУ!$CG:$CG,MATCH($U52*1,ТУ!$CP:$CP,0),1),SEARCH(" ",INDEX(ТУ!$CG:$CG,MATCH($U52*1,ТУ!$CP:$CP,0),1))-1),""),УСПД!$N:$N,0),1))-SEARCH(", ",INDEX(УСПД!$M:$M,MATCH(IFERROR(1*LEFT(INDEX(ТУ!$CG:$CG,MATCH($U52*1,ТУ!$CP:$CP,0),1),SEARCH(" ",INDEX(ТУ!$CG:$CG,MATCH($U52*1,ТУ!$CP:$CP,0),1))-1),""),УСПД!$N:$N,0),1),SEARCH(", ",INDEX(УСПД!$M:$M,MATCH(IFERROR(1*LEFT(INDEX(ТУ!$CG:$CG,MATCH($U52*1,ТУ!$CP:$CP,0),1),SEARCH(" ",INDEX(ТУ!$CG:$CG,MATCH($U52*1,ТУ!$CP:$CP,0),1))-1),""),УСПД!$N:$N,0),1))+1)-1),SEARCH(":",RIGHT(INDEX(УСПД!$M:$M,MATCH(IFERROR(1*LEFT(INDEX(ТУ!$CG:$CG,MATCH($U52*1,ТУ!$CP:$CP,0),1),SEARCH(" ",INDEX(ТУ!$CG:$CG,MATCH($U52*1,ТУ!$CP:$CP,0),1))-1),""),УСПД!$N:$N,0),1),LEN(INDEX(УСПД!$M:$M,MATCH(IFERROR(1*LEFT(INDEX(ТУ!$CG:$CG,MATCH($U52*1,ТУ!$CP:$CP,0),1),SEARCH(" ",INDEX(ТУ!$CG:$CG,MATCH($U52*1,ТУ!$CP:$CP,0),1))-1),""),УСПД!$N:$N,0),1))-SEARCH(", ",INDEX(УСПД!$M:$M,MATCH(IFERROR(1*LEFT(INDEX(ТУ!$CG:$CG,MATCH($U52*1,ТУ!$CP:$CP,0),1),SEARCH(" ",INDEX(ТУ!$CG:$CG,MATCH($U52*1,ТУ!$CP:$CP,0),1))-1),""),УСПД!$N:$N,0),1),SEARCH(", ",INDEX(УСПД!$M:$M,MATCH(IFERROR(1*LEFT(INDEX(ТУ!$CG:$CG,MATCH($U52*1,ТУ!$CP:$CP,0),1),SEARCH(" ",INDEX(ТУ!$CG:$CG,MATCH($U52*1,ТУ!$CP:$CP,0),1))-1),""),УСПД!$N:$N,0),1))+1)-1))-1),LEFT(INDEX(УСПД!$M:$M,MATCH(IFERROR(1*LEFT(INDEX(ТУ!$CG:$CG,MATCH($U52*1,ТУ!$CP:$CP,0),1),SEARCH(" ",INDEX(ТУ!$CG:$CG,MATCH($U52*1,ТУ!$CP:$CP,0),1))-1),""),УСПД!$N:$N,0),1),SEARCH(":",INDEX(УСПД!$M:$M,MATCH(IFERROR(1*LEFT(INDEX(ТУ!$CG:$CG,MATCH($U52*1,ТУ!$CP:$CP,0),1),SEARCH(" ",INDEX(ТУ!$CG:$CG,MATCH($U52*1,ТУ!$CP:$CP,0),1))-1),""),УСПД!$N:$N,0),1))-1)),""))</f>
        <v/>
      </c>
      <c r="BC52" s="155" t="str">
        <f>INDEX(ТУ!$AF:$AF,MATCH($U52*1,ТУ!$CP:$CP,0),1)</f>
        <v>РП-11149</v>
      </c>
      <c r="BD52" s="155">
        <f>INDEX(ТУ!$X:$X,MATCH($U52*1,ТУ!$CP:$CP,0),1)</f>
        <v>0</v>
      </c>
      <c r="BE52" s="155">
        <f>INDEX(ТУ!$CL:$CL,MATCH($U52*1,ТУ!$CP:$CP,0),1)</f>
        <v>0</v>
      </c>
      <c r="BF52" s="147" t="str">
        <f>IFERROR(INDEX(естьАЦ!$A:$A,MATCH($U52*1,естьАЦ!$A:$A,0),1),"нет в АЦ")</f>
        <v>нет в АЦ</v>
      </c>
    </row>
    <row r="53" spans="1:58" ht="25.5" x14ac:dyDescent="0.25">
      <c r="A53" s="55">
        <f>3</f>
        <v>3</v>
      </c>
      <c r="B53" s="42" t="str">
        <f>IFERROR(IFERROR(INDEX(Справочники!$A$2:$P$79,MATCH(INDEX(ТУ!$E:$E,MATCH($U53*1,ТУ!$CP:$CP,0),1),Справочники!$P$2:$P$79,0),2),INDEX(Справочники!$A$2:$P$79,MATCH((INDEX(ТУ!$E:$E,MATCH($U53*1,ТУ!$CP:$CP,0),1))*1,Справочники!$P$2:$P$79,0),2)),"")</f>
        <v/>
      </c>
      <c r="C53" s="46" t="str">
        <f>IFERROR(TRIM(LEFT(INDEX(ТУ!$AF:$AF,MATCH($U53*1,ТУ!$CP:$CP,0),1),SEARCH("-",INDEX(ТУ!$AF:$AF,MATCH($U53*1,ТУ!$CP:$CP,0),1))-1)),IFERROR(LEFT(INDEX(ТУ!$X:$X,MATCH($U53*1,ТУ!$CP:$CP,0),1),SEARCH("-",INDEX(ТУ!$X:$X,MATCH($U53*1,ТУ!$CP:$CP,0),1))-1),"ТП"))</f>
        <v>ТП</v>
      </c>
      <c r="D53" s="47" t="str">
        <f>IF(TRIM(IF(ISNUMBER((IFERROR(RIGHT(INDEX(ТУ!$AF:$AF,MATCH($U53*1,ТУ!$CP:$CP,0),1),LEN(INDEX(ТУ!$AF:$AF,MATCH($U53*1,ТУ!$CP:$CP,0),1))-SEARCH("-",INDEX(ТУ!$AF:$AF,MATCH($U53*1,ТУ!$CP:$CP,0),1))),INDEX(ТУ!$AF:$AF,MATCH($U53*1,ТУ!$CP:$CP,0),1)))*1),IFERROR(RIGHT(INDEX(ТУ!$AF:$AF,MATCH($U53*1,ТУ!$CP:$CP,0),1),LEN(INDEX(ТУ!$AF:$AF,MATCH($U53*1,ТУ!$CP:$CP,0),1))-SEARCH("-",INDEX(ТУ!$AF:$AF,MATCH($U53*1,ТУ!$CP:$CP,0),1))),INDEX(ТУ!$AF:$AF,MATCH($U53*1,ТУ!$CP:$CP,0),1)),""))="",TRIM(IF(ISNUMBER((IFERROR(RIGHT(INDEX(ТУ!$X:$X,MATCH($U53*1,ТУ!$CP:$CP,0),1),LEN(INDEX(ТУ!$X:$X,MATCH($U53*1,ТУ!$CP:$CP,0),1))-SEARCH("-",INDEX(ТУ!$X:$X,MATCH($U53*1,ТУ!$CP:$CP,0),1))),INDEX(ТУ!$X:$X,MATCH($U53*1,ТУ!$CP:$CP,0),1)))*1),IFERROR(RIGHT(INDEX(ТУ!$X:$X,MATCH($U53*1,ТУ!$CP:$CP,0),1),LEN(INDEX(ТУ!$X:$X,MATCH($U53*1,ТУ!$CP:$CP,0),1))-SEARCH("-",INDEX(ТУ!$X:$X,MATCH($U53*1,ТУ!$CP:$CP,0),1))),INDEX(ТУ!$X:$X,MATCH($U53*1,ТУ!$CP:$CP,0),1)),"")),TRIM(IF(ISNUMBER((IFERROR(RIGHT(INDEX(ТУ!$AF:$AF,MATCH($U53*1,ТУ!$CP:$CP,0),1),LEN(INDEX(ТУ!$AF:$AF,MATCH($U53*1,ТУ!$CP:$CP,0),1))-SEARCH("-",INDEX(ТУ!$AF:$AF,MATCH($U53*1,ТУ!$CP:$CP,0),1))),INDEX(ТУ!$AF:$AF,MATCH($U53*1,ТУ!$CP:$CP,0),1)))*1),IFERROR(RIGHT(INDEX(ТУ!$AF:$AF,MATCH($U53*1,ТУ!$CP:$CP,0),1),LEN(INDEX(ТУ!$AF:$AF,MATCH($U53*1,ТУ!$CP:$CP,0),1))-SEARCH("-",INDEX(ТУ!$AF:$AF,MATCH($U53*1,ТУ!$CP:$CP,0),1))),INDEX(ТУ!$AF:$AF,MATCH($U53*1,ТУ!$CP:$CP,0),1)),"")))</f>
        <v/>
      </c>
      <c r="E53" s="25" t="str">
        <f t="shared" si="2"/>
        <v/>
      </c>
      <c r="F53" s="20" t="str">
        <f t="shared" si="3"/>
        <v/>
      </c>
      <c r="G53" s="21">
        <f t="shared" si="4"/>
        <v>5</v>
      </c>
      <c r="H53" s="25" t="str">
        <f t="shared" si="5"/>
        <v>ТП-</v>
      </c>
      <c r="I53" s="25" t="str">
        <f t="shared" si="6"/>
        <v>500000</v>
      </c>
      <c r="J53" s="42" t="str">
        <f>INDEX(Справочники!$M:$M,MATCH(IF(INDEX(ТУ!$BO:$BO,MATCH($U53*1,ТУ!$CP:$CP,0),1)=1,1,INDEX(ТУ!$BO:$BO,MATCH($U53*1,ТУ!$CP:$CP,0),1)*100),Справочники!$N:$N,0),1)</f>
        <v>0.4 кВ</v>
      </c>
      <c r="K53" s="40">
        <f>1</f>
        <v>1</v>
      </c>
      <c r="L53" s="20" t="str">
        <f t="shared" si="7"/>
        <v>СШ-1</v>
      </c>
      <c r="M53" s="20">
        <f t="shared" si="8"/>
        <v>1</v>
      </c>
      <c r="N53" s="40"/>
      <c r="O53" s="56" t="str">
        <f t="shared" si="9"/>
        <v>Ввод-1-1</v>
      </c>
      <c r="P53" s="57" t="str">
        <f>IFERROR(IF(INDEX(ТУ!$AO:$AO,MATCH($U53*1,ТУ!$CP:$CP,0),1)=0,"",INDEX(ТУ!$AO:$AO,MATCH($U53*1,ТУ!$CP:$CP,0),1)),"")</f>
        <v>яч С16</v>
      </c>
      <c r="Q53" s="40">
        <f>IFERROR(IF(INDEX(ТУ!$BN:$BN,MATCH($U53*1,ТУ!$CP:$CP,0),1)=1,1,INDEX(ТУ!$BN:$BN,MATCH($U53*1,ТУ!$CP:$CP,0),1)*5),"")</f>
        <v>1</v>
      </c>
      <c r="R53" s="25">
        <f t="shared" si="10"/>
        <v>1</v>
      </c>
      <c r="S53" s="25">
        <f t="shared" si="11"/>
        <v>1</v>
      </c>
      <c r="T53" s="25">
        <f t="shared" si="12"/>
        <v>1</v>
      </c>
      <c r="U53" s="105" t="s">
        <v>1016</v>
      </c>
      <c r="V53" s="43">
        <f>IF(INDEX(ТУ!$BH:$BH,MATCH($U53*1,ТУ!$CP:$CP,0),1)=0,"",INDEX(ТУ!$BH:$BH,MATCH($U53*1,ТУ!$CP:$CP,0),1))</f>
        <v>45702</v>
      </c>
      <c r="W53" s="43" t="str">
        <f>IF(INDEX(ТУ!$BI:$BI,MATCH($U53*1,ТУ!$CP:$CP,0),1)=0,"",INDEX(ТУ!$BI:$BI,MATCH($U53*1,ТУ!$CP:$CP,0),1))</f>
        <v/>
      </c>
      <c r="X53" s="58" t="str">
        <f t="shared" si="13"/>
        <v>DLMS счетчик</v>
      </c>
      <c r="Y53" s="25">
        <f t="shared" si="14"/>
        <v>34</v>
      </c>
      <c r="Z53" s="42" t="str">
        <f t="shared" si="15"/>
        <v/>
      </c>
      <c r="AA53" s="25" t="str">
        <f t="shared" si="16"/>
        <v/>
      </c>
      <c r="AB53" s="40" t="str">
        <f>IF(ISNUMBER(SEARCH("Приборы с поддержкой протокола СПОДЭС - Нартис-И300 (СПОДЭС)",INDEX(ТУ!$BD:$BD,MATCH($U53*1,ТУ!$CP:$CP,0),1))),"Нартис-И300",
IF(ISNUMBER(SEARCH("Приборы с поддержкой протокола СПОДЭС - Меркурий 234 (СПОДЭС)",INDEX(ТУ!$BD:$BD,MATCH($U53*1,ТУ!$CP:$CP,0),1))),"Меркурий 234 (СПОДЭС)",
IF(ISNUMBER(SEARCH("Приборы с поддержкой протокола СПОДЭС - Нартис-300 (СПОДЭС)",INDEX(ТУ!$BD:$BD,MATCH($U53*1,ТУ!$CP:$CP,0),1))),"Нартис-300",
IF(ISNUMBER(SEARCH("Инкотекс - Меркурий 234",INDEX(ТУ!$BD:$BD,MATCH($U53*1,ТУ!$CP:$CP,0),1))),"Меркурий 234",
IF(ISNUMBER(SEARCH("Инкотекс - Меркурий 206",INDEX(ТУ!$BD:$BD,MATCH($U53*1,ТУ!$CP:$CP,0),1))),"Меркурий 206",
IF(ISNUMBER(SEARCH("Приборы с поддержкой протокола СПОДЭС - Универсальный счетчик СПОДЭС 2 трехфазный",INDEX(ТУ!$BD:$BD,MATCH($U53*1,ТУ!$CP:$CP,0),1))),"Нартис-И300",
IF(ISNUMBER(SEARCH("Приборы с поддержкой протокола СПОДЭС - Универсальный счетчик СПОДЭС 2 однофазный",INDEX(ТУ!$BD:$BD,MATCH($U53*1,ТУ!$CP:$CP,0),1))),"Нартис-И100",
IF(ISNUMBER(SEARCH("Приборы с поддержкой протокола СПОДЭС - Нартис-И100 (СПОДЭС)",INDEX(ТУ!$BD:$BD,MATCH($U53*1,ТУ!$CP:$CP,0),1))),"Нартис-И100",
IF(ISNUMBER(SEARCH("Приборы с поддержкой протокола СПОДЭС - СЕ308 (СПОДЭС)",INDEX(ТУ!$BD:$BD,MATCH($U53*1,ТУ!$CP:$CP,0),1))),"СЕ308 (СПОДЭС)",
IF(ISNUMBER(SEARCH("Приборы с поддержкой протокола СПОДЭС - СЕ207 (СПОДЭС)",INDEX(ТУ!$BD:$BD,MATCH($U53*1,ТУ!$CP:$CP,0),1))),"СЕ207 (СПОДЭС)",
IF(ISNUMBER(SEARCH("Приборы с поддержкой протокола СПОДЭС - СТЭМ-300 (СПОДЭС)",INDEX(ТУ!$BD:$BD,MATCH($U53*1,ТУ!$CP:$CP,0),1))),"СТЭМ-300 (СПОДЭС)",
IF(ISNUMBER(SEARCH("ТехноЭнерго - ТЕ3000",INDEX(ТУ!$BD:$BD,MATCH($U53*1,ТУ!$CP:$CP,0),1))),"ТЕ3000",
IF(ISNUMBER(SEARCH("НЗиФ - СЭТ-4ТМ",INDEX(ТУ!$BD:$BD,MATCH($U53*1,ТУ!$CP:$CP,0),1))),"СЭТ-4ТМ",
INDEX(ТУ!$BD:$BD,MATCH($U53*1,ТУ!$CP:$CP,0),1)
)))))))))))))</f>
        <v>Приборы с поддержкой протокола СПОДЭС - Нартис-И500 (СПОДЭС)</v>
      </c>
      <c r="AC53" s="40" t="s">
        <v>2</v>
      </c>
      <c r="AD53" s="40" t="str">
        <f>IF(ISNUMBER(IFERROR(LEFT(IF(INDEX(ТУ!$CI:$CI,MATCH($U53*1,ТУ!$CP:$CP,0),1)=0,"",INDEX(ТУ!$CI:$CI,MATCH($U53*1,ТУ!$CP:$CP,0),1)),SEARCH(" ",IF(INDEX(ТУ!$CI:$CI,MATCH($U53*1,ТУ!$CP:$CP,0),1)=0,"",INDEX(ТУ!$CI:$CI,MATCH($U53*1,ТУ!$CP:$CP,0),1)),1)-1),"")*1),IFERROR(LEFT(IF(INDEX(ТУ!$CI:$CI,MATCH($U53*1,ТУ!$CP:$CP,0),1)=0,"",INDEX(ТУ!$CI:$CI,MATCH($U53*1,ТУ!$CP:$CP,0),1)),SEARCH(" ",IF(INDEX(ТУ!$CI:$CI,MATCH($U53*1,ТУ!$CP:$CP,0),1)=0,"",INDEX(ТУ!$CI:$CI,MATCH($U53*1,ТУ!$CP:$CP,0),1)),1)-1),""),"")</f>
        <v/>
      </c>
      <c r="AE53" s="40">
        <f>IF(INDEX(ТУ!$CB:$CB,MATCH($U53*1,ТУ!$CP:$CP,0),1)=0,INDEX(Adr!$B:$B,MATCH($U53*1,Adr!$C:$C,0),1),INDEX(ТУ!$CB:$CB,MATCH($U53*1,ТУ!$CP:$CP,0),1))</f>
        <v>17</v>
      </c>
      <c r="AF53" s="45" t="str">
        <f>IF(INDEX(ТУ!$CD:$CD,MATCH($U53*1,ТУ!$CP:$CP,0),1)=0,"",INDEX(ТУ!$CD:$CD,MATCH($U53*1,ТУ!$CP:$CP,0),1))</f>
        <v>0000000100000001</v>
      </c>
      <c r="AG53" s="45">
        <f>0</f>
        <v>0</v>
      </c>
      <c r="AH53" s="26" t="str">
        <f t="shared" si="17"/>
        <v/>
      </c>
      <c r="AI53" s="20" t="str">
        <f t="shared" si="18"/>
        <v>5000001</v>
      </c>
      <c r="AJ53" s="41" t="str">
        <f t="shared" si="1"/>
        <v>10.212.22.228</v>
      </c>
      <c r="AK53" s="41" t="str">
        <f>IF($AP53="",IFERROR(IFERROR(LEFT(RIGHT(INDEX(ТУ!$CE:$CE,MATCH($U53*1,ТУ!$CP:$CP,0),1),LEN(INDEX(ТУ!$CE:$CE,MATCH($U53*1,ТУ!$CP:$CP,0),1))-SEARCH(":",INDEX(ТУ!$CE:$CE,MATCH($U53*1,ТУ!$CP:$CP,0),1))),SEARCH("/",RIGHT(INDEX(ТУ!$CE:$CE,MATCH($U53*1,ТУ!$CP:$CP,0),1),LEN(INDEX(ТУ!$CE:$CE,MATCH($U53*1,ТУ!$CP:$CP,0),1))-SEARCH(":",INDEX(ТУ!$CE:$CE,MATCH($U53*1,ТУ!$CP:$CP,0),1))))-1), RIGHT(INDEX(ТУ!$CE:$CE,MATCH($U53*1,ТУ!$CP:$CP,0),1),LEN(INDEX(ТУ!$CE:$CE,MATCH($U53*1,ТУ!$CP:$CP,0),1))-SEARCH(":",INDEX(ТУ!$CE:$CE,MATCH($U53*1,ТУ!$CP:$CP,0),1)))), ""),IFERROR(IFERROR(LEFT(RIGHT(INDEX(УСПД!$M:$M,MATCH(IFERROR(1*LEFT(INDEX(ТУ!$CG:$CG,MATCH($U53*1,ТУ!$CP:$CP,0),1),SEARCH(" ",INDEX(ТУ!$CG:$CG,MATCH($U53*1,ТУ!$CP:$CP,0),1))-1),""),УСПД!$N:$N,0),1),LEN(INDEX(УСПД!$M:$M,MATCH(IFERROR(1*LEFT(INDEX(ТУ!$CG:$CG,MATCH($U53*1,ТУ!$CP:$CP,0),1),SEARCH(" ",INDEX(ТУ!$CG:$CG,MATCH($U53*1,ТУ!$CP:$CP,0),1))-1),""),УСПД!$N:$N,0),1))-SEARCH(":",INDEX(УСПД!$M:$M,MATCH(IFERROR(1*LEFT(INDEX(ТУ!$CG:$CG,MATCH($U53*1,ТУ!$CP:$CP,0),1),SEARCH(" ",INDEX(ТУ!$CG:$CG,MATCH($U53*1,ТУ!$CP:$CP,0),1))-1),""),УСПД!$N:$N,0),1))),SEARCH("/",RIGHT(INDEX(УСПД!$M:$M,MATCH(IFERROR(1*LEFT(INDEX(ТУ!$CG:$CG,MATCH($U53*1,ТУ!$CP:$CP,0),1),SEARCH(" ",INDEX(ТУ!$CG:$CG,MATCH($U53*1,ТУ!$CP:$CP,0),1))-1),""),УСПД!$N:$N,0),1),LEN(INDEX(УСПД!$M:$M,MATCH(IFERROR(1*LEFT(INDEX(ТУ!$CG:$CG,MATCH($U53*1,ТУ!$CP:$CP,0),1),SEARCH(" ",INDEX(ТУ!$CG:$CG,MATCH($U53*1,ТУ!$CP:$CP,0),1))-1),""),УСПД!$N:$N,0),1))-SEARCH(":",INDEX(УСПД!$M:$M,MATCH(IFERROR(1*LEFT(INDEX(ТУ!$CG:$CG,MATCH($U53*1,ТУ!$CP:$CP,0),1),SEARCH(" ",INDEX(ТУ!$CG:$CG,MATCH($U53*1,ТУ!$CP:$CP,0),1))-1),""),УСПД!$N:$N,0),1))))-1), RIGHT(INDEX(УСПД!$M:$M,MATCH(IFERROR(1*LEFT(INDEX(ТУ!$CG:$CG,MATCH($U53*1,ТУ!$CP:$CP,0),1),SEARCH(" ",INDEX(ТУ!$CG:$CG,MATCH($U53*1,ТУ!$CP:$CP,0),1))-1),""),УСПД!$N:$N,0),1),LEN(INDEX(УСПД!$M:$M,MATCH(IFERROR(1*LEFT(INDEX(ТУ!$CG:$CG,MATCH($U53*1,ТУ!$CP:$CP,0),1),SEARCH(" ",INDEX(ТУ!$CG:$CG,MATCH($U53*1,ТУ!$CP:$CP,0),1))-1),""),УСПД!$N:$N,0),1))-SEARCH(":",INDEX(УСПД!$M:$M,MATCH(IFERROR(1*LEFT(INDEX(ТУ!$CG:$CG,MATCH($U53*1,ТУ!$CP:$CP,0),1),SEARCH(" ",INDEX(ТУ!$CG:$CG,MATCH($U53*1,ТУ!$CP:$CP,0),1))-1),""),УСПД!$N:$N,0),1)))), ""))</f>
        <v>4001</v>
      </c>
      <c r="AL53" s="41"/>
      <c r="AM53" s="57" t="str">
        <f>IFERROR(IFERROR(INDEX(Tel!$B:$B,MATCH($AJ53,Tel!$E:$E,0),1),INDEX(Tel!$B:$B,MATCH($AJ53,Tel!$D:$D,0),1)),"")</f>
        <v/>
      </c>
      <c r="AN53" s="59" t="str">
        <f>IF(ISNUMBER(SEARCH("ТОПАЗ - ТОПАЗ УСПД",IFERROR(RIGHT(LEFT(INDEX(ТУ!$CG:$CG,MATCH($U53*1,ТУ!$CP:$CP,0),1),SEARCH(")",INDEX(ТУ!$CG:$CG,MATCH($U53*1,ТУ!$CP:$CP,0),1))-1),LEN(LEFT(INDEX(ТУ!$CG:$CG,MATCH($U53*1,ТУ!$CP:$CP,0),1),SEARCH(")",INDEX(ТУ!$CG:$CG,MATCH($U53*1,ТУ!$CP:$CP,0),1))-1))-SEARCH("(",INDEX(ТУ!$CG:$CG,MATCH($U53*1,ТУ!$CP:$CP,0),1))),""),1)),"RTU-327",
IF(ISNUMBER(SEARCH("TELEOFIS",$AP53)),"Модем",
""))</f>
        <v/>
      </c>
      <c r="AO53" s="27" t="str">
        <f t="shared" si="24"/>
        <v/>
      </c>
      <c r="AP53" s="57" t="str">
        <f>IF(ISNUMBER(SEARCH("Миландр - Милур GSM/GPRS модем",IFERROR(RIGHT(LEFT(INDEX(ТУ!$CG:$CG,MATCH($U53*1,ТУ!$CP:$CP,0),1),SEARCH(")",INDEX(ТУ!$CG:$CG,MATCH($U53*1,ТУ!$CP:$CP,0),1))-1),LEN(LEFT(INDEX(ТУ!$CG:$CG,MATCH($U53*1,ТУ!$CP:$CP,0),1),SEARCH(")",INDEX(ТУ!$CG:$CG,MATCH($U53*1,ТУ!$CP:$CP,0),1))-1))-SEARCH("(",INDEX(ТУ!$CG:$CG,MATCH($U53*1,ТУ!$CP:$CP,0),1))),""),1)), "TELEOFIS WRX708-L4",IFERROR(RIGHT(LEFT(INDEX(ТУ!$CG:$CG,MATCH($U53*1,ТУ!$CP:$CP,0),1),SEARCH(")",INDEX(ТУ!$CG:$CG,MATCH($U53*1,ТУ!$CP:$CP,0),1))-1),LEN(LEFT(INDEX(ТУ!$CG:$CG,MATCH($U53*1,ТУ!$CP:$CP,0),1),SEARCH(")",INDEX(ТУ!$CG:$CG,MATCH($U53*1,ТУ!$CP:$CP,0),1))-1))-SEARCH("(",INDEX(ТУ!$CG:$CG,MATCH($U53*1,ТУ!$CP:$CP,0),1))),""))</f>
        <v/>
      </c>
      <c r="AQ53" s="57" t="str">
        <f>IFERROR(IF(INDEX(УСПД!$K:$K,MATCH($AS53*1,УСПД!$N:$N,0),1)=0,"",INDEX(УСПД!$K:$K,MATCH($AS53*1,УСПД!$N:$N,0),1)),"")</f>
        <v/>
      </c>
      <c r="AR53" s="57" t="str">
        <f>IFERROR(IF(INDEX(УСПД!$L:$L,MATCH($AS53*1,УСПД!$N:$N,0),1)=0,"",INDEX(УСПД!$L:$L,MATCH($AS53*1,УСПД!$N:$N,0),1)),"")</f>
        <v/>
      </c>
      <c r="AS53" s="60" t="str">
        <f>IFERROR(LEFT(INDEX(ТУ!$CG:$CG,MATCH($U53*1,ТУ!$CP:$CP,0),1),SEARCH(" ",INDEX(ТУ!$CG:$CG,MATCH($U53*1,ТУ!$CP:$CP,0),1))-1),"")</f>
        <v/>
      </c>
      <c r="AT53" s="59" t="s">
        <v>360</v>
      </c>
      <c r="AU53" s="59">
        <f>3</f>
        <v>3</v>
      </c>
      <c r="AV53" s="59" t="s">
        <v>368</v>
      </c>
      <c r="AW53" s="149" t="str">
        <f t="shared" si="19"/>
        <v/>
      </c>
      <c r="AX53" s="149">
        <f t="shared" si="20"/>
        <v>33</v>
      </c>
      <c r="AY53" s="149" t="str">
        <f t="shared" si="21"/>
        <v/>
      </c>
      <c r="AZ53" s="149" t="str">
        <f t="shared" si="22"/>
        <v/>
      </c>
      <c r="BA53" s="149">
        <f t="shared" si="23"/>
        <v>1</v>
      </c>
      <c r="BB53" s="154" t="str">
        <f>IF($AP53="",IFERROR(IFERROR(LEFT(RIGHT(INDEX(ТУ!$CE:$CE,MATCH($U53*1,ТУ!$CP:$CP,0),1),LEN(INDEX(ТУ!$CE:$CE,MATCH($U53*1,ТУ!$CP:$CP,0),1))-SEARCH(", ",INDEX(ТУ!$CE:$CE,MATCH($U53*1,ТУ!$CP:$CP,0),1),SEARCH(", ",INDEX(ТУ!$CE:$CE,MATCH($U53*1,ТУ!$CP:$CP,0),1))+1)-1),SEARCH(":",RIGHT(INDEX(ТУ!$CE:$CE,MATCH($U53*1,ТУ!$CP:$CP,0),1),LEN(INDEX(ТУ!$CE:$CE,MATCH($U53*1,ТУ!$CP:$CP,0),1))-SEARCH(", ",INDEX(ТУ!$CE:$CE,MATCH($U53*1,ТУ!$CP:$CP,0),1),SEARCH(", ",INDEX(ТУ!$CE:$CE,MATCH($U53*1,ТУ!$CP:$CP,0),1))+1)-1))-1),LEFT(INDEX(ТУ!$CE:$CE,MATCH($U53*1,ТУ!$CP:$CP,0),1),SEARCH(":",INDEX(ТУ!$CE:$CE,MATCH($U53*1,ТУ!$CP:$CP,0),1))-1)),""),IFERROR(IFERROR(LEFT(RIGHT(INDEX(УСПД!$M:$M,MATCH(IFERROR(1*LEFT(INDEX(ТУ!$CG:$CG,MATCH($U53*1,ТУ!$CP:$CP,0),1),SEARCH(" ",INDEX(ТУ!$CG:$CG,MATCH($U53*1,ТУ!$CP:$CP,0),1))-1),""),УСПД!$N:$N,0),1),LEN(INDEX(УСПД!$M:$M,MATCH(IFERROR(1*LEFT(INDEX(ТУ!$CG:$CG,MATCH($U53*1,ТУ!$CP:$CP,0),1),SEARCH(" ",INDEX(ТУ!$CG:$CG,MATCH($U53*1,ТУ!$CP:$CP,0),1))-1),""),УСПД!$N:$N,0),1))-SEARCH(", ",INDEX(УСПД!$M:$M,MATCH(IFERROR(1*LEFT(INDEX(ТУ!$CG:$CG,MATCH($U53*1,ТУ!$CP:$CP,0),1),SEARCH(" ",INDEX(ТУ!$CG:$CG,MATCH($U53*1,ТУ!$CP:$CP,0),1))-1),""),УСПД!$N:$N,0),1),SEARCH(", ",INDEX(УСПД!$M:$M,MATCH(IFERROR(1*LEFT(INDEX(ТУ!$CG:$CG,MATCH($U53*1,ТУ!$CP:$CP,0),1),SEARCH(" ",INDEX(ТУ!$CG:$CG,MATCH($U53*1,ТУ!$CP:$CP,0),1))-1),""),УСПД!$N:$N,0),1))+1)-1),SEARCH(":",RIGHT(INDEX(УСПД!$M:$M,MATCH(IFERROR(1*LEFT(INDEX(ТУ!$CG:$CG,MATCH($U53*1,ТУ!$CP:$CP,0),1),SEARCH(" ",INDEX(ТУ!$CG:$CG,MATCH($U53*1,ТУ!$CP:$CP,0),1))-1),""),УСПД!$N:$N,0),1),LEN(INDEX(УСПД!$M:$M,MATCH(IFERROR(1*LEFT(INDEX(ТУ!$CG:$CG,MATCH($U53*1,ТУ!$CP:$CP,0),1),SEARCH(" ",INDEX(ТУ!$CG:$CG,MATCH($U53*1,ТУ!$CP:$CP,0),1))-1),""),УСПД!$N:$N,0),1))-SEARCH(", ",INDEX(УСПД!$M:$M,MATCH(IFERROR(1*LEFT(INDEX(ТУ!$CG:$CG,MATCH($U53*1,ТУ!$CP:$CP,0),1),SEARCH(" ",INDEX(ТУ!$CG:$CG,MATCH($U53*1,ТУ!$CP:$CP,0),1))-1),""),УСПД!$N:$N,0),1),SEARCH(", ",INDEX(УСПД!$M:$M,MATCH(IFERROR(1*LEFT(INDEX(ТУ!$CG:$CG,MATCH($U53*1,ТУ!$CP:$CP,0),1),SEARCH(" ",INDEX(ТУ!$CG:$CG,MATCH($U53*1,ТУ!$CP:$CP,0),1))-1),""),УСПД!$N:$N,0),1))+1)-1))-1),LEFT(INDEX(УСПД!$M:$M,MATCH(IFERROR(1*LEFT(INDEX(ТУ!$CG:$CG,MATCH($U53*1,ТУ!$CP:$CP,0),1),SEARCH(" ",INDEX(ТУ!$CG:$CG,MATCH($U53*1,ТУ!$CP:$CP,0),1))-1),""),УСПД!$N:$N,0),1),SEARCH(":",INDEX(УСПД!$M:$M,MATCH(IFERROR(1*LEFT(INDEX(ТУ!$CG:$CG,MATCH($U53*1,ТУ!$CP:$CP,0),1),SEARCH(" ",INDEX(ТУ!$CG:$CG,MATCH($U53*1,ТУ!$CP:$CP,0),1))-1),""),УСПД!$N:$N,0),1))-1)),""))</f>
        <v>10.212.22.228</v>
      </c>
      <c r="BC53" s="155" t="str">
        <f>INDEX(ТУ!$AF:$AF,MATCH($U53*1,ТУ!$CP:$CP,0),1)</f>
        <v>ТП-АСУМБ 10.05</v>
      </c>
      <c r="BD53" s="155">
        <f>INDEX(ТУ!$X:$X,MATCH($U53*1,ТУ!$CP:$CP,0),1)</f>
        <v>0</v>
      </c>
      <c r="BE53" s="155">
        <f>INDEX(ТУ!$CL:$CL,MATCH($U53*1,ТУ!$CP:$CP,0),1)</f>
        <v>0</v>
      </c>
      <c r="BF53" s="147" t="str">
        <f>IFERROR(INDEX(естьАЦ!$A:$A,MATCH($U53*1,естьАЦ!$A:$A,0),1),"нет в АЦ")</f>
        <v>нет в АЦ</v>
      </c>
    </row>
    <row r="54" spans="1:58" ht="15" x14ac:dyDescent="0.25">
      <c r="A54" s="55">
        <f>3</f>
        <v>3</v>
      </c>
      <c r="B54" s="42" t="str">
        <f>IFERROR(IFERROR(INDEX(Справочники!$A$2:$P$79,MATCH(INDEX(ТУ!$E:$E,MATCH($U54*1,ТУ!$CP:$CP,0),1),Справочники!$P$2:$P$79,0),2),INDEX(Справочники!$A$2:$P$79,MATCH((INDEX(ТУ!$E:$E,MATCH($U54*1,ТУ!$CP:$CP,0),1))*1,Справочники!$P$2:$P$79,0),2)),"")</f>
        <v>04 р-н МКС (ЮОРУПЭ)</v>
      </c>
      <c r="C54" s="46" t="str">
        <f>IFERROR(TRIM(LEFT(INDEX(ТУ!$AF:$AF,MATCH($U54*1,ТУ!$CP:$CP,0),1),SEARCH("-",INDEX(ТУ!$AF:$AF,MATCH($U54*1,ТУ!$CP:$CP,0),1))-1)),IFERROR(LEFT(INDEX(ТУ!$X:$X,MATCH($U54*1,ТУ!$CP:$CP,0),1),SEARCH("-",INDEX(ТУ!$X:$X,MATCH($U54*1,ТУ!$CP:$CP,0),1))-1),"ТП"))</f>
        <v>РП</v>
      </c>
      <c r="D54" s="47" t="str">
        <f>IF(TRIM(IF(ISNUMBER((IFERROR(RIGHT(INDEX(ТУ!$AF:$AF,MATCH($U54*1,ТУ!$CP:$CP,0),1),LEN(INDEX(ТУ!$AF:$AF,MATCH($U54*1,ТУ!$CP:$CP,0),1))-SEARCH("-",INDEX(ТУ!$AF:$AF,MATCH($U54*1,ТУ!$CP:$CP,0),1))),INDEX(ТУ!$AF:$AF,MATCH($U54*1,ТУ!$CP:$CP,0),1)))*1),IFERROR(RIGHT(INDEX(ТУ!$AF:$AF,MATCH($U54*1,ТУ!$CP:$CP,0),1),LEN(INDEX(ТУ!$AF:$AF,MATCH($U54*1,ТУ!$CP:$CP,0),1))-SEARCH("-",INDEX(ТУ!$AF:$AF,MATCH($U54*1,ТУ!$CP:$CP,0),1))),INDEX(ТУ!$AF:$AF,MATCH($U54*1,ТУ!$CP:$CP,0),1)),""))="",TRIM(IF(ISNUMBER((IFERROR(RIGHT(INDEX(ТУ!$X:$X,MATCH($U54*1,ТУ!$CP:$CP,0),1),LEN(INDEX(ТУ!$X:$X,MATCH($U54*1,ТУ!$CP:$CP,0),1))-SEARCH("-",INDEX(ТУ!$X:$X,MATCH($U54*1,ТУ!$CP:$CP,0),1))),INDEX(ТУ!$X:$X,MATCH($U54*1,ТУ!$CP:$CP,0),1)))*1),IFERROR(RIGHT(INDEX(ТУ!$X:$X,MATCH($U54*1,ТУ!$CP:$CP,0),1),LEN(INDEX(ТУ!$X:$X,MATCH($U54*1,ТУ!$CP:$CP,0),1))-SEARCH("-",INDEX(ТУ!$X:$X,MATCH($U54*1,ТУ!$CP:$CP,0),1))),INDEX(ТУ!$X:$X,MATCH($U54*1,ТУ!$CP:$CP,0),1)),"")),TRIM(IF(ISNUMBER((IFERROR(RIGHT(INDEX(ТУ!$AF:$AF,MATCH($U54*1,ТУ!$CP:$CP,0),1),LEN(INDEX(ТУ!$AF:$AF,MATCH($U54*1,ТУ!$CP:$CP,0),1))-SEARCH("-",INDEX(ТУ!$AF:$AF,MATCH($U54*1,ТУ!$CP:$CP,0),1))),INDEX(ТУ!$AF:$AF,MATCH($U54*1,ТУ!$CP:$CP,0),1)))*1),IFERROR(RIGHT(INDEX(ТУ!$AF:$AF,MATCH($U54*1,ТУ!$CP:$CP,0),1),LEN(INDEX(ТУ!$AF:$AF,MATCH($U54*1,ТУ!$CP:$CP,0),1))-SEARCH("-",INDEX(ТУ!$AF:$AF,MATCH($U54*1,ТУ!$CP:$CP,0),1))),INDEX(ТУ!$AF:$AF,MATCH($U54*1,ТУ!$CP:$CP,0),1)),"")))</f>
        <v>29063</v>
      </c>
      <c r="E54" s="25" t="str">
        <f t="shared" si="2"/>
        <v>МКС</v>
      </c>
      <c r="F54" s="20">
        <f t="shared" si="3"/>
        <v>78</v>
      </c>
      <c r="G54" s="21">
        <f t="shared" si="4"/>
        <v>2</v>
      </c>
      <c r="H54" s="25" t="str">
        <f t="shared" si="5"/>
        <v>РП-29063</v>
      </c>
      <c r="I54" s="25" t="str">
        <f t="shared" si="6"/>
        <v>78229063</v>
      </c>
      <c r="J54" s="42" t="str">
        <f>INDEX(Справочники!$M:$M,MATCH(IF(INDEX(ТУ!$BO:$BO,MATCH($U54*1,ТУ!$CP:$CP,0),1)=1,1,INDEX(ТУ!$BO:$BO,MATCH($U54*1,ТУ!$CP:$CP,0),1)*100),Справочники!$N:$N,0),1)</f>
        <v>10 кВ</v>
      </c>
      <c r="K54" s="40">
        <f>1</f>
        <v>1</v>
      </c>
      <c r="L54" s="20" t="str">
        <f t="shared" si="7"/>
        <v>СШ-1</v>
      </c>
      <c r="M54" s="20">
        <f t="shared" si="8"/>
        <v>1</v>
      </c>
      <c r="N54" s="40"/>
      <c r="O54" s="56" t="str">
        <f t="shared" si="9"/>
        <v>Ввод-1-1</v>
      </c>
      <c r="P54" s="57" t="str">
        <f>IFERROR(IF(INDEX(ТУ!$AO:$AO,MATCH($U54*1,ТУ!$CP:$CP,0),1)=0,"",INDEX(ТУ!$AO:$AO,MATCH($U54*1,ТУ!$CP:$CP,0),1)),"")</f>
        <v/>
      </c>
      <c r="Q54" s="40">
        <f>IFERROR(IF(INDEX(ТУ!$BN:$BN,MATCH($U54*1,ТУ!$CP:$CP,0),1)=1,1,INDEX(ТУ!$BN:$BN,MATCH($U54*1,ТУ!$CP:$CP,0),1)*5),"")</f>
        <v>200</v>
      </c>
      <c r="R54" s="25">
        <f t="shared" si="10"/>
        <v>5</v>
      </c>
      <c r="S54" s="25">
        <f t="shared" si="11"/>
        <v>10000</v>
      </c>
      <c r="T54" s="25">
        <f t="shared" si="12"/>
        <v>100</v>
      </c>
      <c r="U54" s="105" t="s">
        <v>1027</v>
      </c>
      <c r="V54" s="43">
        <f>IF(INDEX(ТУ!$BH:$BH,MATCH($U54*1,ТУ!$CP:$CP,0),1)=0,"",INDEX(ТУ!$BH:$BH,MATCH($U54*1,ТУ!$CP:$CP,0),1))</f>
        <v>45622</v>
      </c>
      <c r="W54" s="43" t="str">
        <f>IF(INDEX(ТУ!$BI:$BI,MATCH($U54*1,ТУ!$CP:$CP,0),1)=0,"",INDEX(ТУ!$BI:$BI,MATCH($U54*1,ТУ!$CP:$CP,0),1))</f>
        <v>01.01.2022</v>
      </c>
      <c r="X54" s="58" t="str">
        <f t="shared" si="13"/>
        <v>СЭТ-4ТМ</v>
      </c>
      <c r="Y54" s="25">
        <f t="shared" si="14"/>
        <v>7</v>
      </c>
      <c r="Z54" s="42" t="str">
        <f t="shared" si="15"/>
        <v/>
      </c>
      <c r="AA54" s="25" t="str">
        <f t="shared" si="16"/>
        <v/>
      </c>
      <c r="AB54" s="40" t="str">
        <f>IF(ISNUMBER(SEARCH("Приборы с поддержкой протокола СПОДЭС - Нартис-И300 (СПОДЭС)",INDEX(ТУ!$BD:$BD,MATCH($U54*1,ТУ!$CP:$CP,0),1))),"Нартис-И300",
IF(ISNUMBER(SEARCH("Приборы с поддержкой протокола СПОДЭС - Меркурий 234 (СПОДЭС)",INDEX(ТУ!$BD:$BD,MATCH($U54*1,ТУ!$CP:$CP,0),1))),"Меркурий 234 (СПОДЭС)",
IF(ISNUMBER(SEARCH("Приборы с поддержкой протокола СПОДЭС - Нартис-300 (СПОДЭС)",INDEX(ТУ!$BD:$BD,MATCH($U54*1,ТУ!$CP:$CP,0),1))),"Нартис-300",
IF(ISNUMBER(SEARCH("Инкотекс - Меркурий 234",INDEX(ТУ!$BD:$BD,MATCH($U54*1,ТУ!$CP:$CP,0),1))),"Меркурий 234",
IF(ISNUMBER(SEARCH("Инкотекс - Меркурий 206",INDEX(ТУ!$BD:$BD,MATCH($U54*1,ТУ!$CP:$CP,0),1))),"Меркурий 206",
IF(ISNUMBER(SEARCH("Приборы с поддержкой протокола СПОДЭС - Универсальный счетчик СПОДЭС 2 трехфазный",INDEX(ТУ!$BD:$BD,MATCH($U54*1,ТУ!$CP:$CP,0),1))),"Нартис-И300",
IF(ISNUMBER(SEARCH("Приборы с поддержкой протокола СПОДЭС - Универсальный счетчик СПОДЭС 2 однофазный",INDEX(ТУ!$BD:$BD,MATCH($U54*1,ТУ!$CP:$CP,0),1))),"Нартис-И100",
IF(ISNUMBER(SEARCH("Приборы с поддержкой протокола СПОДЭС - Нартис-И100 (СПОДЭС)",INDEX(ТУ!$BD:$BD,MATCH($U54*1,ТУ!$CP:$CP,0),1))),"Нартис-И100",
IF(ISNUMBER(SEARCH("Приборы с поддержкой протокола СПОДЭС - СЕ308 (СПОДЭС)",INDEX(ТУ!$BD:$BD,MATCH($U54*1,ТУ!$CP:$CP,0),1))),"СЕ308 (СПОДЭС)",
IF(ISNUMBER(SEARCH("Приборы с поддержкой протокола СПОДЭС - СЕ207 (СПОДЭС)",INDEX(ТУ!$BD:$BD,MATCH($U54*1,ТУ!$CP:$CP,0),1))),"СЕ207 (СПОДЭС)",
IF(ISNUMBER(SEARCH("Приборы с поддержкой протокола СПОДЭС - СТЭМ-300 (СПОДЭС)",INDEX(ТУ!$BD:$BD,MATCH($U54*1,ТУ!$CP:$CP,0),1))),"СТЭМ-300 (СПОДЭС)",
IF(ISNUMBER(SEARCH("ТехноЭнерго - ТЕ3000",INDEX(ТУ!$BD:$BD,MATCH($U54*1,ТУ!$CP:$CP,0),1))),"ТЕ3000",
IF(ISNUMBER(SEARCH("НЗиФ - СЭТ-4ТМ",INDEX(ТУ!$BD:$BD,MATCH($U54*1,ТУ!$CP:$CP,0),1))),"СЭТ-4ТМ",
INDEX(ТУ!$BD:$BD,MATCH($U54*1,ТУ!$CP:$CP,0),1)
)))))))))))))</f>
        <v>СЭТ-4ТМ</v>
      </c>
      <c r="AC54" s="40" t="s">
        <v>2</v>
      </c>
      <c r="AD54" s="40" t="str">
        <f>IF(ISNUMBER(IFERROR(LEFT(IF(INDEX(ТУ!$CI:$CI,MATCH($U54*1,ТУ!$CP:$CP,0),1)=0,"",INDEX(ТУ!$CI:$CI,MATCH($U54*1,ТУ!$CP:$CP,0),1)),SEARCH(" ",IF(INDEX(ТУ!$CI:$CI,MATCH($U54*1,ТУ!$CP:$CP,0),1)=0,"",INDEX(ТУ!$CI:$CI,MATCH($U54*1,ТУ!$CP:$CP,0),1)),1)-1),"")*1),IFERROR(LEFT(IF(INDEX(ТУ!$CI:$CI,MATCH($U54*1,ТУ!$CP:$CP,0),1)=0,"",INDEX(ТУ!$CI:$CI,MATCH($U54*1,ТУ!$CP:$CP,0),1)),SEARCH(" ",IF(INDEX(ТУ!$CI:$CI,MATCH($U54*1,ТУ!$CP:$CP,0),1)=0,"",INDEX(ТУ!$CI:$CI,MATCH($U54*1,ТУ!$CP:$CP,0),1)),1)-1),""),"")</f>
        <v/>
      </c>
      <c r="AE54" s="40" t="str">
        <f>IF(INDEX(ТУ!$CB:$CB,MATCH($U54*1,ТУ!$CP:$CP,0),1)=0,INDEX(Adr!$B:$B,MATCH($U54*1,Adr!$C:$C,0),1),INDEX(ТУ!$CB:$CB,MATCH($U54*1,ТУ!$CP:$CP,0),1))</f>
        <v>117</v>
      </c>
      <c r="AF54" s="45" t="str">
        <f>IF(INDEX(ТУ!$CD:$CD,MATCH($U54*1,ТУ!$CP:$CP,0),1)=0,"",INDEX(ТУ!$CD:$CD,MATCH($U54*1,ТУ!$CP:$CP,0),1))</f>
        <v>000000</v>
      </c>
      <c r="AG54" s="45">
        <f>0</f>
        <v>0</v>
      </c>
      <c r="AH54" s="26">
        <f t="shared" si="17"/>
        <v>78</v>
      </c>
      <c r="AI54" s="20" t="str">
        <f t="shared" si="18"/>
        <v>782290631</v>
      </c>
      <c r="AJ54" s="41" t="str">
        <f t="shared" si="1"/>
        <v/>
      </c>
      <c r="AK54" s="41" t="str">
        <f>IF($AP54="",IFERROR(IFERROR(LEFT(RIGHT(INDEX(ТУ!$CE:$CE,MATCH($U54*1,ТУ!$CP:$CP,0),1),LEN(INDEX(ТУ!$CE:$CE,MATCH($U54*1,ТУ!$CP:$CP,0),1))-SEARCH(":",INDEX(ТУ!$CE:$CE,MATCH($U54*1,ТУ!$CP:$CP,0),1))),SEARCH("/",RIGHT(INDEX(ТУ!$CE:$CE,MATCH($U54*1,ТУ!$CP:$CP,0),1),LEN(INDEX(ТУ!$CE:$CE,MATCH($U54*1,ТУ!$CP:$CP,0),1))-SEARCH(":",INDEX(ТУ!$CE:$CE,MATCH($U54*1,ТУ!$CP:$CP,0),1))))-1), RIGHT(INDEX(ТУ!$CE:$CE,MATCH($U54*1,ТУ!$CP:$CP,0),1),LEN(INDEX(ТУ!$CE:$CE,MATCH($U54*1,ТУ!$CP:$CP,0),1))-SEARCH(":",INDEX(ТУ!$CE:$CE,MATCH($U54*1,ТУ!$CP:$CP,0),1)))), ""),IFERROR(IFERROR(LEFT(RIGHT(INDEX(УСПД!$M:$M,MATCH(IFERROR(1*LEFT(INDEX(ТУ!$CG:$CG,MATCH($U54*1,ТУ!$CP:$CP,0),1),SEARCH(" ",INDEX(ТУ!$CG:$CG,MATCH($U54*1,ТУ!$CP:$CP,0),1))-1),""),УСПД!$N:$N,0),1),LEN(INDEX(УСПД!$M:$M,MATCH(IFERROR(1*LEFT(INDEX(ТУ!$CG:$CG,MATCH($U54*1,ТУ!$CP:$CP,0),1),SEARCH(" ",INDEX(ТУ!$CG:$CG,MATCH($U54*1,ТУ!$CP:$CP,0),1))-1),""),УСПД!$N:$N,0),1))-SEARCH(":",INDEX(УСПД!$M:$M,MATCH(IFERROR(1*LEFT(INDEX(ТУ!$CG:$CG,MATCH($U54*1,ТУ!$CP:$CP,0),1),SEARCH(" ",INDEX(ТУ!$CG:$CG,MATCH($U54*1,ТУ!$CP:$CP,0),1))-1),""),УСПД!$N:$N,0),1))),SEARCH("/",RIGHT(INDEX(УСПД!$M:$M,MATCH(IFERROR(1*LEFT(INDEX(ТУ!$CG:$CG,MATCH($U54*1,ТУ!$CP:$CP,0),1),SEARCH(" ",INDEX(ТУ!$CG:$CG,MATCH($U54*1,ТУ!$CP:$CP,0),1))-1),""),УСПД!$N:$N,0),1),LEN(INDEX(УСПД!$M:$M,MATCH(IFERROR(1*LEFT(INDEX(ТУ!$CG:$CG,MATCH($U54*1,ТУ!$CP:$CP,0),1),SEARCH(" ",INDEX(ТУ!$CG:$CG,MATCH($U54*1,ТУ!$CP:$CP,0),1))-1),""),УСПД!$N:$N,0),1))-SEARCH(":",INDEX(УСПД!$M:$M,MATCH(IFERROR(1*LEFT(INDEX(ТУ!$CG:$CG,MATCH($U54*1,ТУ!$CP:$CP,0),1),SEARCH(" ",INDEX(ТУ!$CG:$CG,MATCH($U54*1,ТУ!$CP:$CP,0),1))-1),""),УСПД!$N:$N,0),1))))-1), RIGHT(INDEX(УСПД!$M:$M,MATCH(IFERROR(1*LEFT(INDEX(ТУ!$CG:$CG,MATCH($U54*1,ТУ!$CP:$CP,0),1),SEARCH(" ",INDEX(ТУ!$CG:$CG,MATCH($U54*1,ТУ!$CP:$CP,0),1))-1),""),УСПД!$N:$N,0),1),LEN(INDEX(УСПД!$M:$M,MATCH(IFERROR(1*LEFT(INDEX(ТУ!$CG:$CG,MATCH($U54*1,ТУ!$CP:$CP,0),1),SEARCH(" ",INDEX(ТУ!$CG:$CG,MATCH($U54*1,ТУ!$CP:$CP,0),1))-1),""),УСПД!$N:$N,0),1))-SEARCH(":",INDEX(УСПД!$M:$M,MATCH(IFERROR(1*LEFT(INDEX(ТУ!$CG:$CG,MATCH($U54*1,ТУ!$CP:$CP,0),1),SEARCH(" ",INDEX(ТУ!$CG:$CG,MATCH($U54*1,ТУ!$CP:$CP,0),1))-1),""),УСПД!$N:$N,0),1)))), ""))</f>
        <v/>
      </c>
      <c r="AL54" s="41"/>
      <c r="AM54" s="57" t="str">
        <f>IFERROR(IFERROR(INDEX(Tel!$B:$B,MATCH($AJ54,Tel!$E:$E,0),1),INDEX(Tel!$B:$B,MATCH($AJ54,Tel!$D:$D,0),1)),"")</f>
        <v/>
      </c>
      <c r="AN54" s="59" t="str">
        <f>IF(ISNUMBER(SEARCH("ТОПАЗ - ТОПАЗ УСПД",IFERROR(RIGHT(LEFT(INDEX(ТУ!$CG:$CG,MATCH($U54*1,ТУ!$CP:$CP,0),1),SEARCH(")",INDEX(ТУ!$CG:$CG,MATCH($U54*1,ТУ!$CP:$CP,0),1))-1),LEN(LEFT(INDEX(ТУ!$CG:$CG,MATCH($U54*1,ТУ!$CP:$CP,0),1),SEARCH(")",INDEX(ТУ!$CG:$CG,MATCH($U54*1,ТУ!$CP:$CP,0),1))-1))-SEARCH("(",INDEX(ТУ!$CG:$CG,MATCH($U54*1,ТУ!$CP:$CP,0),1))),""),1)),"RTU-327",
IF(ISNUMBER(SEARCH("TELEOFIS",$AP54)),"Модем",
""))</f>
        <v>RTU-327</v>
      </c>
      <c r="AO54" s="27">
        <f t="shared" si="24"/>
        <v>7</v>
      </c>
      <c r="AP54" s="57" t="str">
        <f>IF(ISNUMBER(SEARCH("Миландр - Милур GSM/GPRS модем",IFERROR(RIGHT(LEFT(INDEX(ТУ!$CG:$CG,MATCH($U54*1,ТУ!$CP:$CP,0),1),SEARCH(")",INDEX(ТУ!$CG:$CG,MATCH($U54*1,ТУ!$CP:$CP,0),1))-1),LEN(LEFT(INDEX(ТУ!$CG:$CG,MATCH($U54*1,ТУ!$CP:$CP,0),1),SEARCH(")",INDEX(ТУ!$CG:$CG,MATCH($U54*1,ТУ!$CP:$CP,0),1))-1))-SEARCH("(",INDEX(ТУ!$CG:$CG,MATCH($U54*1,ТУ!$CP:$CP,0),1))),""),1)), "TELEOFIS WRX708-L4",IFERROR(RIGHT(LEFT(INDEX(ТУ!$CG:$CG,MATCH($U54*1,ТУ!$CP:$CP,0),1),SEARCH(")",INDEX(ТУ!$CG:$CG,MATCH($U54*1,ТУ!$CP:$CP,0),1))-1),LEN(LEFT(INDEX(ТУ!$CG:$CG,MATCH($U54*1,ТУ!$CP:$CP,0),1),SEARCH(")",INDEX(ТУ!$CG:$CG,MATCH($U54*1,ТУ!$CP:$CP,0),1))-1))-SEARCH("(",INDEX(ТУ!$CG:$CG,MATCH($U54*1,ТУ!$CP:$CP,0),1))),""))</f>
        <v>ТОПАЗ - ТОПАЗ УСПД</v>
      </c>
      <c r="AQ54" s="57" t="str">
        <f>IFERROR(IF(INDEX(УСПД!$K:$K,MATCH($AS54*1,УСПД!$N:$N,0),1)=0,"",INDEX(УСПД!$K:$K,MATCH($AS54*1,УСПД!$N:$N,0),1)),"")</f>
        <v/>
      </c>
      <c r="AR54" s="57" t="str">
        <f>IFERROR(IF(INDEX(УСПД!$L:$L,MATCH($AS54*1,УСПД!$N:$N,0),1)=0,"",INDEX(УСПД!$L:$L,MATCH($AS54*1,УСПД!$N:$N,0),1)),"")</f>
        <v/>
      </c>
      <c r="AS54" s="60" t="str">
        <f>IFERROR(LEFT(INDEX(ТУ!$CG:$CG,MATCH($U54*1,ТУ!$CP:$CP,0),1),SEARCH(" ",INDEX(ТУ!$CG:$CG,MATCH($U54*1,ТУ!$CP:$CP,0),1))-1),"")</f>
        <v>2400014442</v>
      </c>
      <c r="AT54" s="59" t="s">
        <v>360</v>
      </c>
      <c r="AU54" s="59">
        <f>3</f>
        <v>3</v>
      </c>
      <c r="AV54" s="59" t="s">
        <v>368</v>
      </c>
      <c r="AW54" s="149">
        <f t="shared" si="19"/>
        <v>56</v>
      </c>
      <c r="AX54" s="149">
        <f t="shared" si="20"/>
        <v>7</v>
      </c>
      <c r="AY54" s="149" t="str">
        <f t="shared" si="21"/>
        <v/>
      </c>
      <c r="AZ54" s="149">
        <f t="shared" si="22"/>
        <v>6</v>
      </c>
      <c r="BA54" s="149">
        <f t="shared" si="23"/>
        <v>3</v>
      </c>
      <c r="BB54" s="154" t="str">
        <f>IF($AP54="",IFERROR(IFERROR(LEFT(RIGHT(INDEX(ТУ!$CE:$CE,MATCH($U54*1,ТУ!$CP:$CP,0),1),LEN(INDEX(ТУ!$CE:$CE,MATCH($U54*1,ТУ!$CP:$CP,0),1))-SEARCH(", ",INDEX(ТУ!$CE:$CE,MATCH($U54*1,ТУ!$CP:$CP,0),1),SEARCH(", ",INDEX(ТУ!$CE:$CE,MATCH($U54*1,ТУ!$CP:$CP,0),1))+1)-1),SEARCH(":",RIGHT(INDEX(ТУ!$CE:$CE,MATCH($U54*1,ТУ!$CP:$CP,0),1),LEN(INDEX(ТУ!$CE:$CE,MATCH($U54*1,ТУ!$CP:$CP,0),1))-SEARCH(", ",INDEX(ТУ!$CE:$CE,MATCH($U54*1,ТУ!$CP:$CP,0),1),SEARCH(", ",INDEX(ТУ!$CE:$CE,MATCH($U54*1,ТУ!$CP:$CP,0),1))+1)-1))-1),LEFT(INDEX(ТУ!$CE:$CE,MATCH($U54*1,ТУ!$CP:$CP,0),1),SEARCH(":",INDEX(ТУ!$CE:$CE,MATCH($U54*1,ТУ!$CP:$CP,0),1))-1)),""),IFERROR(IFERROR(LEFT(RIGHT(INDEX(УСПД!$M:$M,MATCH(IFERROR(1*LEFT(INDEX(ТУ!$CG:$CG,MATCH($U54*1,ТУ!$CP:$CP,0),1),SEARCH(" ",INDEX(ТУ!$CG:$CG,MATCH($U54*1,ТУ!$CP:$CP,0),1))-1),""),УСПД!$N:$N,0),1),LEN(INDEX(УСПД!$M:$M,MATCH(IFERROR(1*LEFT(INDEX(ТУ!$CG:$CG,MATCH($U54*1,ТУ!$CP:$CP,0),1),SEARCH(" ",INDEX(ТУ!$CG:$CG,MATCH($U54*1,ТУ!$CP:$CP,0),1))-1),""),УСПД!$N:$N,0),1))-SEARCH(", ",INDEX(УСПД!$M:$M,MATCH(IFERROR(1*LEFT(INDEX(ТУ!$CG:$CG,MATCH($U54*1,ТУ!$CP:$CP,0),1),SEARCH(" ",INDEX(ТУ!$CG:$CG,MATCH($U54*1,ТУ!$CP:$CP,0),1))-1),""),УСПД!$N:$N,0),1),SEARCH(", ",INDEX(УСПД!$M:$M,MATCH(IFERROR(1*LEFT(INDEX(ТУ!$CG:$CG,MATCH($U54*1,ТУ!$CP:$CP,0),1),SEARCH(" ",INDEX(ТУ!$CG:$CG,MATCH($U54*1,ТУ!$CP:$CP,0),1))-1),""),УСПД!$N:$N,0),1))+1)-1),SEARCH(":",RIGHT(INDEX(УСПД!$M:$M,MATCH(IFERROR(1*LEFT(INDEX(ТУ!$CG:$CG,MATCH($U54*1,ТУ!$CP:$CP,0),1),SEARCH(" ",INDEX(ТУ!$CG:$CG,MATCH($U54*1,ТУ!$CP:$CP,0),1))-1),""),УСПД!$N:$N,0),1),LEN(INDEX(УСПД!$M:$M,MATCH(IFERROR(1*LEFT(INDEX(ТУ!$CG:$CG,MATCH($U54*1,ТУ!$CP:$CP,0),1),SEARCH(" ",INDEX(ТУ!$CG:$CG,MATCH($U54*1,ТУ!$CP:$CP,0),1))-1),""),УСПД!$N:$N,0),1))-SEARCH(", ",INDEX(УСПД!$M:$M,MATCH(IFERROR(1*LEFT(INDEX(ТУ!$CG:$CG,MATCH($U54*1,ТУ!$CP:$CP,0),1),SEARCH(" ",INDEX(ТУ!$CG:$CG,MATCH($U54*1,ТУ!$CP:$CP,0),1))-1),""),УСПД!$N:$N,0),1),SEARCH(", ",INDEX(УСПД!$M:$M,MATCH(IFERROR(1*LEFT(INDEX(ТУ!$CG:$CG,MATCH($U54*1,ТУ!$CP:$CP,0),1),SEARCH(" ",INDEX(ТУ!$CG:$CG,MATCH($U54*1,ТУ!$CP:$CP,0),1))-1),""),УСПД!$N:$N,0),1))+1)-1))-1),LEFT(INDEX(УСПД!$M:$M,MATCH(IFERROR(1*LEFT(INDEX(ТУ!$CG:$CG,MATCH($U54*1,ТУ!$CP:$CP,0),1),SEARCH(" ",INDEX(ТУ!$CG:$CG,MATCH($U54*1,ТУ!$CP:$CP,0),1))-1),""),УСПД!$N:$N,0),1),SEARCH(":",INDEX(УСПД!$M:$M,MATCH(IFERROR(1*LEFT(INDEX(ТУ!$CG:$CG,MATCH($U54*1,ТУ!$CP:$CP,0),1),SEARCH(" ",INDEX(ТУ!$CG:$CG,MATCH($U54*1,ТУ!$CP:$CP,0),1))-1),""),УСПД!$N:$N,0),1))-1)),""))</f>
        <v/>
      </c>
      <c r="BC54" s="155">
        <f>INDEX(ТУ!$AF:$AF,MATCH($U54*1,ТУ!$CP:$CP,0),1)</f>
        <v>0</v>
      </c>
      <c r="BD54" s="155" t="str">
        <f>INDEX(ТУ!$X:$X,MATCH($U54*1,ТУ!$CP:$CP,0),1)</f>
        <v>РП-29063</v>
      </c>
      <c r="BE54" s="155" t="str">
        <f>INDEX(ТУ!$CL:$CL,MATCH($U54*1,ТУ!$CP:$CP,0),1)</f>
        <v>Тех.учет</v>
      </c>
      <c r="BF54" s="147" t="str">
        <f>IFERROR(INDEX(естьАЦ!$A:$A,MATCH($U54*1,естьАЦ!$A:$A,0),1),"нет в АЦ")</f>
        <v>нет в АЦ</v>
      </c>
    </row>
    <row r="55" spans="1:58" ht="25.5" x14ac:dyDescent="0.25">
      <c r="A55" s="55">
        <f>3</f>
        <v>3</v>
      </c>
      <c r="B55" s="42" t="str">
        <f>IFERROR(IFERROR(INDEX(Справочники!$A$2:$P$79,MATCH(INDEX(ТУ!$E:$E,MATCH($U55*1,ТУ!$CP:$CP,0),1),Справочники!$P$2:$P$79,0),2),INDEX(Справочники!$A$2:$P$79,MATCH((INDEX(ТУ!$E:$E,MATCH($U55*1,ТУ!$CP:$CP,0),1))*1,Справочники!$P$2:$P$79,0),2)),"")</f>
        <v/>
      </c>
      <c r="C55" s="46" t="str">
        <f>IFERROR(TRIM(LEFT(INDEX(ТУ!$AF:$AF,MATCH($U55*1,ТУ!$CP:$CP,0),1),SEARCH("-",INDEX(ТУ!$AF:$AF,MATCH($U55*1,ТУ!$CP:$CP,0),1))-1)),IFERROR(LEFT(INDEX(ТУ!$X:$X,MATCH($U55*1,ТУ!$CP:$CP,0),1),SEARCH("-",INDEX(ТУ!$X:$X,MATCH($U55*1,ТУ!$CP:$CP,0),1))-1),"ТП"))</f>
        <v>ТП</v>
      </c>
      <c r="D55" s="47" t="str">
        <f>IF(TRIM(IF(ISNUMBER((IFERROR(RIGHT(INDEX(ТУ!$AF:$AF,MATCH($U55*1,ТУ!$CP:$CP,0),1),LEN(INDEX(ТУ!$AF:$AF,MATCH($U55*1,ТУ!$CP:$CP,0),1))-SEARCH("-",INDEX(ТУ!$AF:$AF,MATCH($U55*1,ТУ!$CP:$CP,0),1))),INDEX(ТУ!$AF:$AF,MATCH($U55*1,ТУ!$CP:$CP,0),1)))*1),IFERROR(RIGHT(INDEX(ТУ!$AF:$AF,MATCH($U55*1,ТУ!$CP:$CP,0),1),LEN(INDEX(ТУ!$AF:$AF,MATCH($U55*1,ТУ!$CP:$CP,0),1))-SEARCH("-",INDEX(ТУ!$AF:$AF,MATCH($U55*1,ТУ!$CP:$CP,0),1))),INDEX(ТУ!$AF:$AF,MATCH($U55*1,ТУ!$CP:$CP,0),1)),""))="",TRIM(IF(ISNUMBER((IFERROR(RIGHT(INDEX(ТУ!$X:$X,MATCH($U55*1,ТУ!$CP:$CP,0),1),LEN(INDEX(ТУ!$X:$X,MATCH($U55*1,ТУ!$CP:$CP,0),1))-SEARCH("-",INDEX(ТУ!$X:$X,MATCH($U55*1,ТУ!$CP:$CP,0),1))),INDEX(ТУ!$X:$X,MATCH($U55*1,ТУ!$CP:$CP,0),1)))*1),IFERROR(RIGHT(INDEX(ТУ!$X:$X,MATCH($U55*1,ТУ!$CP:$CP,0),1),LEN(INDEX(ТУ!$X:$X,MATCH($U55*1,ТУ!$CP:$CP,0),1))-SEARCH("-",INDEX(ТУ!$X:$X,MATCH($U55*1,ТУ!$CP:$CP,0),1))),INDEX(ТУ!$X:$X,MATCH($U55*1,ТУ!$CP:$CP,0),1)),"")),TRIM(IF(ISNUMBER((IFERROR(RIGHT(INDEX(ТУ!$AF:$AF,MATCH($U55*1,ТУ!$CP:$CP,0),1),LEN(INDEX(ТУ!$AF:$AF,MATCH($U55*1,ТУ!$CP:$CP,0),1))-SEARCH("-",INDEX(ТУ!$AF:$AF,MATCH($U55*1,ТУ!$CP:$CP,0),1))),INDEX(ТУ!$AF:$AF,MATCH($U55*1,ТУ!$CP:$CP,0),1)))*1),IFERROR(RIGHT(INDEX(ТУ!$AF:$AF,MATCH($U55*1,ТУ!$CP:$CP,0),1),LEN(INDEX(ТУ!$AF:$AF,MATCH($U55*1,ТУ!$CP:$CP,0),1))-SEARCH("-",INDEX(ТУ!$AF:$AF,MATCH($U55*1,ТУ!$CP:$CP,0),1))),INDEX(ТУ!$AF:$AF,MATCH($U55*1,ТУ!$CP:$CP,0),1)),"")))</f>
        <v/>
      </c>
      <c r="E55" s="25" t="str">
        <f t="shared" si="2"/>
        <v/>
      </c>
      <c r="F55" s="20" t="str">
        <f t="shared" si="3"/>
        <v/>
      </c>
      <c r="G55" s="21">
        <f t="shared" si="4"/>
        <v>5</v>
      </c>
      <c r="H55" s="25" t="str">
        <f t="shared" si="5"/>
        <v>ТП-</v>
      </c>
      <c r="I55" s="25" t="str">
        <f t="shared" si="6"/>
        <v>500000</v>
      </c>
      <c r="J55" s="42" t="str">
        <f>INDEX(Справочники!$M:$M,MATCH(IF(INDEX(ТУ!$BO:$BO,MATCH($U55*1,ТУ!$CP:$CP,0),1)=1,1,INDEX(ТУ!$BO:$BO,MATCH($U55*1,ТУ!$CP:$CP,0),1)*100),Справочники!$N:$N,0),1)</f>
        <v>0.4 кВ</v>
      </c>
      <c r="K55" s="40">
        <f>1</f>
        <v>1</v>
      </c>
      <c r="L55" s="20" t="str">
        <f t="shared" si="7"/>
        <v>СШ-1</v>
      </c>
      <c r="M55" s="20">
        <f t="shared" si="8"/>
        <v>1</v>
      </c>
      <c r="N55" s="40"/>
      <c r="O55" s="56" t="str">
        <f t="shared" si="9"/>
        <v>Ввод-1-1</v>
      </c>
      <c r="P55" s="57" t="str">
        <f>IFERROR(IF(INDEX(ТУ!$AO:$AO,MATCH($U55*1,ТУ!$CP:$CP,0),1)=0,"",INDEX(ТУ!$AO:$AO,MATCH($U55*1,ТУ!$CP:$CP,0),1)),"")</f>
        <v>САО_ вв абонента 38</v>
      </c>
      <c r="Q55" s="40">
        <f>IFERROR(IF(INDEX(ТУ!$BN:$BN,MATCH($U55*1,ТУ!$CP:$CP,0),1)=1,1,INDEX(ТУ!$BN:$BN,MATCH($U55*1,ТУ!$CP:$CP,0),1)*5),"")</f>
        <v>1</v>
      </c>
      <c r="R55" s="25">
        <f t="shared" si="10"/>
        <v>1</v>
      </c>
      <c r="S55" s="25">
        <f t="shared" si="11"/>
        <v>1</v>
      </c>
      <c r="T55" s="25">
        <f t="shared" si="12"/>
        <v>1</v>
      </c>
      <c r="U55" s="105" t="s">
        <v>1041</v>
      </c>
      <c r="V55" s="43">
        <f>IF(INDEX(ТУ!$BH:$BH,MATCH($U55*1,ТУ!$CP:$CP,0),1)=0,"",INDEX(ТУ!$BH:$BH,MATCH($U55*1,ТУ!$CP:$CP,0),1))</f>
        <v>44786</v>
      </c>
      <c r="W55" s="43" t="str">
        <f>IF(INDEX(ТУ!$BI:$BI,MATCH($U55*1,ТУ!$CP:$CP,0),1)=0,"",INDEX(ТУ!$BI:$BI,MATCH($U55*1,ТУ!$CP:$CP,0),1))</f>
        <v>23.08.2022</v>
      </c>
      <c r="X55" s="58" t="str">
        <f t="shared" si="13"/>
        <v/>
      </c>
      <c r="Y55" s="25">
        <f t="shared" si="14"/>
        <v>35</v>
      </c>
      <c r="Z55" s="42" t="str">
        <f t="shared" si="15"/>
        <v/>
      </c>
      <c r="AA55" s="25" t="str">
        <f t="shared" si="16"/>
        <v/>
      </c>
      <c r="AB55" s="40" t="str">
        <f>IF(ISNUMBER(SEARCH("Приборы с поддержкой протокола СПОДЭС - Нартис-И300 (СПОДЭС)",INDEX(ТУ!$BD:$BD,MATCH($U55*1,ТУ!$CP:$CP,0),1))),"Нартис-И300",
IF(ISNUMBER(SEARCH("Приборы с поддержкой протокола СПОДЭС - Меркурий 234 (СПОДЭС)",INDEX(ТУ!$BD:$BD,MATCH($U55*1,ТУ!$CP:$CP,0),1))),"Меркурий 234 (СПОДЭС)",
IF(ISNUMBER(SEARCH("Приборы с поддержкой протокола СПОДЭС - Нартис-300 (СПОДЭС)",INDEX(ТУ!$BD:$BD,MATCH($U55*1,ТУ!$CP:$CP,0),1))),"Нартис-300",
IF(ISNUMBER(SEARCH("Инкотекс - Меркурий 234",INDEX(ТУ!$BD:$BD,MATCH($U55*1,ТУ!$CP:$CP,0),1))),"Меркурий 234",
IF(ISNUMBER(SEARCH("Инкотекс - Меркурий 206",INDEX(ТУ!$BD:$BD,MATCH($U55*1,ТУ!$CP:$CP,0),1))),"Меркурий 206",
IF(ISNUMBER(SEARCH("Приборы с поддержкой протокола СПОДЭС - Универсальный счетчик СПОДЭС 2 трехфазный",INDEX(ТУ!$BD:$BD,MATCH($U55*1,ТУ!$CP:$CP,0),1))),"Нартис-И300",
IF(ISNUMBER(SEARCH("Приборы с поддержкой протокола СПОДЭС - Универсальный счетчик СПОДЭС 2 однофазный",INDEX(ТУ!$BD:$BD,MATCH($U55*1,ТУ!$CP:$CP,0),1))),"Нартис-И100",
IF(ISNUMBER(SEARCH("Приборы с поддержкой протокола СПОДЭС - Нартис-И100 (СПОДЭС)",INDEX(ТУ!$BD:$BD,MATCH($U55*1,ТУ!$CP:$CP,0),1))),"Нартис-И100",
IF(ISNUMBER(SEARCH("Приборы с поддержкой протокола СПОДЭС - СЕ308 (СПОДЭС)",INDEX(ТУ!$BD:$BD,MATCH($U55*1,ТУ!$CP:$CP,0),1))),"СЕ308 (СПОДЭС)",
IF(ISNUMBER(SEARCH("Приборы с поддержкой протокола СПОДЭС - СЕ207 (СПОДЭС)",INDEX(ТУ!$BD:$BD,MATCH($U55*1,ТУ!$CP:$CP,0),1))),"СЕ207 (СПОДЭС)",
IF(ISNUMBER(SEARCH("Приборы с поддержкой протокола СПОДЭС - СТЭМ-300 (СПОДЭС)",INDEX(ТУ!$BD:$BD,MATCH($U55*1,ТУ!$CP:$CP,0),1))),"СТЭМ-300 (СПОДЭС)",
IF(ISNUMBER(SEARCH("ТехноЭнерго - ТЕ3000",INDEX(ТУ!$BD:$BD,MATCH($U55*1,ТУ!$CP:$CP,0),1))),"ТЕ3000",
IF(ISNUMBER(SEARCH("НЗиФ - СЭТ-4ТМ",INDEX(ТУ!$BD:$BD,MATCH($U55*1,ТУ!$CP:$CP,0),1))),"СЭТ-4ТМ",
INDEX(ТУ!$BD:$BD,MATCH($U55*1,ТУ!$CP:$CP,0),1)
)))))))))))))</f>
        <v>Приборы с поддержкой протокола СПОДЭС - КВАНТ ST2000-10 (СПОДЭС)</v>
      </c>
      <c r="AC55" s="40" t="s">
        <v>2</v>
      </c>
      <c r="AD55" s="40" t="str">
        <f>IF(ISNUMBER(IFERROR(LEFT(IF(INDEX(ТУ!$CI:$CI,MATCH($U55*1,ТУ!$CP:$CP,0),1)=0,"",INDEX(ТУ!$CI:$CI,MATCH($U55*1,ТУ!$CP:$CP,0),1)),SEARCH(" ",IF(INDEX(ТУ!$CI:$CI,MATCH($U55*1,ТУ!$CP:$CP,0),1)=0,"",INDEX(ТУ!$CI:$CI,MATCH($U55*1,ТУ!$CP:$CP,0),1)),1)-1),"")*1),IFERROR(LEFT(IF(INDEX(ТУ!$CI:$CI,MATCH($U55*1,ТУ!$CP:$CP,0),1)=0,"",INDEX(ТУ!$CI:$CI,MATCH($U55*1,ТУ!$CP:$CP,0),1)),SEARCH(" ",IF(INDEX(ТУ!$CI:$CI,MATCH($U55*1,ТУ!$CP:$CP,0),1)=0,"",INDEX(ТУ!$CI:$CI,MATCH($U55*1,ТУ!$CP:$CP,0),1)),1)-1),""),"")</f>
        <v/>
      </c>
      <c r="AE55" s="40">
        <f>IF(INDEX(ТУ!$CB:$CB,MATCH($U55*1,ТУ!$CP:$CP,0),1)=0,INDEX(Adr!$B:$B,MATCH($U55*1,Adr!$C:$C,0),1),INDEX(ТУ!$CB:$CB,MATCH($U55*1,ТУ!$CP:$CP,0),1))</f>
        <v>579</v>
      </c>
      <c r="AF55" s="45" t="str">
        <f>IF(INDEX(ТУ!$CD:$CD,MATCH($U55*1,ТУ!$CP:$CP,0),1)=0,"",INDEX(ТУ!$CD:$CD,MATCH($U55*1,ТУ!$CP:$CP,0),1))</f>
        <v>AdministratorSIT</v>
      </c>
      <c r="AG55" s="45">
        <f>0</f>
        <v>0</v>
      </c>
      <c r="AH55" s="26" t="str">
        <f t="shared" si="17"/>
        <v/>
      </c>
      <c r="AI55" s="20" t="str">
        <f t="shared" si="18"/>
        <v>5000001</v>
      </c>
      <c r="AJ55" s="41" t="str">
        <f t="shared" si="1"/>
        <v>10.81.231.166</v>
      </c>
      <c r="AK55" s="41" t="str">
        <f>IF($AP55="",IFERROR(IFERROR(LEFT(RIGHT(INDEX(ТУ!$CE:$CE,MATCH($U55*1,ТУ!$CP:$CP,0),1),LEN(INDEX(ТУ!$CE:$CE,MATCH($U55*1,ТУ!$CP:$CP,0),1))-SEARCH(":",INDEX(ТУ!$CE:$CE,MATCH($U55*1,ТУ!$CP:$CP,0),1))),SEARCH("/",RIGHT(INDEX(ТУ!$CE:$CE,MATCH($U55*1,ТУ!$CP:$CP,0),1),LEN(INDEX(ТУ!$CE:$CE,MATCH($U55*1,ТУ!$CP:$CP,0),1))-SEARCH(":",INDEX(ТУ!$CE:$CE,MATCH($U55*1,ТУ!$CP:$CP,0),1))))-1), RIGHT(INDEX(ТУ!$CE:$CE,MATCH($U55*1,ТУ!$CP:$CP,0),1),LEN(INDEX(ТУ!$CE:$CE,MATCH($U55*1,ТУ!$CP:$CP,0),1))-SEARCH(":",INDEX(ТУ!$CE:$CE,MATCH($U55*1,ТУ!$CP:$CP,0),1)))), ""),IFERROR(IFERROR(LEFT(RIGHT(INDEX(УСПД!$M:$M,MATCH(IFERROR(1*LEFT(INDEX(ТУ!$CG:$CG,MATCH($U55*1,ТУ!$CP:$CP,0),1),SEARCH(" ",INDEX(ТУ!$CG:$CG,MATCH($U55*1,ТУ!$CP:$CP,0),1))-1),""),УСПД!$N:$N,0),1),LEN(INDEX(УСПД!$M:$M,MATCH(IFERROR(1*LEFT(INDEX(ТУ!$CG:$CG,MATCH($U55*1,ТУ!$CP:$CP,0),1),SEARCH(" ",INDEX(ТУ!$CG:$CG,MATCH($U55*1,ТУ!$CP:$CP,0),1))-1),""),УСПД!$N:$N,0),1))-SEARCH(":",INDEX(УСПД!$M:$M,MATCH(IFERROR(1*LEFT(INDEX(ТУ!$CG:$CG,MATCH($U55*1,ТУ!$CP:$CP,0),1),SEARCH(" ",INDEX(ТУ!$CG:$CG,MATCH($U55*1,ТУ!$CP:$CP,0),1))-1),""),УСПД!$N:$N,0),1))),SEARCH("/",RIGHT(INDEX(УСПД!$M:$M,MATCH(IFERROR(1*LEFT(INDEX(ТУ!$CG:$CG,MATCH($U55*1,ТУ!$CP:$CP,0),1),SEARCH(" ",INDEX(ТУ!$CG:$CG,MATCH($U55*1,ТУ!$CP:$CP,0),1))-1),""),УСПД!$N:$N,0),1),LEN(INDEX(УСПД!$M:$M,MATCH(IFERROR(1*LEFT(INDEX(ТУ!$CG:$CG,MATCH($U55*1,ТУ!$CP:$CP,0),1),SEARCH(" ",INDEX(ТУ!$CG:$CG,MATCH($U55*1,ТУ!$CP:$CP,0),1))-1),""),УСПД!$N:$N,0),1))-SEARCH(":",INDEX(УСПД!$M:$M,MATCH(IFERROR(1*LEFT(INDEX(ТУ!$CG:$CG,MATCH($U55*1,ТУ!$CP:$CP,0),1),SEARCH(" ",INDEX(ТУ!$CG:$CG,MATCH($U55*1,ТУ!$CP:$CP,0),1))-1),""),УСПД!$N:$N,0),1))))-1), RIGHT(INDEX(УСПД!$M:$M,MATCH(IFERROR(1*LEFT(INDEX(ТУ!$CG:$CG,MATCH($U55*1,ТУ!$CP:$CP,0),1),SEARCH(" ",INDEX(ТУ!$CG:$CG,MATCH($U55*1,ТУ!$CP:$CP,0),1))-1),""),УСПД!$N:$N,0),1),LEN(INDEX(УСПД!$M:$M,MATCH(IFERROR(1*LEFT(INDEX(ТУ!$CG:$CG,MATCH($U55*1,ТУ!$CP:$CP,0),1),SEARCH(" ",INDEX(ТУ!$CG:$CG,MATCH($U55*1,ТУ!$CP:$CP,0),1))-1),""),УСПД!$N:$N,0),1))-SEARCH(":",INDEX(УСПД!$M:$M,MATCH(IFERROR(1*LEFT(INDEX(ТУ!$CG:$CG,MATCH($U55*1,ТУ!$CP:$CP,0),1),SEARCH(" ",INDEX(ТУ!$CG:$CG,MATCH($U55*1,ТУ!$CP:$CP,0),1))-1),""),УСПД!$N:$N,0),1)))), ""))</f>
        <v>1507</v>
      </c>
      <c r="AL55" s="41"/>
      <c r="AM55" s="57" t="str">
        <f>IFERROR(IFERROR(INDEX(Tel!$B:$B,MATCH($AJ55,Tel!$E:$E,0),1),INDEX(Tel!$B:$B,MATCH($AJ55,Tel!$D:$D,0),1)),"")</f>
        <v/>
      </c>
      <c r="AN55" s="59" t="str">
        <f>IF(ISNUMBER(SEARCH("ТОПАЗ - ТОПАЗ УСПД",IFERROR(RIGHT(LEFT(INDEX(ТУ!$CG:$CG,MATCH($U55*1,ТУ!$CP:$CP,0),1),SEARCH(")",INDEX(ТУ!$CG:$CG,MATCH($U55*1,ТУ!$CP:$CP,0),1))-1),LEN(LEFT(INDEX(ТУ!$CG:$CG,MATCH($U55*1,ТУ!$CP:$CP,0),1),SEARCH(")",INDEX(ТУ!$CG:$CG,MATCH($U55*1,ТУ!$CP:$CP,0),1))-1))-SEARCH("(",INDEX(ТУ!$CG:$CG,MATCH($U55*1,ТУ!$CP:$CP,0),1))),""),1)),"RTU-327",
IF(ISNUMBER(SEARCH("TELEOFIS",$AP55)),"Модем",
""))</f>
        <v/>
      </c>
      <c r="AO55" s="27" t="str">
        <f t="shared" si="24"/>
        <v/>
      </c>
      <c r="AP55" s="57" t="str">
        <f>IF(ISNUMBER(SEARCH("Миландр - Милур GSM/GPRS модем",IFERROR(RIGHT(LEFT(INDEX(ТУ!$CG:$CG,MATCH($U55*1,ТУ!$CP:$CP,0),1),SEARCH(")",INDEX(ТУ!$CG:$CG,MATCH($U55*1,ТУ!$CP:$CP,0),1))-1),LEN(LEFT(INDEX(ТУ!$CG:$CG,MATCH($U55*1,ТУ!$CP:$CP,0),1),SEARCH(")",INDEX(ТУ!$CG:$CG,MATCH($U55*1,ТУ!$CP:$CP,0),1))-1))-SEARCH("(",INDEX(ТУ!$CG:$CG,MATCH($U55*1,ТУ!$CP:$CP,0),1))),""),1)), "TELEOFIS WRX708-L4",IFERROR(RIGHT(LEFT(INDEX(ТУ!$CG:$CG,MATCH($U55*1,ТУ!$CP:$CP,0),1),SEARCH(")",INDEX(ТУ!$CG:$CG,MATCH($U55*1,ТУ!$CP:$CP,0),1))-1),LEN(LEFT(INDEX(ТУ!$CG:$CG,MATCH($U55*1,ТУ!$CP:$CP,0),1),SEARCH(")",INDEX(ТУ!$CG:$CG,MATCH($U55*1,ТУ!$CP:$CP,0),1))-1))-SEARCH("(",INDEX(ТУ!$CG:$CG,MATCH($U55*1,ТУ!$CP:$CP,0),1))),""))</f>
        <v/>
      </c>
      <c r="AQ55" s="57" t="str">
        <f>IFERROR(IF(INDEX(УСПД!$K:$K,MATCH($AS55*1,УСПД!$N:$N,0),1)=0,"",INDEX(УСПД!$K:$K,MATCH($AS55*1,УСПД!$N:$N,0),1)),"")</f>
        <v/>
      </c>
      <c r="AR55" s="57" t="str">
        <f>IFERROR(IF(INDEX(УСПД!$L:$L,MATCH($AS55*1,УСПД!$N:$N,0),1)=0,"",INDEX(УСПД!$L:$L,MATCH($AS55*1,УСПД!$N:$N,0),1)),"")</f>
        <v/>
      </c>
      <c r="AS55" s="60" t="str">
        <f>IFERROR(LEFT(INDEX(ТУ!$CG:$CG,MATCH($U55*1,ТУ!$CP:$CP,0),1),SEARCH(" ",INDEX(ТУ!$CG:$CG,MATCH($U55*1,ТУ!$CP:$CP,0),1))-1),"")</f>
        <v/>
      </c>
      <c r="AT55" s="59" t="s">
        <v>360</v>
      </c>
      <c r="AU55" s="59">
        <f>3</f>
        <v>3</v>
      </c>
      <c r="AV55" s="59" t="s">
        <v>368</v>
      </c>
      <c r="AW55" s="149" t="str">
        <f t="shared" si="19"/>
        <v/>
      </c>
      <c r="AX55" s="149">
        <f t="shared" si="20"/>
        <v>34</v>
      </c>
      <c r="AY55" s="149" t="str">
        <f t="shared" si="21"/>
        <v/>
      </c>
      <c r="AZ55" s="149" t="str">
        <f t="shared" si="22"/>
        <v/>
      </c>
      <c r="BA55" s="149">
        <f t="shared" si="23"/>
        <v>1</v>
      </c>
      <c r="BB55" s="154" t="str">
        <f>IF($AP55="",IFERROR(IFERROR(LEFT(RIGHT(INDEX(ТУ!$CE:$CE,MATCH($U55*1,ТУ!$CP:$CP,0),1),LEN(INDEX(ТУ!$CE:$CE,MATCH($U55*1,ТУ!$CP:$CP,0),1))-SEARCH(", ",INDEX(ТУ!$CE:$CE,MATCH($U55*1,ТУ!$CP:$CP,0),1),SEARCH(", ",INDEX(ТУ!$CE:$CE,MATCH($U55*1,ТУ!$CP:$CP,0),1))+1)-1),SEARCH(":",RIGHT(INDEX(ТУ!$CE:$CE,MATCH($U55*1,ТУ!$CP:$CP,0),1),LEN(INDEX(ТУ!$CE:$CE,MATCH($U55*1,ТУ!$CP:$CP,0),1))-SEARCH(", ",INDEX(ТУ!$CE:$CE,MATCH($U55*1,ТУ!$CP:$CP,0),1),SEARCH(", ",INDEX(ТУ!$CE:$CE,MATCH($U55*1,ТУ!$CP:$CP,0),1))+1)-1))-1),LEFT(INDEX(ТУ!$CE:$CE,MATCH($U55*1,ТУ!$CP:$CP,0),1),SEARCH(":",INDEX(ТУ!$CE:$CE,MATCH($U55*1,ТУ!$CP:$CP,0),1))-1)),""),IFERROR(IFERROR(LEFT(RIGHT(INDEX(УСПД!$M:$M,MATCH(IFERROR(1*LEFT(INDEX(ТУ!$CG:$CG,MATCH($U55*1,ТУ!$CP:$CP,0),1),SEARCH(" ",INDEX(ТУ!$CG:$CG,MATCH($U55*1,ТУ!$CP:$CP,0),1))-1),""),УСПД!$N:$N,0),1),LEN(INDEX(УСПД!$M:$M,MATCH(IFERROR(1*LEFT(INDEX(ТУ!$CG:$CG,MATCH($U55*1,ТУ!$CP:$CP,0),1),SEARCH(" ",INDEX(ТУ!$CG:$CG,MATCH($U55*1,ТУ!$CP:$CP,0),1))-1),""),УСПД!$N:$N,0),1))-SEARCH(", ",INDEX(УСПД!$M:$M,MATCH(IFERROR(1*LEFT(INDEX(ТУ!$CG:$CG,MATCH($U55*1,ТУ!$CP:$CP,0),1),SEARCH(" ",INDEX(ТУ!$CG:$CG,MATCH($U55*1,ТУ!$CP:$CP,0),1))-1),""),УСПД!$N:$N,0),1),SEARCH(", ",INDEX(УСПД!$M:$M,MATCH(IFERROR(1*LEFT(INDEX(ТУ!$CG:$CG,MATCH($U55*1,ТУ!$CP:$CP,0),1),SEARCH(" ",INDEX(ТУ!$CG:$CG,MATCH($U55*1,ТУ!$CP:$CP,0),1))-1),""),УСПД!$N:$N,0),1))+1)-1),SEARCH(":",RIGHT(INDEX(УСПД!$M:$M,MATCH(IFERROR(1*LEFT(INDEX(ТУ!$CG:$CG,MATCH($U55*1,ТУ!$CP:$CP,0),1),SEARCH(" ",INDEX(ТУ!$CG:$CG,MATCH($U55*1,ТУ!$CP:$CP,0),1))-1),""),УСПД!$N:$N,0),1),LEN(INDEX(УСПД!$M:$M,MATCH(IFERROR(1*LEFT(INDEX(ТУ!$CG:$CG,MATCH($U55*1,ТУ!$CP:$CP,0),1),SEARCH(" ",INDEX(ТУ!$CG:$CG,MATCH($U55*1,ТУ!$CP:$CP,0),1))-1),""),УСПД!$N:$N,0),1))-SEARCH(", ",INDEX(УСПД!$M:$M,MATCH(IFERROR(1*LEFT(INDEX(ТУ!$CG:$CG,MATCH($U55*1,ТУ!$CP:$CP,0),1),SEARCH(" ",INDEX(ТУ!$CG:$CG,MATCH($U55*1,ТУ!$CP:$CP,0),1))-1),""),УСПД!$N:$N,0),1),SEARCH(", ",INDEX(УСПД!$M:$M,MATCH(IFERROR(1*LEFT(INDEX(ТУ!$CG:$CG,MATCH($U55*1,ТУ!$CP:$CP,0),1),SEARCH(" ",INDEX(ТУ!$CG:$CG,MATCH($U55*1,ТУ!$CP:$CP,0),1))-1),""),УСПД!$N:$N,0),1))+1)-1))-1),LEFT(INDEX(УСПД!$M:$M,MATCH(IFERROR(1*LEFT(INDEX(ТУ!$CG:$CG,MATCH($U55*1,ТУ!$CP:$CP,0),1),SEARCH(" ",INDEX(ТУ!$CG:$CG,MATCH($U55*1,ТУ!$CP:$CP,0),1))-1),""),УСПД!$N:$N,0),1),SEARCH(":",INDEX(УСПД!$M:$M,MATCH(IFERROR(1*LEFT(INDEX(ТУ!$CG:$CG,MATCH($U55*1,ТУ!$CP:$CP,0),1),SEARCH(" ",INDEX(ТУ!$CG:$CG,MATCH($U55*1,ТУ!$CP:$CP,0),1))-1),""),УСПД!$N:$N,0),1))-1)),""))</f>
        <v>10.81.231.166</v>
      </c>
      <c r="BC55" s="155" t="str">
        <f>INDEX(ТУ!$AF:$AF,MATCH($U55*1,ТУ!$CP:$CP,0),1)</f>
        <v>Учёт по 522ФЗ</v>
      </c>
      <c r="BD55" s="155">
        <f>INDEX(ТУ!$X:$X,MATCH($U55*1,ТУ!$CP:$CP,0),1)</f>
        <v>0</v>
      </c>
      <c r="BE55" s="155">
        <f>INDEX(ТУ!$CL:$CL,MATCH($U55*1,ТУ!$CP:$CP,0),1)</f>
        <v>0</v>
      </c>
      <c r="BF55" s="147" t="str">
        <f>IFERROR(INDEX(естьАЦ!$A:$A,MATCH($U55*1,естьАЦ!$A:$A,0),1),"нет в АЦ")</f>
        <v>нет в АЦ</v>
      </c>
    </row>
    <row r="56" spans="1:58" ht="15" x14ac:dyDescent="0.25">
      <c r="A56" s="55">
        <f>3</f>
        <v>3</v>
      </c>
      <c r="B56" s="42" t="str">
        <f>IFERROR(IFERROR(INDEX(Справочники!$A$2:$P$79,MATCH(INDEX(ТУ!$E:$E,MATCH($U56*1,ТУ!$CP:$CP,0),1),Справочники!$P$2:$P$79,0),2),INDEX(Справочники!$A$2:$P$79,MATCH((INDEX(ТУ!$E:$E,MATCH($U56*1,ТУ!$CP:$CP,0),1))*1,Справочники!$P$2:$P$79,0),2)),"")</f>
        <v>06 р-н МКС (ЦОРУПЭ)</v>
      </c>
      <c r="C56" s="46" t="str">
        <f>IFERROR(TRIM(LEFT(INDEX(ТУ!$AF:$AF,MATCH($U56*1,ТУ!$CP:$CP,0),1),SEARCH("-",INDEX(ТУ!$AF:$AF,MATCH($U56*1,ТУ!$CP:$CP,0),1))-1)),IFERROR(LEFT(INDEX(ТУ!$X:$X,MATCH($U56*1,ТУ!$CP:$CP,0),1),SEARCH("-",INDEX(ТУ!$X:$X,MATCH($U56*1,ТУ!$CP:$CP,0),1))-1),"ТП"))</f>
        <v>РТП</v>
      </c>
      <c r="D56" s="47" t="str">
        <f>IF(TRIM(IF(ISNUMBER((IFERROR(RIGHT(INDEX(ТУ!$AF:$AF,MATCH($U56*1,ТУ!$CP:$CP,0),1),LEN(INDEX(ТУ!$AF:$AF,MATCH($U56*1,ТУ!$CP:$CP,0),1))-SEARCH("-",INDEX(ТУ!$AF:$AF,MATCH($U56*1,ТУ!$CP:$CP,0),1))),INDEX(ТУ!$AF:$AF,MATCH($U56*1,ТУ!$CP:$CP,0),1)))*1),IFERROR(RIGHT(INDEX(ТУ!$AF:$AF,MATCH($U56*1,ТУ!$CP:$CP,0),1),LEN(INDEX(ТУ!$AF:$AF,MATCH($U56*1,ТУ!$CP:$CP,0),1))-SEARCH("-",INDEX(ТУ!$AF:$AF,MATCH($U56*1,ТУ!$CP:$CP,0),1))),INDEX(ТУ!$AF:$AF,MATCH($U56*1,ТУ!$CP:$CP,0),1)),""))="",TRIM(IF(ISNUMBER((IFERROR(RIGHT(INDEX(ТУ!$X:$X,MATCH($U56*1,ТУ!$CP:$CP,0),1),LEN(INDEX(ТУ!$X:$X,MATCH($U56*1,ТУ!$CP:$CP,0),1))-SEARCH("-",INDEX(ТУ!$X:$X,MATCH($U56*1,ТУ!$CP:$CP,0),1))),INDEX(ТУ!$X:$X,MATCH($U56*1,ТУ!$CP:$CP,0),1)))*1),IFERROR(RIGHT(INDEX(ТУ!$X:$X,MATCH($U56*1,ТУ!$CP:$CP,0),1),LEN(INDEX(ТУ!$X:$X,MATCH($U56*1,ТУ!$CP:$CP,0),1))-SEARCH("-",INDEX(ТУ!$X:$X,MATCH($U56*1,ТУ!$CP:$CP,0),1))),INDEX(ТУ!$X:$X,MATCH($U56*1,ТУ!$CP:$CP,0),1)),"")),TRIM(IF(ISNUMBER((IFERROR(RIGHT(INDEX(ТУ!$AF:$AF,MATCH($U56*1,ТУ!$CP:$CP,0),1),LEN(INDEX(ТУ!$AF:$AF,MATCH($U56*1,ТУ!$CP:$CP,0),1))-SEARCH("-",INDEX(ТУ!$AF:$AF,MATCH($U56*1,ТУ!$CP:$CP,0),1))),INDEX(ТУ!$AF:$AF,MATCH($U56*1,ТУ!$CP:$CP,0),1)))*1),IFERROR(RIGHT(INDEX(ТУ!$AF:$AF,MATCH($U56*1,ТУ!$CP:$CP,0),1),LEN(INDEX(ТУ!$AF:$AF,MATCH($U56*1,ТУ!$CP:$CP,0),1))-SEARCH("-",INDEX(ТУ!$AF:$AF,MATCH($U56*1,ТУ!$CP:$CP,0),1))),INDEX(ТУ!$AF:$AF,MATCH($U56*1,ТУ!$CP:$CP,0),1)),"")))</f>
        <v>28123</v>
      </c>
      <c r="E56" s="25" t="str">
        <f t="shared" si="2"/>
        <v>МКС</v>
      </c>
      <c r="F56" s="20">
        <f t="shared" si="3"/>
        <v>80</v>
      </c>
      <c r="G56" s="21">
        <f t="shared" si="4"/>
        <v>3</v>
      </c>
      <c r="H56" s="25" t="str">
        <f t="shared" si="5"/>
        <v>РТП-28123</v>
      </c>
      <c r="I56" s="25" t="str">
        <f t="shared" si="6"/>
        <v>80328123</v>
      </c>
      <c r="J56" s="42" t="str">
        <f>INDEX(Справочники!$M:$M,MATCH(IF(INDEX(ТУ!$BO:$BO,MATCH($U56*1,ТУ!$CP:$CP,0),1)=1,1,INDEX(ТУ!$BO:$BO,MATCH($U56*1,ТУ!$CP:$CP,0),1)*100),Справочники!$N:$N,0),1)</f>
        <v>0.4 кВ</v>
      </c>
      <c r="K56" s="40">
        <f>1</f>
        <v>1</v>
      </c>
      <c r="L56" s="20" t="str">
        <f t="shared" si="7"/>
        <v>СШ-1</v>
      </c>
      <c r="M56" s="20">
        <f t="shared" si="8"/>
        <v>1</v>
      </c>
      <c r="N56" s="40"/>
      <c r="O56" s="56" t="str">
        <f t="shared" si="9"/>
        <v>Ввод-1-1</v>
      </c>
      <c r="P56" s="57" t="str">
        <f>IFERROR(IF(INDEX(ТУ!$AO:$AO,MATCH($U56*1,ТУ!$CP:$CP,0),1)=0,"",INDEX(ТУ!$AO:$AO,MATCH($U56*1,ТУ!$CP:$CP,0),1)),"")</f>
        <v>Ввод-1</v>
      </c>
      <c r="Q56" s="40">
        <f>IFERROR(IF(INDEX(ТУ!$BN:$BN,MATCH($U56*1,ТУ!$CP:$CP,0),1)=1,1,INDEX(ТУ!$BN:$BN,MATCH($U56*1,ТУ!$CP:$CP,0),1)*5),"")</f>
        <v>4000</v>
      </c>
      <c r="R56" s="25">
        <f t="shared" si="10"/>
        <v>5</v>
      </c>
      <c r="S56" s="25">
        <f t="shared" si="11"/>
        <v>1</v>
      </c>
      <c r="T56" s="25">
        <f t="shared" si="12"/>
        <v>1</v>
      </c>
      <c r="U56" s="105" t="s">
        <v>1052</v>
      </c>
      <c r="V56" s="43">
        <f>IF(INDEX(ТУ!$BH:$BH,MATCH($U56*1,ТУ!$CP:$CP,0),1)=0,"",INDEX(ТУ!$BH:$BH,MATCH($U56*1,ТУ!$CP:$CP,0),1))</f>
        <v>44701</v>
      </c>
      <c r="W56" s="43" t="str">
        <f>IF(INDEX(ТУ!$BI:$BI,MATCH($U56*1,ТУ!$CP:$CP,0),1)=0,"",INDEX(ТУ!$BI:$BI,MATCH($U56*1,ТУ!$CP:$CP,0),1))</f>
        <v>05.07.2021</v>
      </c>
      <c r="X56" s="58" t="str">
        <f t="shared" si="13"/>
        <v>СЭТ-4ТМ</v>
      </c>
      <c r="Y56" s="25">
        <f t="shared" si="14"/>
        <v>7</v>
      </c>
      <c r="Z56" s="42" t="str">
        <f t="shared" si="15"/>
        <v/>
      </c>
      <c r="AA56" s="25" t="str">
        <f t="shared" si="16"/>
        <v/>
      </c>
      <c r="AB56" s="40" t="str">
        <f>IF(ISNUMBER(SEARCH("Приборы с поддержкой протокола СПОДЭС - Нартис-И300 (СПОДЭС)",INDEX(ТУ!$BD:$BD,MATCH($U56*1,ТУ!$CP:$CP,0),1))),"Нартис-И300",
IF(ISNUMBER(SEARCH("Приборы с поддержкой протокола СПОДЭС - Меркурий 234 (СПОДЭС)",INDEX(ТУ!$BD:$BD,MATCH($U56*1,ТУ!$CP:$CP,0),1))),"Меркурий 234 (СПОДЭС)",
IF(ISNUMBER(SEARCH("Приборы с поддержкой протокола СПОДЭС - Нартис-300 (СПОДЭС)",INDEX(ТУ!$BD:$BD,MATCH($U56*1,ТУ!$CP:$CP,0),1))),"Нартис-300",
IF(ISNUMBER(SEARCH("Инкотекс - Меркурий 234",INDEX(ТУ!$BD:$BD,MATCH($U56*1,ТУ!$CP:$CP,0),1))),"Меркурий 234",
IF(ISNUMBER(SEARCH("Инкотекс - Меркурий 206",INDEX(ТУ!$BD:$BD,MATCH($U56*1,ТУ!$CP:$CP,0),1))),"Меркурий 206",
IF(ISNUMBER(SEARCH("Приборы с поддержкой протокола СПОДЭС - Универсальный счетчик СПОДЭС 2 трехфазный",INDEX(ТУ!$BD:$BD,MATCH($U56*1,ТУ!$CP:$CP,0),1))),"Нартис-И300",
IF(ISNUMBER(SEARCH("Приборы с поддержкой протокола СПОДЭС - Универсальный счетчик СПОДЭС 2 однофазный",INDEX(ТУ!$BD:$BD,MATCH($U56*1,ТУ!$CP:$CP,0),1))),"Нартис-И100",
IF(ISNUMBER(SEARCH("Приборы с поддержкой протокола СПОДЭС - Нартис-И100 (СПОДЭС)",INDEX(ТУ!$BD:$BD,MATCH($U56*1,ТУ!$CP:$CP,0),1))),"Нартис-И100",
IF(ISNUMBER(SEARCH("Приборы с поддержкой протокола СПОДЭС - СЕ308 (СПОДЭС)",INDEX(ТУ!$BD:$BD,MATCH($U56*1,ТУ!$CP:$CP,0),1))),"СЕ308 (СПОДЭС)",
IF(ISNUMBER(SEARCH("Приборы с поддержкой протокола СПОДЭС - СЕ207 (СПОДЭС)",INDEX(ТУ!$BD:$BD,MATCH($U56*1,ТУ!$CP:$CP,0),1))),"СЕ207 (СПОДЭС)",
IF(ISNUMBER(SEARCH("Приборы с поддержкой протокола СПОДЭС - СТЭМ-300 (СПОДЭС)",INDEX(ТУ!$BD:$BD,MATCH($U56*1,ТУ!$CP:$CP,0),1))),"СТЭМ-300 (СПОДЭС)",
IF(ISNUMBER(SEARCH("ТехноЭнерго - ТЕ3000",INDEX(ТУ!$BD:$BD,MATCH($U56*1,ТУ!$CP:$CP,0),1))),"ТЕ3000",
IF(ISNUMBER(SEARCH("НЗиФ - СЭТ-4ТМ",INDEX(ТУ!$BD:$BD,MATCH($U56*1,ТУ!$CP:$CP,0),1))),"СЭТ-4ТМ",
INDEX(ТУ!$BD:$BD,MATCH($U56*1,ТУ!$CP:$CP,0),1)
)))))))))))))</f>
        <v>СЭТ-4ТМ</v>
      </c>
      <c r="AC56" s="40" t="s">
        <v>2</v>
      </c>
      <c r="AD56" s="40" t="str">
        <f>IF(ISNUMBER(IFERROR(LEFT(IF(INDEX(ТУ!$CI:$CI,MATCH($U56*1,ТУ!$CP:$CP,0),1)=0,"",INDEX(ТУ!$CI:$CI,MATCH($U56*1,ТУ!$CP:$CP,0),1)),SEARCH(" ",IF(INDEX(ТУ!$CI:$CI,MATCH($U56*1,ТУ!$CP:$CP,0),1)=0,"",INDEX(ТУ!$CI:$CI,MATCH($U56*1,ТУ!$CP:$CP,0),1)),1)-1),"")*1),IFERROR(LEFT(IF(INDEX(ТУ!$CI:$CI,MATCH($U56*1,ТУ!$CP:$CP,0),1)=0,"",INDEX(ТУ!$CI:$CI,MATCH($U56*1,ТУ!$CP:$CP,0),1)),SEARCH(" ",IF(INDEX(ТУ!$CI:$CI,MATCH($U56*1,ТУ!$CP:$CP,0),1)=0,"",INDEX(ТУ!$CI:$CI,MATCH($U56*1,ТУ!$CP:$CP,0),1)),1)-1),""),"")</f>
        <v>77640001015723</v>
      </c>
      <c r="AE56" s="40" t="str">
        <f>IF(INDEX(ТУ!$CB:$CB,MATCH($U56*1,ТУ!$CP:$CP,0),1)=0,INDEX(Adr!$B:$B,MATCH($U56*1,Adr!$C:$C,0),1),INDEX(ТУ!$CB:$CB,MATCH($U56*1,ТУ!$CP:$CP,0),1))</f>
        <v>95</v>
      </c>
      <c r="AF56" s="45" t="str">
        <f>IF(INDEX(ТУ!$CD:$CD,MATCH($U56*1,ТУ!$CP:$CP,0),1)=0,"",INDEX(ТУ!$CD:$CD,MATCH($U56*1,ТУ!$CP:$CP,0),1))</f>
        <v>000000</v>
      </c>
      <c r="AG56" s="45">
        <f>0</f>
        <v>0</v>
      </c>
      <c r="AH56" s="26">
        <f t="shared" si="17"/>
        <v>80</v>
      </c>
      <c r="AI56" s="20" t="str">
        <f t="shared" si="18"/>
        <v>803281231</v>
      </c>
      <c r="AJ56" s="41" t="str">
        <f t="shared" si="1"/>
        <v/>
      </c>
      <c r="AK56" s="41" t="str">
        <f>IF($AP56="",IFERROR(IFERROR(LEFT(RIGHT(INDEX(ТУ!$CE:$CE,MATCH($U56*1,ТУ!$CP:$CP,0),1),LEN(INDEX(ТУ!$CE:$CE,MATCH($U56*1,ТУ!$CP:$CP,0),1))-SEARCH(":",INDEX(ТУ!$CE:$CE,MATCH($U56*1,ТУ!$CP:$CP,0),1))),SEARCH("/",RIGHT(INDEX(ТУ!$CE:$CE,MATCH($U56*1,ТУ!$CP:$CP,0),1),LEN(INDEX(ТУ!$CE:$CE,MATCH($U56*1,ТУ!$CP:$CP,0),1))-SEARCH(":",INDEX(ТУ!$CE:$CE,MATCH($U56*1,ТУ!$CP:$CP,0),1))))-1), RIGHT(INDEX(ТУ!$CE:$CE,MATCH($U56*1,ТУ!$CP:$CP,0),1),LEN(INDEX(ТУ!$CE:$CE,MATCH($U56*1,ТУ!$CP:$CP,0),1))-SEARCH(":",INDEX(ТУ!$CE:$CE,MATCH($U56*1,ТУ!$CP:$CP,0),1)))), ""),IFERROR(IFERROR(LEFT(RIGHT(INDEX(УСПД!$M:$M,MATCH(IFERROR(1*LEFT(INDEX(ТУ!$CG:$CG,MATCH($U56*1,ТУ!$CP:$CP,0),1),SEARCH(" ",INDEX(ТУ!$CG:$CG,MATCH($U56*1,ТУ!$CP:$CP,0),1))-1),""),УСПД!$N:$N,0),1),LEN(INDEX(УСПД!$M:$M,MATCH(IFERROR(1*LEFT(INDEX(ТУ!$CG:$CG,MATCH($U56*1,ТУ!$CP:$CP,0),1),SEARCH(" ",INDEX(ТУ!$CG:$CG,MATCH($U56*1,ТУ!$CP:$CP,0),1))-1),""),УСПД!$N:$N,0),1))-SEARCH(":",INDEX(УСПД!$M:$M,MATCH(IFERROR(1*LEFT(INDEX(ТУ!$CG:$CG,MATCH($U56*1,ТУ!$CP:$CP,0),1),SEARCH(" ",INDEX(ТУ!$CG:$CG,MATCH($U56*1,ТУ!$CP:$CP,0),1))-1),""),УСПД!$N:$N,0),1))),SEARCH("/",RIGHT(INDEX(УСПД!$M:$M,MATCH(IFERROR(1*LEFT(INDEX(ТУ!$CG:$CG,MATCH($U56*1,ТУ!$CP:$CP,0),1),SEARCH(" ",INDEX(ТУ!$CG:$CG,MATCH($U56*1,ТУ!$CP:$CP,0),1))-1),""),УСПД!$N:$N,0),1),LEN(INDEX(УСПД!$M:$M,MATCH(IFERROR(1*LEFT(INDEX(ТУ!$CG:$CG,MATCH($U56*1,ТУ!$CP:$CP,0),1),SEARCH(" ",INDEX(ТУ!$CG:$CG,MATCH($U56*1,ТУ!$CP:$CP,0),1))-1),""),УСПД!$N:$N,0),1))-SEARCH(":",INDEX(УСПД!$M:$M,MATCH(IFERROR(1*LEFT(INDEX(ТУ!$CG:$CG,MATCH($U56*1,ТУ!$CP:$CP,0),1),SEARCH(" ",INDEX(ТУ!$CG:$CG,MATCH($U56*1,ТУ!$CP:$CP,0),1))-1),""),УСПД!$N:$N,0),1))))-1), RIGHT(INDEX(УСПД!$M:$M,MATCH(IFERROR(1*LEFT(INDEX(ТУ!$CG:$CG,MATCH($U56*1,ТУ!$CP:$CP,0),1),SEARCH(" ",INDEX(ТУ!$CG:$CG,MATCH($U56*1,ТУ!$CP:$CP,0),1))-1),""),УСПД!$N:$N,0),1),LEN(INDEX(УСПД!$M:$M,MATCH(IFERROR(1*LEFT(INDEX(ТУ!$CG:$CG,MATCH($U56*1,ТУ!$CP:$CP,0),1),SEARCH(" ",INDEX(ТУ!$CG:$CG,MATCH($U56*1,ТУ!$CP:$CP,0),1))-1),""),УСПД!$N:$N,0),1))-SEARCH(":",INDEX(УСПД!$M:$M,MATCH(IFERROR(1*LEFT(INDEX(ТУ!$CG:$CG,MATCH($U56*1,ТУ!$CP:$CP,0),1),SEARCH(" ",INDEX(ТУ!$CG:$CG,MATCH($U56*1,ТУ!$CP:$CP,0),1))-1),""),УСПД!$N:$N,0),1)))), ""))</f>
        <v/>
      </c>
      <c r="AL56" s="41"/>
      <c r="AM56" s="57" t="str">
        <f>IFERROR(IFERROR(INDEX(Tel!$B:$B,MATCH($AJ56,Tel!$E:$E,0),1),INDEX(Tel!$B:$B,MATCH($AJ56,Tel!$D:$D,0),1)),"")</f>
        <v/>
      </c>
      <c r="AN56" s="59" t="str">
        <f>IF(ISNUMBER(SEARCH("ТОПАЗ - ТОПАЗ УСПД",IFERROR(RIGHT(LEFT(INDEX(ТУ!$CG:$CG,MATCH($U56*1,ТУ!$CP:$CP,0),1),SEARCH(")",INDEX(ТУ!$CG:$CG,MATCH($U56*1,ТУ!$CP:$CP,0),1))-1),LEN(LEFT(INDEX(ТУ!$CG:$CG,MATCH($U56*1,ТУ!$CP:$CP,0),1),SEARCH(")",INDEX(ТУ!$CG:$CG,MATCH($U56*1,ТУ!$CP:$CP,0),1))-1))-SEARCH("(",INDEX(ТУ!$CG:$CG,MATCH($U56*1,ТУ!$CP:$CP,0),1))),""),1)),"RTU-327",
IF(ISNUMBER(SEARCH("TELEOFIS",$AP56)),"Модем",
""))</f>
        <v/>
      </c>
      <c r="AO56" s="27" t="str">
        <f t="shared" si="24"/>
        <v/>
      </c>
      <c r="AP56" s="57" t="str">
        <f>IF(ISNUMBER(SEARCH("Миландр - Милур GSM/GPRS модем",IFERROR(RIGHT(LEFT(INDEX(ТУ!$CG:$CG,MATCH($U56*1,ТУ!$CP:$CP,0),1),SEARCH(")",INDEX(ТУ!$CG:$CG,MATCH($U56*1,ТУ!$CP:$CP,0),1))-1),LEN(LEFT(INDEX(ТУ!$CG:$CG,MATCH($U56*1,ТУ!$CP:$CP,0),1),SEARCH(")",INDEX(ТУ!$CG:$CG,MATCH($U56*1,ТУ!$CP:$CP,0),1))-1))-SEARCH("(",INDEX(ТУ!$CG:$CG,MATCH($U56*1,ТУ!$CP:$CP,0),1))),""),1)), "TELEOFIS WRX708-L4",IFERROR(RIGHT(LEFT(INDEX(ТУ!$CG:$CG,MATCH($U56*1,ТУ!$CP:$CP,0),1),SEARCH(")",INDEX(ТУ!$CG:$CG,MATCH($U56*1,ТУ!$CP:$CP,0),1))-1),LEN(LEFT(INDEX(ТУ!$CG:$CG,MATCH($U56*1,ТУ!$CP:$CP,0),1),SEARCH(")",INDEX(ТУ!$CG:$CG,MATCH($U56*1,ТУ!$CP:$CP,0),1))-1))-SEARCH("(",INDEX(ТУ!$CG:$CG,MATCH($U56*1,ТУ!$CP:$CP,0),1))),""))</f>
        <v>Эльстер Метроника - RTU-327</v>
      </c>
      <c r="AQ56" s="57" t="str">
        <f>IFERROR(IF(INDEX(УСПД!$K:$K,MATCH($AS56*1,УСПД!$N:$N,0),1)=0,"",INDEX(УСПД!$K:$K,MATCH($AS56*1,УСПД!$N:$N,0),1)),"")</f>
        <v/>
      </c>
      <c r="AR56" s="57" t="str">
        <f>IFERROR(IF(INDEX(УСПД!$L:$L,MATCH($AS56*1,УСПД!$N:$N,0),1)=0,"",INDEX(УСПД!$L:$L,MATCH($AS56*1,УСПД!$N:$N,0),1)),"")</f>
        <v/>
      </c>
      <c r="AS56" s="60" t="str">
        <f>IFERROR(LEFT(INDEX(ТУ!$CG:$CG,MATCH($U56*1,ТУ!$CP:$CP,0),1),SEARCH(" ",INDEX(ТУ!$CG:$CG,MATCH($U56*1,ТУ!$CP:$CP,0),1))-1),"")</f>
        <v>3154133404</v>
      </c>
      <c r="AT56" s="59" t="s">
        <v>360</v>
      </c>
      <c r="AU56" s="59">
        <f>3</f>
        <v>3</v>
      </c>
      <c r="AV56" s="59" t="s">
        <v>368</v>
      </c>
      <c r="AW56" s="149">
        <f t="shared" si="19"/>
        <v>58</v>
      </c>
      <c r="AX56" s="149">
        <f t="shared" si="20"/>
        <v>7</v>
      </c>
      <c r="AY56" s="149" t="str">
        <f t="shared" si="21"/>
        <v/>
      </c>
      <c r="AZ56" s="149" t="str">
        <f t="shared" si="22"/>
        <v/>
      </c>
      <c r="BA56" s="149">
        <f t="shared" si="23"/>
        <v>1</v>
      </c>
      <c r="BB56" s="154" t="str">
        <f>IF($AP56="",IFERROR(IFERROR(LEFT(RIGHT(INDEX(ТУ!$CE:$CE,MATCH($U56*1,ТУ!$CP:$CP,0),1),LEN(INDEX(ТУ!$CE:$CE,MATCH($U56*1,ТУ!$CP:$CP,0),1))-SEARCH(", ",INDEX(ТУ!$CE:$CE,MATCH($U56*1,ТУ!$CP:$CP,0),1),SEARCH(", ",INDEX(ТУ!$CE:$CE,MATCH($U56*1,ТУ!$CP:$CP,0),1))+1)-1),SEARCH(":",RIGHT(INDEX(ТУ!$CE:$CE,MATCH($U56*1,ТУ!$CP:$CP,0),1),LEN(INDEX(ТУ!$CE:$CE,MATCH($U56*1,ТУ!$CP:$CP,0),1))-SEARCH(", ",INDEX(ТУ!$CE:$CE,MATCH($U56*1,ТУ!$CP:$CP,0),1),SEARCH(", ",INDEX(ТУ!$CE:$CE,MATCH($U56*1,ТУ!$CP:$CP,0),1))+1)-1))-1),LEFT(INDEX(ТУ!$CE:$CE,MATCH($U56*1,ТУ!$CP:$CP,0),1),SEARCH(":",INDEX(ТУ!$CE:$CE,MATCH($U56*1,ТУ!$CP:$CP,0),1))-1)),""),IFERROR(IFERROR(LEFT(RIGHT(INDEX(УСПД!$M:$M,MATCH(IFERROR(1*LEFT(INDEX(ТУ!$CG:$CG,MATCH($U56*1,ТУ!$CP:$CP,0),1),SEARCH(" ",INDEX(ТУ!$CG:$CG,MATCH($U56*1,ТУ!$CP:$CP,0),1))-1),""),УСПД!$N:$N,0),1),LEN(INDEX(УСПД!$M:$M,MATCH(IFERROR(1*LEFT(INDEX(ТУ!$CG:$CG,MATCH($U56*1,ТУ!$CP:$CP,0),1),SEARCH(" ",INDEX(ТУ!$CG:$CG,MATCH($U56*1,ТУ!$CP:$CP,0),1))-1),""),УСПД!$N:$N,0),1))-SEARCH(", ",INDEX(УСПД!$M:$M,MATCH(IFERROR(1*LEFT(INDEX(ТУ!$CG:$CG,MATCH($U56*1,ТУ!$CP:$CP,0),1),SEARCH(" ",INDEX(ТУ!$CG:$CG,MATCH($U56*1,ТУ!$CP:$CP,0),1))-1),""),УСПД!$N:$N,0),1),SEARCH(", ",INDEX(УСПД!$M:$M,MATCH(IFERROR(1*LEFT(INDEX(ТУ!$CG:$CG,MATCH($U56*1,ТУ!$CP:$CP,0),1),SEARCH(" ",INDEX(ТУ!$CG:$CG,MATCH($U56*1,ТУ!$CP:$CP,0),1))-1),""),УСПД!$N:$N,0),1))+1)-1),SEARCH(":",RIGHT(INDEX(УСПД!$M:$M,MATCH(IFERROR(1*LEFT(INDEX(ТУ!$CG:$CG,MATCH($U56*1,ТУ!$CP:$CP,0),1),SEARCH(" ",INDEX(ТУ!$CG:$CG,MATCH($U56*1,ТУ!$CP:$CP,0),1))-1),""),УСПД!$N:$N,0),1),LEN(INDEX(УСПД!$M:$M,MATCH(IFERROR(1*LEFT(INDEX(ТУ!$CG:$CG,MATCH($U56*1,ТУ!$CP:$CP,0),1),SEARCH(" ",INDEX(ТУ!$CG:$CG,MATCH($U56*1,ТУ!$CP:$CP,0),1))-1),""),УСПД!$N:$N,0),1))-SEARCH(", ",INDEX(УСПД!$M:$M,MATCH(IFERROR(1*LEFT(INDEX(ТУ!$CG:$CG,MATCH($U56*1,ТУ!$CP:$CP,0),1),SEARCH(" ",INDEX(ТУ!$CG:$CG,MATCH($U56*1,ТУ!$CP:$CP,0),1))-1),""),УСПД!$N:$N,0),1),SEARCH(", ",INDEX(УСПД!$M:$M,MATCH(IFERROR(1*LEFT(INDEX(ТУ!$CG:$CG,MATCH($U56*1,ТУ!$CP:$CP,0),1),SEARCH(" ",INDEX(ТУ!$CG:$CG,MATCH($U56*1,ТУ!$CP:$CP,0),1))-1),""),УСПД!$N:$N,0),1))+1)-1))-1),LEFT(INDEX(УСПД!$M:$M,MATCH(IFERROR(1*LEFT(INDEX(ТУ!$CG:$CG,MATCH($U56*1,ТУ!$CP:$CP,0),1),SEARCH(" ",INDEX(ТУ!$CG:$CG,MATCH($U56*1,ТУ!$CP:$CP,0),1))-1),""),УСПД!$N:$N,0),1),SEARCH(":",INDEX(УСПД!$M:$M,MATCH(IFERROR(1*LEFT(INDEX(ТУ!$CG:$CG,MATCH($U56*1,ТУ!$CP:$CP,0),1),SEARCH(" ",INDEX(ТУ!$CG:$CG,MATCH($U56*1,ТУ!$CP:$CP,0),1))-1),""),УСПД!$N:$N,0),1))-1)),""))</f>
        <v/>
      </c>
      <c r="BC56" s="155" t="str">
        <f>INDEX(ТУ!$AF:$AF,MATCH($U56*1,ТУ!$CP:$CP,0),1)</f>
        <v>РТП-28123</v>
      </c>
      <c r="BD56" s="155">
        <f>INDEX(ТУ!$X:$X,MATCH($U56*1,ТУ!$CP:$CP,0),1)</f>
        <v>0</v>
      </c>
      <c r="BE56" s="155">
        <f>INDEX(ТУ!$CL:$CL,MATCH($U56*1,ТУ!$CP:$CP,0),1)</f>
        <v>0</v>
      </c>
      <c r="BF56" s="147" t="str">
        <f>IFERROR(INDEX(естьАЦ!$A:$A,MATCH($U56*1,естьАЦ!$A:$A,0),1),"нет в АЦ")</f>
        <v>нет в АЦ</v>
      </c>
    </row>
    <row r="57" spans="1:58" ht="15" x14ac:dyDescent="0.25">
      <c r="A57" s="55">
        <f>3</f>
        <v>3</v>
      </c>
      <c r="B57" s="42" t="str">
        <f>IFERROR(IFERROR(INDEX(Справочники!$A$2:$P$79,MATCH(INDEX(ТУ!$E:$E,MATCH($U57*1,ТУ!$CP:$CP,0),1),Справочники!$P$2:$P$79,0),2),INDEX(Справочники!$A$2:$P$79,MATCH((INDEX(ТУ!$E:$E,MATCH($U57*1,ТУ!$CP:$CP,0),1))*1,Справочники!$P$2:$P$79,0),2)),"")</f>
        <v>07 р-н МКС (ЮВОРУПЭ)</v>
      </c>
      <c r="C57" s="46" t="str">
        <f>IFERROR(TRIM(LEFT(INDEX(ТУ!$AF:$AF,MATCH($U57*1,ТУ!$CP:$CP,0),1),SEARCH("-",INDEX(ТУ!$AF:$AF,MATCH($U57*1,ТУ!$CP:$CP,0),1))-1)),IFERROR(LEFT(INDEX(ТУ!$X:$X,MATCH($U57*1,ТУ!$CP:$CP,0),1),SEARCH("-",INDEX(ТУ!$X:$X,MATCH($U57*1,ТУ!$CP:$CP,0),1))-1),"ТП"))</f>
        <v>РП</v>
      </c>
      <c r="D57" s="47" t="str">
        <f>IF(TRIM(IF(ISNUMBER((IFERROR(RIGHT(INDEX(ТУ!$AF:$AF,MATCH($U57*1,ТУ!$CP:$CP,0),1),LEN(INDEX(ТУ!$AF:$AF,MATCH($U57*1,ТУ!$CP:$CP,0),1))-SEARCH("-",INDEX(ТУ!$AF:$AF,MATCH($U57*1,ТУ!$CP:$CP,0),1))),INDEX(ТУ!$AF:$AF,MATCH($U57*1,ТУ!$CP:$CP,0),1)))*1),IFERROR(RIGHT(INDEX(ТУ!$AF:$AF,MATCH($U57*1,ТУ!$CP:$CP,0),1),LEN(INDEX(ТУ!$AF:$AF,MATCH($U57*1,ТУ!$CP:$CP,0),1))-SEARCH("-",INDEX(ТУ!$AF:$AF,MATCH($U57*1,ТУ!$CP:$CP,0),1))),INDEX(ТУ!$AF:$AF,MATCH($U57*1,ТУ!$CP:$CP,0),1)),""))="",TRIM(IF(ISNUMBER((IFERROR(RIGHT(INDEX(ТУ!$X:$X,MATCH($U57*1,ТУ!$CP:$CP,0),1),LEN(INDEX(ТУ!$X:$X,MATCH($U57*1,ТУ!$CP:$CP,0),1))-SEARCH("-",INDEX(ТУ!$X:$X,MATCH($U57*1,ТУ!$CP:$CP,0),1))),INDEX(ТУ!$X:$X,MATCH($U57*1,ТУ!$CP:$CP,0),1)))*1),IFERROR(RIGHT(INDEX(ТУ!$X:$X,MATCH($U57*1,ТУ!$CP:$CP,0),1),LEN(INDEX(ТУ!$X:$X,MATCH($U57*1,ТУ!$CP:$CP,0),1))-SEARCH("-",INDEX(ТУ!$X:$X,MATCH($U57*1,ТУ!$CP:$CP,0),1))),INDEX(ТУ!$X:$X,MATCH($U57*1,ТУ!$CP:$CP,0),1)),"")),TRIM(IF(ISNUMBER((IFERROR(RIGHT(INDEX(ТУ!$AF:$AF,MATCH($U57*1,ТУ!$CP:$CP,0),1),LEN(INDEX(ТУ!$AF:$AF,MATCH($U57*1,ТУ!$CP:$CP,0),1))-SEARCH("-",INDEX(ТУ!$AF:$AF,MATCH($U57*1,ТУ!$CP:$CP,0),1))),INDEX(ТУ!$AF:$AF,MATCH($U57*1,ТУ!$CP:$CP,0),1)))*1),IFERROR(RIGHT(INDEX(ТУ!$AF:$AF,MATCH($U57*1,ТУ!$CP:$CP,0),1),LEN(INDEX(ТУ!$AF:$AF,MATCH($U57*1,ТУ!$CP:$CP,0),1))-SEARCH("-",INDEX(ТУ!$AF:$AF,MATCH($U57*1,ТУ!$CP:$CP,0),1))),INDEX(ТУ!$AF:$AF,MATCH($U57*1,ТУ!$CP:$CP,0),1)),"")))</f>
        <v>70022</v>
      </c>
      <c r="E57" s="25" t="str">
        <f t="shared" si="2"/>
        <v>МКС</v>
      </c>
      <c r="F57" s="20">
        <f t="shared" si="3"/>
        <v>81</v>
      </c>
      <c r="G57" s="21">
        <f t="shared" si="4"/>
        <v>2</v>
      </c>
      <c r="H57" s="25" t="str">
        <f t="shared" si="5"/>
        <v>РП-70022</v>
      </c>
      <c r="I57" s="25" t="str">
        <f t="shared" si="6"/>
        <v>81270022</v>
      </c>
      <c r="J57" s="42" t="str">
        <f>INDEX(Справочники!$M:$M,MATCH(IF(INDEX(ТУ!$BO:$BO,MATCH($U57*1,ТУ!$CP:$CP,0),1)=1,1,INDEX(ТУ!$BO:$BO,MATCH($U57*1,ТУ!$CP:$CP,0),1)*100),Справочники!$N:$N,0),1)</f>
        <v>20 кВ</v>
      </c>
      <c r="K57" s="40">
        <f>1</f>
        <v>1</v>
      </c>
      <c r="L57" s="20" t="str">
        <f t="shared" si="7"/>
        <v>СШ-1</v>
      </c>
      <c r="M57" s="20">
        <f t="shared" si="8"/>
        <v>1</v>
      </c>
      <c r="N57" s="40"/>
      <c r="O57" s="56" t="str">
        <f t="shared" si="9"/>
        <v>Ввод-1-1</v>
      </c>
      <c r="P57" s="57" t="str">
        <f>IFERROR(IF(INDEX(ТУ!$AO:$AO,MATCH($U57*1,ТУ!$CP:$CP,0),1)=0,"",INDEX(ТУ!$AO:$AO,MATCH($U57*1,ТУ!$CP:$CP,0),1)),"")</f>
        <v/>
      </c>
      <c r="Q57" s="40">
        <f>IFERROR(IF(INDEX(ТУ!$BN:$BN,MATCH($U57*1,ТУ!$CP:$CP,0),1)=1,1,INDEX(ТУ!$BN:$BN,MATCH($U57*1,ТУ!$CP:$CP,0),1)*5),"")</f>
        <v>500</v>
      </c>
      <c r="R57" s="25">
        <f t="shared" si="10"/>
        <v>5</v>
      </c>
      <c r="S57" s="25">
        <f t="shared" si="11"/>
        <v>20000</v>
      </c>
      <c r="T57" s="25">
        <f t="shared" si="12"/>
        <v>100</v>
      </c>
      <c r="U57" s="105" t="s">
        <v>1069</v>
      </c>
      <c r="V57" s="43">
        <f>IF(INDEX(ТУ!$BH:$BH,MATCH($U57*1,ТУ!$CP:$CP,0),1)=0,"",INDEX(ТУ!$BH:$BH,MATCH($U57*1,ТУ!$CP:$CP,0),1))</f>
        <v>44924</v>
      </c>
      <c r="W57" s="43" t="str">
        <f>IF(INDEX(ТУ!$BI:$BI,MATCH($U57*1,ТУ!$CP:$CP,0),1)=0,"",INDEX(ТУ!$BI:$BI,MATCH($U57*1,ТУ!$CP:$CP,0),1))</f>
        <v>01.01.2022</v>
      </c>
      <c r="X57" s="58" t="str">
        <f t="shared" si="13"/>
        <v>СЭТ-4ТМ</v>
      </c>
      <c r="Y57" s="25">
        <f t="shared" si="14"/>
        <v>7</v>
      </c>
      <c r="Z57" s="42" t="str">
        <f t="shared" si="15"/>
        <v/>
      </c>
      <c r="AA57" s="25" t="str">
        <f t="shared" si="16"/>
        <v/>
      </c>
      <c r="AB57" s="40" t="str">
        <f>IF(ISNUMBER(SEARCH("Приборы с поддержкой протокола СПОДЭС - Нартис-И300 (СПОДЭС)",INDEX(ТУ!$BD:$BD,MATCH($U57*1,ТУ!$CP:$CP,0),1))),"Нартис-И300",
IF(ISNUMBER(SEARCH("Приборы с поддержкой протокола СПОДЭС - Меркурий 234 (СПОДЭС)",INDEX(ТУ!$BD:$BD,MATCH($U57*1,ТУ!$CP:$CP,0),1))),"Меркурий 234 (СПОДЭС)",
IF(ISNUMBER(SEARCH("Приборы с поддержкой протокола СПОДЭС - Нартис-300 (СПОДЭС)",INDEX(ТУ!$BD:$BD,MATCH($U57*1,ТУ!$CP:$CP,0),1))),"Нартис-300",
IF(ISNUMBER(SEARCH("Инкотекс - Меркурий 234",INDEX(ТУ!$BD:$BD,MATCH($U57*1,ТУ!$CP:$CP,0),1))),"Меркурий 234",
IF(ISNUMBER(SEARCH("Инкотекс - Меркурий 206",INDEX(ТУ!$BD:$BD,MATCH($U57*1,ТУ!$CP:$CP,0),1))),"Меркурий 206",
IF(ISNUMBER(SEARCH("Приборы с поддержкой протокола СПОДЭС - Универсальный счетчик СПОДЭС 2 трехфазный",INDEX(ТУ!$BD:$BD,MATCH($U57*1,ТУ!$CP:$CP,0),1))),"Нартис-И300",
IF(ISNUMBER(SEARCH("Приборы с поддержкой протокола СПОДЭС - Универсальный счетчик СПОДЭС 2 однофазный",INDEX(ТУ!$BD:$BD,MATCH($U57*1,ТУ!$CP:$CP,0),1))),"Нартис-И100",
IF(ISNUMBER(SEARCH("Приборы с поддержкой протокола СПОДЭС - Нартис-И100 (СПОДЭС)",INDEX(ТУ!$BD:$BD,MATCH($U57*1,ТУ!$CP:$CP,0),1))),"Нартис-И100",
IF(ISNUMBER(SEARCH("Приборы с поддержкой протокола СПОДЭС - СЕ308 (СПОДЭС)",INDEX(ТУ!$BD:$BD,MATCH($U57*1,ТУ!$CP:$CP,0),1))),"СЕ308 (СПОДЭС)",
IF(ISNUMBER(SEARCH("Приборы с поддержкой протокола СПОДЭС - СЕ207 (СПОДЭС)",INDEX(ТУ!$BD:$BD,MATCH($U57*1,ТУ!$CP:$CP,0),1))),"СЕ207 (СПОДЭС)",
IF(ISNUMBER(SEARCH("Приборы с поддержкой протокола СПОДЭС - СТЭМ-300 (СПОДЭС)",INDEX(ТУ!$BD:$BD,MATCH($U57*1,ТУ!$CP:$CP,0),1))),"СТЭМ-300 (СПОДЭС)",
IF(ISNUMBER(SEARCH("ТехноЭнерго - ТЕ3000",INDEX(ТУ!$BD:$BD,MATCH($U57*1,ТУ!$CP:$CP,0),1))),"ТЕ3000",
IF(ISNUMBER(SEARCH("НЗиФ - СЭТ-4ТМ",INDEX(ТУ!$BD:$BD,MATCH($U57*1,ТУ!$CP:$CP,0),1))),"СЭТ-4ТМ",
INDEX(ТУ!$BD:$BD,MATCH($U57*1,ТУ!$CP:$CP,0),1)
)))))))))))))</f>
        <v>СЭТ-4ТМ</v>
      </c>
      <c r="AC57" s="40" t="s">
        <v>2</v>
      </c>
      <c r="AD57" s="40" t="str">
        <f>IF(ISNUMBER(IFERROR(LEFT(IF(INDEX(ТУ!$CI:$CI,MATCH($U57*1,ТУ!$CP:$CP,0),1)=0,"",INDEX(ТУ!$CI:$CI,MATCH($U57*1,ТУ!$CP:$CP,0),1)),SEARCH(" ",IF(INDEX(ТУ!$CI:$CI,MATCH($U57*1,ТУ!$CP:$CP,0),1)=0,"",INDEX(ТУ!$CI:$CI,MATCH($U57*1,ТУ!$CP:$CP,0),1)),1)-1),"")*1),IFERROR(LEFT(IF(INDEX(ТУ!$CI:$CI,MATCH($U57*1,ТУ!$CP:$CP,0),1)=0,"",INDEX(ТУ!$CI:$CI,MATCH($U57*1,ТУ!$CP:$CP,0),1)),SEARCH(" ",IF(INDEX(ТУ!$CI:$CI,MATCH($U57*1,ТУ!$CP:$CP,0),1)=0,"",INDEX(ТУ!$CI:$CI,MATCH($U57*1,ТУ!$CP:$CP,0),1)),1)-1),""),"")</f>
        <v>77680001007181</v>
      </c>
      <c r="AE57" s="40" t="str">
        <f>IF(INDEX(ТУ!$CB:$CB,MATCH($U57*1,ТУ!$CP:$CP,0),1)=0,INDEX(Adr!$B:$B,MATCH($U57*1,Adr!$C:$C,0),1),INDEX(ТУ!$CB:$CB,MATCH($U57*1,ТУ!$CP:$CP,0),1))</f>
        <v>1</v>
      </c>
      <c r="AF57" s="45" t="str">
        <f>IF(INDEX(ТУ!$CD:$CD,MATCH($U57*1,ТУ!$CP:$CP,0),1)=0,"",INDEX(ТУ!$CD:$CD,MATCH($U57*1,ТУ!$CP:$CP,0),1))</f>
        <v>000000</v>
      </c>
      <c r="AG57" s="45">
        <f>0</f>
        <v>0</v>
      </c>
      <c r="AH57" s="26">
        <f t="shared" si="17"/>
        <v>81</v>
      </c>
      <c r="AI57" s="20" t="str">
        <f t="shared" si="18"/>
        <v>812700221</v>
      </c>
      <c r="AJ57" s="41" t="str">
        <f t="shared" si="1"/>
        <v/>
      </c>
      <c r="AK57" s="41" t="str">
        <f>IF($AP57="",IFERROR(IFERROR(LEFT(RIGHT(INDEX(ТУ!$CE:$CE,MATCH($U57*1,ТУ!$CP:$CP,0),1),LEN(INDEX(ТУ!$CE:$CE,MATCH($U57*1,ТУ!$CP:$CP,0),1))-SEARCH(":",INDEX(ТУ!$CE:$CE,MATCH($U57*1,ТУ!$CP:$CP,0),1))),SEARCH("/",RIGHT(INDEX(ТУ!$CE:$CE,MATCH($U57*1,ТУ!$CP:$CP,0),1),LEN(INDEX(ТУ!$CE:$CE,MATCH($U57*1,ТУ!$CP:$CP,0),1))-SEARCH(":",INDEX(ТУ!$CE:$CE,MATCH($U57*1,ТУ!$CP:$CP,0),1))))-1), RIGHT(INDEX(ТУ!$CE:$CE,MATCH($U57*1,ТУ!$CP:$CP,0),1),LEN(INDEX(ТУ!$CE:$CE,MATCH($U57*1,ТУ!$CP:$CP,0),1))-SEARCH(":",INDEX(ТУ!$CE:$CE,MATCH($U57*1,ТУ!$CP:$CP,0),1)))), ""),IFERROR(IFERROR(LEFT(RIGHT(INDEX(УСПД!$M:$M,MATCH(IFERROR(1*LEFT(INDEX(ТУ!$CG:$CG,MATCH($U57*1,ТУ!$CP:$CP,0),1),SEARCH(" ",INDEX(ТУ!$CG:$CG,MATCH($U57*1,ТУ!$CP:$CP,0),1))-1),""),УСПД!$N:$N,0),1),LEN(INDEX(УСПД!$M:$M,MATCH(IFERROR(1*LEFT(INDEX(ТУ!$CG:$CG,MATCH($U57*1,ТУ!$CP:$CP,0),1),SEARCH(" ",INDEX(ТУ!$CG:$CG,MATCH($U57*1,ТУ!$CP:$CP,0),1))-1),""),УСПД!$N:$N,0),1))-SEARCH(":",INDEX(УСПД!$M:$M,MATCH(IFERROR(1*LEFT(INDEX(ТУ!$CG:$CG,MATCH($U57*1,ТУ!$CP:$CP,0),1),SEARCH(" ",INDEX(ТУ!$CG:$CG,MATCH($U57*1,ТУ!$CP:$CP,0),1))-1),""),УСПД!$N:$N,0),1))),SEARCH("/",RIGHT(INDEX(УСПД!$M:$M,MATCH(IFERROR(1*LEFT(INDEX(ТУ!$CG:$CG,MATCH($U57*1,ТУ!$CP:$CP,0),1),SEARCH(" ",INDEX(ТУ!$CG:$CG,MATCH($U57*1,ТУ!$CP:$CP,0),1))-1),""),УСПД!$N:$N,0),1),LEN(INDEX(УСПД!$M:$M,MATCH(IFERROR(1*LEFT(INDEX(ТУ!$CG:$CG,MATCH($U57*1,ТУ!$CP:$CP,0),1),SEARCH(" ",INDEX(ТУ!$CG:$CG,MATCH($U57*1,ТУ!$CP:$CP,0),1))-1),""),УСПД!$N:$N,0),1))-SEARCH(":",INDEX(УСПД!$M:$M,MATCH(IFERROR(1*LEFT(INDEX(ТУ!$CG:$CG,MATCH($U57*1,ТУ!$CP:$CP,0),1),SEARCH(" ",INDEX(ТУ!$CG:$CG,MATCH($U57*1,ТУ!$CP:$CP,0),1))-1),""),УСПД!$N:$N,0),1))))-1), RIGHT(INDEX(УСПД!$M:$M,MATCH(IFERROR(1*LEFT(INDEX(ТУ!$CG:$CG,MATCH($U57*1,ТУ!$CP:$CP,0),1),SEARCH(" ",INDEX(ТУ!$CG:$CG,MATCH($U57*1,ТУ!$CP:$CP,0),1))-1),""),УСПД!$N:$N,0),1),LEN(INDEX(УСПД!$M:$M,MATCH(IFERROR(1*LEFT(INDEX(ТУ!$CG:$CG,MATCH($U57*1,ТУ!$CP:$CP,0),1),SEARCH(" ",INDEX(ТУ!$CG:$CG,MATCH($U57*1,ТУ!$CP:$CP,0),1))-1),""),УСПД!$N:$N,0),1))-SEARCH(":",INDEX(УСПД!$M:$M,MATCH(IFERROR(1*LEFT(INDEX(ТУ!$CG:$CG,MATCH($U57*1,ТУ!$CP:$CP,0),1),SEARCH(" ",INDEX(ТУ!$CG:$CG,MATCH($U57*1,ТУ!$CP:$CP,0),1))-1),""),УСПД!$N:$N,0),1)))), ""))</f>
        <v/>
      </c>
      <c r="AL57" s="41"/>
      <c r="AM57" s="57" t="str">
        <f>IFERROR(IFERROR(INDEX(Tel!$B:$B,MATCH($AJ57,Tel!$E:$E,0),1),INDEX(Tel!$B:$B,MATCH($AJ57,Tel!$D:$D,0),1)),"")</f>
        <v/>
      </c>
      <c r="AN57" s="59" t="str">
        <f>IF(ISNUMBER(SEARCH("ТОПАЗ - ТОПАЗ УСПД",IFERROR(RIGHT(LEFT(INDEX(ТУ!$CG:$CG,MATCH($U57*1,ТУ!$CP:$CP,0),1),SEARCH(")",INDEX(ТУ!$CG:$CG,MATCH($U57*1,ТУ!$CP:$CP,0),1))-1),LEN(LEFT(INDEX(ТУ!$CG:$CG,MATCH($U57*1,ТУ!$CP:$CP,0),1),SEARCH(")",INDEX(ТУ!$CG:$CG,MATCH($U57*1,ТУ!$CP:$CP,0),1))-1))-SEARCH("(",INDEX(ТУ!$CG:$CG,MATCH($U57*1,ТУ!$CP:$CP,0),1))),""),1)),"RTU-327",
IF(ISNUMBER(SEARCH("TELEOFIS",$AP57)),"Модем",
""))</f>
        <v>RTU-327</v>
      </c>
      <c r="AO57" s="27">
        <f t="shared" si="24"/>
        <v>7</v>
      </c>
      <c r="AP57" s="57" t="str">
        <f>IF(ISNUMBER(SEARCH("Миландр - Милур GSM/GPRS модем",IFERROR(RIGHT(LEFT(INDEX(ТУ!$CG:$CG,MATCH($U57*1,ТУ!$CP:$CP,0),1),SEARCH(")",INDEX(ТУ!$CG:$CG,MATCH($U57*1,ТУ!$CP:$CP,0),1))-1),LEN(LEFT(INDEX(ТУ!$CG:$CG,MATCH($U57*1,ТУ!$CP:$CP,0),1),SEARCH(")",INDEX(ТУ!$CG:$CG,MATCH($U57*1,ТУ!$CP:$CP,0),1))-1))-SEARCH("(",INDEX(ТУ!$CG:$CG,MATCH($U57*1,ТУ!$CP:$CP,0),1))),""),1)), "TELEOFIS WRX708-L4",IFERROR(RIGHT(LEFT(INDEX(ТУ!$CG:$CG,MATCH($U57*1,ТУ!$CP:$CP,0),1),SEARCH(")",INDEX(ТУ!$CG:$CG,MATCH($U57*1,ТУ!$CP:$CP,0),1))-1),LEN(LEFT(INDEX(ТУ!$CG:$CG,MATCH($U57*1,ТУ!$CP:$CP,0),1),SEARCH(")",INDEX(ТУ!$CG:$CG,MATCH($U57*1,ТУ!$CP:$CP,0),1))-1))-SEARCH("(",INDEX(ТУ!$CG:$CG,MATCH($U57*1,ТУ!$CP:$CP,0),1))),""))</f>
        <v>ТОПАЗ - ТОПАЗ УСПД</v>
      </c>
      <c r="AQ57" s="57" t="str">
        <f>IFERROR(IF(INDEX(УСПД!$K:$K,MATCH($AS57*1,УСПД!$N:$N,0),1)=0,"",INDEX(УСПД!$K:$K,MATCH($AS57*1,УСПД!$N:$N,0),1)),"")</f>
        <v/>
      </c>
      <c r="AR57" s="57" t="str">
        <f>IFERROR(IF(INDEX(УСПД!$L:$L,MATCH($AS57*1,УСПД!$N:$N,0),1)=0,"",INDEX(УСПД!$L:$L,MATCH($AS57*1,УСПД!$N:$N,0),1)),"")</f>
        <v/>
      </c>
      <c r="AS57" s="60" t="str">
        <f>IFERROR(LEFT(INDEX(ТУ!$CG:$CG,MATCH($U57*1,ТУ!$CP:$CP,0),1),SEARCH(" ",INDEX(ТУ!$CG:$CG,MATCH($U57*1,ТУ!$CP:$CP,0),1))-1),"")</f>
        <v>2400011487</v>
      </c>
      <c r="AT57" s="59" t="s">
        <v>360</v>
      </c>
      <c r="AU57" s="59">
        <f>3</f>
        <v>3</v>
      </c>
      <c r="AV57" s="59" t="s">
        <v>368</v>
      </c>
      <c r="AW57" s="149">
        <f t="shared" si="19"/>
        <v>59</v>
      </c>
      <c r="AX57" s="149">
        <f t="shared" si="20"/>
        <v>7</v>
      </c>
      <c r="AY57" s="149" t="str">
        <f t="shared" si="21"/>
        <v/>
      </c>
      <c r="AZ57" s="149">
        <f t="shared" si="22"/>
        <v>6</v>
      </c>
      <c r="BA57" s="149">
        <f t="shared" si="23"/>
        <v>4</v>
      </c>
      <c r="BB57" s="154" t="str">
        <f>IF($AP57="",IFERROR(IFERROR(LEFT(RIGHT(INDEX(ТУ!$CE:$CE,MATCH($U57*1,ТУ!$CP:$CP,0),1),LEN(INDEX(ТУ!$CE:$CE,MATCH($U57*1,ТУ!$CP:$CP,0),1))-SEARCH(", ",INDEX(ТУ!$CE:$CE,MATCH($U57*1,ТУ!$CP:$CP,0),1),SEARCH(", ",INDEX(ТУ!$CE:$CE,MATCH($U57*1,ТУ!$CP:$CP,0),1))+1)-1),SEARCH(":",RIGHT(INDEX(ТУ!$CE:$CE,MATCH($U57*1,ТУ!$CP:$CP,0),1),LEN(INDEX(ТУ!$CE:$CE,MATCH($U57*1,ТУ!$CP:$CP,0),1))-SEARCH(", ",INDEX(ТУ!$CE:$CE,MATCH($U57*1,ТУ!$CP:$CP,0),1),SEARCH(", ",INDEX(ТУ!$CE:$CE,MATCH($U57*1,ТУ!$CP:$CP,0),1))+1)-1))-1),LEFT(INDEX(ТУ!$CE:$CE,MATCH($U57*1,ТУ!$CP:$CP,0),1),SEARCH(":",INDEX(ТУ!$CE:$CE,MATCH($U57*1,ТУ!$CP:$CP,0),1))-1)),""),IFERROR(IFERROR(LEFT(RIGHT(INDEX(УСПД!$M:$M,MATCH(IFERROR(1*LEFT(INDEX(ТУ!$CG:$CG,MATCH($U57*1,ТУ!$CP:$CP,0),1),SEARCH(" ",INDEX(ТУ!$CG:$CG,MATCH($U57*1,ТУ!$CP:$CP,0),1))-1),""),УСПД!$N:$N,0),1),LEN(INDEX(УСПД!$M:$M,MATCH(IFERROR(1*LEFT(INDEX(ТУ!$CG:$CG,MATCH($U57*1,ТУ!$CP:$CP,0),1),SEARCH(" ",INDEX(ТУ!$CG:$CG,MATCH($U57*1,ТУ!$CP:$CP,0),1))-1),""),УСПД!$N:$N,0),1))-SEARCH(", ",INDEX(УСПД!$M:$M,MATCH(IFERROR(1*LEFT(INDEX(ТУ!$CG:$CG,MATCH($U57*1,ТУ!$CP:$CP,0),1),SEARCH(" ",INDEX(ТУ!$CG:$CG,MATCH($U57*1,ТУ!$CP:$CP,0),1))-1),""),УСПД!$N:$N,0),1),SEARCH(", ",INDEX(УСПД!$M:$M,MATCH(IFERROR(1*LEFT(INDEX(ТУ!$CG:$CG,MATCH($U57*1,ТУ!$CP:$CP,0),1),SEARCH(" ",INDEX(ТУ!$CG:$CG,MATCH($U57*1,ТУ!$CP:$CP,0),1))-1),""),УСПД!$N:$N,0),1))+1)-1),SEARCH(":",RIGHT(INDEX(УСПД!$M:$M,MATCH(IFERROR(1*LEFT(INDEX(ТУ!$CG:$CG,MATCH($U57*1,ТУ!$CP:$CP,0),1),SEARCH(" ",INDEX(ТУ!$CG:$CG,MATCH($U57*1,ТУ!$CP:$CP,0),1))-1),""),УСПД!$N:$N,0),1),LEN(INDEX(УСПД!$M:$M,MATCH(IFERROR(1*LEFT(INDEX(ТУ!$CG:$CG,MATCH($U57*1,ТУ!$CP:$CP,0),1),SEARCH(" ",INDEX(ТУ!$CG:$CG,MATCH($U57*1,ТУ!$CP:$CP,0),1))-1),""),УСПД!$N:$N,0),1))-SEARCH(", ",INDEX(УСПД!$M:$M,MATCH(IFERROR(1*LEFT(INDEX(ТУ!$CG:$CG,MATCH($U57*1,ТУ!$CP:$CP,0),1),SEARCH(" ",INDEX(ТУ!$CG:$CG,MATCH($U57*1,ТУ!$CP:$CP,0),1))-1),""),УСПД!$N:$N,0),1),SEARCH(", ",INDEX(УСПД!$M:$M,MATCH(IFERROR(1*LEFT(INDEX(ТУ!$CG:$CG,MATCH($U57*1,ТУ!$CP:$CP,0),1),SEARCH(" ",INDEX(ТУ!$CG:$CG,MATCH($U57*1,ТУ!$CP:$CP,0),1))-1),""),УСПД!$N:$N,0),1))+1)-1))-1),LEFT(INDEX(УСПД!$M:$M,MATCH(IFERROR(1*LEFT(INDEX(ТУ!$CG:$CG,MATCH($U57*1,ТУ!$CP:$CP,0),1),SEARCH(" ",INDEX(ТУ!$CG:$CG,MATCH($U57*1,ТУ!$CP:$CP,0),1))-1),""),УСПД!$N:$N,0),1),SEARCH(":",INDEX(УСПД!$M:$M,MATCH(IFERROR(1*LEFT(INDEX(ТУ!$CG:$CG,MATCH($U57*1,ТУ!$CP:$CP,0),1),SEARCH(" ",INDEX(ТУ!$CG:$CG,MATCH($U57*1,ТУ!$CP:$CP,0),1))-1),""),УСПД!$N:$N,0),1))-1)),""))</f>
        <v/>
      </c>
      <c r="BC57" s="155">
        <f>INDEX(ТУ!$AF:$AF,MATCH($U57*1,ТУ!$CP:$CP,0),1)</f>
        <v>0</v>
      </c>
      <c r="BD57" s="155" t="str">
        <f>INDEX(ТУ!$X:$X,MATCH($U57*1,ТУ!$CP:$CP,0),1)</f>
        <v>РП-70022</v>
      </c>
      <c r="BE57" s="155">
        <f>INDEX(ТУ!$CL:$CL,MATCH($U57*1,ТУ!$CP:$CP,0),1)</f>
        <v>0</v>
      </c>
      <c r="BF57" s="147" t="str">
        <f>IFERROR(INDEX(естьАЦ!$A:$A,MATCH($U57*1,естьАЦ!$A:$A,0),1),"нет в АЦ")</f>
        <v>нет в АЦ</v>
      </c>
    </row>
    <row r="58" spans="1:58" ht="15" x14ac:dyDescent="0.25">
      <c r="A58" s="55">
        <f>3</f>
        <v>3</v>
      </c>
      <c r="B58" s="42" t="str">
        <f>IFERROR(IFERROR(INDEX(Справочники!$A$2:$P$79,MATCH(INDEX(ТУ!$E:$E,MATCH($U58*1,ТУ!$CP:$CP,0),1),Справочники!$P$2:$P$79,0),2),INDEX(Справочники!$A$2:$P$79,MATCH((INDEX(ТУ!$E:$E,MATCH($U58*1,ТУ!$CP:$CP,0),1))*1,Справочники!$P$2:$P$79,0),2)),"")</f>
        <v>07 р-н МКС (ЮВОРУПЭ)</v>
      </c>
      <c r="C58" s="46" t="str">
        <f>IFERROR(TRIM(LEFT(INDEX(ТУ!$AF:$AF,MATCH($U58*1,ТУ!$CP:$CP,0),1),SEARCH("-",INDEX(ТУ!$AF:$AF,MATCH($U58*1,ТУ!$CP:$CP,0),1))-1)),IFERROR(LEFT(INDEX(ТУ!$X:$X,MATCH($U58*1,ТУ!$CP:$CP,0),1),SEARCH("-",INDEX(ТУ!$X:$X,MATCH($U58*1,ТУ!$CP:$CP,0),1))-1),"ТП"))</f>
        <v>РП</v>
      </c>
      <c r="D58" s="47" t="str">
        <f>IF(TRIM(IF(ISNUMBER((IFERROR(RIGHT(INDEX(ТУ!$AF:$AF,MATCH($U58*1,ТУ!$CP:$CP,0),1),LEN(INDEX(ТУ!$AF:$AF,MATCH($U58*1,ТУ!$CP:$CP,0),1))-SEARCH("-",INDEX(ТУ!$AF:$AF,MATCH($U58*1,ТУ!$CP:$CP,0),1))),INDEX(ТУ!$AF:$AF,MATCH($U58*1,ТУ!$CP:$CP,0),1)))*1),IFERROR(RIGHT(INDEX(ТУ!$AF:$AF,MATCH($U58*1,ТУ!$CP:$CP,0),1),LEN(INDEX(ТУ!$AF:$AF,MATCH($U58*1,ТУ!$CP:$CP,0),1))-SEARCH("-",INDEX(ТУ!$AF:$AF,MATCH($U58*1,ТУ!$CP:$CP,0),1))),INDEX(ТУ!$AF:$AF,MATCH($U58*1,ТУ!$CP:$CP,0),1)),""))="",TRIM(IF(ISNUMBER((IFERROR(RIGHT(INDEX(ТУ!$X:$X,MATCH($U58*1,ТУ!$CP:$CP,0),1),LEN(INDEX(ТУ!$X:$X,MATCH($U58*1,ТУ!$CP:$CP,0),1))-SEARCH("-",INDEX(ТУ!$X:$X,MATCH($U58*1,ТУ!$CP:$CP,0),1))),INDEX(ТУ!$X:$X,MATCH($U58*1,ТУ!$CP:$CP,0),1)))*1),IFERROR(RIGHT(INDEX(ТУ!$X:$X,MATCH($U58*1,ТУ!$CP:$CP,0),1),LEN(INDEX(ТУ!$X:$X,MATCH($U58*1,ТУ!$CP:$CP,0),1))-SEARCH("-",INDEX(ТУ!$X:$X,MATCH($U58*1,ТУ!$CP:$CP,0),1))),INDEX(ТУ!$X:$X,MATCH($U58*1,ТУ!$CP:$CP,0),1)),"")),TRIM(IF(ISNUMBER((IFERROR(RIGHT(INDEX(ТУ!$AF:$AF,MATCH($U58*1,ТУ!$CP:$CP,0),1),LEN(INDEX(ТУ!$AF:$AF,MATCH($U58*1,ТУ!$CP:$CP,0),1))-SEARCH("-",INDEX(ТУ!$AF:$AF,MATCH($U58*1,ТУ!$CP:$CP,0),1))),INDEX(ТУ!$AF:$AF,MATCH($U58*1,ТУ!$CP:$CP,0),1)))*1),IFERROR(RIGHT(INDEX(ТУ!$AF:$AF,MATCH($U58*1,ТУ!$CP:$CP,0),1),LEN(INDEX(ТУ!$AF:$AF,MATCH($U58*1,ТУ!$CP:$CP,0),1))-SEARCH("-",INDEX(ТУ!$AF:$AF,MATCH($U58*1,ТУ!$CP:$CP,0),1))),INDEX(ТУ!$AF:$AF,MATCH($U58*1,ТУ!$CP:$CP,0),1)),"")))</f>
        <v>70023</v>
      </c>
      <c r="E58" s="25" t="str">
        <f t="shared" si="2"/>
        <v>МКС</v>
      </c>
      <c r="F58" s="20">
        <f t="shared" si="3"/>
        <v>81</v>
      </c>
      <c r="G58" s="21">
        <f t="shared" si="4"/>
        <v>2</v>
      </c>
      <c r="H58" s="25" t="str">
        <f t="shared" si="5"/>
        <v>РП-70023</v>
      </c>
      <c r="I58" s="25" t="str">
        <f t="shared" si="6"/>
        <v>81270023</v>
      </c>
      <c r="J58" s="42" t="str">
        <f>INDEX(Справочники!$M:$M,MATCH(IF(INDEX(ТУ!$BO:$BO,MATCH($U58*1,ТУ!$CP:$CP,0),1)=1,1,INDEX(ТУ!$BO:$BO,MATCH($U58*1,ТУ!$CP:$CP,0),1)*100),Справочники!$N:$N,0),1)</f>
        <v>20 кВ</v>
      </c>
      <c r="K58" s="40">
        <f>1</f>
        <v>1</v>
      </c>
      <c r="L58" s="20" t="str">
        <f t="shared" si="7"/>
        <v>СШ-1</v>
      </c>
      <c r="M58" s="20">
        <f t="shared" si="8"/>
        <v>1</v>
      </c>
      <c r="N58" s="40"/>
      <c r="O58" s="56" t="str">
        <f t="shared" si="9"/>
        <v>Ввод-1-1</v>
      </c>
      <c r="P58" s="57" t="str">
        <f>IFERROR(IF(INDEX(ТУ!$AO:$AO,MATCH($U58*1,ТУ!$CP:$CP,0),1)=0,"",INDEX(ТУ!$AO:$AO,MATCH($U58*1,ТУ!$CP:$CP,0),1)),"")</f>
        <v/>
      </c>
      <c r="Q58" s="40">
        <f>IFERROR(IF(INDEX(ТУ!$BN:$BN,MATCH($U58*1,ТУ!$CP:$CP,0),1)=1,1,INDEX(ТУ!$BN:$BN,MATCH($U58*1,ТУ!$CP:$CP,0),1)*5),"")</f>
        <v>500</v>
      </c>
      <c r="R58" s="25">
        <f t="shared" si="10"/>
        <v>5</v>
      </c>
      <c r="S58" s="25">
        <f t="shared" si="11"/>
        <v>20000</v>
      </c>
      <c r="T58" s="25">
        <f t="shared" si="12"/>
        <v>100</v>
      </c>
      <c r="U58" s="105" t="s">
        <v>1079</v>
      </c>
      <c r="V58" s="43">
        <f>IF(INDEX(ТУ!$BH:$BH,MATCH($U58*1,ТУ!$CP:$CP,0),1)=0,"",INDEX(ТУ!$BH:$BH,MATCH($U58*1,ТУ!$CP:$CP,0),1))</f>
        <v>44934</v>
      </c>
      <c r="W58" s="43" t="str">
        <f>IF(INDEX(ТУ!$BI:$BI,MATCH($U58*1,ТУ!$CP:$CP,0),1)=0,"",INDEX(ТУ!$BI:$BI,MATCH($U58*1,ТУ!$CP:$CP,0),1))</f>
        <v>01.01.2022</v>
      </c>
      <c r="X58" s="58" t="str">
        <f t="shared" si="13"/>
        <v>СЭТ-4ТМ</v>
      </c>
      <c r="Y58" s="25">
        <f t="shared" si="14"/>
        <v>7</v>
      </c>
      <c r="Z58" s="42" t="str">
        <f t="shared" si="15"/>
        <v/>
      </c>
      <c r="AA58" s="25" t="str">
        <f t="shared" si="16"/>
        <v/>
      </c>
      <c r="AB58" s="40" t="str">
        <f>IF(ISNUMBER(SEARCH("Приборы с поддержкой протокола СПОДЭС - Нартис-И300 (СПОДЭС)",INDEX(ТУ!$BD:$BD,MATCH($U58*1,ТУ!$CP:$CP,0),1))),"Нартис-И300",
IF(ISNUMBER(SEARCH("Приборы с поддержкой протокола СПОДЭС - Меркурий 234 (СПОДЭС)",INDEX(ТУ!$BD:$BD,MATCH($U58*1,ТУ!$CP:$CP,0),1))),"Меркурий 234 (СПОДЭС)",
IF(ISNUMBER(SEARCH("Приборы с поддержкой протокола СПОДЭС - Нартис-300 (СПОДЭС)",INDEX(ТУ!$BD:$BD,MATCH($U58*1,ТУ!$CP:$CP,0),1))),"Нартис-300",
IF(ISNUMBER(SEARCH("Инкотекс - Меркурий 234",INDEX(ТУ!$BD:$BD,MATCH($U58*1,ТУ!$CP:$CP,0),1))),"Меркурий 234",
IF(ISNUMBER(SEARCH("Инкотекс - Меркурий 206",INDEX(ТУ!$BD:$BD,MATCH($U58*1,ТУ!$CP:$CP,0),1))),"Меркурий 206",
IF(ISNUMBER(SEARCH("Приборы с поддержкой протокола СПОДЭС - Универсальный счетчик СПОДЭС 2 трехфазный",INDEX(ТУ!$BD:$BD,MATCH($U58*1,ТУ!$CP:$CP,0),1))),"Нартис-И300",
IF(ISNUMBER(SEARCH("Приборы с поддержкой протокола СПОДЭС - Универсальный счетчик СПОДЭС 2 однофазный",INDEX(ТУ!$BD:$BD,MATCH($U58*1,ТУ!$CP:$CP,0),1))),"Нартис-И100",
IF(ISNUMBER(SEARCH("Приборы с поддержкой протокола СПОДЭС - Нартис-И100 (СПОДЭС)",INDEX(ТУ!$BD:$BD,MATCH($U58*1,ТУ!$CP:$CP,0),1))),"Нартис-И100",
IF(ISNUMBER(SEARCH("Приборы с поддержкой протокола СПОДЭС - СЕ308 (СПОДЭС)",INDEX(ТУ!$BD:$BD,MATCH($U58*1,ТУ!$CP:$CP,0),1))),"СЕ308 (СПОДЭС)",
IF(ISNUMBER(SEARCH("Приборы с поддержкой протокола СПОДЭС - СЕ207 (СПОДЭС)",INDEX(ТУ!$BD:$BD,MATCH($U58*1,ТУ!$CP:$CP,0),1))),"СЕ207 (СПОДЭС)",
IF(ISNUMBER(SEARCH("Приборы с поддержкой протокола СПОДЭС - СТЭМ-300 (СПОДЭС)",INDEX(ТУ!$BD:$BD,MATCH($U58*1,ТУ!$CP:$CP,0),1))),"СТЭМ-300 (СПОДЭС)",
IF(ISNUMBER(SEARCH("ТехноЭнерго - ТЕ3000",INDEX(ТУ!$BD:$BD,MATCH($U58*1,ТУ!$CP:$CP,0),1))),"ТЕ3000",
IF(ISNUMBER(SEARCH("НЗиФ - СЭТ-4ТМ",INDEX(ТУ!$BD:$BD,MATCH($U58*1,ТУ!$CP:$CP,0),1))),"СЭТ-4ТМ",
INDEX(ТУ!$BD:$BD,MATCH($U58*1,ТУ!$CP:$CP,0),1)
)))))))))))))</f>
        <v>СЭТ-4ТМ</v>
      </c>
      <c r="AC58" s="40" t="s">
        <v>2</v>
      </c>
      <c r="AD58" s="40" t="str">
        <f>IF(ISNUMBER(IFERROR(LEFT(IF(INDEX(ТУ!$CI:$CI,MATCH($U58*1,ТУ!$CP:$CP,0),1)=0,"",INDEX(ТУ!$CI:$CI,MATCH($U58*1,ТУ!$CP:$CP,0),1)),SEARCH(" ",IF(INDEX(ТУ!$CI:$CI,MATCH($U58*1,ТУ!$CP:$CP,0),1)=0,"",INDEX(ТУ!$CI:$CI,MATCH($U58*1,ТУ!$CP:$CP,0),1)),1)-1),"")*1),IFERROR(LEFT(IF(INDEX(ТУ!$CI:$CI,MATCH($U58*1,ТУ!$CP:$CP,0),1)=0,"",INDEX(ТУ!$CI:$CI,MATCH($U58*1,ТУ!$CP:$CP,0),1)),SEARCH(" ",IF(INDEX(ТУ!$CI:$CI,MATCH($U58*1,ТУ!$CP:$CP,0),1)=0,"",INDEX(ТУ!$CI:$CI,MATCH($U58*1,ТУ!$CP:$CP,0),1)),1)-1),""),"")</f>
        <v>77680001007181</v>
      </c>
      <c r="AE58" s="40" t="str">
        <f>IF(INDEX(ТУ!$CB:$CB,MATCH($U58*1,ТУ!$CP:$CP,0),1)=0,INDEX(Adr!$B:$B,MATCH($U58*1,Adr!$C:$C,0),1),INDEX(ТУ!$CB:$CB,MATCH($U58*1,ТУ!$CP:$CP,0),1))</f>
        <v>1</v>
      </c>
      <c r="AF58" s="45" t="str">
        <f>IF(INDEX(ТУ!$CD:$CD,MATCH($U58*1,ТУ!$CP:$CP,0),1)=0,"",INDEX(ТУ!$CD:$CD,MATCH($U58*1,ТУ!$CP:$CP,0),1))</f>
        <v>000000</v>
      </c>
      <c r="AG58" s="45">
        <f>0</f>
        <v>0</v>
      </c>
      <c r="AH58" s="26">
        <f t="shared" si="17"/>
        <v>81</v>
      </c>
      <c r="AI58" s="20" t="str">
        <f t="shared" si="18"/>
        <v>812700231</v>
      </c>
      <c r="AJ58" s="41" t="str">
        <f t="shared" si="1"/>
        <v/>
      </c>
      <c r="AK58" s="41" t="str">
        <f>IF($AP58="",IFERROR(IFERROR(LEFT(RIGHT(INDEX(ТУ!$CE:$CE,MATCH($U58*1,ТУ!$CP:$CP,0),1),LEN(INDEX(ТУ!$CE:$CE,MATCH($U58*1,ТУ!$CP:$CP,0),1))-SEARCH(":",INDEX(ТУ!$CE:$CE,MATCH($U58*1,ТУ!$CP:$CP,0),1))),SEARCH("/",RIGHT(INDEX(ТУ!$CE:$CE,MATCH($U58*1,ТУ!$CP:$CP,0),1),LEN(INDEX(ТУ!$CE:$CE,MATCH($U58*1,ТУ!$CP:$CP,0),1))-SEARCH(":",INDEX(ТУ!$CE:$CE,MATCH($U58*1,ТУ!$CP:$CP,0),1))))-1), RIGHT(INDEX(ТУ!$CE:$CE,MATCH($U58*1,ТУ!$CP:$CP,0),1),LEN(INDEX(ТУ!$CE:$CE,MATCH($U58*1,ТУ!$CP:$CP,0),1))-SEARCH(":",INDEX(ТУ!$CE:$CE,MATCH($U58*1,ТУ!$CP:$CP,0),1)))), ""),IFERROR(IFERROR(LEFT(RIGHT(INDEX(УСПД!$M:$M,MATCH(IFERROR(1*LEFT(INDEX(ТУ!$CG:$CG,MATCH($U58*1,ТУ!$CP:$CP,0),1),SEARCH(" ",INDEX(ТУ!$CG:$CG,MATCH($U58*1,ТУ!$CP:$CP,0),1))-1),""),УСПД!$N:$N,0),1),LEN(INDEX(УСПД!$M:$M,MATCH(IFERROR(1*LEFT(INDEX(ТУ!$CG:$CG,MATCH($U58*1,ТУ!$CP:$CP,0),1),SEARCH(" ",INDEX(ТУ!$CG:$CG,MATCH($U58*1,ТУ!$CP:$CP,0),1))-1),""),УСПД!$N:$N,0),1))-SEARCH(":",INDEX(УСПД!$M:$M,MATCH(IFERROR(1*LEFT(INDEX(ТУ!$CG:$CG,MATCH($U58*1,ТУ!$CP:$CP,0),1),SEARCH(" ",INDEX(ТУ!$CG:$CG,MATCH($U58*1,ТУ!$CP:$CP,0),1))-1),""),УСПД!$N:$N,0),1))),SEARCH("/",RIGHT(INDEX(УСПД!$M:$M,MATCH(IFERROR(1*LEFT(INDEX(ТУ!$CG:$CG,MATCH($U58*1,ТУ!$CP:$CP,0),1),SEARCH(" ",INDEX(ТУ!$CG:$CG,MATCH($U58*1,ТУ!$CP:$CP,0),1))-1),""),УСПД!$N:$N,0),1),LEN(INDEX(УСПД!$M:$M,MATCH(IFERROR(1*LEFT(INDEX(ТУ!$CG:$CG,MATCH($U58*1,ТУ!$CP:$CP,0),1),SEARCH(" ",INDEX(ТУ!$CG:$CG,MATCH($U58*1,ТУ!$CP:$CP,0),1))-1),""),УСПД!$N:$N,0),1))-SEARCH(":",INDEX(УСПД!$M:$M,MATCH(IFERROR(1*LEFT(INDEX(ТУ!$CG:$CG,MATCH($U58*1,ТУ!$CP:$CP,0),1),SEARCH(" ",INDEX(ТУ!$CG:$CG,MATCH($U58*1,ТУ!$CP:$CP,0),1))-1),""),УСПД!$N:$N,0),1))))-1), RIGHT(INDEX(УСПД!$M:$M,MATCH(IFERROR(1*LEFT(INDEX(ТУ!$CG:$CG,MATCH($U58*1,ТУ!$CP:$CP,0),1),SEARCH(" ",INDEX(ТУ!$CG:$CG,MATCH($U58*1,ТУ!$CP:$CP,0),1))-1),""),УСПД!$N:$N,0),1),LEN(INDEX(УСПД!$M:$M,MATCH(IFERROR(1*LEFT(INDEX(ТУ!$CG:$CG,MATCH($U58*1,ТУ!$CP:$CP,0),1),SEARCH(" ",INDEX(ТУ!$CG:$CG,MATCH($U58*1,ТУ!$CP:$CP,0),1))-1),""),УСПД!$N:$N,0),1))-SEARCH(":",INDEX(УСПД!$M:$M,MATCH(IFERROR(1*LEFT(INDEX(ТУ!$CG:$CG,MATCH($U58*1,ТУ!$CP:$CP,0),1),SEARCH(" ",INDEX(ТУ!$CG:$CG,MATCH($U58*1,ТУ!$CP:$CP,0),1))-1),""),УСПД!$N:$N,0),1)))), ""))</f>
        <v/>
      </c>
      <c r="AL58" s="41"/>
      <c r="AM58" s="57" t="str">
        <f>IFERROR(IFERROR(INDEX(Tel!$B:$B,MATCH($AJ58,Tel!$E:$E,0),1),INDEX(Tel!$B:$B,MATCH($AJ58,Tel!$D:$D,0),1)),"")</f>
        <v/>
      </c>
      <c r="AN58" s="59" t="str">
        <f>IF(ISNUMBER(SEARCH("ТОПАЗ - ТОПАЗ УСПД",IFERROR(RIGHT(LEFT(INDEX(ТУ!$CG:$CG,MATCH($U58*1,ТУ!$CP:$CP,0),1),SEARCH(")",INDEX(ТУ!$CG:$CG,MATCH($U58*1,ТУ!$CP:$CP,0),1))-1),LEN(LEFT(INDEX(ТУ!$CG:$CG,MATCH($U58*1,ТУ!$CP:$CP,0),1),SEARCH(")",INDEX(ТУ!$CG:$CG,MATCH($U58*1,ТУ!$CP:$CP,0),1))-1))-SEARCH("(",INDEX(ТУ!$CG:$CG,MATCH($U58*1,ТУ!$CP:$CP,0),1))),""),1)),"RTU-327",
IF(ISNUMBER(SEARCH("TELEOFIS",$AP58)),"Модем",
""))</f>
        <v>RTU-327</v>
      </c>
      <c r="AO58" s="27">
        <f t="shared" si="24"/>
        <v>7</v>
      </c>
      <c r="AP58" s="57" t="str">
        <f>IF(ISNUMBER(SEARCH("Миландр - Милур GSM/GPRS модем",IFERROR(RIGHT(LEFT(INDEX(ТУ!$CG:$CG,MATCH($U58*1,ТУ!$CP:$CP,0),1),SEARCH(")",INDEX(ТУ!$CG:$CG,MATCH($U58*1,ТУ!$CP:$CP,0),1))-1),LEN(LEFT(INDEX(ТУ!$CG:$CG,MATCH($U58*1,ТУ!$CP:$CP,0),1),SEARCH(")",INDEX(ТУ!$CG:$CG,MATCH($U58*1,ТУ!$CP:$CP,0),1))-1))-SEARCH("(",INDEX(ТУ!$CG:$CG,MATCH($U58*1,ТУ!$CP:$CP,0),1))),""),1)), "TELEOFIS WRX708-L4",IFERROR(RIGHT(LEFT(INDEX(ТУ!$CG:$CG,MATCH($U58*1,ТУ!$CP:$CP,0),1),SEARCH(")",INDEX(ТУ!$CG:$CG,MATCH($U58*1,ТУ!$CP:$CP,0),1))-1),LEN(LEFT(INDEX(ТУ!$CG:$CG,MATCH($U58*1,ТУ!$CP:$CP,0),1),SEARCH(")",INDEX(ТУ!$CG:$CG,MATCH($U58*1,ТУ!$CP:$CP,0),1))-1))-SEARCH("(",INDEX(ТУ!$CG:$CG,MATCH($U58*1,ТУ!$CP:$CP,0),1))),""))</f>
        <v>ТОПАЗ - ТОПАЗ УСПД</v>
      </c>
      <c r="AQ58" s="57" t="str">
        <f>IFERROR(IF(INDEX(УСПД!$K:$K,MATCH($AS58*1,УСПД!$N:$N,0),1)=0,"",INDEX(УСПД!$K:$K,MATCH($AS58*1,УСПД!$N:$N,0),1)),"")</f>
        <v/>
      </c>
      <c r="AR58" s="57" t="str">
        <f>IFERROR(IF(INDEX(УСПД!$L:$L,MATCH($AS58*1,УСПД!$N:$N,0),1)=0,"",INDEX(УСПД!$L:$L,MATCH($AS58*1,УСПД!$N:$N,0),1)),"")</f>
        <v/>
      </c>
      <c r="AS58" s="60" t="str">
        <f>IFERROR(LEFT(INDEX(ТУ!$CG:$CG,MATCH($U58*1,ТУ!$CP:$CP,0),1),SEARCH(" ",INDEX(ТУ!$CG:$CG,MATCH($U58*1,ТУ!$CP:$CP,0),1))-1),"")</f>
        <v>2400011485</v>
      </c>
      <c r="AT58" s="59" t="s">
        <v>360</v>
      </c>
      <c r="AU58" s="59">
        <f>3</f>
        <v>3</v>
      </c>
      <c r="AV58" s="59" t="s">
        <v>368</v>
      </c>
      <c r="AW58" s="149">
        <f t="shared" si="19"/>
        <v>59</v>
      </c>
      <c r="AX58" s="149">
        <f t="shared" si="20"/>
        <v>7</v>
      </c>
      <c r="AY58" s="149" t="str">
        <f t="shared" si="21"/>
        <v/>
      </c>
      <c r="AZ58" s="149">
        <f t="shared" si="22"/>
        <v>6</v>
      </c>
      <c r="BA58" s="149">
        <f t="shared" si="23"/>
        <v>4</v>
      </c>
      <c r="BB58" s="154" t="str">
        <f>IF($AP58="",IFERROR(IFERROR(LEFT(RIGHT(INDEX(ТУ!$CE:$CE,MATCH($U58*1,ТУ!$CP:$CP,0),1),LEN(INDEX(ТУ!$CE:$CE,MATCH($U58*1,ТУ!$CP:$CP,0),1))-SEARCH(", ",INDEX(ТУ!$CE:$CE,MATCH($U58*1,ТУ!$CP:$CP,0),1),SEARCH(", ",INDEX(ТУ!$CE:$CE,MATCH($U58*1,ТУ!$CP:$CP,0),1))+1)-1),SEARCH(":",RIGHT(INDEX(ТУ!$CE:$CE,MATCH($U58*1,ТУ!$CP:$CP,0),1),LEN(INDEX(ТУ!$CE:$CE,MATCH($U58*1,ТУ!$CP:$CP,0),1))-SEARCH(", ",INDEX(ТУ!$CE:$CE,MATCH($U58*1,ТУ!$CP:$CP,0),1),SEARCH(", ",INDEX(ТУ!$CE:$CE,MATCH($U58*1,ТУ!$CP:$CP,0),1))+1)-1))-1),LEFT(INDEX(ТУ!$CE:$CE,MATCH($U58*1,ТУ!$CP:$CP,0),1),SEARCH(":",INDEX(ТУ!$CE:$CE,MATCH($U58*1,ТУ!$CP:$CP,0),1))-1)),""),IFERROR(IFERROR(LEFT(RIGHT(INDEX(УСПД!$M:$M,MATCH(IFERROR(1*LEFT(INDEX(ТУ!$CG:$CG,MATCH($U58*1,ТУ!$CP:$CP,0),1),SEARCH(" ",INDEX(ТУ!$CG:$CG,MATCH($U58*1,ТУ!$CP:$CP,0),1))-1),""),УСПД!$N:$N,0),1),LEN(INDEX(УСПД!$M:$M,MATCH(IFERROR(1*LEFT(INDEX(ТУ!$CG:$CG,MATCH($U58*1,ТУ!$CP:$CP,0),1),SEARCH(" ",INDEX(ТУ!$CG:$CG,MATCH($U58*1,ТУ!$CP:$CP,0),1))-1),""),УСПД!$N:$N,0),1))-SEARCH(", ",INDEX(УСПД!$M:$M,MATCH(IFERROR(1*LEFT(INDEX(ТУ!$CG:$CG,MATCH($U58*1,ТУ!$CP:$CP,0),1),SEARCH(" ",INDEX(ТУ!$CG:$CG,MATCH($U58*1,ТУ!$CP:$CP,0),1))-1),""),УСПД!$N:$N,0),1),SEARCH(", ",INDEX(УСПД!$M:$M,MATCH(IFERROR(1*LEFT(INDEX(ТУ!$CG:$CG,MATCH($U58*1,ТУ!$CP:$CP,0),1),SEARCH(" ",INDEX(ТУ!$CG:$CG,MATCH($U58*1,ТУ!$CP:$CP,0),1))-1),""),УСПД!$N:$N,0),1))+1)-1),SEARCH(":",RIGHT(INDEX(УСПД!$M:$M,MATCH(IFERROR(1*LEFT(INDEX(ТУ!$CG:$CG,MATCH($U58*1,ТУ!$CP:$CP,0),1),SEARCH(" ",INDEX(ТУ!$CG:$CG,MATCH($U58*1,ТУ!$CP:$CP,0),1))-1),""),УСПД!$N:$N,0),1),LEN(INDEX(УСПД!$M:$M,MATCH(IFERROR(1*LEFT(INDEX(ТУ!$CG:$CG,MATCH($U58*1,ТУ!$CP:$CP,0),1),SEARCH(" ",INDEX(ТУ!$CG:$CG,MATCH($U58*1,ТУ!$CP:$CP,0),1))-1),""),УСПД!$N:$N,0),1))-SEARCH(", ",INDEX(УСПД!$M:$M,MATCH(IFERROR(1*LEFT(INDEX(ТУ!$CG:$CG,MATCH($U58*1,ТУ!$CP:$CP,0),1),SEARCH(" ",INDEX(ТУ!$CG:$CG,MATCH($U58*1,ТУ!$CP:$CP,0),1))-1),""),УСПД!$N:$N,0),1),SEARCH(", ",INDEX(УСПД!$M:$M,MATCH(IFERROR(1*LEFT(INDEX(ТУ!$CG:$CG,MATCH($U58*1,ТУ!$CP:$CP,0),1),SEARCH(" ",INDEX(ТУ!$CG:$CG,MATCH($U58*1,ТУ!$CP:$CP,0),1))-1),""),УСПД!$N:$N,0),1))+1)-1))-1),LEFT(INDEX(УСПД!$M:$M,MATCH(IFERROR(1*LEFT(INDEX(ТУ!$CG:$CG,MATCH($U58*1,ТУ!$CP:$CP,0),1),SEARCH(" ",INDEX(ТУ!$CG:$CG,MATCH($U58*1,ТУ!$CP:$CP,0),1))-1),""),УСПД!$N:$N,0),1),SEARCH(":",INDEX(УСПД!$M:$M,MATCH(IFERROR(1*LEFT(INDEX(ТУ!$CG:$CG,MATCH($U58*1,ТУ!$CP:$CP,0),1),SEARCH(" ",INDEX(ТУ!$CG:$CG,MATCH($U58*1,ТУ!$CP:$CP,0),1))-1),""),УСПД!$N:$N,0),1))-1)),""))</f>
        <v/>
      </c>
      <c r="BC58" s="155">
        <f>INDEX(ТУ!$AF:$AF,MATCH($U58*1,ТУ!$CP:$CP,0),1)</f>
        <v>0</v>
      </c>
      <c r="BD58" s="155" t="str">
        <f>INDEX(ТУ!$X:$X,MATCH($U58*1,ТУ!$CP:$CP,0),1)</f>
        <v>РП-70023</v>
      </c>
      <c r="BE58" s="155">
        <f>INDEX(ТУ!$CL:$CL,MATCH($U58*1,ТУ!$CP:$CP,0),1)</f>
        <v>0</v>
      </c>
      <c r="BF58" s="147" t="str">
        <f>IFERROR(INDEX(естьАЦ!$A:$A,MATCH($U58*1,естьАЦ!$A:$A,0),1),"нет в АЦ")</f>
        <v>нет в АЦ</v>
      </c>
    </row>
    <row r="59" spans="1:58" ht="15" x14ac:dyDescent="0.25">
      <c r="A59" s="55">
        <f>3</f>
        <v>3</v>
      </c>
      <c r="B59" s="42" t="str">
        <f>IFERROR(IFERROR(INDEX(Справочники!$A$2:$P$79,MATCH(INDEX(ТУ!$E:$E,MATCH($U59*1,ТУ!$CP:$CP,0),1),Справочники!$P$2:$P$79,0),2),INDEX(Справочники!$A$2:$P$79,MATCH((INDEX(ТУ!$E:$E,MATCH($U59*1,ТУ!$CP:$CP,0),1))*1,Справочники!$P$2:$P$79,0),2)),"")</f>
        <v>15 р-н МКС (ЮВОРУПЭ)</v>
      </c>
      <c r="C59" s="46" t="str">
        <f>IFERROR(TRIM(LEFT(INDEX(ТУ!$AF:$AF,MATCH($U59*1,ТУ!$CP:$CP,0),1),SEARCH("-",INDEX(ТУ!$AF:$AF,MATCH($U59*1,ТУ!$CP:$CP,0),1))-1)),IFERROR(LEFT(INDEX(ТУ!$X:$X,MATCH($U59*1,ТУ!$CP:$CP,0),1),SEARCH("-",INDEX(ТУ!$X:$X,MATCH($U59*1,ТУ!$CP:$CP,0),1))-1),"ТП"))</f>
        <v>ТП</v>
      </c>
      <c r="D59" s="47" t="str">
        <f>IF(TRIM(IF(ISNUMBER((IFERROR(RIGHT(INDEX(ТУ!$AF:$AF,MATCH($U59*1,ТУ!$CP:$CP,0),1),LEN(INDEX(ТУ!$AF:$AF,MATCH($U59*1,ТУ!$CP:$CP,0),1))-SEARCH("-",INDEX(ТУ!$AF:$AF,MATCH($U59*1,ТУ!$CP:$CP,0),1))),INDEX(ТУ!$AF:$AF,MATCH($U59*1,ТУ!$CP:$CP,0),1)))*1),IFERROR(RIGHT(INDEX(ТУ!$AF:$AF,MATCH($U59*1,ТУ!$CP:$CP,0),1),LEN(INDEX(ТУ!$AF:$AF,MATCH($U59*1,ТУ!$CP:$CP,0),1))-SEARCH("-",INDEX(ТУ!$AF:$AF,MATCH($U59*1,ТУ!$CP:$CP,0),1))),INDEX(ТУ!$AF:$AF,MATCH($U59*1,ТУ!$CP:$CP,0),1)),""))="",TRIM(IF(ISNUMBER((IFERROR(RIGHT(INDEX(ТУ!$X:$X,MATCH($U59*1,ТУ!$CP:$CP,0),1),LEN(INDEX(ТУ!$X:$X,MATCH($U59*1,ТУ!$CP:$CP,0),1))-SEARCH("-",INDEX(ТУ!$X:$X,MATCH($U59*1,ТУ!$CP:$CP,0),1))),INDEX(ТУ!$X:$X,MATCH($U59*1,ТУ!$CP:$CP,0),1)))*1),IFERROR(RIGHT(INDEX(ТУ!$X:$X,MATCH($U59*1,ТУ!$CP:$CP,0),1),LEN(INDEX(ТУ!$X:$X,MATCH($U59*1,ТУ!$CP:$CP,0),1))-SEARCH("-",INDEX(ТУ!$X:$X,MATCH($U59*1,ТУ!$CP:$CP,0),1))),INDEX(ТУ!$X:$X,MATCH($U59*1,ТУ!$CP:$CP,0),1)),"")),TRIM(IF(ISNUMBER((IFERROR(RIGHT(INDEX(ТУ!$AF:$AF,MATCH($U59*1,ТУ!$CP:$CP,0),1),LEN(INDEX(ТУ!$AF:$AF,MATCH($U59*1,ТУ!$CP:$CP,0),1))-SEARCH("-",INDEX(ТУ!$AF:$AF,MATCH($U59*1,ТУ!$CP:$CP,0),1))),INDEX(ТУ!$AF:$AF,MATCH($U59*1,ТУ!$CP:$CP,0),1)))*1),IFERROR(RIGHT(INDEX(ТУ!$AF:$AF,MATCH($U59*1,ТУ!$CP:$CP,0),1),LEN(INDEX(ТУ!$AF:$AF,MATCH($U59*1,ТУ!$CP:$CP,0),1))-SEARCH("-",INDEX(ТУ!$AF:$AF,MATCH($U59*1,ТУ!$CP:$CP,0),1))),INDEX(ТУ!$AF:$AF,MATCH($U59*1,ТУ!$CP:$CP,0),1)),"")))</f>
        <v>5090</v>
      </c>
      <c r="E59" s="25" t="str">
        <f t="shared" si="2"/>
        <v>МКС</v>
      </c>
      <c r="F59" s="20">
        <f t="shared" si="3"/>
        <v>89</v>
      </c>
      <c r="G59" s="21">
        <f t="shared" si="4"/>
        <v>5</v>
      </c>
      <c r="H59" s="25" t="str">
        <f t="shared" si="5"/>
        <v>ТП-5090</v>
      </c>
      <c r="I59" s="25" t="str">
        <f t="shared" si="6"/>
        <v>89505090</v>
      </c>
      <c r="J59" s="42" t="str">
        <f>INDEX(Справочники!$M:$M,MATCH(IF(INDEX(ТУ!$BO:$BO,MATCH($U59*1,ТУ!$CP:$CP,0),1)=1,1,INDEX(ТУ!$BO:$BO,MATCH($U59*1,ТУ!$CP:$CP,0),1)*100),Справочники!$N:$N,0),1)</f>
        <v>0.4 кВ</v>
      </c>
      <c r="K59" s="40">
        <f>1</f>
        <v>1</v>
      </c>
      <c r="L59" s="20" t="str">
        <f t="shared" si="7"/>
        <v>СШ-1</v>
      </c>
      <c r="M59" s="20">
        <f t="shared" si="8"/>
        <v>1</v>
      </c>
      <c r="N59" s="40"/>
      <c r="O59" s="56" t="str">
        <f t="shared" si="9"/>
        <v>Ввод-1-1</v>
      </c>
      <c r="P59" s="57" t="str">
        <f>IFERROR(IF(INDEX(ТУ!$AO:$AO,MATCH($U59*1,ТУ!$CP:$CP,0),1)=0,"",INDEX(ТУ!$AO:$AO,MATCH($U59*1,ТУ!$CP:$CP,0),1)),"")</f>
        <v>ВВ абонента 2</v>
      </c>
      <c r="Q59" s="40">
        <f>IFERROR(IF(INDEX(ТУ!$BN:$BN,MATCH($U59*1,ТУ!$CP:$CP,0),1)=1,1,INDEX(ТУ!$BN:$BN,MATCH($U59*1,ТУ!$CP:$CP,0),1)*5),"")</f>
        <v>50</v>
      </c>
      <c r="R59" s="25">
        <f t="shared" si="10"/>
        <v>5</v>
      </c>
      <c r="S59" s="25">
        <f t="shared" si="11"/>
        <v>1</v>
      </c>
      <c r="T59" s="25">
        <f t="shared" si="12"/>
        <v>1</v>
      </c>
      <c r="U59" s="105" t="s">
        <v>1087</v>
      </c>
      <c r="V59" s="43">
        <f>IF(INDEX(ТУ!$BH:$BH,MATCH($U59*1,ТУ!$CP:$CP,0),1)=0,"",INDEX(ТУ!$BH:$BH,MATCH($U59*1,ТУ!$CP:$CP,0),1))</f>
        <v>44895</v>
      </c>
      <c r="W59" s="43" t="str">
        <f>IF(INDEX(ТУ!$BI:$BI,MATCH($U59*1,ТУ!$CP:$CP,0),1)=0,"",INDEX(ТУ!$BI:$BI,MATCH($U59*1,ТУ!$CP:$CP,0),1))</f>
        <v/>
      </c>
      <c r="X59" s="58" t="str">
        <f t="shared" si="13"/>
        <v>Меркурий-23X</v>
      </c>
      <c r="Y59" s="25">
        <f t="shared" si="14"/>
        <v>15</v>
      </c>
      <c r="Z59" s="42" t="str">
        <f t="shared" si="15"/>
        <v/>
      </c>
      <c r="AA59" s="25" t="str">
        <f t="shared" si="16"/>
        <v/>
      </c>
      <c r="AB59" s="40" t="str">
        <f>IF(ISNUMBER(SEARCH("Приборы с поддержкой протокола СПОДЭС - Нартис-И300 (СПОДЭС)",INDEX(ТУ!$BD:$BD,MATCH($U59*1,ТУ!$CP:$CP,0),1))),"Нартис-И300",
IF(ISNUMBER(SEARCH("Приборы с поддержкой протокола СПОДЭС - Меркурий 234 (СПОДЭС)",INDEX(ТУ!$BD:$BD,MATCH($U59*1,ТУ!$CP:$CP,0),1))),"Меркурий 234 (СПОДЭС)",
IF(ISNUMBER(SEARCH("Приборы с поддержкой протокола СПОДЭС - Нартис-300 (СПОДЭС)",INDEX(ТУ!$BD:$BD,MATCH($U59*1,ТУ!$CP:$CP,0),1))),"Нартис-300",
IF(ISNUMBER(SEARCH("Инкотекс - Меркурий 234",INDEX(ТУ!$BD:$BD,MATCH($U59*1,ТУ!$CP:$CP,0),1))),"Меркурий 234",
IF(ISNUMBER(SEARCH("Инкотекс - Меркурий 206",INDEX(ТУ!$BD:$BD,MATCH($U59*1,ТУ!$CP:$CP,0),1))),"Меркурий 206",
IF(ISNUMBER(SEARCH("Приборы с поддержкой протокола СПОДЭС - Универсальный счетчик СПОДЭС 2 трехфазный",INDEX(ТУ!$BD:$BD,MATCH($U59*1,ТУ!$CP:$CP,0),1))),"Нартис-И300",
IF(ISNUMBER(SEARCH("Приборы с поддержкой протокола СПОДЭС - Универсальный счетчик СПОДЭС 2 однофазный",INDEX(ТУ!$BD:$BD,MATCH($U59*1,ТУ!$CP:$CP,0),1))),"Нартис-И100",
IF(ISNUMBER(SEARCH("Приборы с поддержкой протокола СПОДЭС - Нартис-И100 (СПОДЭС)",INDEX(ТУ!$BD:$BD,MATCH($U59*1,ТУ!$CP:$CP,0),1))),"Нартис-И100",
IF(ISNUMBER(SEARCH("Приборы с поддержкой протокола СПОДЭС - СЕ308 (СПОДЭС)",INDEX(ТУ!$BD:$BD,MATCH($U59*1,ТУ!$CP:$CP,0),1))),"СЕ308 (СПОДЭС)",
IF(ISNUMBER(SEARCH("Приборы с поддержкой протокола СПОДЭС - СЕ207 (СПОДЭС)",INDEX(ТУ!$BD:$BD,MATCH($U59*1,ТУ!$CP:$CP,0),1))),"СЕ207 (СПОДЭС)",
IF(ISNUMBER(SEARCH("Приборы с поддержкой протокола СПОДЭС - СТЭМ-300 (СПОДЭС)",INDEX(ТУ!$BD:$BD,MATCH($U59*1,ТУ!$CP:$CP,0),1))),"СТЭМ-300 (СПОДЭС)",
IF(ISNUMBER(SEARCH("ТехноЭнерго - ТЕ3000",INDEX(ТУ!$BD:$BD,MATCH($U59*1,ТУ!$CP:$CP,0),1))),"ТЕ3000",
IF(ISNUMBER(SEARCH("НЗиФ - СЭТ-4ТМ",INDEX(ТУ!$BD:$BD,MATCH($U59*1,ТУ!$CP:$CP,0),1))),"СЭТ-4ТМ",
INDEX(ТУ!$BD:$BD,MATCH($U59*1,ТУ!$CP:$CP,0),1)
)))))))))))))</f>
        <v>Меркурий 234</v>
      </c>
      <c r="AC59" s="40" t="s">
        <v>2</v>
      </c>
      <c r="AD59" s="40" t="str">
        <f>IF(ISNUMBER(IFERROR(LEFT(IF(INDEX(ТУ!$CI:$CI,MATCH($U59*1,ТУ!$CP:$CP,0),1)=0,"",INDEX(ТУ!$CI:$CI,MATCH($U59*1,ТУ!$CP:$CP,0),1)),SEARCH(" ",IF(INDEX(ТУ!$CI:$CI,MATCH($U59*1,ТУ!$CP:$CP,0),1)=0,"",INDEX(ТУ!$CI:$CI,MATCH($U59*1,ТУ!$CP:$CP,0),1)),1)-1),"")*1),IFERROR(LEFT(IF(INDEX(ТУ!$CI:$CI,MATCH($U59*1,ТУ!$CP:$CP,0),1)=0,"",INDEX(ТУ!$CI:$CI,MATCH($U59*1,ТУ!$CP:$CP,0),1)),SEARCH(" ",IF(INDEX(ТУ!$CI:$CI,MATCH($U59*1,ТУ!$CP:$CP,0),1)=0,"",INDEX(ТУ!$CI:$CI,MATCH($U59*1,ТУ!$CP:$CP,0),1)),1)-1),""),"")</f>
        <v>77680001007198</v>
      </c>
      <c r="AE59" s="40" t="str">
        <f>IF(INDEX(ТУ!$CB:$CB,MATCH($U59*1,ТУ!$CP:$CP,0),1)=0,INDEX(Adr!$B:$B,MATCH($U59*1,Adr!$C:$C,0),1),INDEX(ТУ!$CB:$CB,MATCH($U59*1,ТУ!$CP:$CP,0),1))</f>
        <v>74</v>
      </c>
      <c r="AF59" s="45" t="str">
        <f>IF(INDEX(ТУ!$CD:$CD,MATCH($U59*1,ТУ!$CP:$CP,0),1)=0,"",INDEX(ТУ!$CD:$CD,MATCH($U59*1,ТУ!$CP:$CP,0),1))</f>
        <v>"002080"</v>
      </c>
      <c r="AG59" s="45">
        <f>0</f>
        <v>0</v>
      </c>
      <c r="AH59" s="26">
        <f t="shared" si="17"/>
        <v>89</v>
      </c>
      <c r="AI59" s="20" t="str">
        <f t="shared" si="18"/>
        <v>895050901</v>
      </c>
      <c r="AJ59" s="41" t="str">
        <f t="shared" si="1"/>
        <v/>
      </c>
      <c r="AK59" s="41" t="str">
        <f>IF($AP59="",IFERROR(IFERROR(LEFT(RIGHT(INDEX(ТУ!$CE:$CE,MATCH($U59*1,ТУ!$CP:$CP,0),1),LEN(INDEX(ТУ!$CE:$CE,MATCH($U59*1,ТУ!$CP:$CP,0),1))-SEARCH(":",INDEX(ТУ!$CE:$CE,MATCH($U59*1,ТУ!$CP:$CP,0),1))),SEARCH("/",RIGHT(INDEX(ТУ!$CE:$CE,MATCH($U59*1,ТУ!$CP:$CP,0),1),LEN(INDEX(ТУ!$CE:$CE,MATCH($U59*1,ТУ!$CP:$CP,0),1))-SEARCH(":",INDEX(ТУ!$CE:$CE,MATCH($U59*1,ТУ!$CP:$CP,0),1))))-1), RIGHT(INDEX(ТУ!$CE:$CE,MATCH($U59*1,ТУ!$CP:$CP,0),1),LEN(INDEX(ТУ!$CE:$CE,MATCH($U59*1,ТУ!$CP:$CP,0),1))-SEARCH(":",INDEX(ТУ!$CE:$CE,MATCH($U59*1,ТУ!$CP:$CP,0),1)))), ""),IFERROR(IFERROR(LEFT(RIGHT(INDEX(УСПД!$M:$M,MATCH(IFERROR(1*LEFT(INDEX(ТУ!$CG:$CG,MATCH($U59*1,ТУ!$CP:$CP,0),1),SEARCH(" ",INDEX(ТУ!$CG:$CG,MATCH($U59*1,ТУ!$CP:$CP,0),1))-1),""),УСПД!$N:$N,0),1),LEN(INDEX(УСПД!$M:$M,MATCH(IFERROR(1*LEFT(INDEX(ТУ!$CG:$CG,MATCH($U59*1,ТУ!$CP:$CP,0),1),SEARCH(" ",INDEX(ТУ!$CG:$CG,MATCH($U59*1,ТУ!$CP:$CP,0),1))-1),""),УСПД!$N:$N,0),1))-SEARCH(":",INDEX(УСПД!$M:$M,MATCH(IFERROR(1*LEFT(INDEX(ТУ!$CG:$CG,MATCH($U59*1,ТУ!$CP:$CP,0),1),SEARCH(" ",INDEX(ТУ!$CG:$CG,MATCH($U59*1,ТУ!$CP:$CP,0),1))-1),""),УСПД!$N:$N,0),1))),SEARCH("/",RIGHT(INDEX(УСПД!$M:$M,MATCH(IFERROR(1*LEFT(INDEX(ТУ!$CG:$CG,MATCH($U59*1,ТУ!$CP:$CP,0),1),SEARCH(" ",INDEX(ТУ!$CG:$CG,MATCH($U59*1,ТУ!$CP:$CP,0),1))-1),""),УСПД!$N:$N,0),1),LEN(INDEX(УСПД!$M:$M,MATCH(IFERROR(1*LEFT(INDEX(ТУ!$CG:$CG,MATCH($U59*1,ТУ!$CP:$CP,0),1),SEARCH(" ",INDEX(ТУ!$CG:$CG,MATCH($U59*1,ТУ!$CP:$CP,0),1))-1),""),УСПД!$N:$N,0),1))-SEARCH(":",INDEX(УСПД!$M:$M,MATCH(IFERROR(1*LEFT(INDEX(ТУ!$CG:$CG,MATCH($U59*1,ТУ!$CP:$CP,0),1),SEARCH(" ",INDEX(ТУ!$CG:$CG,MATCH($U59*1,ТУ!$CP:$CP,0),1))-1),""),УСПД!$N:$N,0),1))))-1), RIGHT(INDEX(УСПД!$M:$M,MATCH(IFERROR(1*LEFT(INDEX(ТУ!$CG:$CG,MATCH($U59*1,ТУ!$CP:$CP,0),1),SEARCH(" ",INDEX(ТУ!$CG:$CG,MATCH($U59*1,ТУ!$CP:$CP,0),1))-1),""),УСПД!$N:$N,0),1),LEN(INDEX(УСПД!$M:$M,MATCH(IFERROR(1*LEFT(INDEX(ТУ!$CG:$CG,MATCH($U59*1,ТУ!$CP:$CP,0),1),SEARCH(" ",INDEX(ТУ!$CG:$CG,MATCH($U59*1,ТУ!$CP:$CP,0),1))-1),""),УСПД!$N:$N,0),1))-SEARCH(":",INDEX(УСПД!$M:$M,MATCH(IFERROR(1*LEFT(INDEX(ТУ!$CG:$CG,MATCH($U59*1,ТУ!$CP:$CP,0),1),SEARCH(" ",INDEX(ТУ!$CG:$CG,MATCH($U59*1,ТУ!$CP:$CP,0),1))-1),""),УСПД!$N:$N,0),1)))), ""))</f>
        <v/>
      </c>
      <c r="AL59" s="41"/>
      <c r="AM59" s="57" t="str">
        <f>IFERROR(IFERROR(INDEX(Tel!$B:$B,MATCH($AJ59,Tel!$E:$E,0),1),INDEX(Tel!$B:$B,MATCH($AJ59,Tel!$D:$D,0),1)),"")</f>
        <v/>
      </c>
      <c r="AN59" s="59" t="str">
        <f>IF(ISNUMBER(SEARCH("ТОПАЗ - ТОПАЗ УСПД",IFERROR(RIGHT(LEFT(INDEX(ТУ!$CG:$CG,MATCH($U59*1,ТУ!$CP:$CP,0),1),SEARCH(")",INDEX(ТУ!$CG:$CG,MATCH($U59*1,ТУ!$CP:$CP,0),1))-1),LEN(LEFT(INDEX(ТУ!$CG:$CG,MATCH($U59*1,ТУ!$CP:$CP,0),1),SEARCH(")",INDEX(ТУ!$CG:$CG,MATCH($U59*1,ТУ!$CP:$CP,0),1))-1))-SEARCH("(",INDEX(ТУ!$CG:$CG,MATCH($U59*1,ТУ!$CP:$CP,0),1))),""),1)),"RTU-327",
IF(ISNUMBER(SEARCH("TELEOFIS",$AP59)),"Модем",
""))</f>
        <v>Модем</v>
      </c>
      <c r="AO59" s="27">
        <f t="shared" si="24"/>
        <v>0</v>
      </c>
      <c r="AP59" s="57" t="str">
        <f>IF(ISNUMBER(SEARCH("Миландр - Милур GSM/GPRS модем",IFERROR(RIGHT(LEFT(INDEX(ТУ!$CG:$CG,MATCH($U59*1,ТУ!$CP:$CP,0),1),SEARCH(")",INDEX(ТУ!$CG:$CG,MATCH($U59*1,ТУ!$CP:$CP,0),1))-1),LEN(LEFT(INDEX(ТУ!$CG:$CG,MATCH($U59*1,ТУ!$CP:$CP,0),1),SEARCH(")",INDEX(ТУ!$CG:$CG,MATCH($U59*1,ТУ!$CP:$CP,0),1))-1))-SEARCH("(",INDEX(ТУ!$CG:$CG,MATCH($U59*1,ТУ!$CP:$CP,0),1))),""),1)), "TELEOFIS WRX708-L4",IFERROR(RIGHT(LEFT(INDEX(ТУ!$CG:$CG,MATCH($U59*1,ТУ!$CP:$CP,0),1),SEARCH(")",INDEX(ТУ!$CG:$CG,MATCH($U59*1,ТУ!$CP:$CP,0),1))-1),LEN(LEFT(INDEX(ТУ!$CG:$CG,MATCH($U59*1,ТУ!$CP:$CP,0),1),SEARCH(")",INDEX(ТУ!$CG:$CG,MATCH($U59*1,ТУ!$CP:$CP,0),1))-1))-SEARCH("(",INDEX(ТУ!$CG:$CG,MATCH($U59*1,ТУ!$CP:$CP,0),1))),""))</f>
        <v>TELEOFIS WRX708-L4</v>
      </c>
      <c r="AQ59" s="57" t="str">
        <f>IFERROR(IF(INDEX(УСПД!$K:$K,MATCH($AS59*1,УСПД!$N:$N,0),1)=0,"",INDEX(УСПД!$K:$K,MATCH($AS59*1,УСПД!$N:$N,0),1)),"")</f>
        <v/>
      </c>
      <c r="AR59" s="57" t="str">
        <f>IFERROR(IF(INDEX(УСПД!$L:$L,MATCH($AS59*1,УСПД!$N:$N,0),1)=0,"",INDEX(УСПД!$L:$L,MATCH($AS59*1,УСПД!$N:$N,0),1)),"")</f>
        <v/>
      </c>
      <c r="AS59" s="60" t="str">
        <f>IFERROR(LEFT(INDEX(ТУ!$CG:$CG,MATCH($U59*1,ТУ!$CP:$CP,0),1),SEARCH(" ",INDEX(ТУ!$CG:$CG,MATCH($U59*1,ТУ!$CP:$CP,0),1))-1),"")</f>
        <v>356945322440484</v>
      </c>
      <c r="AT59" s="59" t="s">
        <v>360</v>
      </c>
      <c r="AU59" s="59">
        <f>3</f>
        <v>3</v>
      </c>
      <c r="AV59" s="59" t="s">
        <v>368</v>
      </c>
      <c r="AW59" s="149">
        <f t="shared" si="19"/>
        <v>67</v>
      </c>
      <c r="AX59" s="149">
        <f t="shared" si="20"/>
        <v>15</v>
      </c>
      <c r="AY59" s="149" t="str">
        <f t="shared" si="21"/>
        <v/>
      </c>
      <c r="AZ59" s="149">
        <f t="shared" si="22"/>
        <v>25</v>
      </c>
      <c r="BA59" s="149">
        <f t="shared" si="23"/>
        <v>1</v>
      </c>
      <c r="BB59" s="154" t="str">
        <f>IF($AP59="",IFERROR(IFERROR(LEFT(RIGHT(INDEX(ТУ!$CE:$CE,MATCH($U59*1,ТУ!$CP:$CP,0),1),LEN(INDEX(ТУ!$CE:$CE,MATCH($U59*1,ТУ!$CP:$CP,0),1))-SEARCH(", ",INDEX(ТУ!$CE:$CE,MATCH($U59*1,ТУ!$CP:$CP,0),1),SEARCH(", ",INDEX(ТУ!$CE:$CE,MATCH($U59*1,ТУ!$CP:$CP,0),1))+1)-1),SEARCH(":",RIGHT(INDEX(ТУ!$CE:$CE,MATCH($U59*1,ТУ!$CP:$CP,0),1),LEN(INDEX(ТУ!$CE:$CE,MATCH($U59*1,ТУ!$CP:$CP,0),1))-SEARCH(", ",INDEX(ТУ!$CE:$CE,MATCH($U59*1,ТУ!$CP:$CP,0),1),SEARCH(", ",INDEX(ТУ!$CE:$CE,MATCH($U59*1,ТУ!$CP:$CP,0),1))+1)-1))-1),LEFT(INDEX(ТУ!$CE:$CE,MATCH($U59*1,ТУ!$CP:$CP,0),1),SEARCH(":",INDEX(ТУ!$CE:$CE,MATCH($U59*1,ТУ!$CP:$CP,0),1))-1)),""),IFERROR(IFERROR(LEFT(RIGHT(INDEX(УСПД!$M:$M,MATCH(IFERROR(1*LEFT(INDEX(ТУ!$CG:$CG,MATCH($U59*1,ТУ!$CP:$CP,0),1),SEARCH(" ",INDEX(ТУ!$CG:$CG,MATCH($U59*1,ТУ!$CP:$CP,0),1))-1),""),УСПД!$N:$N,0),1),LEN(INDEX(УСПД!$M:$M,MATCH(IFERROR(1*LEFT(INDEX(ТУ!$CG:$CG,MATCH($U59*1,ТУ!$CP:$CP,0),1),SEARCH(" ",INDEX(ТУ!$CG:$CG,MATCH($U59*1,ТУ!$CP:$CP,0),1))-1),""),УСПД!$N:$N,0),1))-SEARCH(", ",INDEX(УСПД!$M:$M,MATCH(IFERROR(1*LEFT(INDEX(ТУ!$CG:$CG,MATCH($U59*1,ТУ!$CP:$CP,0),1),SEARCH(" ",INDEX(ТУ!$CG:$CG,MATCH($U59*1,ТУ!$CP:$CP,0),1))-1),""),УСПД!$N:$N,0),1),SEARCH(", ",INDEX(УСПД!$M:$M,MATCH(IFERROR(1*LEFT(INDEX(ТУ!$CG:$CG,MATCH($U59*1,ТУ!$CP:$CP,0),1),SEARCH(" ",INDEX(ТУ!$CG:$CG,MATCH($U59*1,ТУ!$CP:$CP,0),1))-1),""),УСПД!$N:$N,0),1))+1)-1),SEARCH(":",RIGHT(INDEX(УСПД!$M:$M,MATCH(IFERROR(1*LEFT(INDEX(ТУ!$CG:$CG,MATCH($U59*1,ТУ!$CP:$CP,0),1),SEARCH(" ",INDEX(ТУ!$CG:$CG,MATCH($U59*1,ТУ!$CP:$CP,0),1))-1),""),УСПД!$N:$N,0),1),LEN(INDEX(УСПД!$M:$M,MATCH(IFERROR(1*LEFT(INDEX(ТУ!$CG:$CG,MATCH($U59*1,ТУ!$CP:$CP,0),1),SEARCH(" ",INDEX(ТУ!$CG:$CG,MATCH($U59*1,ТУ!$CP:$CP,0),1))-1),""),УСПД!$N:$N,0),1))-SEARCH(", ",INDEX(УСПД!$M:$M,MATCH(IFERROR(1*LEFT(INDEX(ТУ!$CG:$CG,MATCH($U59*1,ТУ!$CP:$CP,0),1),SEARCH(" ",INDEX(ТУ!$CG:$CG,MATCH($U59*1,ТУ!$CP:$CP,0),1))-1),""),УСПД!$N:$N,0),1),SEARCH(", ",INDEX(УСПД!$M:$M,MATCH(IFERROR(1*LEFT(INDEX(ТУ!$CG:$CG,MATCH($U59*1,ТУ!$CP:$CP,0),1),SEARCH(" ",INDEX(ТУ!$CG:$CG,MATCH($U59*1,ТУ!$CP:$CP,0),1))-1),""),УСПД!$N:$N,0),1))+1)-1))-1),LEFT(INDEX(УСПД!$M:$M,MATCH(IFERROR(1*LEFT(INDEX(ТУ!$CG:$CG,MATCH($U59*1,ТУ!$CP:$CP,0),1),SEARCH(" ",INDEX(ТУ!$CG:$CG,MATCH($U59*1,ТУ!$CP:$CP,0),1))-1),""),УСПД!$N:$N,0),1),SEARCH(":",INDEX(УСПД!$M:$M,MATCH(IFERROR(1*LEFT(INDEX(ТУ!$CG:$CG,MATCH($U59*1,ТУ!$CP:$CP,0),1),SEARCH(" ",INDEX(ТУ!$CG:$CG,MATCH($U59*1,ТУ!$CP:$CP,0),1))-1),""),УСПД!$N:$N,0),1))-1)),""))</f>
        <v/>
      </c>
      <c r="BC59" s="155" t="str">
        <f>INDEX(ТУ!$AF:$AF,MATCH($U59*1,ТУ!$CP:$CP,0),1)</f>
        <v>ТП-5090</v>
      </c>
      <c r="BD59" s="155">
        <f>INDEX(ТУ!$X:$X,MATCH($U59*1,ТУ!$CP:$CP,0),1)</f>
        <v>0</v>
      </c>
      <c r="BE59" s="155" t="str">
        <f>INDEX(ТУ!$CL:$CL,MATCH($U59*1,ТУ!$CP:$CP,0),1)</f>
        <v>Не принят ПНР</v>
      </c>
      <c r="BF59" s="147" t="str">
        <f>IFERROR(INDEX(естьАЦ!$A:$A,MATCH($U59*1,естьАЦ!$A:$A,0),1),"нет в АЦ")</f>
        <v>нет в АЦ</v>
      </c>
    </row>
    <row r="60" spans="1:58" ht="15" x14ac:dyDescent="0.25">
      <c r="A60" s="55">
        <f>3</f>
        <v>3</v>
      </c>
      <c r="B60" s="42" t="str">
        <f>IFERROR(IFERROR(INDEX(Справочники!$A$2:$P$79,MATCH(INDEX(ТУ!$E:$E,MATCH($U60*1,ТУ!$CP:$CP,0),1),Справочники!$P$2:$P$79,0),2),INDEX(Справочники!$A$2:$P$79,MATCH((INDEX(ТУ!$E:$E,MATCH($U60*1,ТУ!$CP:$CP,0),1))*1,Справочники!$P$2:$P$79,0),2)),"")</f>
        <v>25 р-н МКС (ЗОРУПЭ)</v>
      </c>
      <c r="C60" s="46" t="str">
        <f>IFERROR(TRIM(LEFT(INDEX(ТУ!$AF:$AF,MATCH($U60*1,ТУ!$CP:$CP,0),1),SEARCH("-",INDEX(ТУ!$AF:$AF,MATCH($U60*1,ТУ!$CP:$CP,0),1))-1)),IFERROR(LEFT(INDEX(ТУ!$X:$X,MATCH($U60*1,ТУ!$CP:$CP,0),1),SEARCH("-",INDEX(ТУ!$X:$X,MATCH($U60*1,ТУ!$CP:$CP,0),1))-1),"ТП"))</f>
        <v>СП</v>
      </c>
      <c r="D60" s="47" t="str">
        <f>IF(TRIM(IF(ISNUMBER((IFERROR(RIGHT(INDEX(ТУ!$AF:$AF,MATCH($U60*1,ТУ!$CP:$CP,0),1),LEN(INDEX(ТУ!$AF:$AF,MATCH($U60*1,ТУ!$CP:$CP,0),1))-SEARCH("-",INDEX(ТУ!$AF:$AF,MATCH($U60*1,ТУ!$CP:$CP,0),1))),INDEX(ТУ!$AF:$AF,MATCH($U60*1,ТУ!$CP:$CP,0),1)))*1),IFERROR(RIGHT(INDEX(ТУ!$AF:$AF,MATCH($U60*1,ТУ!$CP:$CP,0),1),LEN(INDEX(ТУ!$AF:$AF,MATCH($U60*1,ТУ!$CP:$CP,0),1))-SEARCH("-",INDEX(ТУ!$AF:$AF,MATCH($U60*1,ТУ!$CP:$CP,0),1))),INDEX(ТУ!$AF:$AF,MATCH($U60*1,ТУ!$CP:$CP,0),1)),""))="",TRIM(IF(ISNUMBER((IFERROR(RIGHT(INDEX(ТУ!$X:$X,MATCH($U60*1,ТУ!$CP:$CP,0),1),LEN(INDEX(ТУ!$X:$X,MATCH($U60*1,ТУ!$CP:$CP,0),1))-SEARCH("-",INDEX(ТУ!$X:$X,MATCH($U60*1,ТУ!$CP:$CP,0),1))),INDEX(ТУ!$X:$X,MATCH($U60*1,ТУ!$CP:$CP,0),1)))*1),IFERROR(RIGHT(INDEX(ТУ!$X:$X,MATCH($U60*1,ТУ!$CP:$CP,0),1),LEN(INDEX(ТУ!$X:$X,MATCH($U60*1,ТУ!$CP:$CP,0),1))-SEARCH("-",INDEX(ТУ!$X:$X,MATCH($U60*1,ТУ!$CP:$CP,0),1))),INDEX(ТУ!$X:$X,MATCH($U60*1,ТУ!$CP:$CP,0),1)),"")),TRIM(IF(ISNUMBER((IFERROR(RIGHT(INDEX(ТУ!$AF:$AF,MATCH($U60*1,ТУ!$CP:$CP,0),1),LEN(INDEX(ТУ!$AF:$AF,MATCH($U60*1,ТУ!$CP:$CP,0),1))-SEARCH("-",INDEX(ТУ!$AF:$AF,MATCH($U60*1,ТУ!$CP:$CP,0),1))),INDEX(ТУ!$AF:$AF,MATCH($U60*1,ТУ!$CP:$CP,0),1)))*1),IFERROR(RIGHT(INDEX(ТУ!$AF:$AF,MATCH($U60*1,ТУ!$CP:$CP,0),1),LEN(INDEX(ТУ!$AF:$AF,MATCH($U60*1,ТУ!$CP:$CP,0),1))-SEARCH("-",INDEX(ТУ!$AF:$AF,MATCH($U60*1,ТУ!$CP:$CP,0),1))),INDEX(ТУ!$AF:$AF,MATCH($U60*1,ТУ!$CP:$CP,0),1)),"")))</f>
        <v>71073</v>
      </c>
      <c r="E60" s="25" t="str">
        <f t="shared" si="2"/>
        <v>МКС</v>
      </c>
      <c r="F60" s="20">
        <f t="shared" si="3"/>
        <v>99</v>
      </c>
      <c r="G60" s="21" t="str">
        <f t="shared" si="4"/>
        <v/>
      </c>
      <c r="H60" s="25" t="str">
        <f t="shared" si="5"/>
        <v>СП-71073</v>
      </c>
      <c r="I60" s="25" t="str">
        <f t="shared" si="6"/>
        <v>9971073</v>
      </c>
      <c r="J60" s="42" t="str">
        <f>INDEX(Справочники!$M:$M,MATCH(IF(INDEX(ТУ!$BO:$BO,MATCH($U60*1,ТУ!$CP:$CP,0),1)=1,1,INDEX(ТУ!$BO:$BO,MATCH($U60*1,ТУ!$CP:$CP,0),1)*100),Справочники!$N:$N,0),1)</f>
        <v>20 кВ</v>
      </c>
      <c r="K60" s="40">
        <f>1</f>
        <v>1</v>
      </c>
      <c r="L60" s="20" t="str">
        <f t="shared" si="7"/>
        <v>СШ-1</v>
      </c>
      <c r="M60" s="20">
        <f t="shared" si="8"/>
        <v>1</v>
      </c>
      <c r="N60" s="40"/>
      <c r="O60" s="56" t="str">
        <f t="shared" si="9"/>
        <v>Ввод-1-1</v>
      </c>
      <c r="P60" s="57" t="str">
        <f>IFERROR(IF(INDEX(ТУ!$AO:$AO,MATCH($U60*1,ТУ!$CP:$CP,0),1)=0,"",INDEX(ТУ!$AO:$AO,MATCH($U60*1,ТУ!$CP:$CP,0),1)),"")</f>
        <v>5</v>
      </c>
      <c r="Q60" s="40">
        <f>IFERROR(IF(INDEX(ТУ!$BN:$BN,MATCH($U60*1,ТУ!$CP:$CP,0),1)=1,1,INDEX(ТУ!$BN:$BN,MATCH($U60*1,ТУ!$CP:$CP,0),1)*5),"")</f>
        <v>200</v>
      </c>
      <c r="R60" s="25">
        <f t="shared" si="10"/>
        <v>5</v>
      </c>
      <c r="S60" s="25">
        <f t="shared" si="11"/>
        <v>20000</v>
      </c>
      <c r="T60" s="25">
        <f t="shared" si="12"/>
        <v>100</v>
      </c>
      <c r="U60" s="105" t="s">
        <v>1094</v>
      </c>
      <c r="V60" s="43">
        <f>IF(INDEX(ТУ!$BH:$BH,MATCH($U60*1,ТУ!$CP:$CP,0),1)=0,"",INDEX(ТУ!$BH:$BH,MATCH($U60*1,ТУ!$CP:$CP,0),1))</f>
        <v>45505</v>
      </c>
      <c r="W60" s="43" t="str">
        <f>IF(INDEX(ТУ!$BI:$BI,MATCH($U60*1,ТУ!$CP:$CP,0),1)=0,"",INDEX(ТУ!$BI:$BI,MATCH($U60*1,ТУ!$CP:$CP,0),1))</f>
        <v/>
      </c>
      <c r="X60" s="58" t="str">
        <f t="shared" si="13"/>
        <v/>
      </c>
      <c r="Y60" s="25">
        <f t="shared" si="14"/>
        <v>35</v>
      </c>
      <c r="Z60" s="42" t="str">
        <f t="shared" si="15"/>
        <v/>
      </c>
      <c r="AA60" s="25" t="str">
        <f t="shared" si="16"/>
        <v/>
      </c>
      <c r="AB60" s="40" t="str">
        <f>IF(ISNUMBER(SEARCH("Приборы с поддержкой протокола СПОДЭС - Нартис-И300 (СПОДЭС)",INDEX(ТУ!$BD:$BD,MATCH($U60*1,ТУ!$CP:$CP,0),1))),"Нартис-И300",
IF(ISNUMBER(SEARCH("Приборы с поддержкой протокола СПОДЭС - Меркурий 234 (СПОДЭС)",INDEX(ТУ!$BD:$BD,MATCH($U60*1,ТУ!$CP:$CP,0),1))),"Меркурий 234 (СПОДЭС)",
IF(ISNUMBER(SEARCH("Приборы с поддержкой протокола СПОДЭС - Нартис-300 (СПОДЭС)",INDEX(ТУ!$BD:$BD,MATCH($U60*1,ТУ!$CP:$CP,0),1))),"Нартис-300",
IF(ISNUMBER(SEARCH("Инкотекс - Меркурий 234",INDEX(ТУ!$BD:$BD,MATCH($U60*1,ТУ!$CP:$CP,0),1))),"Меркурий 234",
IF(ISNUMBER(SEARCH("Инкотекс - Меркурий 206",INDEX(ТУ!$BD:$BD,MATCH($U60*1,ТУ!$CP:$CP,0),1))),"Меркурий 206",
IF(ISNUMBER(SEARCH("Приборы с поддержкой протокола СПОДЭС - Универсальный счетчик СПОДЭС 2 трехфазный",INDEX(ТУ!$BD:$BD,MATCH($U60*1,ТУ!$CP:$CP,0),1))),"Нартис-И300",
IF(ISNUMBER(SEARCH("Приборы с поддержкой протокола СПОДЭС - Универсальный счетчик СПОДЭС 2 однофазный",INDEX(ТУ!$BD:$BD,MATCH($U60*1,ТУ!$CP:$CP,0),1))),"Нартис-И100",
IF(ISNUMBER(SEARCH("Приборы с поддержкой протокола СПОДЭС - Нартис-И100 (СПОДЭС)",INDEX(ТУ!$BD:$BD,MATCH($U60*1,ТУ!$CP:$CP,0),1))),"Нартис-И100",
IF(ISNUMBER(SEARCH("Приборы с поддержкой протокола СПОДЭС - СЕ308 (СПОДЭС)",INDEX(ТУ!$BD:$BD,MATCH($U60*1,ТУ!$CP:$CP,0),1))),"СЕ308 (СПОДЭС)",
IF(ISNUMBER(SEARCH("Приборы с поддержкой протокола СПОДЭС - СЕ207 (СПОДЭС)",INDEX(ТУ!$BD:$BD,MATCH($U60*1,ТУ!$CP:$CP,0),1))),"СЕ207 (СПОДЭС)",
IF(ISNUMBER(SEARCH("Приборы с поддержкой протокола СПОДЭС - СТЭМ-300 (СПОДЭС)",INDEX(ТУ!$BD:$BD,MATCH($U60*1,ТУ!$CP:$CP,0),1))),"СТЭМ-300 (СПОДЭС)",
IF(ISNUMBER(SEARCH("ТехноЭнерго - ТЕ3000",INDEX(ТУ!$BD:$BD,MATCH($U60*1,ТУ!$CP:$CP,0),1))),"ТЕ3000",
IF(ISNUMBER(SEARCH("НЗиФ - СЭТ-4ТМ",INDEX(ТУ!$BD:$BD,MATCH($U60*1,ТУ!$CP:$CP,0),1))),"СЭТ-4ТМ",
INDEX(ТУ!$BD:$BD,MATCH($U60*1,ТУ!$CP:$CP,0),1)
)))))))))))))</f>
        <v>НЗиФ - ПСЧ-4ТМ.05МК</v>
      </c>
      <c r="AC60" s="40" t="s">
        <v>2</v>
      </c>
      <c r="AD60" s="40" t="str">
        <f>IF(ISNUMBER(IFERROR(LEFT(IF(INDEX(ТУ!$CI:$CI,MATCH($U60*1,ТУ!$CP:$CP,0),1)=0,"",INDEX(ТУ!$CI:$CI,MATCH($U60*1,ТУ!$CP:$CP,0),1)),SEARCH(" ",IF(INDEX(ТУ!$CI:$CI,MATCH($U60*1,ТУ!$CP:$CP,0),1)=0,"",INDEX(ТУ!$CI:$CI,MATCH($U60*1,ТУ!$CP:$CP,0),1)),1)-1),"")*1),IFERROR(LEFT(IF(INDEX(ТУ!$CI:$CI,MATCH($U60*1,ТУ!$CP:$CP,0),1)=0,"",INDEX(ТУ!$CI:$CI,MATCH($U60*1,ТУ!$CP:$CP,0),1)),SEARCH(" ",IF(INDEX(ТУ!$CI:$CI,MATCH($U60*1,ТУ!$CP:$CP,0),1)=0,"",INDEX(ТУ!$CI:$CI,MATCH($U60*1,ТУ!$CP:$CP,0),1)),1)-1),""),"")</f>
        <v/>
      </c>
      <c r="AE60" s="40" t="str">
        <f>IF(INDEX(ТУ!$CB:$CB,MATCH($U60*1,ТУ!$CP:$CP,0),1)=0,INDEX(Adr!$B:$B,MATCH($U60*1,Adr!$C:$C,0),1),INDEX(ТУ!$CB:$CB,MATCH($U60*1,ТУ!$CP:$CP,0),1))</f>
        <v>48</v>
      </c>
      <c r="AF60" s="45" t="str">
        <f>IF(INDEX(ТУ!$CD:$CD,MATCH($U60*1,ТУ!$CP:$CP,0),1)=0,"",INDEX(ТУ!$CD:$CD,MATCH($U60*1,ТУ!$CP:$CP,0),1))</f>
        <v>000000</v>
      </c>
      <c r="AG60" s="45">
        <f>0</f>
        <v>0</v>
      </c>
      <c r="AH60" s="26">
        <f t="shared" si="17"/>
        <v>99</v>
      </c>
      <c r="AI60" s="20" t="str">
        <f t="shared" si="18"/>
        <v>99710731</v>
      </c>
      <c r="AJ60" s="41" t="str">
        <f t="shared" si="1"/>
        <v>10.210.145.120</v>
      </c>
      <c r="AK60" s="41" t="str">
        <f>IF($AP60="",IFERROR(IFERROR(LEFT(RIGHT(INDEX(ТУ!$CE:$CE,MATCH($U60*1,ТУ!$CP:$CP,0),1),LEN(INDEX(ТУ!$CE:$CE,MATCH($U60*1,ТУ!$CP:$CP,0),1))-SEARCH(":",INDEX(ТУ!$CE:$CE,MATCH($U60*1,ТУ!$CP:$CP,0),1))),SEARCH("/",RIGHT(INDEX(ТУ!$CE:$CE,MATCH($U60*1,ТУ!$CP:$CP,0),1),LEN(INDEX(ТУ!$CE:$CE,MATCH($U60*1,ТУ!$CP:$CP,0),1))-SEARCH(":",INDEX(ТУ!$CE:$CE,MATCH($U60*1,ТУ!$CP:$CP,0),1))))-1), RIGHT(INDEX(ТУ!$CE:$CE,MATCH($U60*1,ТУ!$CP:$CP,0),1),LEN(INDEX(ТУ!$CE:$CE,MATCH($U60*1,ТУ!$CP:$CP,0),1))-SEARCH(":",INDEX(ТУ!$CE:$CE,MATCH($U60*1,ТУ!$CP:$CP,0),1)))), ""),IFERROR(IFERROR(LEFT(RIGHT(INDEX(УСПД!$M:$M,MATCH(IFERROR(1*LEFT(INDEX(ТУ!$CG:$CG,MATCH($U60*1,ТУ!$CP:$CP,0),1),SEARCH(" ",INDEX(ТУ!$CG:$CG,MATCH($U60*1,ТУ!$CP:$CP,0),1))-1),""),УСПД!$N:$N,0),1),LEN(INDEX(УСПД!$M:$M,MATCH(IFERROR(1*LEFT(INDEX(ТУ!$CG:$CG,MATCH($U60*1,ТУ!$CP:$CP,0),1),SEARCH(" ",INDEX(ТУ!$CG:$CG,MATCH($U60*1,ТУ!$CP:$CP,0),1))-1),""),УСПД!$N:$N,0),1))-SEARCH(":",INDEX(УСПД!$M:$M,MATCH(IFERROR(1*LEFT(INDEX(ТУ!$CG:$CG,MATCH($U60*1,ТУ!$CP:$CP,0),1),SEARCH(" ",INDEX(ТУ!$CG:$CG,MATCH($U60*1,ТУ!$CP:$CP,0),1))-1),""),УСПД!$N:$N,0),1))),SEARCH("/",RIGHT(INDEX(УСПД!$M:$M,MATCH(IFERROR(1*LEFT(INDEX(ТУ!$CG:$CG,MATCH($U60*1,ТУ!$CP:$CP,0),1),SEARCH(" ",INDEX(ТУ!$CG:$CG,MATCH($U60*1,ТУ!$CP:$CP,0),1))-1),""),УСПД!$N:$N,0),1),LEN(INDEX(УСПД!$M:$M,MATCH(IFERROR(1*LEFT(INDEX(ТУ!$CG:$CG,MATCH($U60*1,ТУ!$CP:$CP,0),1),SEARCH(" ",INDEX(ТУ!$CG:$CG,MATCH($U60*1,ТУ!$CP:$CP,0),1))-1),""),УСПД!$N:$N,0),1))-SEARCH(":",INDEX(УСПД!$M:$M,MATCH(IFERROR(1*LEFT(INDEX(ТУ!$CG:$CG,MATCH($U60*1,ТУ!$CP:$CP,0),1),SEARCH(" ",INDEX(ТУ!$CG:$CG,MATCH($U60*1,ТУ!$CP:$CP,0),1))-1),""),УСПД!$N:$N,0),1))))-1), RIGHT(INDEX(УСПД!$M:$M,MATCH(IFERROR(1*LEFT(INDEX(ТУ!$CG:$CG,MATCH($U60*1,ТУ!$CP:$CP,0),1),SEARCH(" ",INDEX(ТУ!$CG:$CG,MATCH($U60*1,ТУ!$CP:$CP,0),1))-1),""),УСПД!$N:$N,0),1),LEN(INDEX(УСПД!$M:$M,MATCH(IFERROR(1*LEFT(INDEX(ТУ!$CG:$CG,MATCH($U60*1,ТУ!$CP:$CP,0),1),SEARCH(" ",INDEX(ТУ!$CG:$CG,MATCH($U60*1,ТУ!$CP:$CP,0),1))-1),""),УСПД!$N:$N,0),1))-SEARCH(":",INDEX(УСПД!$M:$M,MATCH(IFERROR(1*LEFT(INDEX(ТУ!$CG:$CG,MATCH($U60*1,ТУ!$CP:$CP,0),1),SEARCH(" ",INDEX(ТУ!$CG:$CG,MATCH($U60*1,ТУ!$CP:$CP,0),1))-1),""),УСПД!$N:$N,0),1)))), ""))</f>
        <v>4001</v>
      </c>
      <c r="AL60" s="41"/>
      <c r="AM60" s="57" t="str">
        <f>IFERROR(IFERROR(INDEX(Tel!$B:$B,MATCH($AJ60,Tel!$E:$E,0),1),INDEX(Tel!$B:$B,MATCH($AJ60,Tel!$D:$D,0),1)),"")</f>
        <v/>
      </c>
      <c r="AN60" s="59" t="str">
        <f>IF(ISNUMBER(SEARCH("ТОПАЗ - ТОПАЗ УСПД",IFERROR(RIGHT(LEFT(INDEX(ТУ!$CG:$CG,MATCH($U60*1,ТУ!$CP:$CP,0),1),SEARCH(")",INDEX(ТУ!$CG:$CG,MATCH($U60*1,ТУ!$CP:$CP,0),1))-1),LEN(LEFT(INDEX(ТУ!$CG:$CG,MATCH($U60*1,ТУ!$CP:$CP,0),1),SEARCH(")",INDEX(ТУ!$CG:$CG,MATCH($U60*1,ТУ!$CP:$CP,0),1))-1))-SEARCH("(",INDEX(ТУ!$CG:$CG,MATCH($U60*1,ТУ!$CP:$CP,0),1))),""),1)),"RTU-327",
IF(ISNUMBER(SEARCH("TELEOFIS",$AP60)),"Модем",
""))</f>
        <v/>
      </c>
      <c r="AO60" s="27" t="str">
        <f t="shared" si="24"/>
        <v/>
      </c>
      <c r="AP60" s="57" t="str">
        <f>IF(ISNUMBER(SEARCH("Миландр - Милур GSM/GPRS модем",IFERROR(RIGHT(LEFT(INDEX(ТУ!$CG:$CG,MATCH($U60*1,ТУ!$CP:$CP,0),1),SEARCH(")",INDEX(ТУ!$CG:$CG,MATCH($U60*1,ТУ!$CP:$CP,0),1))-1),LEN(LEFT(INDEX(ТУ!$CG:$CG,MATCH($U60*1,ТУ!$CP:$CP,0),1),SEARCH(")",INDEX(ТУ!$CG:$CG,MATCH($U60*1,ТУ!$CP:$CP,0),1))-1))-SEARCH("(",INDEX(ТУ!$CG:$CG,MATCH($U60*1,ТУ!$CP:$CP,0),1))),""),1)), "TELEOFIS WRX708-L4",IFERROR(RIGHT(LEFT(INDEX(ТУ!$CG:$CG,MATCH($U60*1,ТУ!$CP:$CP,0),1),SEARCH(")",INDEX(ТУ!$CG:$CG,MATCH($U60*1,ТУ!$CP:$CP,0),1))-1),LEN(LEFT(INDEX(ТУ!$CG:$CG,MATCH($U60*1,ТУ!$CP:$CP,0),1),SEARCH(")",INDEX(ТУ!$CG:$CG,MATCH($U60*1,ТУ!$CP:$CP,0),1))-1))-SEARCH("(",INDEX(ТУ!$CG:$CG,MATCH($U60*1,ТУ!$CP:$CP,0),1))),""))</f>
        <v/>
      </c>
      <c r="AQ60" s="57" t="str">
        <f>IFERROR(IF(INDEX(УСПД!$K:$K,MATCH($AS60*1,УСПД!$N:$N,0),1)=0,"",INDEX(УСПД!$K:$K,MATCH($AS60*1,УСПД!$N:$N,0),1)),"")</f>
        <v/>
      </c>
      <c r="AR60" s="57" t="str">
        <f>IFERROR(IF(INDEX(УСПД!$L:$L,MATCH($AS60*1,УСПД!$N:$N,0),1)=0,"",INDEX(УСПД!$L:$L,MATCH($AS60*1,УСПД!$N:$N,0),1)),"")</f>
        <v/>
      </c>
      <c r="AS60" s="60" t="str">
        <f>IFERROR(LEFT(INDEX(ТУ!$CG:$CG,MATCH($U60*1,ТУ!$CP:$CP,0),1),SEARCH(" ",INDEX(ТУ!$CG:$CG,MATCH($U60*1,ТУ!$CP:$CP,0),1))-1),"")</f>
        <v/>
      </c>
      <c r="AT60" s="59" t="s">
        <v>360</v>
      </c>
      <c r="AU60" s="59">
        <f>3</f>
        <v>3</v>
      </c>
      <c r="AV60" s="59" t="s">
        <v>368</v>
      </c>
      <c r="AW60" s="149">
        <f t="shared" si="19"/>
        <v>77</v>
      </c>
      <c r="AX60" s="149">
        <f t="shared" si="20"/>
        <v>34</v>
      </c>
      <c r="AY60" s="149" t="str">
        <f t="shared" si="21"/>
        <v/>
      </c>
      <c r="AZ60" s="149" t="str">
        <f t="shared" si="22"/>
        <v/>
      </c>
      <c r="BA60" s="149">
        <f t="shared" si="23"/>
        <v>4</v>
      </c>
      <c r="BB60" s="154" t="str">
        <f>IF($AP60="",IFERROR(IFERROR(LEFT(RIGHT(INDEX(ТУ!$CE:$CE,MATCH($U60*1,ТУ!$CP:$CP,0),1),LEN(INDEX(ТУ!$CE:$CE,MATCH($U60*1,ТУ!$CP:$CP,0),1))-SEARCH(", ",INDEX(ТУ!$CE:$CE,MATCH($U60*1,ТУ!$CP:$CP,0),1),SEARCH(", ",INDEX(ТУ!$CE:$CE,MATCH($U60*1,ТУ!$CP:$CP,0),1))+1)-1),SEARCH(":",RIGHT(INDEX(ТУ!$CE:$CE,MATCH($U60*1,ТУ!$CP:$CP,0),1),LEN(INDEX(ТУ!$CE:$CE,MATCH($U60*1,ТУ!$CP:$CP,0),1))-SEARCH(", ",INDEX(ТУ!$CE:$CE,MATCH($U60*1,ТУ!$CP:$CP,0),1),SEARCH(", ",INDEX(ТУ!$CE:$CE,MATCH($U60*1,ТУ!$CP:$CP,0),1))+1)-1))-1),LEFT(INDEX(ТУ!$CE:$CE,MATCH($U60*1,ТУ!$CP:$CP,0),1),SEARCH(":",INDEX(ТУ!$CE:$CE,MATCH($U60*1,ТУ!$CP:$CP,0),1))-1)),""),IFERROR(IFERROR(LEFT(RIGHT(INDEX(УСПД!$M:$M,MATCH(IFERROR(1*LEFT(INDEX(ТУ!$CG:$CG,MATCH($U60*1,ТУ!$CP:$CP,0),1),SEARCH(" ",INDEX(ТУ!$CG:$CG,MATCH($U60*1,ТУ!$CP:$CP,0),1))-1),""),УСПД!$N:$N,0),1),LEN(INDEX(УСПД!$M:$M,MATCH(IFERROR(1*LEFT(INDEX(ТУ!$CG:$CG,MATCH($U60*1,ТУ!$CP:$CP,0),1),SEARCH(" ",INDEX(ТУ!$CG:$CG,MATCH($U60*1,ТУ!$CP:$CP,0),1))-1),""),УСПД!$N:$N,0),1))-SEARCH(", ",INDEX(УСПД!$M:$M,MATCH(IFERROR(1*LEFT(INDEX(ТУ!$CG:$CG,MATCH($U60*1,ТУ!$CP:$CP,0),1),SEARCH(" ",INDEX(ТУ!$CG:$CG,MATCH($U60*1,ТУ!$CP:$CP,0),1))-1),""),УСПД!$N:$N,0),1),SEARCH(", ",INDEX(УСПД!$M:$M,MATCH(IFERROR(1*LEFT(INDEX(ТУ!$CG:$CG,MATCH($U60*1,ТУ!$CP:$CP,0),1),SEARCH(" ",INDEX(ТУ!$CG:$CG,MATCH($U60*1,ТУ!$CP:$CP,0),1))-1),""),УСПД!$N:$N,0),1))+1)-1),SEARCH(":",RIGHT(INDEX(УСПД!$M:$M,MATCH(IFERROR(1*LEFT(INDEX(ТУ!$CG:$CG,MATCH($U60*1,ТУ!$CP:$CP,0),1),SEARCH(" ",INDEX(ТУ!$CG:$CG,MATCH($U60*1,ТУ!$CP:$CP,0),1))-1),""),УСПД!$N:$N,0),1),LEN(INDEX(УСПД!$M:$M,MATCH(IFERROR(1*LEFT(INDEX(ТУ!$CG:$CG,MATCH($U60*1,ТУ!$CP:$CP,0),1),SEARCH(" ",INDEX(ТУ!$CG:$CG,MATCH($U60*1,ТУ!$CP:$CP,0),1))-1),""),УСПД!$N:$N,0),1))-SEARCH(", ",INDEX(УСПД!$M:$M,MATCH(IFERROR(1*LEFT(INDEX(ТУ!$CG:$CG,MATCH($U60*1,ТУ!$CP:$CP,0),1),SEARCH(" ",INDEX(ТУ!$CG:$CG,MATCH($U60*1,ТУ!$CP:$CP,0),1))-1),""),УСПД!$N:$N,0),1),SEARCH(", ",INDEX(УСПД!$M:$M,MATCH(IFERROR(1*LEFT(INDEX(ТУ!$CG:$CG,MATCH($U60*1,ТУ!$CP:$CP,0),1),SEARCH(" ",INDEX(ТУ!$CG:$CG,MATCH($U60*1,ТУ!$CP:$CP,0),1))-1),""),УСПД!$N:$N,0),1))+1)-1))-1),LEFT(INDEX(УСПД!$M:$M,MATCH(IFERROR(1*LEFT(INDEX(ТУ!$CG:$CG,MATCH($U60*1,ТУ!$CP:$CP,0),1),SEARCH(" ",INDEX(ТУ!$CG:$CG,MATCH($U60*1,ТУ!$CP:$CP,0),1))-1),""),УСПД!$N:$N,0),1),SEARCH(":",INDEX(УСПД!$M:$M,MATCH(IFERROR(1*LEFT(INDEX(ТУ!$CG:$CG,MATCH($U60*1,ТУ!$CP:$CP,0),1),SEARCH(" ",INDEX(ТУ!$CG:$CG,MATCH($U60*1,ТУ!$CP:$CP,0),1))-1),""),УСПД!$N:$N,0),1))-1)),""))</f>
        <v>10.210.145.120</v>
      </c>
      <c r="BC60" s="155" t="str">
        <f>INDEX(ТУ!$AF:$AF,MATCH($U60*1,ТУ!$CP:$CP,0),1)</f>
        <v>СП-71073</v>
      </c>
      <c r="BD60" s="155">
        <f>INDEX(ТУ!$X:$X,MATCH($U60*1,ТУ!$CP:$CP,0),1)</f>
        <v>0</v>
      </c>
      <c r="BE60" s="155">
        <f>INDEX(ТУ!$CL:$CL,MATCH($U60*1,ТУ!$CP:$CP,0),1)</f>
        <v>0</v>
      </c>
      <c r="BF60" s="147" t="str">
        <f>IFERROR(INDEX(естьАЦ!$A:$A,MATCH($U60*1,естьАЦ!$A:$A,0),1),"нет в АЦ")</f>
        <v>нет в АЦ</v>
      </c>
    </row>
    <row r="61" spans="1:58" ht="25.5" x14ac:dyDescent="0.25">
      <c r="A61" s="55">
        <f>3</f>
        <v>3</v>
      </c>
      <c r="B61" s="42" t="str">
        <f>IFERROR(IFERROR(INDEX(Справочники!$A$2:$P$79,MATCH(INDEX(ТУ!$E:$E,MATCH($U61*1,ТУ!$CP:$CP,0),1),Справочники!$P$2:$P$79,0),2),INDEX(Справочники!$A$2:$P$79,MATCH((INDEX(ТУ!$E:$E,MATCH($U61*1,ТУ!$CP:$CP,0),1))*1,Справочники!$P$2:$P$79,0),2)),"")</f>
        <v/>
      </c>
      <c r="C61" s="46" t="str">
        <f>IFERROR(TRIM(LEFT(INDEX(ТУ!$AF:$AF,MATCH($U61*1,ТУ!$CP:$CP,0),1),SEARCH("-",INDEX(ТУ!$AF:$AF,MATCH($U61*1,ТУ!$CP:$CP,0),1))-1)),IFERROR(LEFT(INDEX(ТУ!$X:$X,MATCH($U61*1,ТУ!$CP:$CP,0),1),SEARCH("-",INDEX(ТУ!$X:$X,MATCH($U61*1,ТУ!$CP:$CP,0),1))-1),"ТП"))</f>
        <v>РП</v>
      </c>
      <c r="D61" s="47" t="str">
        <f>IF(TRIM(IF(ISNUMBER((IFERROR(RIGHT(INDEX(ТУ!$AF:$AF,MATCH($U61*1,ТУ!$CP:$CP,0),1),LEN(INDEX(ТУ!$AF:$AF,MATCH($U61*1,ТУ!$CP:$CP,0),1))-SEARCH("-",INDEX(ТУ!$AF:$AF,MATCH($U61*1,ТУ!$CP:$CP,0),1))),INDEX(ТУ!$AF:$AF,MATCH($U61*1,ТУ!$CP:$CP,0),1)))*1),IFERROR(RIGHT(INDEX(ТУ!$AF:$AF,MATCH($U61*1,ТУ!$CP:$CP,0),1),LEN(INDEX(ТУ!$AF:$AF,MATCH($U61*1,ТУ!$CP:$CP,0),1))-SEARCH("-",INDEX(ТУ!$AF:$AF,MATCH($U61*1,ТУ!$CP:$CP,0),1))),INDEX(ТУ!$AF:$AF,MATCH($U61*1,ТУ!$CP:$CP,0),1)),""))="",TRIM(IF(ISNUMBER((IFERROR(RIGHT(INDEX(ТУ!$X:$X,MATCH($U61*1,ТУ!$CP:$CP,0),1),LEN(INDEX(ТУ!$X:$X,MATCH($U61*1,ТУ!$CP:$CP,0),1))-SEARCH("-",INDEX(ТУ!$X:$X,MATCH($U61*1,ТУ!$CP:$CP,0),1))),INDEX(ТУ!$X:$X,MATCH($U61*1,ТУ!$CP:$CP,0),1)))*1),IFERROR(RIGHT(INDEX(ТУ!$X:$X,MATCH($U61*1,ТУ!$CP:$CP,0),1),LEN(INDEX(ТУ!$X:$X,MATCH($U61*1,ТУ!$CP:$CP,0),1))-SEARCH("-",INDEX(ТУ!$X:$X,MATCH($U61*1,ТУ!$CP:$CP,0),1))),INDEX(ТУ!$X:$X,MATCH($U61*1,ТУ!$CP:$CP,0),1)),"")),TRIM(IF(ISNUMBER((IFERROR(RIGHT(INDEX(ТУ!$AF:$AF,MATCH($U61*1,ТУ!$CP:$CP,0),1),LEN(INDEX(ТУ!$AF:$AF,MATCH($U61*1,ТУ!$CP:$CP,0),1))-SEARCH("-",INDEX(ТУ!$AF:$AF,MATCH($U61*1,ТУ!$CP:$CP,0),1))),INDEX(ТУ!$AF:$AF,MATCH($U61*1,ТУ!$CP:$CP,0),1)))*1),IFERROR(RIGHT(INDEX(ТУ!$AF:$AF,MATCH($U61*1,ТУ!$CP:$CP,0),1),LEN(INDEX(ТУ!$AF:$AF,MATCH($U61*1,ТУ!$CP:$CP,0),1))-SEARCH("-",INDEX(ТУ!$AF:$AF,MATCH($U61*1,ТУ!$CP:$CP,0),1))),INDEX(ТУ!$AF:$AF,MATCH($U61*1,ТУ!$CP:$CP,0),1)),"")))</f>
        <v>29053</v>
      </c>
      <c r="E61" s="25" t="str">
        <f t="shared" si="2"/>
        <v/>
      </c>
      <c r="F61" s="20" t="str">
        <f t="shared" si="3"/>
        <v/>
      </c>
      <c r="G61" s="21">
        <f t="shared" si="4"/>
        <v>2</v>
      </c>
      <c r="H61" s="25" t="str">
        <f t="shared" si="5"/>
        <v>РП-29053</v>
      </c>
      <c r="I61" s="25" t="str">
        <f t="shared" si="6"/>
        <v>229053</v>
      </c>
      <c r="J61" s="42" t="str">
        <f>INDEX(Справочники!$M:$M,MATCH(IF(INDEX(ТУ!$BO:$BO,MATCH($U61*1,ТУ!$CP:$CP,0),1)=1,1,INDEX(ТУ!$BO:$BO,MATCH($U61*1,ТУ!$CP:$CP,0),1)*100),Справочники!$N:$N,0),1)</f>
        <v>0.4 кВ</v>
      </c>
      <c r="K61" s="40">
        <f>1</f>
        <v>1</v>
      </c>
      <c r="L61" s="20" t="str">
        <f t="shared" si="7"/>
        <v>СШ-1</v>
      </c>
      <c r="M61" s="20">
        <f t="shared" si="8"/>
        <v>1</v>
      </c>
      <c r="N61" s="40"/>
      <c r="O61" s="56" t="str">
        <f t="shared" si="9"/>
        <v>Ввод-1-1</v>
      </c>
      <c r="P61" s="57" t="str">
        <f>IFERROR(IF(INDEX(ТУ!$AO:$AO,MATCH($U61*1,ТУ!$CP:$CP,0),1)=0,"",INDEX(ТУ!$AO:$AO,MATCH($U61*1,ТУ!$CP:$CP,0),1)),"")</f>
        <v/>
      </c>
      <c r="Q61" s="40">
        <f>IFERROR(IF(INDEX(ТУ!$BN:$BN,MATCH($U61*1,ТУ!$CP:$CP,0),1)=1,1,INDEX(ТУ!$BN:$BN,MATCH($U61*1,ТУ!$CP:$CP,0),1)*5),"")</f>
        <v>1</v>
      </c>
      <c r="R61" s="25">
        <f t="shared" si="10"/>
        <v>1</v>
      </c>
      <c r="S61" s="25">
        <f t="shared" si="11"/>
        <v>1</v>
      </c>
      <c r="T61" s="25">
        <f t="shared" si="12"/>
        <v>1</v>
      </c>
      <c r="U61" s="105" t="s">
        <v>1104</v>
      </c>
      <c r="V61" s="43">
        <f>IF(INDEX(ТУ!$BH:$BH,MATCH($U61*1,ТУ!$CP:$CP,0),1)=0,"",INDEX(ТУ!$BH:$BH,MATCH($U61*1,ТУ!$CP:$CP,0),1))</f>
        <v>45585</v>
      </c>
      <c r="W61" s="43" t="str">
        <f>IF(INDEX(ТУ!$BI:$BI,MATCH($U61*1,ТУ!$CP:$CP,0),1)=0,"",INDEX(ТУ!$BI:$BI,MATCH($U61*1,ТУ!$CP:$CP,0),1))</f>
        <v>01.01.2022</v>
      </c>
      <c r="X61" s="58" t="str">
        <f t="shared" si="13"/>
        <v/>
      </c>
      <c r="Y61" s="25">
        <f t="shared" si="14"/>
        <v>35</v>
      </c>
      <c r="Z61" s="42" t="str">
        <f t="shared" si="15"/>
        <v/>
      </c>
      <c r="AA61" s="25" t="str">
        <f t="shared" si="16"/>
        <v/>
      </c>
      <c r="AB61" s="40" t="str">
        <f>IF(ISNUMBER(SEARCH("Приборы с поддержкой протокола СПОДЭС - Нартис-И300 (СПОДЭС)",INDEX(ТУ!$BD:$BD,MATCH($U61*1,ТУ!$CP:$CP,0),1))),"Нартис-И300",
IF(ISNUMBER(SEARCH("Приборы с поддержкой протокола СПОДЭС - Меркурий 234 (СПОДЭС)",INDEX(ТУ!$BD:$BD,MATCH($U61*1,ТУ!$CP:$CP,0),1))),"Меркурий 234 (СПОДЭС)",
IF(ISNUMBER(SEARCH("Приборы с поддержкой протокола СПОДЭС - Нартис-300 (СПОДЭС)",INDEX(ТУ!$BD:$BD,MATCH($U61*1,ТУ!$CP:$CP,0),1))),"Нартис-300",
IF(ISNUMBER(SEARCH("Инкотекс - Меркурий 234",INDEX(ТУ!$BD:$BD,MATCH($U61*1,ТУ!$CP:$CP,0),1))),"Меркурий 234",
IF(ISNUMBER(SEARCH("Инкотекс - Меркурий 206",INDEX(ТУ!$BD:$BD,MATCH($U61*1,ТУ!$CP:$CP,0),1))),"Меркурий 206",
IF(ISNUMBER(SEARCH("Приборы с поддержкой протокола СПОДЭС - Универсальный счетчик СПОДЭС 2 трехфазный",INDEX(ТУ!$BD:$BD,MATCH($U61*1,ТУ!$CP:$CP,0),1))),"Нартис-И300",
IF(ISNUMBER(SEARCH("Приборы с поддержкой протокола СПОДЭС - Универсальный счетчик СПОДЭС 2 однофазный",INDEX(ТУ!$BD:$BD,MATCH($U61*1,ТУ!$CP:$CP,0),1))),"Нартис-И100",
IF(ISNUMBER(SEARCH("Приборы с поддержкой протокола СПОДЭС - Нартис-И100 (СПОДЭС)",INDEX(ТУ!$BD:$BD,MATCH($U61*1,ТУ!$CP:$CP,0),1))),"Нартис-И100",
IF(ISNUMBER(SEARCH("Приборы с поддержкой протокола СПОДЭС - СЕ308 (СПОДЭС)",INDEX(ТУ!$BD:$BD,MATCH($U61*1,ТУ!$CP:$CP,0),1))),"СЕ308 (СПОДЭС)",
IF(ISNUMBER(SEARCH("Приборы с поддержкой протокола СПОДЭС - СЕ207 (СПОДЭС)",INDEX(ТУ!$BD:$BD,MATCH($U61*1,ТУ!$CP:$CP,0),1))),"СЕ207 (СПОДЭС)",
IF(ISNUMBER(SEARCH("Приборы с поддержкой протокола СПОДЭС - СТЭМ-300 (СПОДЭС)",INDEX(ТУ!$BD:$BD,MATCH($U61*1,ТУ!$CP:$CP,0),1))),"СТЭМ-300 (СПОДЭС)",
IF(ISNUMBER(SEARCH("ТехноЭнерго - ТЕ3000",INDEX(ТУ!$BD:$BD,MATCH($U61*1,ТУ!$CP:$CP,0),1))),"ТЕ3000",
IF(ISNUMBER(SEARCH("НЗиФ - СЭТ-4ТМ",INDEX(ТУ!$BD:$BD,MATCH($U61*1,ТУ!$CP:$CP,0),1))),"СЭТ-4ТМ",
INDEX(ТУ!$BD:$BD,MATCH($U61*1,ТУ!$CP:$CP,0),1)
)))))))))))))</f>
        <v>Приборы с поддержкой протокола СПОДЭС - СМ_15 (СПОДЭС)</v>
      </c>
      <c r="AC61" s="40" t="s">
        <v>2</v>
      </c>
      <c r="AD61" s="40" t="str">
        <f>IF(ISNUMBER(IFERROR(LEFT(IF(INDEX(ТУ!$CI:$CI,MATCH($U61*1,ТУ!$CP:$CP,0),1)=0,"",INDEX(ТУ!$CI:$CI,MATCH($U61*1,ТУ!$CP:$CP,0),1)),SEARCH(" ",IF(INDEX(ТУ!$CI:$CI,MATCH($U61*1,ТУ!$CP:$CP,0),1)=0,"",INDEX(ТУ!$CI:$CI,MATCH($U61*1,ТУ!$CP:$CP,0),1)),1)-1),"")*1),IFERROR(LEFT(IF(INDEX(ТУ!$CI:$CI,MATCH($U61*1,ТУ!$CP:$CP,0),1)=0,"",INDEX(ТУ!$CI:$CI,MATCH($U61*1,ТУ!$CP:$CP,0),1)),SEARCH(" ",IF(INDEX(ТУ!$CI:$CI,MATCH($U61*1,ТУ!$CP:$CP,0),1)=0,"",INDEX(ТУ!$CI:$CI,MATCH($U61*1,ТУ!$CP:$CP,0),1)),1)-1),""),"")</f>
        <v/>
      </c>
      <c r="AE61" s="40">
        <f>IF(INDEX(ТУ!$CB:$CB,MATCH($U61*1,ТУ!$CP:$CP,0),1)=0,INDEX(Adr!$B:$B,MATCH($U61*1,Adr!$C:$C,0),1),INDEX(ТУ!$CB:$CB,MATCH($U61*1,ТУ!$CP:$CP,0),1))</f>
        <v>16</v>
      </c>
      <c r="AF61" s="45" t="str">
        <f>IF(INDEX(ТУ!$CD:$CD,MATCH($U61*1,ТУ!$CP:$CP,0),1)=0,"",INDEX(ТУ!$CD:$CD,MATCH($U61*1,ТУ!$CP:$CP,0),1))</f>
        <v>password</v>
      </c>
      <c r="AG61" s="45">
        <f>0</f>
        <v>0</v>
      </c>
      <c r="AH61" s="26" t="str">
        <f t="shared" si="17"/>
        <v/>
      </c>
      <c r="AI61" s="20" t="str">
        <f t="shared" si="18"/>
        <v>2290531</v>
      </c>
      <c r="AJ61" s="41" t="str">
        <f t="shared" si="1"/>
        <v/>
      </c>
      <c r="AK61" s="41" t="str">
        <f>IF($AP61="",IFERROR(IFERROR(LEFT(RIGHT(INDEX(ТУ!$CE:$CE,MATCH($U61*1,ТУ!$CP:$CP,0),1),LEN(INDEX(ТУ!$CE:$CE,MATCH($U61*1,ТУ!$CP:$CP,0),1))-SEARCH(":",INDEX(ТУ!$CE:$CE,MATCH($U61*1,ТУ!$CP:$CP,0),1))),SEARCH("/",RIGHT(INDEX(ТУ!$CE:$CE,MATCH($U61*1,ТУ!$CP:$CP,0),1),LEN(INDEX(ТУ!$CE:$CE,MATCH($U61*1,ТУ!$CP:$CP,0),1))-SEARCH(":",INDEX(ТУ!$CE:$CE,MATCH($U61*1,ТУ!$CP:$CP,0),1))))-1), RIGHT(INDEX(ТУ!$CE:$CE,MATCH($U61*1,ТУ!$CP:$CP,0),1),LEN(INDEX(ТУ!$CE:$CE,MATCH($U61*1,ТУ!$CP:$CP,0),1))-SEARCH(":",INDEX(ТУ!$CE:$CE,MATCH($U61*1,ТУ!$CP:$CP,0),1)))), ""),IFERROR(IFERROR(LEFT(RIGHT(INDEX(УСПД!$M:$M,MATCH(IFERROR(1*LEFT(INDEX(ТУ!$CG:$CG,MATCH($U61*1,ТУ!$CP:$CP,0),1),SEARCH(" ",INDEX(ТУ!$CG:$CG,MATCH($U61*1,ТУ!$CP:$CP,0),1))-1),""),УСПД!$N:$N,0),1),LEN(INDEX(УСПД!$M:$M,MATCH(IFERROR(1*LEFT(INDEX(ТУ!$CG:$CG,MATCH($U61*1,ТУ!$CP:$CP,0),1),SEARCH(" ",INDEX(ТУ!$CG:$CG,MATCH($U61*1,ТУ!$CP:$CP,0),1))-1),""),УСПД!$N:$N,0),1))-SEARCH(":",INDEX(УСПД!$M:$M,MATCH(IFERROR(1*LEFT(INDEX(ТУ!$CG:$CG,MATCH($U61*1,ТУ!$CP:$CP,0),1),SEARCH(" ",INDEX(ТУ!$CG:$CG,MATCH($U61*1,ТУ!$CP:$CP,0),1))-1),""),УСПД!$N:$N,0),1))),SEARCH("/",RIGHT(INDEX(УСПД!$M:$M,MATCH(IFERROR(1*LEFT(INDEX(ТУ!$CG:$CG,MATCH($U61*1,ТУ!$CP:$CP,0),1),SEARCH(" ",INDEX(ТУ!$CG:$CG,MATCH($U61*1,ТУ!$CP:$CP,0),1))-1),""),УСПД!$N:$N,0),1),LEN(INDEX(УСПД!$M:$M,MATCH(IFERROR(1*LEFT(INDEX(ТУ!$CG:$CG,MATCH($U61*1,ТУ!$CP:$CP,0),1),SEARCH(" ",INDEX(ТУ!$CG:$CG,MATCH($U61*1,ТУ!$CP:$CP,0),1))-1),""),УСПД!$N:$N,0),1))-SEARCH(":",INDEX(УСПД!$M:$M,MATCH(IFERROR(1*LEFT(INDEX(ТУ!$CG:$CG,MATCH($U61*1,ТУ!$CP:$CP,0),1),SEARCH(" ",INDEX(ТУ!$CG:$CG,MATCH($U61*1,ТУ!$CP:$CP,0),1))-1),""),УСПД!$N:$N,0),1))))-1), RIGHT(INDEX(УСПД!$M:$M,MATCH(IFERROR(1*LEFT(INDEX(ТУ!$CG:$CG,MATCH($U61*1,ТУ!$CP:$CP,0),1),SEARCH(" ",INDEX(ТУ!$CG:$CG,MATCH($U61*1,ТУ!$CP:$CP,0),1))-1),""),УСПД!$N:$N,0),1),LEN(INDEX(УСПД!$M:$M,MATCH(IFERROR(1*LEFT(INDEX(ТУ!$CG:$CG,MATCH($U61*1,ТУ!$CP:$CP,0),1),SEARCH(" ",INDEX(ТУ!$CG:$CG,MATCH($U61*1,ТУ!$CP:$CP,0),1))-1),""),УСПД!$N:$N,0),1))-SEARCH(":",INDEX(УСПД!$M:$M,MATCH(IFERROR(1*LEFT(INDEX(ТУ!$CG:$CG,MATCH($U61*1,ТУ!$CP:$CP,0),1),SEARCH(" ",INDEX(ТУ!$CG:$CG,MATCH($U61*1,ТУ!$CP:$CP,0),1))-1),""),УСПД!$N:$N,0),1)))), ""))</f>
        <v/>
      </c>
      <c r="AL61" s="41"/>
      <c r="AM61" s="57" t="str">
        <f>IFERROR(IFERROR(INDEX(Tel!$B:$B,MATCH($AJ61,Tel!$E:$E,0),1),INDEX(Tel!$B:$B,MATCH($AJ61,Tel!$D:$D,0),1)),"")</f>
        <v/>
      </c>
      <c r="AN61" s="59" t="str">
        <f>IF(ISNUMBER(SEARCH("ТОПАЗ - ТОПАЗ УСПД",IFERROR(RIGHT(LEFT(INDEX(ТУ!$CG:$CG,MATCH($U61*1,ТУ!$CP:$CP,0),1),SEARCH(")",INDEX(ТУ!$CG:$CG,MATCH($U61*1,ТУ!$CP:$CP,0),1))-1),LEN(LEFT(INDEX(ТУ!$CG:$CG,MATCH($U61*1,ТУ!$CP:$CP,0),1),SEARCH(")",INDEX(ТУ!$CG:$CG,MATCH($U61*1,ТУ!$CP:$CP,0),1))-1))-SEARCH("(",INDEX(ТУ!$CG:$CG,MATCH($U61*1,ТУ!$CP:$CP,0),1))),""),1)),"RTU-327",
IF(ISNUMBER(SEARCH("TELEOFIS",$AP61)),"Модем",
""))</f>
        <v>RTU-327</v>
      </c>
      <c r="AO61" s="27">
        <f t="shared" si="24"/>
        <v>7</v>
      </c>
      <c r="AP61" s="57" t="str">
        <f>IF(ISNUMBER(SEARCH("Миландр - Милур GSM/GPRS модем",IFERROR(RIGHT(LEFT(INDEX(ТУ!$CG:$CG,MATCH($U61*1,ТУ!$CP:$CP,0),1),SEARCH(")",INDEX(ТУ!$CG:$CG,MATCH($U61*1,ТУ!$CP:$CP,0),1))-1),LEN(LEFT(INDEX(ТУ!$CG:$CG,MATCH($U61*1,ТУ!$CP:$CP,0),1),SEARCH(")",INDEX(ТУ!$CG:$CG,MATCH($U61*1,ТУ!$CP:$CP,0),1))-1))-SEARCH("(",INDEX(ТУ!$CG:$CG,MATCH($U61*1,ТУ!$CP:$CP,0),1))),""),1)), "TELEOFIS WRX708-L4",IFERROR(RIGHT(LEFT(INDEX(ТУ!$CG:$CG,MATCH($U61*1,ТУ!$CP:$CP,0),1),SEARCH(")",INDEX(ТУ!$CG:$CG,MATCH($U61*1,ТУ!$CP:$CP,0),1))-1),LEN(LEFT(INDEX(ТУ!$CG:$CG,MATCH($U61*1,ТУ!$CP:$CP,0),1),SEARCH(")",INDEX(ТУ!$CG:$CG,MATCH($U61*1,ТУ!$CP:$CP,0),1))-1))-SEARCH("(",INDEX(ТУ!$CG:$CG,MATCH($U61*1,ТУ!$CP:$CP,0),1))),""))</f>
        <v>ТОПАЗ - ТОПАЗ УСПД</v>
      </c>
      <c r="AQ61" s="57" t="str">
        <f>IFERROR(IF(INDEX(УСПД!$K:$K,MATCH($AS61*1,УСПД!$N:$N,0),1)=0,"",INDEX(УСПД!$K:$K,MATCH($AS61*1,УСПД!$N:$N,0),1)),"")</f>
        <v/>
      </c>
      <c r="AR61" s="57" t="str">
        <f>IFERROR(IF(INDEX(УСПД!$L:$L,MATCH($AS61*1,УСПД!$N:$N,0),1)=0,"",INDEX(УСПД!$L:$L,MATCH($AS61*1,УСПД!$N:$N,0),1)),"")</f>
        <v/>
      </c>
      <c r="AS61" s="60" t="str">
        <f>IFERROR(LEFT(INDEX(ТУ!$CG:$CG,MATCH($U61*1,ТУ!$CP:$CP,0),1),SEARCH(" ",INDEX(ТУ!$CG:$CG,MATCH($U61*1,ТУ!$CP:$CP,0),1))-1),"")</f>
        <v>2400009458</v>
      </c>
      <c r="AT61" s="59" t="s">
        <v>360</v>
      </c>
      <c r="AU61" s="59">
        <f>3</f>
        <v>3</v>
      </c>
      <c r="AV61" s="59" t="s">
        <v>368</v>
      </c>
      <c r="AW61" s="149" t="str">
        <f t="shared" si="19"/>
        <v/>
      </c>
      <c r="AX61" s="149">
        <f t="shared" si="20"/>
        <v>34</v>
      </c>
      <c r="AY61" s="149" t="str">
        <f t="shared" si="21"/>
        <v/>
      </c>
      <c r="AZ61" s="149">
        <f t="shared" si="22"/>
        <v>6</v>
      </c>
      <c r="BA61" s="149">
        <f t="shared" si="23"/>
        <v>1</v>
      </c>
      <c r="BB61" s="154" t="str">
        <f>IF($AP61="",IFERROR(IFERROR(LEFT(RIGHT(INDEX(ТУ!$CE:$CE,MATCH($U61*1,ТУ!$CP:$CP,0),1),LEN(INDEX(ТУ!$CE:$CE,MATCH($U61*1,ТУ!$CP:$CP,0),1))-SEARCH(", ",INDEX(ТУ!$CE:$CE,MATCH($U61*1,ТУ!$CP:$CP,0),1),SEARCH(", ",INDEX(ТУ!$CE:$CE,MATCH($U61*1,ТУ!$CP:$CP,0),1))+1)-1),SEARCH(":",RIGHT(INDEX(ТУ!$CE:$CE,MATCH($U61*1,ТУ!$CP:$CP,0),1),LEN(INDEX(ТУ!$CE:$CE,MATCH($U61*1,ТУ!$CP:$CP,0),1))-SEARCH(", ",INDEX(ТУ!$CE:$CE,MATCH($U61*1,ТУ!$CP:$CP,0),1),SEARCH(", ",INDEX(ТУ!$CE:$CE,MATCH($U61*1,ТУ!$CP:$CP,0),1))+1)-1))-1),LEFT(INDEX(ТУ!$CE:$CE,MATCH($U61*1,ТУ!$CP:$CP,0),1),SEARCH(":",INDEX(ТУ!$CE:$CE,MATCH($U61*1,ТУ!$CP:$CP,0),1))-1)),""),IFERROR(IFERROR(LEFT(RIGHT(INDEX(УСПД!$M:$M,MATCH(IFERROR(1*LEFT(INDEX(ТУ!$CG:$CG,MATCH($U61*1,ТУ!$CP:$CP,0),1),SEARCH(" ",INDEX(ТУ!$CG:$CG,MATCH($U61*1,ТУ!$CP:$CP,0),1))-1),""),УСПД!$N:$N,0),1),LEN(INDEX(УСПД!$M:$M,MATCH(IFERROR(1*LEFT(INDEX(ТУ!$CG:$CG,MATCH($U61*1,ТУ!$CP:$CP,0),1),SEARCH(" ",INDEX(ТУ!$CG:$CG,MATCH($U61*1,ТУ!$CP:$CP,0),1))-1),""),УСПД!$N:$N,0),1))-SEARCH(", ",INDEX(УСПД!$M:$M,MATCH(IFERROR(1*LEFT(INDEX(ТУ!$CG:$CG,MATCH($U61*1,ТУ!$CP:$CP,0),1),SEARCH(" ",INDEX(ТУ!$CG:$CG,MATCH($U61*1,ТУ!$CP:$CP,0),1))-1),""),УСПД!$N:$N,0),1),SEARCH(", ",INDEX(УСПД!$M:$M,MATCH(IFERROR(1*LEFT(INDEX(ТУ!$CG:$CG,MATCH($U61*1,ТУ!$CP:$CP,0),1),SEARCH(" ",INDEX(ТУ!$CG:$CG,MATCH($U61*1,ТУ!$CP:$CP,0),1))-1),""),УСПД!$N:$N,0),1))+1)-1),SEARCH(":",RIGHT(INDEX(УСПД!$M:$M,MATCH(IFERROR(1*LEFT(INDEX(ТУ!$CG:$CG,MATCH($U61*1,ТУ!$CP:$CP,0),1),SEARCH(" ",INDEX(ТУ!$CG:$CG,MATCH($U61*1,ТУ!$CP:$CP,0),1))-1),""),УСПД!$N:$N,0),1),LEN(INDEX(УСПД!$M:$M,MATCH(IFERROR(1*LEFT(INDEX(ТУ!$CG:$CG,MATCH($U61*1,ТУ!$CP:$CP,0),1),SEARCH(" ",INDEX(ТУ!$CG:$CG,MATCH($U61*1,ТУ!$CP:$CP,0),1))-1),""),УСПД!$N:$N,0),1))-SEARCH(", ",INDEX(УСПД!$M:$M,MATCH(IFERROR(1*LEFT(INDEX(ТУ!$CG:$CG,MATCH($U61*1,ТУ!$CP:$CP,0),1),SEARCH(" ",INDEX(ТУ!$CG:$CG,MATCH($U61*1,ТУ!$CP:$CP,0),1))-1),""),УСПД!$N:$N,0),1),SEARCH(", ",INDEX(УСПД!$M:$M,MATCH(IFERROR(1*LEFT(INDEX(ТУ!$CG:$CG,MATCH($U61*1,ТУ!$CP:$CP,0),1),SEARCH(" ",INDEX(ТУ!$CG:$CG,MATCH($U61*1,ТУ!$CP:$CP,0),1))-1),""),УСПД!$N:$N,0),1))+1)-1))-1),LEFT(INDEX(УСПД!$M:$M,MATCH(IFERROR(1*LEFT(INDEX(ТУ!$CG:$CG,MATCH($U61*1,ТУ!$CP:$CP,0),1),SEARCH(" ",INDEX(ТУ!$CG:$CG,MATCH($U61*1,ТУ!$CP:$CP,0),1))-1),""),УСПД!$N:$N,0),1),SEARCH(":",INDEX(УСПД!$M:$M,MATCH(IFERROR(1*LEFT(INDEX(ТУ!$CG:$CG,MATCH($U61*1,ТУ!$CP:$CP,0),1),SEARCH(" ",INDEX(ТУ!$CG:$CG,MATCH($U61*1,ТУ!$CP:$CP,0),1))-1),""),УСПД!$N:$N,0),1))-1)),""))</f>
        <v/>
      </c>
      <c r="BC61" s="155">
        <f>INDEX(ТУ!$AF:$AF,MATCH($U61*1,ТУ!$CP:$CP,0),1)</f>
        <v>0</v>
      </c>
      <c r="BD61" s="155" t="str">
        <f>INDEX(ТУ!$X:$X,MATCH($U61*1,ТУ!$CP:$CP,0),1)</f>
        <v>РП-29053</v>
      </c>
      <c r="BE61" s="155" t="str">
        <f>INDEX(ТУ!$CL:$CL,MATCH($U61*1,ТУ!$CP:$CP,0),1)</f>
        <v>Тех.учет</v>
      </c>
      <c r="BF61" s="147" t="str">
        <f>IFERROR(INDEX(естьАЦ!$A:$A,MATCH($U61*1,естьАЦ!$A:$A,0),1),"нет в АЦ")</f>
        <v>нет в АЦ</v>
      </c>
    </row>
    <row r="62" spans="1:58" ht="15" x14ac:dyDescent="0.25">
      <c r="A62" s="55">
        <f>3</f>
        <v>3</v>
      </c>
      <c r="B62" s="42" t="str">
        <f>IFERROR(IFERROR(INDEX(Справочники!$A$2:$P$79,MATCH(INDEX(ТУ!$E:$E,MATCH($U62*1,ТУ!$CP:$CP,0),1),Справочники!$P$2:$P$79,0),2),INDEX(Справочники!$A$2:$P$79,MATCH((INDEX(ТУ!$E:$E,MATCH($U62*1,ТУ!$CP:$CP,0),1))*1,Справочники!$P$2:$P$79,0),2)),"")</f>
        <v>08 р-н МКС (СЗОРУПЭ)</v>
      </c>
      <c r="C62" s="46" t="str">
        <f>IFERROR(TRIM(LEFT(INDEX(ТУ!$AF:$AF,MATCH($U62*1,ТУ!$CP:$CP,0),1),SEARCH("-",INDEX(ТУ!$AF:$AF,MATCH($U62*1,ТУ!$CP:$CP,0),1))-1)),IFERROR(LEFT(INDEX(ТУ!$X:$X,MATCH($U62*1,ТУ!$CP:$CP,0),1),SEARCH("-",INDEX(ТУ!$X:$X,MATCH($U62*1,ТУ!$CP:$CP,0),1))-1),"ТП"))</f>
        <v>ТП</v>
      </c>
      <c r="D62" s="47" t="str">
        <f>IF(TRIM(IF(ISNUMBER((IFERROR(RIGHT(INDEX(ТУ!$AF:$AF,MATCH($U62*1,ТУ!$CP:$CP,0),1),LEN(INDEX(ТУ!$AF:$AF,MATCH($U62*1,ТУ!$CP:$CP,0),1))-SEARCH("-",INDEX(ТУ!$AF:$AF,MATCH($U62*1,ТУ!$CP:$CP,0),1))),INDEX(ТУ!$AF:$AF,MATCH($U62*1,ТУ!$CP:$CP,0),1)))*1),IFERROR(RIGHT(INDEX(ТУ!$AF:$AF,MATCH($U62*1,ТУ!$CP:$CP,0),1),LEN(INDEX(ТУ!$AF:$AF,MATCH($U62*1,ТУ!$CP:$CP,0),1))-SEARCH("-",INDEX(ТУ!$AF:$AF,MATCH($U62*1,ТУ!$CP:$CP,0),1))),INDEX(ТУ!$AF:$AF,MATCH($U62*1,ТУ!$CP:$CP,0),1)),""))="",TRIM(IF(ISNUMBER((IFERROR(RIGHT(INDEX(ТУ!$X:$X,MATCH($U62*1,ТУ!$CP:$CP,0),1),LEN(INDEX(ТУ!$X:$X,MATCH($U62*1,ТУ!$CP:$CP,0),1))-SEARCH("-",INDEX(ТУ!$X:$X,MATCH($U62*1,ТУ!$CP:$CP,0),1))),INDEX(ТУ!$X:$X,MATCH($U62*1,ТУ!$CP:$CP,0),1)))*1),IFERROR(RIGHT(INDEX(ТУ!$X:$X,MATCH($U62*1,ТУ!$CP:$CP,0),1),LEN(INDEX(ТУ!$X:$X,MATCH($U62*1,ТУ!$CP:$CP,0),1))-SEARCH("-",INDEX(ТУ!$X:$X,MATCH($U62*1,ТУ!$CP:$CP,0),1))),INDEX(ТУ!$X:$X,MATCH($U62*1,ТУ!$CP:$CP,0),1)),"")),TRIM(IF(ISNUMBER((IFERROR(RIGHT(INDEX(ТУ!$AF:$AF,MATCH($U62*1,ТУ!$CP:$CP,0),1),LEN(INDEX(ТУ!$AF:$AF,MATCH($U62*1,ТУ!$CP:$CP,0),1))-SEARCH("-",INDEX(ТУ!$AF:$AF,MATCH($U62*1,ТУ!$CP:$CP,0),1))),INDEX(ТУ!$AF:$AF,MATCH($U62*1,ТУ!$CP:$CP,0),1)))*1),IFERROR(RIGHT(INDEX(ТУ!$AF:$AF,MATCH($U62*1,ТУ!$CP:$CP,0),1),LEN(INDEX(ТУ!$AF:$AF,MATCH($U62*1,ТУ!$CP:$CP,0),1))-SEARCH("-",INDEX(ТУ!$AF:$AF,MATCH($U62*1,ТУ!$CP:$CP,0),1))),INDEX(ТУ!$AF:$AF,MATCH($U62*1,ТУ!$CP:$CP,0),1)),"")))</f>
        <v>30874</v>
      </c>
      <c r="E62" s="25" t="str">
        <f t="shared" si="2"/>
        <v>МКС</v>
      </c>
      <c r="F62" s="20">
        <f t="shared" si="3"/>
        <v>82</v>
      </c>
      <c r="G62" s="21">
        <f t="shared" si="4"/>
        <v>5</v>
      </c>
      <c r="H62" s="25" t="str">
        <f t="shared" si="5"/>
        <v>ТП-30874</v>
      </c>
      <c r="I62" s="25" t="str">
        <f t="shared" si="6"/>
        <v>82530874</v>
      </c>
      <c r="J62" s="42" t="str">
        <f>INDEX(Справочники!$M:$M,MATCH(IF(INDEX(ТУ!$BO:$BO,MATCH($U62*1,ТУ!$CP:$CP,0),1)=1,1,INDEX(ТУ!$BO:$BO,MATCH($U62*1,ТУ!$CP:$CP,0),1)*100),Справочники!$N:$N,0),1)</f>
        <v>0.4 кВ</v>
      </c>
      <c r="K62" s="40">
        <f>1</f>
        <v>1</v>
      </c>
      <c r="L62" s="20" t="str">
        <f t="shared" si="7"/>
        <v>СШ-1</v>
      </c>
      <c r="M62" s="20">
        <f t="shared" si="8"/>
        <v>1</v>
      </c>
      <c r="N62" s="40"/>
      <c r="O62" s="56" t="str">
        <f t="shared" si="9"/>
        <v>Ввод-1-1</v>
      </c>
      <c r="P62" s="57" t="str">
        <f>IFERROR(IF(INDEX(ТУ!$AO:$AO,MATCH($U62*1,ТУ!$CP:$CP,0),1)=0,"",INDEX(ТУ!$AO:$AO,MATCH($U62*1,ТУ!$CP:$CP,0),1)),"")</f>
        <v>Ввод-1 0,4кВ</v>
      </c>
      <c r="Q62" s="40">
        <f>IFERROR(IF(INDEX(ТУ!$BN:$BN,MATCH($U62*1,ТУ!$CP:$CP,0),1)=1,1,INDEX(ТУ!$BN:$BN,MATCH($U62*1,ТУ!$CP:$CP,0),1)*5),"")</f>
        <v>800</v>
      </c>
      <c r="R62" s="25">
        <f t="shared" si="10"/>
        <v>5</v>
      </c>
      <c r="S62" s="25">
        <f t="shared" si="11"/>
        <v>1</v>
      </c>
      <c r="T62" s="25">
        <f t="shared" si="12"/>
        <v>1</v>
      </c>
      <c r="U62" s="105" t="s">
        <v>1118</v>
      </c>
      <c r="V62" s="43">
        <f>IF(INDEX(ТУ!$BH:$BH,MATCH($U62*1,ТУ!$CP:$CP,0),1)=0,"",INDEX(ТУ!$BH:$BH,MATCH($U62*1,ТУ!$CP:$CP,0),1))</f>
        <v>45139</v>
      </c>
      <c r="W62" s="43" t="str">
        <f>IF(INDEX(ТУ!$BI:$BI,MATCH($U62*1,ТУ!$CP:$CP,0),1)=0,"",INDEX(ТУ!$BI:$BI,MATCH($U62*1,ТУ!$CP:$CP,0),1))</f>
        <v>01.01.2022</v>
      </c>
      <c r="X62" s="58" t="str">
        <f t="shared" si="13"/>
        <v/>
      </c>
      <c r="Y62" s="25">
        <f t="shared" si="14"/>
        <v>35</v>
      </c>
      <c r="Z62" s="42" t="str">
        <f t="shared" si="15"/>
        <v/>
      </c>
      <c r="AA62" s="25" t="str">
        <f t="shared" si="16"/>
        <v/>
      </c>
      <c r="AB62" s="40" t="str">
        <f>IF(ISNUMBER(SEARCH("Приборы с поддержкой протокола СПОДЭС - Нартис-И300 (СПОДЭС)",INDEX(ТУ!$BD:$BD,MATCH($U62*1,ТУ!$CP:$CP,0),1))),"Нартис-И300",
IF(ISNUMBER(SEARCH("Приборы с поддержкой протокола СПОДЭС - Меркурий 234 (СПОДЭС)",INDEX(ТУ!$BD:$BD,MATCH($U62*1,ТУ!$CP:$CP,0),1))),"Меркурий 234 (СПОДЭС)",
IF(ISNUMBER(SEARCH("Приборы с поддержкой протокола СПОДЭС - Нартис-300 (СПОДЭС)",INDEX(ТУ!$BD:$BD,MATCH($U62*1,ТУ!$CP:$CP,0),1))),"Нартис-300",
IF(ISNUMBER(SEARCH("Инкотекс - Меркурий 234",INDEX(ТУ!$BD:$BD,MATCH($U62*1,ТУ!$CP:$CP,0),1))),"Меркурий 234",
IF(ISNUMBER(SEARCH("Инкотекс - Меркурий 206",INDEX(ТУ!$BD:$BD,MATCH($U62*1,ТУ!$CP:$CP,0),1))),"Меркурий 206",
IF(ISNUMBER(SEARCH("Приборы с поддержкой протокола СПОДЭС - Универсальный счетчик СПОДЭС 2 трехфазный",INDEX(ТУ!$BD:$BD,MATCH($U62*1,ТУ!$CP:$CP,0),1))),"Нартис-И300",
IF(ISNUMBER(SEARCH("Приборы с поддержкой протокола СПОДЭС - Универсальный счетчик СПОДЭС 2 однофазный",INDEX(ТУ!$BD:$BD,MATCH($U62*1,ТУ!$CP:$CP,0),1))),"Нартис-И100",
IF(ISNUMBER(SEARCH("Приборы с поддержкой протокола СПОДЭС - Нартис-И100 (СПОДЭС)",INDEX(ТУ!$BD:$BD,MATCH($U62*1,ТУ!$CP:$CP,0),1))),"Нартис-И100",
IF(ISNUMBER(SEARCH("Приборы с поддержкой протокола СПОДЭС - СЕ308 (СПОДЭС)",INDEX(ТУ!$BD:$BD,MATCH($U62*1,ТУ!$CP:$CP,0),1))),"СЕ308 (СПОДЭС)",
IF(ISNUMBER(SEARCH("Приборы с поддержкой протокола СПОДЭС - СЕ207 (СПОДЭС)",INDEX(ТУ!$BD:$BD,MATCH($U62*1,ТУ!$CP:$CP,0),1))),"СЕ207 (СПОДЭС)",
IF(ISNUMBER(SEARCH("Приборы с поддержкой протокола СПОДЭС - СТЭМ-300 (СПОДЭС)",INDEX(ТУ!$BD:$BD,MATCH($U62*1,ТУ!$CP:$CP,0),1))),"СТЭМ-300 (СПОДЭС)",
IF(ISNUMBER(SEARCH("ТехноЭнерго - ТЕ3000",INDEX(ТУ!$BD:$BD,MATCH($U62*1,ТУ!$CP:$CP,0),1))),"ТЕ3000",
IF(ISNUMBER(SEARCH("НЗиФ - СЭТ-4ТМ",INDEX(ТУ!$BD:$BD,MATCH($U62*1,ТУ!$CP:$CP,0),1))),"СЭТ-4ТМ",
INDEX(ТУ!$BD:$BD,MATCH($U62*1,ТУ!$CP:$CP,0),1)
)))))))))))))</f>
        <v>Алгоритм - BINOM3</v>
      </c>
      <c r="AC62" s="40" t="s">
        <v>2</v>
      </c>
      <c r="AD62" s="40" t="str">
        <f>IF(ISNUMBER(IFERROR(LEFT(IF(INDEX(ТУ!$CI:$CI,MATCH($U62*1,ТУ!$CP:$CP,0),1)=0,"",INDEX(ТУ!$CI:$CI,MATCH($U62*1,ТУ!$CP:$CP,0),1)),SEARCH(" ",IF(INDEX(ТУ!$CI:$CI,MATCH($U62*1,ТУ!$CP:$CP,0),1)=0,"",INDEX(ТУ!$CI:$CI,MATCH($U62*1,ТУ!$CP:$CP,0),1)),1)-1),"")*1),IFERROR(LEFT(IF(INDEX(ТУ!$CI:$CI,MATCH($U62*1,ТУ!$CP:$CP,0),1)=0,"",INDEX(ТУ!$CI:$CI,MATCH($U62*1,ТУ!$CP:$CP,0),1)),SEARCH(" ",IF(INDEX(ТУ!$CI:$CI,MATCH($U62*1,ТУ!$CP:$CP,0),1)=0,"",INDEX(ТУ!$CI:$CI,MATCH($U62*1,ТУ!$CP:$CP,0),1)),1)-1),""),"")</f>
        <v/>
      </c>
      <c r="AE62" s="40" t="e">
        <f>IF(INDEX(ТУ!$CB:$CB,MATCH($U62*1,ТУ!$CP:$CP,0),1)=0,INDEX(Adr!$B:$B,MATCH($U62*1,Adr!$C:$C,0),1),INDEX(ТУ!$CB:$CB,MATCH($U62*1,ТУ!$CP:$CP,0),1))</f>
        <v>#N/A</v>
      </c>
      <c r="AF62" s="45" t="str">
        <f>IF(INDEX(ТУ!$CD:$CD,MATCH($U62*1,ТУ!$CP:$CP,0),1)=0,"",INDEX(ТУ!$CD:$CD,MATCH($U62*1,ТУ!$CP:$CP,0),1))</f>
        <v/>
      </c>
      <c r="AG62" s="45">
        <f>0</f>
        <v>0</v>
      </c>
      <c r="AH62" s="26">
        <f t="shared" si="17"/>
        <v>82</v>
      </c>
      <c r="AI62" s="20" t="str">
        <f t="shared" si="18"/>
        <v>825308741</v>
      </c>
      <c r="AJ62" s="41" t="str">
        <f t="shared" si="1"/>
        <v/>
      </c>
      <c r="AK62" s="41" t="str">
        <f>IF($AP62="",IFERROR(IFERROR(LEFT(RIGHT(INDEX(ТУ!$CE:$CE,MATCH($U62*1,ТУ!$CP:$CP,0),1),LEN(INDEX(ТУ!$CE:$CE,MATCH($U62*1,ТУ!$CP:$CP,0),1))-SEARCH(":",INDEX(ТУ!$CE:$CE,MATCH($U62*1,ТУ!$CP:$CP,0),1))),SEARCH("/",RIGHT(INDEX(ТУ!$CE:$CE,MATCH($U62*1,ТУ!$CP:$CP,0),1),LEN(INDEX(ТУ!$CE:$CE,MATCH($U62*1,ТУ!$CP:$CP,0),1))-SEARCH(":",INDEX(ТУ!$CE:$CE,MATCH($U62*1,ТУ!$CP:$CP,0),1))))-1), RIGHT(INDEX(ТУ!$CE:$CE,MATCH($U62*1,ТУ!$CP:$CP,0),1),LEN(INDEX(ТУ!$CE:$CE,MATCH($U62*1,ТУ!$CP:$CP,0),1))-SEARCH(":",INDEX(ТУ!$CE:$CE,MATCH($U62*1,ТУ!$CP:$CP,0),1)))), ""),IFERROR(IFERROR(LEFT(RIGHT(INDEX(УСПД!$M:$M,MATCH(IFERROR(1*LEFT(INDEX(ТУ!$CG:$CG,MATCH($U62*1,ТУ!$CP:$CP,0),1),SEARCH(" ",INDEX(ТУ!$CG:$CG,MATCH($U62*1,ТУ!$CP:$CP,0),1))-1),""),УСПД!$N:$N,0),1),LEN(INDEX(УСПД!$M:$M,MATCH(IFERROR(1*LEFT(INDEX(ТУ!$CG:$CG,MATCH($U62*1,ТУ!$CP:$CP,0),1),SEARCH(" ",INDEX(ТУ!$CG:$CG,MATCH($U62*1,ТУ!$CP:$CP,0),1))-1),""),УСПД!$N:$N,0),1))-SEARCH(":",INDEX(УСПД!$M:$M,MATCH(IFERROR(1*LEFT(INDEX(ТУ!$CG:$CG,MATCH($U62*1,ТУ!$CP:$CP,0),1),SEARCH(" ",INDEX(ТУ!$CG:$CG,MATCH($U62*1,ТУ!$CP:$CP,0),1))-1),""),УСПД!$N:$N,0),1))),SEARCH("/",RIGHT(INDEX(УСПД!$M:$M,MATCH(IFERROR(1*LEFT(INDEX(ТУ!$CG:$CG,MATCH($U62*1,ТУ!$CP:$CP,0),1),SEARCH(" ",INDEX(ТУ!$CG:$CG,MATCH($U62*1,ТУ!$CP:$CP,0),1))-1),""),УСПД!$N:$N,0),1),LEN(INDEX(УСПД!$M:$M,MATCH(IFERROR(1*LEFT(INDEX(ТУ!$CG:$CG,MATCH($U62*1,ТУ!$CP:$CP,0),1),SEARCH(" ",INDEX(ТУ!$CG:$CG,MATCH($U62*1,ТУ!$CP:$CP,0),1))-1),""),УСПД!$N:$N,0),1))-SEARCH(":",INDEX(УСПД!$M:$M,MATCH(IFERROR(1*LEFT(INDEX(ТУ!$CG:$CG,MATCH($U62*1,ТУ!$CP:$CP,0),1),SEARCH(" ",INDEX(ТУ!$CG:$CG,MATCH($U62*1,ТУ!$CP:$CP,0),1))-1),""),УСПД!$N:$N,0),1))))-1), RIGHT(INDEX(УСПД!$M:$M,MATCH(IFERROR(1*LEFT(INDEX(ТУ!$CG:$CG,MATCH($U62*1,ТУ!$CP:$CP,0),1),SEARCH(" ",INDEX(ТУ!$CG:$CG,MATCH($U62*1,ТУ!$CP:$CP,0),1))-1),""),УСПД!$N:$N,0),1),LEN(INDEX(УСПД!$M:$M,MATCH(IFERROR(1*LEFT(INDEX(ТУ!$CG:$CG,MATCH($U62*1,ТУ!$CP:$CP,0),1),SEARCH(" ",INDEX(ТУ!$CG:$CG,MATCH($U62*1,ТУ!$CP:$CP,0),1))-1),""),УСПД!$N:$N,0),1))-SEARCH(":",INDEX(УСПД!$M:$M,MATCH(IFERROR(1*LEFT(INDEX(ТУ!$CG:$CG,MATCH($U62*1,ТУ!$CP:$CP,0),1),SEARCH(" ",INDEX(ТУ!$CG:$CG,MATCH($U62*1,ТУ!$CP:$CP,0),1))-1),""),УСПД!$N:$N,0),1)))), ""))</f>
        <v/>
      </c>
      <c r="AL62" s="41"/>
      <c r="AM62" s="57" t="str">
        <f>IFERROR(IFERROR(INDEX(Tel!$B:$B,MATCH($AJ62,Tel!$E:$E,0),1),INDEX(Tel!$B:$B,MATCH($AJ62,Tel!$D:$D,0),1)),"")</f>
        <v/>
      </c>
      <c r="AN62" s="59" t="str">
        <f>IF(ISNUMBER(SEARCH("ТОПАЗ - ТОПАЗ УСПД",IFERROR(RIGHT(LEFT(INDEX(ТУ!$CG:$CG,MATCH($U62*1,ТУ!$CP:$CP,0),1),SEARCH(")",INDEX(ТУ!$CG:$CG,MATCH($U62*1,ТУ!$CP:$CP,0),1))-1),LEN(LEFT(INDEX(ТУ!$CG:$CG,MATCH($U62*1,ТУ!$CP:$CP,0),1),SEARCH(")",INDEX(ТУ!$CG:$CG,MATCH($U62*1,ТУ!$CP:$CP,0),1))-1))-SEARCH("(",INDEX(ТУ!$CG:$CG,MATCH($U62*1,ТУ!$CP:$CP,0),1))),""),1)),"RTU-327",
IF(ISNUMBER(SEARCH("TELEOFIS",$AP62)),"Модем",
""))</f>
        <v>RTU-327</v>
      </c>
      <c r="AO62" s="27">
        <f t="shared" si="24"/>
        <v>7</v>
      </c>
      <c r="AP62" s="57" t="str">
        <f>IF(ISNUMBER(SEARCH("Миландр - Милур GSM/GPRS модем",IFERROR(RIGHT(LEFT(INDEX(ТУ!$CG:$CG,MATCH($U62*1,ТУ!$CP:$CP,0),1),SEARCH(")",INDEX(ТУ!$CG:$CG,MATCH($U62*1,ТУ!$CP:$CP,0),1))-1),LEN(LEFT(INDEX(ТУ!$CG:$CG,MATCH($U62*1,ТУ!$CP:$CP,0),1),SEARCH(")",INDEX(ТУ!$CG:$CG,MATCH($U62*1,ТУ!$CP:$CP,0),1))-1))-SEARCH("(",INDEX(ТУ!$CG:$CG,MATCH($U62*1,ТУ!$CP:$CP,0),1))),""),1)), "TELEOFIS WRX708-L4",IFERROR(RIGHT(LEFT(INDEX(ТУ!$CG:$CG,MATCH($U62*1,ТУ!$CP:$CP,0),1),SEARCH(")",INDEX(ТУ!$CG:$CG,MATCH($U62*1,ТУ!$CP:$CP,0),1))-1),LEN(LEFT(INDEX(ТУ!$CG:$CG,MATCH($U62*1,ТУ!$CP:$CP,0),1),SEARCH(")",INDEX(ТУ!$CG:$CG,MATCH($U62*1,ТУ!$CP:$CP,0),1))-1))-SEARCH("(",INDEX(ТУ!$CG:$CG,MATCH($U62*1,ТУ!$CP:$CP,0),1))),""))</f>
        <v>ТОПАЗ - ТОПАЗ УСПД</v>
      </c>
      <c r="AQ62" s="57" t="str">
        <f>IFERROR(IF(INDEX(УСПД!$K:$K,MATCH($AS62*1,УСПД!$N:$N,0),1)=0,"",INDEX(УСПД!$K:$K,MATCH($AS62*1,УСПД!$N:$N,0),1)),"")</f>
        <v/>
      </c>
      <c r="AR62" s="57" t="str">
        <f>IFERROR(IF(INDEX(УСПД!$L:$L,MATCH($AS62*1,УСПД!$N:$N,0),1)=0,"",INDEX(УСПД!$L:$L,MATCH($AS62*1,УСПД!$N:$N,0),1)),"")</f>
        <v/>
      </c>
      <c r="AS62" s="60" t="str">
        <f>IFERROR(LEFT(INDEX(ТУ!$CG:$CG,MATCH($U62*1,ТУ!$CP:$CP,0),1),SEARCH(" ",INDEX(ТУ!$CG:$CG,MATCH($U62*1,ТУ!$CP:$CP,0),1))-1),"")</f>
        <v>2400012588</v>
      </c>
      <c r="AT62" s="59" t="s">
        <v>360</v>
      </c>
      <c r="AU62" s="59">
        <f>3</f>
        <v>3</v>
      </c>
      <c r="AV62" s="59" t="s">
        <v>368</v>
      </c>
      <c r="AW62" s="149">
        <f t="shared" si="19"/>
        <v>60</v>
      </c>
      <c r="AX62" s="149">
        <f t="shared" si="20"/>
        <v>34</v>
      </c>
      <c r="AY62" s="149" t="str">
        <f t="shared" si="21"/>
        <v/>
      </c>
      <c r="AZ62" s="149">
        <f t="shared" si="22"/>
        <v>6</v>
      </c>
      <c r="BA62" s="149">
        <f t="shared" si="23"/>
        <v>1</v>
      </c>
      <c r="BB62" s="154" t="str">
        <f>IF($AP62="",IFERROR(IFERROR(LEFT(RIGHT(INDEX(ТУ!$CE:$CE,MATCH($U62*1,ТУ!$CP:$CP,0),1),LEN(INDEX(ТУ!$CE:$CE,MATCH($U62*1,ТУ!$CP:$CP,0),1))-SEARCH(", ",INDEX(ТУ!$CE:$CE,MATCH($U62*1,ТУ!$CP:$CP,0),1),SEARCH(", ",INDEX(ТУ!$CE:$CE,MATCH($U62*1,ТУ!$CP:$CP,0),1))+1)-1),SEARCH(":",RIGHT(INDEX(ТУ!$CE:$CE,MATCH($U62*1,ТУ!$CP:$CP,0),1),LEN(INDEX(ТУ!$CE:$CE,MATCH($U62*1,ТУ!$CP:$CP,0),1))-SEARCH(", ",INDEX(ТУ!$CE:$CE,MATCH($U62*1,ТУ!$CP:$CP,0),1),SEARCH(", ",INDEX(ТУ!$CE:$CE,MATCH($U62*1,ТУ!$CP:$CP,0),1))+1)-1))-1),LEFT(INDEX(ТУ!$CE:$CE,MATCH($U62*1,ТУ!$CP:$CP,0),1),SEARCH(":",INDEX(ТУ!$CE:$CE,MATCH($U62*1,ТУ!$CP:$CP,0),1))-1)),""),IFERROR(IFERROR(LEFT(RIGHT(INDEX(УСПД!$M:$M,MATCH(IFERROR(1*LEFT(INDEX(ТУ!$CG:$CG,MATCH($U62*1,ТУ!$CP:$CP,0),1),SEARCH(" ",INDEX(ТУ!$CG:$CG,MATCH($U62*1,ТУ!$CP:$CP,0),1))-1),""),УСПД!$N:$N,0),1),LEN(INDEX(УСПД!$M:$M,MATCH(IFERROR(1*LEFT(INDEX(ТУ!$CG:$CG,MATCH($U62*1,ТУ!$CP:$CP,0),1),SEARCH(" ",INDEX(ТУ!$CG:$CG,MATCH($U62*1,ТУ!$CP:$CP,0),1))-1),""),УСПД!$N:$N,0),1))-SEARCH(", ",INDEX(УСПД!$M:$M,MATCH(IFERROR(1*LEFT(INDEX(ТУ!$CG:$CG,MATCH($U62*1,ТУ!$CP:$CP,0),1),SEARCH(" ",INDEX(ТУ!$CG:$CG,MATCH($U62*1,ТУ!$CP:$CP,0),1))-1),""),УСПД!$N:$N,0),1),SEARCH(", ",INDEX(УСПД!$M:$M,MATCH(IFERROR(1*LEFT(INDEX(ТУ!$CG:$CG,MATCH($U62*1,ТУ!$CP:$CP,0),1),SEARCH(" ",INDEX(ТУ!$CG:$CG,MATCH($U62*1,ТУ!$CP:$CP,0),1))-1),""),УСПД!$N:$N,0),1))+1)-1),SEARCH(":",RIGHT(INDEX(УСПД!$M:$M,MATCH(IFERROR(1*LEFT(INDEX(ТУ!$CG:$CG,MATCH($U62*1,ТУ!$CP:$CP,0),1),SEARCH(" ",INDEX(ТУ!$CG:$CG,MATCH($U62*1,ТУ!$CP:$CP,0),1))-1),""),УСПД!$N:$N,0),1),LEN(INDEX(УСПД!$M:$M,MATCH(IFERROR(1*LEFT(INDEX(ТУ!$CG:$CG,MATCH($U62*1,ТУ!$CP:$CP,0),1),SEARCH(" ",INDEX(ТУ!$CG:$CG,MATCH($U62*1,ТУ!$CP:$CP,0),1))-1),""),УСПД!$N:$N,0),1))-SEARCH(", ",INDEX(УСПД!$M:$M,MATCH(IFERROR(1*LEFT(INDEX(ТУ!$CG:$CG,MATCH($U62*1,ТУ!$CP:$CP,0),1),SEARCH(" ",INDEX(ТУ!$CG:$CG,MATCH($U62*1,ТУ!$CP:$CP,0),1))-1),""),УСПД!$N:$N,0),1),SEARCH(", ",INDEX(УСПД!$M:$M,MATCH(IFERROR(1*LEFT(INDEX(ТУ!$CG:$CG,MATCH($U62*1,ТУ!$CP:$CP,0),1),SEARCH(" ",INDEX(ТУ!$CG:$CG,MATCH($U62*1,ТУ!$CP:$CP,0),1))-1),""),УСПД!$N:$N,0),1))+1)-1))-1),LEFT(INDEX(УСПД!$M:$M,MATCH(IFERROR(1*LEFT(INDEX(ТУ!$CG:$CG,MATCH($U62*1,ТУ!$CP:$CP,0),1),SEARCH(" ",INDEX(ТУ!$CG:$CG,MATCH($U62*1,ТУ!$CP:$CP,0),1))-1),""),УСПД!$N:$N,0),1),SEARCH(":",INDEX(УСПД!$M:$M,MATCH(IFERROR(1*LEFT(INDEX(ТУ!$CG:$CG,MATCH($U62*1,ТУ!$CP:$CP,0),1),SEARCH(" ",INDEX(ТУ!$CG:$CG,MATCH($U62*1,ТУ!$CP:$CP,0),1))-1),""),УСПД!$N:$N,0),1))-1)),""))</f>
        <v/>
      </c>
      <c r="BC62" s="155" t="str">
        <f>INDEX(ТУ!$AF:$AF,MATCH($U62*1,ТУ!$CP:$CP,0),1)</f>
        <v>ТП-30874</v>
      </c>
      <c r="BD62" s="155" t="str">
        <f>INDEX(ТУ!$X:$X,MATCH($U62*1,ТУ!$CP:$CP,0),1)</f>
        <v>РТП-15145</v>
      </c>
      <c r="BE62" s="155" t="str">
        <f>INDEX(ТУ!$CL:$CL,MATCH($U62*1,ТУ!$CP:$CP,0),1)</f>
        <v>Тех.учет</v>
      </c>
      <c r="BF62" s="147" t="str">
        <f>IFERROR(INDEX(естьАЦ!$A:$A,MATCH($U62*1,естьАЦ!$A:$A,0),1),"нет в АЦ")</f>
        <v>нет в АЦ</v>
      </c>
    </row>
    <row r="63" spans="1:58" ht="15" x14ac:dyDescent="0.25">
      <c r="A63" s="55">
        <f>3</f>
        <v>3</v>
      </c>
      <c r="B63" s="42" t="str">
        <f>IFERROR(IFERROR(INDEX(Справочники!$A$2:$P$79,MATCH(INDEX(ТУ!$E:$E,MATCH($U63*1,ТУ!$CP:$CP,0),1),Справочники!$P$2:$P$79,0),2),INDEX(Справочники!$A$2:$P$79,MATCH((INDEX(ТУ!$E:$E,MATCH($U63*1,ТУ!$CP:$CP,0),1))*1,Справочники!$P$2:$P$79,0),2)),"")</f>
        <v>20 р-н МКС (ЗОРУПЭ)</v>
      </c>
      <c r="C63" s="46" t="str">
        <f>IFERROR(TRIM(LEFT(INDEX(ТУ!$AF:$AF,MATCH($U63*1,ТУ!$CP:$CP,0),1),SEARCH("-",INDEX(ТУ!$AF:$AF,MATCH($U63*1,ТУ!$CP:$CP,0),1))-1)),IFERROR(LEFT(INDEX(ТУ!$X:$X,MATCH($U63*1,ТУ!$CP:$CP,0),1),SEARCH("-",INDEX(ТУ!$X:$X,MATCH($U63*1,ТУ!$CP:$CP,0),1))-1),"ТП"))</f>
        <v>РП</v>
      </c>
      <c r="D63" s="47" t="str">
        <f>IF(TRIM(IF(ISNUMBER((IFERROR(RIGHT(INDEX(ТУ!$AF:$AF,MATCH($U63*1,ТУ!$CP:$CP,0),1),LEN(INDEX(ТУ!$AF:$AF,MATCH($U63*1,ТУ!$CP:$CP,0),1))-SEARCH("-",INDEX(ТУ!$AF:$AF,MATCH($U63*1,ТУ!$CP:$CP,0),1))),INDEX(ТУ!$AF:$AF,MATCH($U63*1,ТУ!$CP:$CP,0),1)))*1),IFERROR(RIGHT(INDEX(ТУ!$AF:$AF,MATCH($U63*1,ТУ!$CP:$CP,0),1),LEN(INDEX(ТУ!$AF:$AF,MATCH($U63*1,ТУ!$CP:$CP,0),1))-SEARCH("-",INDEX(ТУ!$AF:$AF,MATCH($U63*1,ТУ!$CP:$CP,0),1))),INDEX(ТУ!$AF:$AF,MATCH($U63*1,ТУ!$CP:$CP,0),1)),""))="",TRIM(IF(ISNUMBER((IFERROR(RIGHT(INDEX(ТУ!$X:$X,MATCH($U63*1,ТУ!$CP:$CP,0),1),LEN(INDEX(ТУ!$X:$X,MATCH($U63*1,ТУ!$CP:$CP,0),1))-SEARCH("-",INDEX(ТУ!$X:$X,MATCH($U63*1,ТУ!$CP:$CP,0),1))),INDEX(ТУ!$X:$X,MATCH($U63*1,ТУ!$CP:$CP,0),1)))*1),IFERROR(RIGHT(INDEX(ТУ!$X:$X,MATCH($U63*1,ТУ!$CP:$CP,0),1),LEN(INDEX(ТУ!$X:$X,MATCH($U63*1,ТУ!$CP:$CP,0),1))-SEARCH("-",INDEX(ТУ!$X:$X,MATCH($U63*1,ТУ!$CP:$CP,0),1))),INDEX(ТУ!$X:$X,MATCH($U63*1,ТУ!$CP:$CP,0),1)),"")),TRIM(IF(ISNUMBER((IFERROR(RIGHT(INDEX(ТУ!$AF:$AF,MATCH($U63*1,ТУ!$CP:$CP,0),1),LEN(INDEX(ТУ!$AF:$AF,MATCH($U63*1,ТУ!$CP:$CP,0),1))-SEARCH("-",INDEX(ТУ!$AF:$AF,MATCH($U63*1,ТУ!$CP:$CP,0),1))),INDEX(ТУ!$AF:$AF,MATCH($U63*1,ТУ!$CP:$CP,0),1)))*1),IFERROR(RIGHT(INDEX(ТУ!$AF:$AF,MATCH($U63*1,ТУ!$CP:$CP,0),1),LEN(INDEX(ТУ!$AF:$AF,MATCH($U63*1,ТУ!$CP:$CP,0),1))-SEARCH("-",INDEX(ТУ!$AF:$AF,MATCH($U63*1,ТУ!$CP:$CP,0),1))),INDEX(ТУ!$AF:$AF,MATCH($U63*1,ТУ!$CP:$CP,0),1)),"")))</f>
        <v>21091</v>
      </c>
      <c r="E63" s="25" t="str">
        <f t="shared" si="2"/>
        <v>МКС</v>
      </c>
      <c r="F63" s="20">
        <f t="shared" si="3"/>
        <v>94</v>
      </c>
      <c r="G63" s="21">
        <f t="shared" si="4"/>
        <v>2</v>
      </c>
      <c r="H63" s="25" t="str">
        <f t="shared" si="5"/>
        <v>РП-21091</v>
      </c>
      <c r="I63" s="25" t="str">
        <f t="shared" si="6"/>
        <v>94221091</v>
      </c>
      <c r="J63" s="42" t="str">
        <f>INDEX(Справочники!$M:$M,MATCH(IF(INDEX(ТУ!$BO:$BO,MATCH($U63*1,ТУ!$CP:$CP,0),1)=1,1,INDEX(ТУ!$BO:$BO,MATCH($U63*1,ТУ!$CP:$CP,0),1)*100),Справочники!$N:$N,0),1)</f>
        <v>10 кВ</v>
      </c>
      <c r="K63" s="40">
        <f>1</f>
        <v>1</v>
      </c>
      <c r="L63" s="20" t="str">
        <f t="shared" si="7"/>
        <v>СШ-1</v>
      </c>
      <c r="M63" s="20">
        <f t="shared" si="8"/>
        <v>1</v>
      </c>
      <c r="N63" s="40"/>
      <c r="O63" s="56" t="str">
        <f t="shared" si="9"/>
        <v>Ввод-1-1</v>
      </c>
      <c r="P63" s="57" t="str">
        <f>IFERROR(IF(INDEX(ТУ!$AO:$AO,MATCH($U63*1,ТУ!$CP:$CP,0),1)=0,"",INDEX(ТУ!$AO:$AO,MATCH($U63*1,ТУ!$CP:$CP,0),1)),"")</f>
        <v/>
      </c>
      <c r="Q63" s="40">
        <f>IFERROR(IF(INDEX(ТУ!$BN:$BN,MATCH($U63*1,ТУ!$CP:$CP,0),1)=1,1,INDEX(ТУ!$BN:$BN,MATCH($U63*1,ТУ!$CP:$CP,0),1)*5),"")</f>
        <v>600</v>
      </c>
      <c r="R63" s="25">
        <f t="shared" si="10"/>
        <v>5</v>
      </c>
      <c r="S63" s="25">
        <f t="shared" si="11"/>
        <v>10000</v>
      </c>
      <c r="T63" s="25">
        <f t="shared" si="12"/>
        <v>100</v>
      </c>
      <c r="U63" s="105" t="s">
        <v>1128</v>
      </c>
      <c r="V63" s="43">
        <f>IF(INDEX(ТУ!$BH:$BH,MATCH($U63*1,ТУ!$CP:$CP,0),1)=0,"",INDEX(ТУ!$BH:$BH,MATCH($U63*1,ТУ!$CP:$CP,0),1))</f>
        <v>45163</v>
      </c>
      <c r="W63" s="43" t="str">
        <f>IF(INDEX(ТУ!$BI:$BI,MATCH($U63*1,ТУ!$CP:$CP,0),1)=0,"",INDEX(ТУ!$BI:$BI,MATCH($U63*1,ТУ!$CP:$CP,0),1))</f>
        <v>28.09.2022</v>
      </c>
      <c r="X63" s="58" t="str">
        <f t="shared" si="13"/>
        <v>СЭТ-4ТМ</v>
      </c>
      <c r="Y63" s="25">
        <f t="shared" si="14"/>
        <v>7</v>
      </c>
      <c r="Z63" s="42" t="str">
        <f t="shared" si="15"/>
        <v/>
      </c>
      <c r="AA63" s="25" t="str">
        <f t="shared" si="16"/>
        <v/>
      </c>
      <c r="AB63" s="40" t="str">
        <f>IF(ISNUMBER(SEARCH("Приборы с поддержкой протокола СПОДЭС - Нартис-И300 (СПОДЭС)",INDEX(ТУ!$BD:$BD,MATCH($U63*1,ТУ!$CP:$CP,0),1))),"Нартис-И300",
IF(ISNUMBER(SEARCH("Приборы с поддержкой протокола СПОДЭС - Меркурий 234 (СПОДЭС)",INDEX(ТУ!$BD:$BD,MATCH($U63*1,ТУ!$CP:$CP,0),1))),"Меркурий 234 (СПОДЭС)",
IF(ISNUMBER(SEARCH("Приборы с поддержкой протокола СПОДЭС - Нартис-300 (СПОДЭС)",INDEX(ТУ!$BD:$BD,MATCH($U63*1,ТУ!$CP:$CP,0),1))),"Нартис-300",
IF(ISNUMBER(SEARCH("Инкотекс - Меркурий 234",INDEX(ТУ!$BD:$BD,MATCH($U63*1,ТУ!$CP:$CP,0),1))),"Меркурий 234",
IF(ISNUMBER(SEARCH("Инкотекс - Меркурий 206",INDEX(ТУ!$BD:$BD,MATCH($U63*1,ТУ!$CP:$CP,0),1))),"Меркурий 206",
IF(ISNUMBER(SEARCH("Приборы с поддержкой протокола СПОДЭС - Универсальный счетчик СПОДЭС 2 трехфазный",INDEX(ТУ!$BD:$BD,MATCH($U63*1,ТУ!$CP:$CP,0),1))),"Нартис-И300",
IF(ISNUMBER(SEARCH("Приборы с поддержкой протокола СПОДЭС - Универсальный счетчик СПОДЭС 2 однофазный",INDEX(ТУ!$BD:$BD,MATCH($U63*1,ТУ!$CP:$CP,0),1))),"Нартис-И100",
IF(ISNUMBER(SEARCH("Приборы с поддержкой протокола СПОДЭС - Нартис-И100 (СПОДЭС)",INDEX(ТУ!$BD:$BD,MATCH($U63*1,ТУ!$CP:$CP,0),1))),"Нартис-И100",
IF(ISNUMBER(SEARCH("Приборы с поддержкой протокола СПОДЭС - СЕ308 (СПОДЭС)",INDEX(ТУ!$BD:$BD,MATCH($U63*1,ТУ!$CP:$CP,0),1))),"СЕ308 (СПОДЭС)",
IF(ISNUMBER(SEARCH("Приборы с поддержкой протокола СПОДЭС - СЕ207 (СПОДЭС)",INDEX(ТУ!$BD:$BD,MATCH($U63*1,ТУ!$CP:$CP,0),1))),"СЕ207 (СПОДЭС)",
IF(ISNUMBER(SEARCH("Приборы с поддержкой протокола СПОДЭС - СТЭМ-300 (СПОДЭС)",INDEX(ТУ!$BD:$BD,MATCH($U63*1,ТУ!$CP:$CP,0),1))),"СТЭМ-300 (СПОДЭС)",
IF(ISNUMBER(SEARCH("ТехноЭнерго - ТЕ3000",INDEX(ТУ!$BD:$BD,MATCH($U63*1,ТУ!$CP:$CP,0),1))),"ТЕ3000",
IF(ISNUMBER(SEARCH("НЗиФ - СЭТ-4ТМ",INDEX(ТУ!$BD:$BD,MATCH($U63*1,ТУ!$CP:$CP,0),1))),"СЭТ-4ТМ",
INDEX(ТУ!$BD:$BD,MATCH($U63*1,ТУ!$CP:$CP,0),1)
)))))))))))))</f>
        <v>ТЕ3000</v>
      </c>
      <c r="AC63" s="40" t="s">
        <v>2</v>
      </c>
      <c r="AD63" s="40" t="str">
        <f>IF(ISNUMBER(IFERROR(LEFT(IF(INDEX(ТУ!$CI:$CI,MATCH($U63*1,ТУ!$CP:$CP,0),1)=0,"",INDEX(ТУ!$CI:$CI,MATCH($U63*1,ТУ!$CP:$CP,0),1)),SEARCH(" ",IF(INDEX(ТУ!$CI:$CI,MATCH($U63*1,ТУ!$CP:$CP,0),1)=0,"",INDEX(ТУ!$CI:$CI,MATCH($U63*1,ТУ!$CP:$CP,0),1)),1)-1),"")*1),IFERROR(LEFT(IF(INDEX(ТУ!$CI:$CI,MATCH($U63*1,ТУ!$CP:$CP,0),1)=0,"",INDEX(ТУ!$CI:$CI,MATCH($U63*1,ТУ!$CP:$CP,0),1)),SEARCH(" ",IF(INDEX(ТУ!$CI:$CI,MATCH($U63*1,ТУ!$CP:$CP,0),1)=0,"",INDEX(ТУ!$CI:$CI,MATCH($U63*1,ТУ!$CP:$CP,0),1)),1)-1),""),"")</f>
        <v>77010001000046</v>
      </c>
      <c r="AE63" s="40" t="str">
        <f>IF(INDEX(ТУ!$CB:$CB,MATCH($U63*1,ТУ!$CP:$CP,0),1)=0,INDEX(Adr!$B:$B,MATCH($U63*1,Adr!$C:$C,0),1),INDEX(ТУ!$CB:$CB,MATCH($U63*1,ТУ!$CP:$CP,0),1))</f>
        <v>105</v>
      </c>
      <c r="AF63" s="45" t="str">
        <f>IF(INDEX(ТУ!$CD:$CD,MATCH($U63*1,ТУ!$CP:$CP,0),1)=0,"",INDEX(ТУ!$CD:$CD,MATCH($U63*1,ТУ!$CP:$CP,0),1))</f>
        <v>002080</v>
      </c>
      <c r="AG63" s="45">
        <f>0</f>
        <v>0</v>
      </c>
      <c r="AH63" s="26">
        <f t="shared" si="17"/>
        <v>94</v>
      </c>
      <c r="AI63" s="20" t="str">
        <f t="shared" si="18"/>
        <v>942210911</v>
      </c>
      <c r="AJ63" s="41" t="str">
        <f t="shared" si="1"/>
        <v>10.82.196.125</v>
      </c>
      <c r="AK63" s="41" t="str">
        <f>IF($AP63="",IFERROR(IFERROR(LEFT(RIGHT(INDEX(ТУ!$CE:$CE,MATCH($U63*1,ТУ!$CP:$CP,0),1),LEN(INDEX(ТУ!$CE:$CE,MATCH($U63*1,ТУ!$CP:$CP,0),1))-SEARCH(":",INDEX(ТУ!$CE:$CE,MATCH($U63*1,ТУ!$CP:$CP,0),1))),SEARCH("/",RIGHT(INDEX(ТУ!$CE:$CE,MATCH($U63*1,ТУ!$CP:$CP,0),1),LEN(INDEX(ТУ!$CE:$CE,MATCH($U63*1,ТУ!$CP:$CP,0),1))-SEARCH(":",INDEX(ТУ!$CE:$CE,MATCH($U63*1,ТУ!$CP:$CP,0),1))))-1), RIGHT(INDEX(ТУ!$CE:$CE,MATCH($U63*1,ТУ!$CP:$CP,0),1),LEN(INDEX(ТУ!$CE:$CE,MATCH($U63*1,ТУ!$CP:$CP,0),1))-SEARCH(":",INDEX(ТУ!$CE:$CE,MATCH($U63*1,ТУ!$CP:$CP,0),1)))), ""),IFERROR(IFERROR(LEFT(RIGHT(INDEX(УСПД!$M:$M,MATCH(IFERROR(1*LEFT(INDEX(ТУ!$CG:$CG,MATCH($U63*1,ТУ!$CP:$CP,0),1),SEARCH(" ",INDEX(ТУ!$CG:$CG,MATCH($U63*1,ТУ!$CP:$CP,0),1))-1),""),УСПД!$N:$N,0),1),LEN(INDEX(УСПД!$M:$M,MATCH(IFERROR(1*LEFT(INDEX(ТУ!$CG:$CG,MATCH($U63*1,ТУ!$CP:$CP,0),1),SEARCH(" ",INDEX(ТУ!$CG:$CG,MATCH($U63*1,ТУ!$CP:$CP,0),1))-1),""),УСПД!$N:$N,0),1))-SEARCH(":",INDEX(УСПД!$M:$M,MATCH(IFERROR(1*LEFT(INDEX(ТУ!$CG:$CG,MATCH($U63*1,ТУ!$CP:$CP,0),1),SEARCH(" ",INDEX(ТУ!$CG:$CG,MATCH($U63*1,ТУ!$CP:$CP,0),1))-1),""),УСПД!$N:$N,0),1))),SEARCH("/",RIGHT(INDEX(УСПД!$M:$M,MATCH(IFERROR(1*LEFT(INDEX(ТУ!$CG:$CG,MATCH($U63*1,ТУ!$CP:$CP,0),1),SEARCH(" ",INDEX(ТУ!$CG:$CG,MATCH($U63*1,ТУ!$CP:$CP,0),1))-1),""),УСПД!$N:$N,0),1),LEN(INDEX(УСПД!$M:$M,MATCH(IFERROR(1*LEFT(INDEX(ТУ!$CG:$CG,MATCH($U63*1,ТУ!$CP:$CP,0),1),SEARCH(" ",INDEX(ТУ!$CG:$CG,MATCH($U63*1,ТУ!$CP:$CP,0),1))-1),""),УСПД!$N:$N,0),1))-SEARCH(":",INDEX(УСПД!$M:$M,MATCH(IFERROR(1*LEFT(INDEX(ТУ!$CG:$CG,MATCH($U63*1,ТУ!$CP:$CP,0),1),SEARCH(" ",INDEX(ТУ!$CG:$CG,MATCH($U63*1,ТУ!$CP:$CP,0),1))-1),""),УСПД!$N:$N,0),1))))-1), RIGHT(INDEX(УСПД!$M:$M,MATCH(IFERROR(1*LEFT(INDEX(ТУ!$CG:$CG,MATCH($U63*1,ТУ!$CP:$CP,0),1),SEARCH(" ",INDEX(ТУ!$CG:$CG,MATCH($U63*1,ТУ!$CP:$CP,0),1))-1),""),УСПД!$N:$N,0),1),LEN(INDEX(УСПД!$M:$M,MATCH(IFERROR(1*LEFT(INDEX(ТУ!$CG:$CG,MATCH($U63*1,ТУ!$CP:$CP,0),1),SEARCH(" ",INDEX(ТУ!$CG:$CG,MATCH($U63*1,ТУ!$CP:$CP,0),1))-1),""),УСПД!$N:$N,0),1))-SEARCH(":",INDEX(УСПД!$M:$M,MATCH(IFERROR(1*LEFT(INDEX(ТУ!$CG:$CG,MATCH($U63*1,ТУ!$CP:$CP,0),1),SEARCH(" ",INDEX(ТУ!$CG:$CG,MATCH($U63*1,ТУ!$CP:$CP,0),1))-1),""),УСПД!$N:$N,0),1)))), ""))</f>
        <v>4001</v>
      </c>
      <c r="AL63" s="41"/>
      <c r="AM63" s="57" t="str">
        <f>IFERROR(IFERROR(INDEX(Tel!$B:$B,MATCH($AJ63,Tel!$E:$E,0),1),INDEX(Tel!$B:$B,MATCH($AJ63,Tel!$D:$D,0),1)),"")</f>
        <v/>
      </c>
      <c r="AN63" s="59" t="str">
        <f>IF(ISNUMBER(SEARCH("ТОПАЗ - ТОПАЗ УСПД",IFERROR(RIGHT(LEFT(INDEX(ТУ!$CG:$CG,MATCH($U63*1,ТУ!$CP:$CP,0),1),SEARCH(")",INDEX(ТУ!$CG:$CG,MATCH($U63*1,ТУ!$CP:$CP,0),1))-1),LEN(LEFT(INDEX(ТУ!$CG:$CG,MATCH($U63*1,ТУ!$CP:$CP,0),1),SEARCH(")",INDEX(ТУ!$CG:$CG,MATCH($U63*1,ТУ!$CP:$CP,0),1))-1))-SEARCH("(",INDEX(ТУ!$CG:$CG,MATCH($U63*1,ТУ!$CP:$CP,0),1))),""),1)),"RTU-327",
IF(ISNUMBER(SEARCH("TELEOFIS",$AP63)),"Модем",
""))</f>
        <v/>
      </c>
      <c r="AO63" s="27" t="str">
        <f t="shared" si="24"/>
        <v/>
      </c>
      <c r="AP63" s="57" t="str">
        <f>IF(ISNUMBER(SEARCH("Миландр - Милур GSM/GPRS модем",IFERROR(RIGHT(LEFT(INDEX(ТУ!$CG:$CG,MATCH($U63*1,ТУ!$CP:$CP,0),1),SEARCH(")",INDEX(ТУ!$CG:$CG,MATCH($U63*1,ТУ!$CP:$CP,0),1))-1),LEN(LEFT(INDEX(ТУ!$CG:$CG,MATCH($U63*1,ТУ!$CP:$CP,0),1),SEARCH(")",INDEX(ТУ!$CG:$CG,MATCH($U63*1,ТУ!$CP:$CP,0),1))-1))-SEARCH("(",INDEX(ТУ!$CG:$CG,MATCH($U63*1,ТУ!$CP:$CP,0),1))),""),1)), "TELEOFIS WRX708-L4",IFERROR(RIGHT(LEFT(INDEX(ТУ!$CG:$CG,MATCH($U63*1,ТУ!$CP:$CP,0),1),SEARCH(")",INDEX(ТУ!$CG:$CG,MATCH($U63*1,ТУ!$CP:$CP,0),1))-1),LEN(LEFT(INDEX(ТУ!$CG:$CG,MATCH($U63*1,ТУ!$CP:$CP,0),1),SEARCH(")",INDEX(ТУ!$CG:$CG,MATCH($U63*1,ТУ!$CP:$CP,0),1))-1))-SEARCH("(",INDEX(ТУ!$CG:$CG,MATCH($U63*1,ТУ!$CP:$CP,0),1))),""))</f>
        <v/>
      </c>
      <c r="AQ63" s="57" t="str">
        <f>IFERROR(IF(INDEX(УСПД!$K:$K,MATCH($AS63*1,УСПД!$N:$N,0),1)=0,"",INDEX(УСПД!$K:$K,MATCH($AS63*1,УСПД!$N:$N,0),1)),"")</f>
        <v/>
      </c>
      <c r="AR63" s="57" t="str">
        <f>IFERROR(IF(INDEX(УСПД!$L:$L,MATCH($AS63*1,УСПД!$N:$N,0),1)=0,"",INDEX(УСПД!$L:$L,MATCH($AS63*1,УСПД!$N:$N,0),1)),"")</f>
        <v/>
      </c>
      <c r="AS63" s="60" t="str">
        <f>IFERROR(LEFT(INDEX(ТУ!$CG:$CG,MATCH($U63*1,ТУ!$CP:$CP,0),1),SEARCH(" ",INDEX(ТУ!$CG:$CG,MATCH($U63*1,ТУ!$CP:$CP,0),1))-1),"")</f>
        <v/>
      </c>
      <c r="AT63" s="59" t="s">
        <v>360</v>
      </c>
      <c r="AU63" s="59">
        <f>3</f>
        <v>3</v>
      </c>
      <c r="AV63" s="59" t="s">
        <v>368</v>
      </c>
      <c r="AW63" s="149">
        <f t="shared" si="19"/>
        <v>72</v>
      </c>
      <c r="AX63" s="149">
        <f t="shared" si="20"/>
        <v>7</v>
      </c>
      <c r="AY63" s="149" t="str">
        <f t="shared" si="21"/>
        <v/>
      </c>
      <c r="AZ63" s="149" t="str">
        <f t="shared" si="22"/>
        <v/>
      </c>
      <c r="BA63" s="149">
        <f t="shared" si="23"/>
        <v>3</v>
      </c>
      <c r="BB63" s="154" t="str">
        <f>IF($AP63="",IFERROR(IFERROR(LEFT(RIGHT(INDEX(ТУ!$CE:$CE,MATCH($U63*1,ТУ!$CP:$CP,0),1),LEN(INDEX(ТУ!$CE:$CE,MATCH($U63*1,ТУ!$CP:$CP,0),1))-SEARCH(", ",INDEX(ТУ!$CE:$CE,MATCH($U63*1,ТУ!$CP:$CP,0),1),SEARCH(", ",INDEX(ТУ!$CE:$CE,MATCH($U63*1,ТУ!$CP:$CP,0),1))+1)-1),SEARCH(":",RIGHT(INDEX(ТУ!$CE:$CE,MATCH($U63*1,ТУ!$CP:$CP,0),1),LEN(INDEX(ТУ!$CE:$CE,MATCH($U63*1,ТУ!$CP:$CP,0),1))-SEARCH(", ",INDEX(ТУ!$CE:$CE,MATCH($U63*1,ТУ!$CP:$CP,0),1),SEARCH(", ",INDEX(ТУ!$CE:$CE,MATCH($U63*1,ТУ!$CP:$CP,0),1))+1)-1))-1),LEFT(INDEX(ТУ!$CE:$CE,MATCH($U63*1,ТУ!$CP:$CP,0),1),SEARCH(":",INDEX(ТУ!$CE:$CE,MATCH($U63*1,ТУ!$CP:$CP,0),1))-1)),""),IFERROR(IFERROR(LEFT(RIGHT(INDEX(УСПД!$M:$M,MATCH(IFERROR(1*LEFT(INDEX(ТУ!$CG:$CG,MATCH($U63*1,ТУ!$CP:$CP,0),1),SEARCH(" ",INDEX(ТУ!$CG:$CG,MATCH($U63*1,ТУ!$CP:$CP,0),1))-1),""),УСПД!$N:$N,0),1),LEN(INDEX(УСПД!$M:$M,MATCH(IFERROR(1*LEFT(INDEX(ТУ!$CG:$CG,MATCH($U63*1,ТУ!$CP:$CP,0),1),SEARCH(" ",INDEX(ТУ!$CG:$CG,MATCH($U63*1,ТУ!$CP:$CP,0),1))-1),""),УСПД!$N:$N,0),1))-SEARCH(", ",INDEX(УСПД!$M:$M,MATCH(IFERROR(1*LEFT(INDEX(ТУ!$CG:$CG,MATCH($U63*1,ТУ!$CP:$CP,0),1),SEARCH(" ",INDEX(ТУ!$CG:$CG,MATCH($U63*1,ТУ!$CP:$CP,0),1))-1),""),УСПД!$N:$N,0),1),SEARCH(", ",INDEX(УСПД!$M:$M,MATCH(IFERROR(1*LEFT(INDEX(ТУ!$CG:$CG,MATCH($U63*1,ТУ!$CP:$CP,0),1),SEARCH(" ",INDEX(ТУ!$CG:$CG,MATCH($U63*1,ТУ!$CP:$CP,0),1))-1),""),УСПД!$N:$N,0),1))+1)-1),SEARCH(":",RIGHT(INDEX(УСПД!$M:$M,MATCH(IFERROR(1*LEFT(INDEX(ТУ!$CG:$CG,MATCH($U63*1,ТУ!$CP:$CP,0),1),SEARCH(" ",INDEX(ТУ!$CG:$CG,MATCH($U63*1,ТУ!$CP:$CP,0),1))-1),""),УСПД!$N:$N,0),1),LEN(INDEX(УСПД!$M:$M,MATCH(IFERROR(1*LEFT(INDEX(ТУ!$CG:$CG,MATCH($U63*1,ТУ!$CP:$CP,0),1),SEARCH(" ",INDEX(ТУ!$CG:$CG,MATCH($U63*1,ТУ!$CP:$CP,0),1))-1),""),УСПД!$N:$N,0),1))-SEARCH(", ",INDEX(УСПД!$M:$M,MATCH(IFERROR(1*LEFT(INDEX(ТУ!$CG:$CG,MATCH($U63*1,ТУ!$CP:$CP,0),1),SEARCH(" ",INDEX(ТУ!$CG:$CG,MATCH($U63*1,ТУ!$CP:$CP,0),1))-1),""),УСПД!$N:$N,0),1),SEARCH(", ",INDEX(УСПД!$M:$M,MATCH(IFERROR(1*LEFT(INDEX(ТУ!$CG:$CG,MATCH($U63*1,ТУ!$CP:$CP,0),1),SEARCH(" ",INDEX(ТУ!$CG:$CG,MATCH($U63*1,ТУ!$CP:$CP,0),1))-1),""),УСПД!$N:$N,0),1))+1)-1))-1),LEFT(INDEX(УСПД!$M:$M,MATCH(IFERROR(1*LEFT(INDEX(ТУ!$CG:$CG,MATCH($U63*1,ТУ!$CP:$CP,0),1),SEARCH(" ",INDEX(ТУ!$CG:$CG,MATCH($U63*1,ТУ!$CP:$CP,0),1))-1),""),УСПД!$N:$N,0),1),SEARCH(":",INDEX(УСПД!$M:$M,MATCH(IFERROR(1*LEFT(INDEX(ТУ!$CG:$CG,MATCH($U63*1,ТУ!$CP:$CP,0),1),SEARCH(" ",INDEX(ТУ!$CG:$CG,MATCH($U63*1,ТУ!$CP:$CP,0),1))-1),""),УСПД!$N:$N,0),1))-1)),""))</f>
        <v>10.82.196.125</v>
      </c>
      <c r="BC63" s="155">
        <f>INDEX(ТУ!$AF:$AF,MATCH($U63*1,ТУ!$CP:$CP,0),1)</f>
        <v>0</v>
      </c>
      <c r="BD63" s="155" t="str">
        <f>INDEX(ТУ!$X:$X,MATCH($U63*1,ТУ!$CP:$CP,0),1)</f>
        <v>РП-21091</v>
      </c>
      <c r="BE63" s="155">
        <f>INDEX(ТУ!$CL:$CL,MATCH($U63*1,ТУ!$CP:$CP,0),1)</f>
        <v>0</v>
      </c>
      <c r="BF63" s="147" t="str">
        <f>IFERROR(INDEX(естьАЦ!$A:$A,MATCH($U63*1,естьАЦ!$A:$A,0),1),"нет в АЦ")</f>
        <v>нет в АЦ</v>
      </c>
    </row>
    <row r="64" spans="1:58" ht="15" x14ac:dyDescent="0.25">
      <c r="A64" s="55">
        <f>3</f>
        <v>3</v>
      </c>
      <c r="B64" s="42" t="str">
        <f>IFERROR(IFERROR(INDEX(Справочники!$A$2:$P$79,MATCH(INDEX(ТУ!$E:$E,MATCH($U64*1,ТУ!$CP:$CP,0),1),Справочники!$P$2:$P$79,0),2),INDEX(Справочники!$A$2:$P$79,MATCH((INDEX(ТУ!$E:$E,MATCH($U64*1,ТУ!$CP:$CP,0),1))*1,Справочники!$P$2:$P$79,0),2)),"")</f>
        <v>09 р-н МКС (СВОРУПЭ)</v>
      </c>
      <c r="C64" s="46" t="str">
        <f>IFERROR(TRIM(LEFT(INDEX(ТУ!$AF:$AF,MATCH($U64*1,ТУ!$CP:$CP,0),1),SEARCH("-",INDEX(ТУ!$AF:$AF,MATCH($U64*1,ТУ!$CP:$CP,0),1))-1)),IFERROR(LEFT(INDEX(ТУ!$X:$X,MATCH($U64*1,ТУ!$CP:$CP,0),1),SEARCH("-",INDEX(ТУ!$X:$X,MATCH($U64*1,ТУ!$CP:$CP,0),1))-1),"ТП"))</f>
        <v>ТП</v>
      </c>
      <c r="D64" s="47" t="str">
        <f>IF(TRIM(IF(ISNUMBER((IFERROR(RIGHT(INDEX(ТУ!$AF:$AF,MATCH($U64*1,ТУ!$CP:$CP,0),1),LEN(INDEX(ТУ!$AF:$AF,MATCH($U64*1,ТУ!$CP:$CP,0),1))-SEARCH("-",INDEX(ТУ!$AF:$AF,MATCH($U64*1,ТУ!$CP:$CP,0),1))),INDEX(ТУ!$AF:$AF,MATCH($U64*1,ТУ!$CP:$CP,0),1)))*1),IFERROR(RIGHT(INDEX(ТУ!$AF:$AF,MATCH($U64*1,ТУ!$CP:$CP,0),1),LEN(INDEX(ТУ!$AF:$AF,MATCH($U64*1,ТУ!$CP:$CP,0),1))-SEARCH("-",INDEX(ТУ!$AF:$AF,MATCH($U64*1,ТУ!$CP:$CP,0),1))),INDEX(ТУ!$AF:$AF,MATCH($U64*1,ТУ!$CP:$CP,0),1)),""))="",TRIM(IF(ISNUMBER((IFERROR(RIGHT(INDEX(ТУ!$X:$X,MATCH($U64*1,ТУ!$CP:$CP,0),1),LEN(INDEX(ТУ!$X:$X,MATCH($U64*1,ТУ!$CP:$CP,0),1))-SEARCH("-",INDEX(ТУ!$X:$X,MATCH($U64*1,ТУ!$CP:$CP,0),1))),INDEX(ТУ!$X:$X,MATCH($U64*1,ТУ!$CP:$CP,0),1)))*1),IFERROR(RIGHT(INDEX(ТУ!$X:$X,MATCH($U64*1,ТУ!$CP:$CP,0),1),LEN(INDEX(ТУ!$X:$X,MATCH($U64*1,ТУ!$CP:$CP,0),1))-SEARCH("-",INDEX(ТУ!$X:$X,MATCH($U64*1,ТУ!$CP:$CP,0),1))),INDEX(ТУ!$X:$X,MATCH($U64*1,ТУ!$CP:$CP,0),1)),"")),TRIM(IF(ISNUMBER((IFERROR(RIGHT(INDEX(ТУ!$AF:$AF,MATCH($U64*1,ТУ!$CP:$CP,0),1),LEN(INDEX(ТУ!$AF:$AF,MATCH($U64*1,ТУ!$CP:$CP,0),1))-SEARCH("-",INDEX(ТУ!$AF:$AF,MATCH($U64*1,ТУ!$CP:$CP,0),1))),INDEX(ТУ!$AF:$AF,MATCH($U64*1,ТУ!$CP:$CP,0),1)))*1),IFERROR(RIGHT(INDEX(ТУ!$AF:$AF,MATCH($U64*1,ТУ!$CP:$CP,0),1),LEN(INDEX(ТУ!$AF:$AF,MATCH($U64*1,ТУ!$CP:$CP,0),1))-SEARCH("-",INDEX(ТУ!$AF:$AF,MATCH($U64*1,ТУ!$CP:$CP,0),1))),INDEX(ТУ!$AF:$AF,MATCH($U64*1,ТУ!$CP:$CP,0),1)),"")))</f>
        <v>18843</v>
      </c>
      <c r="E64" s="25" t="str">
        <f t="shared" si="2"/>
        <v>МКС</v>
      </c>
      <c r="F64" s="20">
        <f t="shared" si="3"/>
        <v>83</v>
      </c>
      <c r="G64" s="21">
        <f t="shared" si="4"/>
        <v>5</v>
      </c>
      <c r="H64" s="25" t="str">
        <f t="shared" si="5"/>
        <v>ТП-18843</v>
      </c>
      <c r="I64" s="25" t="str">
        <f t="shared" si="6"/>
        <v>83518843</v>
      </c>
      <c r="J64" s="42" t="str">
        <f>INDEX(Справочники!$M:$M,MATCH(IF(INDEX(ТУ!$BO:$BO,MATCH($U64*1,ТУ!$CP:$CP,0),1)=1,1,INDEX(ТУ!$BO:$BO,MATCH($U64*1,ТУ!$CP:$CP,0),1)*100),Справочники!$N:$N,0),1)</f>
        <v>0.4 кВ</v>
      </c>
      <c r="K64" s="40">
        <f>1</f>
        <v>1</v>
      </c>
      <c r="L64" s="20" t="str">
        <f t="shared" si="7"/>
        <v>СШ-1</v>
      </c>
      <c r="M64" s="20">
        <f t="shared" si="8"/>
        <v>1</v>
      </c>
      <c r="N64" s="40"/>
      <c r="O64" s="56" t="str">
        <f t="shared" si="9"/>
        <v>Ввод-1-1</v>
      </c>
      <c r="P64" s="57" t="str">
        <f>IFERROR(IF(INDEX(ТУ!$AO:$AO,MATCH($U64*1,ТУ!$CP:$CP,0),1)=0,"",INDEX(ТУ!$AO:$AO,MATCH($U64*1,ТУ!$CP:$CP,0),1)),"")</f>
        <v>№102074127_фид._ВВ 54689, луч А</v>
      </c>
      <c r="Q64" s="40">
        <f>IFERROR(IF(INDEX(ТУ!$BN:$BN,MATCH($U64*1,ТУ!$CP:$CP,0),1)=1,1,INDEX(ТУ!$BN:$BN,MATCH($U64*1,ТУ!$CP:$CP,0),1)*5),"")</f>
        <v>400</v>
      </c>
      <c r="R64" s="25">
        <f t="shared" si="10"/>
        <v>5</v>
      </c>
      <c r="S64" s="25">
        <f t="shared" si="11"/>
        <v>1</v>
      </c>
      <c r="T64" s="25">
        <f t="shared" si="12"/>
        <v>1</v>
      </c>
      <c r="U64" s="105" t="s">
        <v>1139</v>
      </c>
      <c r="V64" s="43">
        <f>IF(INDEX(ТУ!$BH:$BH,MATCH($U64*1,ТУ!$CP:$CP,0),1)=0,"",INDEX(ТУ!$BH:$BH,MATCH($U64*1,ТУ!$CP:$CP,0),1))</f>
        <v>43739</v>
      </c>
      <c r="W64" s="43" t="str">
        <f>IF(INDEX(ТУ!$BI:$BI,MATCH($U64*1,ТУ!$CP:$CP,0),1)=0,"",INDEX(ТУ!$BI:$BI,MATCH($U64*1,ТУ!$CP:$CP,0),1))</f>
        <v/>
      </c>
      <c r="X64" s="58" t="str">
        <f t="shared" si="13"/>
        <v>СЭТ-4ТМ</v>
      </c>
      <c r="Y64" s="25">
        <f t="shared" si="14"/>
        <v>7</v>
      </c>
      <c r="Z64" s="42" t="str">
        <f t="shared" si="15"/>
        <v/>
      </c>
      <c r="AA64" s="25" t="str">
        <f t="shared" si="16"/>
        <v/>
      </c>
      <c r="AB64" s="40" t="str">
        <f>IF(ISNUMBER(SEARCH("Приборы с поддержкой протокола СПОДЭС - Нартис-И300 (СПОДЭС)",INDEX(ТУ!$BD:$BD,MATCH($U64*1,ТУ!$CP:$CP,0),1))),"Нартис-И300",
IF(ISNUMBER(SEARCH("Приборы с поддержкой протокола СПОДЭС - Меркурий 234 (СПОДЭС)",INDEX(ТУ!$BD:$BD,MATCH($U64*1,ТУ!$CP:$CP,0),1))),"Меркурий 234 (СПОДЭС)",
IF(ISNUMBER(SEARCH("Приборы с поддержкой протокола СПОДЭС - Нартис-300 (СПОДЭС)",INDEX(ТУ!$BD:$BD,MATCH($U64*1,ТУ!$CP:$CP,0),1))),"Нартис-300",
IF(ISNUMBER(SEARCH("Инкотекс - Меркурий 234",INDEX(ТУ!$BD:$BD,MATCH($U64*1,ТУ!$CP:$CP,0),1))),"Меркурий 234",
IF(ISNUMBER(SEARCH("Инкотекс - Меркурий 206",INDEX(ТУ!$BD:$BD,MATCH($U64*1,ТУ!$CP:$CP,0),1))),"Меркурий 206",
IF(ISNUMBER(SEARCH("Приборы с поддержкой протокола СПОДЭС - Универсальный счетчик СПОДЭС 2 трехфазный",INDEX(ТУ!$BD:$BD,MATCH($U64*1,ТУ!$CP:$CP,0),1))),"Нартис-И300",
IF(ISNUMBER(SEARCH("Приборы с поддержкой протокола СПОДЭС - Универсальный счетчик СПОДЭС 2 однофазный",INDEX(ТУ!$BD:$BD,MATCH($U64*1,ТУ!$CP:$CP,0),1))),"Нартис-И100",
IF(ISNUMBER(SEARCH("Приборы с поддержкой протокола СПОДЭС - Нартис-И100 (СПОДЭС)",INDEX(ТУ!$BD:$BD,MATCH($U64*1,ТУ!$CP:$CP,0),1))),"Нартис-И100",
IF(ISNUMBER(SEARCH("Приборы с поддержкой протокола СПОДЭС - СЕ308 (СПОДЭС)",INDEX(ТУ!$BD:$BD,MATCH($U64*1,ТУ!$CP:$CP,0),1))),"СЕ308 (СПОДЭС)",
IF(ISNUMBER(SEARCH("Приборы с поддержкой протокола СПОДЭС - СЕ207 (СПОДЭС)",INDEX(ТУ!$BD:$BD,MATCH($U64*1,ТУ!$CP:$CP,0),1))),"СЕ207 (СПОДЭС)",
IF(ISNUMBER(SEARCH("Приборы с поддержкой протокола СПОДЭС - СТЭМ-300 (СПОДЭС)",INDEX(ТУ!$BD:$BD,MATCH($U64*1,ТУ!$CP:$CP,0),1))),"СТЭМ-300 (СПОДЭС)",
IF(ISNUMBER(SEARCH("ТехноЭнерго - ТЕ3000",INDEX(ТУ!$BD:$BD,MATCH($U64*1,ТУ!$CP:$CP,0),1))),"ТЕ3000",
IF(ISNUMBER(SEARCH("НЗиФ - СЭТ-4ТМ",INDEX(ТУ!$BD:$BD,MATCH($U64*1,ТУ!$CP:$CP,0),1))),"СЭТ-4ТМ",
INDEX(ТУ!$BD:$BD,MATCH($U64*1,ТУ!$CP:$CP,0),1)
)))))))))))))</f>
        <v>СЭТ-4ТМ</v>
      </c>
      <c r="AC64" s="40" t="s">
        <v>2</v>
      </c>
      <c r="AD64" s="40" t="str">
        <f>IF(ISNUMBER(IFERROR(LEFT(IF(INDEX(ТУ!$CI:$CI,MATCH($U64*1,ТУ!$CP:$CP,0),1)=0,"",INDEX(ТУ!$CI:$CI,MATCH($U64*1,ТУ!$CP:$CP,0),1)),SEARCH(" ",IF(INDEX(ТУ!$CI:$CI,MATCH($U64*1,ТУ!$CP:$CP,0),1)=0,"",INDEX(ТУ!$CI:$CI,MATCH($U64*1,ТУ!$CP:$CP,0),1)),1)-1),"")*1),IFERROR(LEFT(IF(INDEX(ТУ!$CI:$CI,MATCH($U64*1,ТУ!$CP:$CP,0),1)=0,"",INDEX(ТУ!$CI:$CI,MATCH($U64*1,ТУ!$CP:$CP,0),1)),SEARCH(" ",IF(INDEX(ТУ!$CI:$CI,MATCH($U64*1,ТУ!$CP:$CP,0),1)=0,"",INDEX(ТУ!$CI:$CI,MATCH($U64*1,ТУ!$CP:$CP,0),1)),1)-1),""),"")</f>
        <v/>
      </c>
      <c r="AE64" s="40" t="str">
        <f>IF(INDEX(ТУ!$CB:$CB,MATCH($U64*1,ТУ!$CP:$CP,0),1)=0,INDEX(Adr!$B:$B,MATCH($U64*1,Adr!$C:$C,0),1),INDEX(ТУ!$CB:$CB,MATCH($U64*1,ТУ!$CP:$CP,0),1))</f>
        <v>2</v>
      </c>
      <c r="AF64" s="45" t="str">
        <f>IF(INDEX(ТУ!$CD:$CD,MATCH($U64*1,ТУ!$CP:$CP,0),1)=0,"",INDEX(ТУ!$CD:$CD,MATCH($U64*1,ТУ!$CP:$CP,0),1))</f>
        <v/>
      </c>
      <c r="AG64" s="45">
        <f>0</f>
        <v>0</v>
      </c>
      <c r="AH64" s="26">
        <f t="shared" si="17"/>
        <v>83</v>
      </c>
      <c r="AI64" s="20" t="str">
        <f t="shared" si="18"/>
        <v>835188431</v>
      </c>
      <c r="AJ64" s="41" t="str">
        <f t="shared" si="1"/>
        <v/>
      </c>
      <c r="AK64" s="41" t="str">
        <f>IF($AP64="",IFERROR(IFERROR(LEFT(RIGHT(INDEX(ТУ!$CE:$CE,MATCH($U64*1,ТУ!$CP:$CP,0),1),LEN(INDEX(ТУ!$CE:$CE,MATCH($U64*1,ТУ!$CP:$CP,0),1))-SEARCH(":",INDEX(ТУ!$CE:$CE,MATCH($U64*1,ТУ!$CP:$CP,0),1))),SEARCH("/",RIGHT(INDEX(ТУ!$CE:$CE,MATCH($U64*1,ТУ!$CP:$CP,0),1),LEN(INDEX(ТУ!$CE:$CE,MATCH($U64*1,ТУ!$CP:$CP,0),1))-SEARCH(":",INDEX(ТУ!$CE:$CE,MATCH($U64*1,ТУ!$CP:$CP,0),1))))-1), RIGHT(INDEX(ТУ!$CE:$CE,MATCH($U64*1,ТУ!$CP:$CP,0),1),LEN(INDEX(ТУ!$CE:$CE,MATCH($U64*1,ТУ!$CP:$CP,0),1))-SEARCH(":",INDEX(ТУ!$CE:$CE,MATCH($U64*1,ТУ!$CP:$CP,0),1)))), ""),IFERROR(IFERROR(LEFT(RIGHT(INDEX(УСПД!$M:$M,MATCH(IFERROR(1*LEFT(INDEX(ТУ!$CG:$CG,MATCH($U64*1,ТУ!$CP:$CP,0),1),SEARCH(" ",INDEX(ТУ!$CG:$CG,MATCH($U64*1,ТУ!$CP:$CP,0),1))-1),""),УСПД!$N:$N,0),1),LEN(INDEX(УСПД!$M:$M,MATCH(IFERROR(1*LEFT(INDEX(ТУ!$CG:$CG,MATCH($U64*1,ТУ!$CP:$CP,0),1),SEARCH(" ",INDEX(ТУ!$CG:$CG,MATCH($U64*1,ТУ!$CP:$CP,0),1))-1),""),УСПД!$N:$N,0),1))-SEARCH(":",INDEX(УСПД!$M:$M,MATCH(IFERROR(1*LEFT(INDEX(ТУ!$CG:$CG,MATCH($U64*1,ТУ!$CP:$CP,0),1),SEARCH(" ",INDEX(ТУ!$CG:$CG,MATCH($U64*1,ТУ!$CP:$CP,0),1))-1),""),УСПД!$N:$N,0),1))),SEARCH("/",RIGHT(INDEX(УСПД!$M:$M,MATCH(IFERROR(1*LEFT(INDEX(ТУ!$CG:$CG,MATCH($U64*1,ТУ!$CP:$CP,0),1),SEARCH(" ",INDEX(ТУ!$CG:$CG,MATCH($U64*1,ТУ!$CP:$CP,0),1))-1),""),УСПД!$N:$N,0),1),LEN(INDEX(УСПД!$M:$M,MATCH(IFERROR(1*LEFT(INDEX(ТУ!$CG:$CG,MATCH($U64*1,ТУ!$CP:$CP,0),1),SEARCH(" ",INDEX(ТУ!$CG:$CG,MATCH($U64*1,ТУ!$CP:$CP,0),1))-1),""),УСПД!$N:$N,0),1))-SEARCH(":",INDEX(УСПД!$M:$M,MATCH(IFERROR(1*LEFT(INDEX(ТУ!$CG:$CG,MATCH($U64*1,ТУ!$CP:$CP,0),1),SEARCH(" ",INDEX(ТУ!$CG:$CG,MATCH($U64*1,ТУ!$CP:$CP,0),1))-1),""),УСПД!$N:$N,0),1))))-1), RIGHT(INDEX(УСПД!$M:$M,MATCH(IFERROR(1*LEFT(INDEX(ТУ!$CG:$CG,MATCH($U64*1,ТУ!$CP:$CP,0),1),SEARCH(" ",INDEX(ТУ!$CG:$CG,MATCH($U64*1,ТУ!$CP:$CP,0),1))-1),""),УСПД!$N:$N,0),1),LEN(INDEX(УСПД!$M:$M,MATCH(IFERROR(1*LEFT(INDEX(ТУ!$CG:$CG,MATCH($U64*1,ТУ!$CP:$CP,0),1),SEARCH(" ",INDEX(ТУ!$CG:$CG,MATCH($U64*1,ТУ!$CP:$CP,0),1))-1),""),УСПД!$N:$N,0),1))-SEARCH(":",INDEX(УСПД!$M:$M,MATCH(IFERROR(1*LEFT(INDEX(ТУ!$CG:$CG,MATCH($U64*1,ТУ!$CP:$CP,0),1),SEARCH(" ",INDEX(ТУ!$CG:$CG,MATCH($U64*1,ТУ!$CP:$CP,0),1))-1),""),УСПД!$N:$N,0),1)))), ""))</f>
        <v/>
      </c>
      <c r="AL64" s="41"/>
      <c r="AM64" s="57" t="str">
        <f>IFERROR(IFERROR(INDEX(Tel!$B:$B,MATCH($AJ64,Tel!$E:$E,0),1),INDEX(Tel!$B:$B,MATCH($AJ64,Tel!$D:$D,0),1)),"")</f>
        <v/>
      </c>
      <c r="AN64" s="59" t="str">
        <f>IF(ISNUMBER(SEARCH("ТОПАЗ - ТОПАЗ УСПД",IFERROR(RIGHT(LEFT(INDEX(ТУ!$CG:$CG,MATCH($U64*1,ТУ!$CP:$CP,0),1),SEARCH(")",INDEX(ТУ!$CG:$CG,MATCH($U64*1,ТУ!$CP:$CP,0),1))-1),LEN(LEFT(INDEX(ТУ!$CG:$CG,MATCH($U64*1,ТУ!$CP:$CP,0),1),SEARCH(")",INDEX(ТУ!$CG:$CG,MATCH($U64*1,ТУ!$CP:$CP,0),1))-1))-SEARCH("(",INDEX(ТУ!$CG:$CG,MATCH($U64*1,ТУ!$CP:$CP,0),1))),""),1)),"RTU-327",
IF(ISNUMBER(SEARCH("TELEOFIS",$AP64)),"Модем",
""))</f>
        <v/>
      </c>
      <c r="AO64" s="27" t="str">
        <f t="shared" si="24"/>
        <v/>
      </c>
      <c r="AP64" s="57" t="str">
        <f>IF(ISNUMBER(SEARCH("Миландр - Милур GSM/GPRS модем",IFERROR(RIGHT(LEFT(INDEX(ТУ!$CG:$CG,MATCH($U64*1,ТУ!$CP:$CP,0),1),SEARCH(")",INDEX(ТУ!$CG:$CG,MATCH($U64*1,ТУ!$CP:$CP,0),1))-1),LEN(LEFT(INDEX(ТУ!$CG:$CG,MATCH($U64*1,ТУ!$CP:$CP,0),1),SEARCH(")",INDEX(ТУ!$CG:$CG,MATCH($U64*1,ТУ!$CP:$CP,0),1))-1))-SEARCH("(",INDEX(ТУ!$CG:$CG,MATCH($U64*1,ТУ!$CP:$CP,0),1))),""),1)), "TELEOFIS WRX708-L4",IFERROR(RIGHT(LEFT(INDEX(ТУ!$CG:$CG,MATCH($U64*1,ТУ!$CP:$CP,0),1),SEARCH(")",INDEX(ТУ!$CG:$CG,MATCH($U64*1,ТУ!$CP:$CP,0),1))-1),LEN(LEFT(INDEX(ТУ!$CG:$CG,MATCH($U64*1,ТУ!$CP:$CP,0),1),SEARCH(")",INDEX(ТУ!$CG:$CG,MATCH($U64*1,ТУ!$CP:$CP,0),1))-1))-SEARCH("(",INDEX(ТУ!$CG:$CG,MATCH($U64*1,ТУ!$CP:$CP,0),1))),""))</f>
        <v>Связь Инжиниринг М - УМ-40 (RTU-327</v>
      </c>
      <c r="AQ64" s="57" t="str">
        <f>IFERROR(IF(INDEX(УСПД!$K:$K,MATCH($AS64*1,УСПД!$N:$N,0),1)=0,"",INDEX(УСПД!$K:$K,MATCH($AS64*1,УСПД!$N:$N,0),1)),"")</f>
        <v/>
      </c>
      <c r="AR64" s="57" t="str">
        <f>IFERROR(IF(INDEX(УСПД!$L:$L,MATCH($AS64*1,УСПД!$N:$N,0),1)=0,"",INDEX(УСПД!$L:$L,MATCH($AS64*1,УСПД!$N:$N,0),1)),"")</f>
        <v/>
      </c>
      <c r="AS64" s="60" t="str">
        <f>IFERROR(LEFT(INDEX(ТУ!$CG:$CG,MATCH($U64*1,ТУ!$CP:$CP,0),1),SEARCH(" ",INDEX(ТУ!$CG:$CG,MATCH($U64*1,ТУ!$CP:$CP,0),1))-1),"")</f>
        <v>200000085421</v>
      </c>
      <c r="AT64" s="59" t="s">
        <v>360</v>
      </c>
      <c r="AU64" s="59">
        <f>3</f>
        <v>3</v>
      </c>
      <c r="AV64" s="59" t="s">
        <v>368</v>
      </c>
      <c r="AW64" s="149">
        <f t="shared" si="19"/>
        <v>61</v>
      </c>
      <c r="AX64" s="149">
        <f t="shared" si="20"/>
        <v>7</v>
      </c>
      <c r="AY64" s="149" t="str">
        <f t="shared" si="21"/>
        <v/>
      </c>
      <c r="AZ64" s="149" t="str">
        <f t="shared" si="22"/>
        <v/>
      </c>
      <c r="BA64" s="149">
        <f t="shared" si="23"/>
        <v>1</v>
      </c>
      <c r="BB64" s="154" t="str">
        <f>IF($AP64="",IFERROR(IFERROR(LEFT(RIGHT(INDEX(ТУ!$CE:$CE,MATCH($U64*1,ТУ!$CP:$CP,0),1),LEN(INDEX(ТУ!$CE:$CE,MATCH($U64*1,ТУ!$CP:$CP,0),1))-SEARCH(", ",INDEX(ТУ!$CE:$CE,MATCH($U64*1,ТУ!$CP:$CP,0),1),SEARCH(", ",INDEX(ТУ!$CE:$CE,MATCH($U64*1,ТУ!$CP:$CP,0),1))+1)-1),SEARCH(":",RIGHT(INDEX(ТУ!$CE:$CE,MATCH($U64*1,ТУ!$CP:$CP,0),1),LEN(INDEX(ТУ!$CE:$CE,MATCH($U64*1,ТУ!$CP:$CP,0),1))-SEARCH(", ",INDEX(ТУ!$CE:$CE,MATCH($U64*1,ТУ!$CP:$CP,0),1),SEARCH(", ",INDEX(ТУ!$CE:$CE,MATCH($U64*1,ТУ!$CP:$CP,0),1))+1)-1))-1),LEFT(INDEX(ТУ!$CE:$CE,MATCH($U64*1,ТУ!$CP:$CP,0),1),SEARCH(":",INDEX(ТУ!$CE:$CE,MATCH($U64*1,ТУ!$CP:$CP,0),1))-1)),""),IFERROR(IFERROR(LEFT(RIGHT(INDEX(УСПД!$M:$M,MATCH(IFERROR(1*LEFT(INDEX(ТУ!$CG:$CG,MATCH($U64*1,ТУ!$CP:$CP,0),1),SEARCH(" ",INDEX(ТУ!$CG:$CG,MATCH($U64*1,ТУ!$CP:$CP,0),1))-1),""),УСПД!$N:$N,0),1),LEN(INDEX(УСПД!$M:$M,MATCH(IFERROR(1*LEFT(INDEX(ТУ!$CG:$CG,MATCH($U64*1,ТУ!$CP:$CP,0),1),SEARCH(" ",INDEX(ТУ!$CG:$CG,MATCH($U64*1,ТУ!$CP:$CP,0),1))-1),""),УСПД!$N:$N,0),1))-SEARCH(", ",INDEX(УСПД!$M:$M,MATCH(IFERROR(1*LEFT(INDEX(ТУ!$CG:$CG,MATCH($U64*1,ТУ!$CP:$CP,0),1),SEARCH(" ",INDEX(ТУ!$CG:$CG,MATCH($U64*1,ТУ!$CP:$CP,0),1))-1),""),УСПД!$N:$N,0),1),SEARCH(", ",INDEX(УСПД!$M:$M,MATCH(IFERROR(1*LEFT(INDEX(ТУ!$CG:$CG,MATCH($U64*1,ТУ!$CP:$CP,0),1),SEARCH(" ",INDEX(ТУ!$CG:$CG,MATCH($U64*1,ТУ!$CP:$CP,0),1))-1),""),УСПД!$N:$N,0),1))+1)-1),SEARCH(":",RIGHT(INDEX(УСПД!$M:$M,MATCH(IFERROR(1*LEFT(INDEX(ТУ!$CG:$CG,MATCH($U64*1,ТУ!$CP:$CP,0),1),SEARCH(" ",INDEX(ТУ!$CG:$CG,MATCH($U64*1,ТУ!$CP:$CP,0),1))-1),""),УСПД!$N:$N,0),1),LEN(INDEX(УСПД!$M:$M,MATCH(IFERROR(1*LEFT(INDEX(ТУ!$CG:$CG,MATCH($U64*1,ТУ!$CP:$CP,0),1),SEARCH(" ",INDEX(ТУ!$CG:$CG,MATCH($U64*1,ТУ!$CP:$CP,0),1))-1),""),УСПД!$N:$N,0),1))-SEARCH(", ",INDEX(УСПД!$M:$M,MATCH(IFERROR(1*LEFT(INDEX(ТУ!$CG:$CG,MATCH($U64*1,ТУ!$CP:$CP,0),1),SEARCH(" ",INDEX(ТУ!$CG:$CG,MATCH($U64*1,ТУ!$CP:$CP,0),1))-1),""),УСПД!$N:$N,0),1),SEARCH(", ",INDEX(УСПД!$M:$M,MATCH(IFERROR(1*LEFT(INDEX(ТУ!$CG:$CG,MATCH($U64*1,ТУ!$CP:$CP,0),1),SEARCH(" ",INDEX(ТУ!$CG:$CG,MATCH($U64*1,ТУ!$CP:$CP,0),1))-1),""),УСПД!$N:$N,0),1))+1)-1))-1),LEFT(INDEX(УСПД!$M:$M,MATCH(IFERROR(1*LEFT(INDEX(ТУ!$CG:$CG,MATCH($U64*1,ТУ!$CP:$CP,0),1),SEARCH(" ",INDEX(ТУ!$CG:$CG,MATCH($U64*1,ТУ!$CP:$CP,0),1))-1),""),УСПД!$N:$N,0),1),SEARCH(":",INDEX(УСПД!$M:$M,MATCH(IFERROR(1*LEFT(INDEX(ТУ!$CG:$CG,MATCH($U64*1,ТУ!$CP:$CP,0),1),SEARCH(" ",INDEX(ТУ!$CG:$CG,MATCH($U64*1,ТУ!$CP:$CP,0),1))-1),""),УСПД!$N:$N,0),1))-1)),""))</f>
        <v/>
      </c>
      <c r="BC64" s="155" t="str">
        <f>INDEX(ТУ!$AF:$AF,MATCH($U64*1,ТУ!$CP:$CP,0),1)</f>
        <v>ТП-18843</v>
      </c>
      <c r="BD64" s="155">
        <f>INDEX(ТУ!$X:$X,MATCH($U64*1,ТУ!$CP:$CP,0),1)</f>
        <v>0</v>
      </c>
      <c r="BE64" s="155" t="str">
        <f>INDEX(ТУ!$CL:$CL,MATCH($U64*1,ТУ!$CP:$CP,0),1)</f>
        <v>Тех.учет</v>
      </c>
      <c r="BF64" s="147" t="str">
        <f>IFERROR(INDEX(естьАЦ!$A:$A,MATCH($U64*1,естьАЦ!$A:$A,0),1),"нет в АЦ")</f>
        <v>нет в АЦ</v>
      </c>
    </row>
    <row r="65" spans="1:58" ht="15" x14ac:dyDescent="0.25">
      <c r="A65" s="55">
        <f>3</f>
        <v>3</v>
      </c>
      <c r="B65" s="42" t="str">
        <f>IFERROR(IFERROR(INDEX(Справочники!$A$2:$P$79,MATCH(INDEX(ТУ!$E:$E,MATCH($U65*1,ТУ!$CP:$CP,0),1),Справочники!$P$2:$P$79,0),2),INDEX(Справочники!$A$2:$P$79,MATCH((INDEX(ТУ!$E:$E,MATCH($U65*1,ТУ!$CP:$CP,0),1))*1,Справочники!$P$2:$P$79,0),2)),"")</f>
        <v>02 р-н МКС (ЦОРУПЭ)</v>
      </c>
      <c r="C65" s="46" t="str">
        <f>IFERROR(TRIM(LEFT(INDEX(ТУ!$AF:$AF,MATCH($U65*1,ТУ!$CP:$CP,0),1),SEARCH("-",INDEX(ТУ!$AF:$AF,MATCH($U65*1,ТУ!$CP:$CP,0),1))-1)),IFERROR(LEFT(INDEX(ТУ!$X:$X,MATCH($U65*1,ТУ!$CP:$CP,0),1),SEARCH("-",INDEX(ТУ!$X:$X,MATCH($U65*1,ТУ!$CP:$CP,0),1))-1),"ТП"))</f>
        <v>ТП</v>
      </c>
      <c r="D65" s="47" t="str">
        <f>IF(TRIM(IF(ISNUMBER((IFERROR(RIGHT(INDEX(ТУ!$AF:$AF,MATCH($U65*1,ТУ!$CP:$CP,0),1),LEN(INDEX(ТУ!$AF:$AF,MATCH($U65*1,ТУ!$CP:$CP,0),1))-SEARCH("-",INDEX(ТУ!$AF:$AF,MATCH($U65*1,ТУ!$CP:$CP,0),1))),INDEX(ТУ!$AF:$AF,MATCH($U65*1,ТУ!$CP:$CP,0),1)))*1),IFERROR(RIGHT(INDEX(ТУ!$AF:$AF,MATCH($U65*1,ТУ!$CP:$CP,0),1),LEN(INDEX(ТУ!$AF:$AF,MATCH($U65*1,ТУ!$CP:$CP,0),1))-SEARCH("-",INDEX(ТУ!$AF:$AF,MATCH($U65*1,ТУ!$CP:$CP,0),1))),INDEX(ТУ!$AF:$AF,MATCH($U65*1,ТУ!$CP:$CP,0),1)),""))="",TRIM(IF(ISNUMBER((IFERROR(RIGHT(INDEX(ТУ!$X:$X,MATCH($U65*1,ТУ!$CP:$CP,0),1),LEN(INDEX(ТУ!$X:$X,MATCH($U65*1,ТУ!$CP:$CP,0),1))-SEARCH("-",INDEX(ТУ!$X:$X,MATCH($U65*1,ТУ!$CP:$CP,0),1))),INDEX(ТУ!$X:$X,MATCH($U65*1,ТУ!$CP:$CP,0),1)))*1),IFERROR(RIGHT(INDEX(ТУ!$X:$X,MATCH($U65*1,ТУ!$CP:$CP,0),1),LEN(INDEX(ТУ!$X:$X,MATCH($U65*1,ТУ!$CP:$CP,0),1))-SEARCH("-",INDEX(ТУ!$X:$X,MATCH($U65*1,ТУ!$CP:$CP,0),1))),INDEX(ТУ!$X:$X,MATCH($U65*1,ТУ!$CP:$CP,0),1)),"")),TRIM(IF(ISNUMBER((IFERROR(RIGHT(INDEX(ТУ!$AF:$AF,MATCH($U65*1,ТУ!$CP:$CP,0),1),LEN(INDEX(ТУ!$AF:$AF,MATCH($U65*1,ТУ!$CP:$CP,0),1))-SEARCH("-",INDEX(ТУ!$AF:$AF,MATCH($U65*1,ТУ!$CP:$CP,0),1))),INDEX(ТУ!$AF:$AF,MATCH($U65*1,ТУ!$CP:$CP,0),1)))*1),IFERROR(RIGHT(INDEX(ТУ!$AF:$AF,MATCH($U65*1,ТУ!$CP:$CP,0),1),LEN(INDEX(ТУ!$AF:$AF,MATCH($U65*1,ТУ!$CP:$CP,0),1))-SEARCH("-",INDEX(ТУ!$AF:$AF,MATCH($U65*1,ТУ!$CP:$CP,0),1))),INDEX(ТУ!$AF:$AF,MATCH($U65*1,ТУ!$CP:$CP,0),1)),"")))</f>
        <v>29964</v>
      </c>
      <c r="E65" s="25" t="str">
        <f t="shared" si="2"/>
        <v>МКС</v>
      </c>
      <c r="F65" s="20">
        <f t="shared" si="3"/>
        <v>76</v>
      </c>
      <c r="G65" s="21">
        <f t="shared" si="4"/>
        <v>5</v>
      </c>
      <c r="H65" s="25" t="str">
        <f t="shared" si="5"/>
        <v>ТП-29964</v>
      </c>
      <c r="I65" s="25" t="str">
        <f t="shared" si="6"/>
        <v>76529964</v>
      </c>
      <c r="J65" s="42" t="str">
        <f>INDEX(Справочники!$M:$M,MATCH(IF(INDEX(ТУ!$BO:$BO,MATCH($U65*1,ТУ!$CP:$CP,0),1)=1,1,INDEX(ТУ!$BO:$BO,MATCH($U65*1,ТУ!$CP:$CP,0),1)*100),Справочники!$N:$N,0),1)</f>
        <v>0.4 кВ</v>
      </c>
      <c r="K65" s="40">
        <f>1</f>
        <v>1</v>
      </c>
      <c r="L65" s="20" t="str">
        <f t="shared" si="7"/>
        <v>СШ-1</v>
      </c>
      <c r="M65" s="20">
        <f t="shared" si="8"/>
        <v>1</v>
      </c>
      <c r="N65" s="40"/>
      <c r="O65" s="56" t="str">
        <f t="shared" si="9"/>
        <v>Ввод-1-1</v>
      </c>
      <c r="P65" s="57" t="str">
        <f>IFERROR(IF(INDEX(ТУ!$AO:$AO,MATCH($U65*1,ТУ!$CP:$CP,0),1)=0,"",INDEX(ТУ!$AO:$AO,MATCH($U65*1,ТУ!$CP:$CP,0),1)),"")</f>
        <v>Ф 5, Луч Б</v>
      </c>
      <c r="Q65" s="40">
        <f>IFERROR(IF(INDEX(ТУ!$BN:$BN,MATCH($U65*1,ТУ!$CP:$CP,0),1)=1,1,INDEX(ТУ!$BN:$BN,MATCH($U65*1,ТУ!$CP:$CP,0),1)*5),"")</f>
        <v>200</v>
      </c>
      <c r="R65" s="25">
        <f t="shared" si="10"/>
        <v>5</v>
      </c>
      <c r="S65" s="25">
        <f t="shared" si="11"/>
        <v>1</v>
      </c>
      <c r="T65" s="25">
        <f t="shared" si="12"/>
        <v>1</v>
      </c>
      <c r="U65" s="105" t="s">
        <v>1144</v>
      </c>
      <c r="V65" s="43">
        <f>IF(INDEX(ТУ!$BH:$BH,MATCH($U65*1,ТУ!$CP:$CP,0),1)=0,"",INDEX(ТУ!$BH:$BH,MATCH($U65*1,ТУ!$CP:$CP,0),1))</f>
        <v>44191</v>
      </c>
      <c r="W65" s="43" t="str">
        <f>IF(INDEX(ТУ!$BI:$BI,MATCH($U65*1,ТУ!$CP:$CP,0),1)=0,"",INDEX(ТУ!$BI:$BI,MATCH($U65*1,ТУ!$CP:$CP,0),1))</f>
        <v/>
      </c>
      <c r="X65" s="58" t="str">
        <f t="shared" si="13"/>
        <v>СЭТ-4ТМ</v>
      </c>
      <c r="Y65" s="25">
        <f t="shared" si="14"/>
        <v>7</v>
      </c>
      <c r="Z65" s="42" t="str">
        <f t="shared" si="15"/>
        <v/>
      </c>
      <c r="AA65" s="25" t="str">
        <f t="shared" si="16"/>
        <v/>
      </c>
      <c r="AB65" s="40" t="str">
        <f>IF(ISNUMBER(SEARCH("Приборы с поддержкой протокола СПОДЭС - Нартис-И300 (СПОДЭС)",INDEX(ТУ!$BD:$BD,MATCH($U65*1,ТУ!$CP:$CP,0),1))),"Нартис-И300",
IF(ISNUMBER(SEARCH("Приборы с поддержкой протокола СПОДЭС - Меркурий 234 (СПОДЭС)",INDEX(ТУ!$BD:$BD,MATCH($U65*1,ТУ!$CP:$CP,0),1))),"Меркурий 234 (СПОДЭС)",
IF(ISNUMBER(SEARCH("Приборы с поддержкой протокола СПОДЭС - Нартис-300 (СПОДЭС)",INDEX(ТУ!$BD:$BD,MATCH($U65*1,ТУ!$CP:$CP,0),1))),"Нартис-300",
IF(ISNUMBER(SEARCH("Инкотекс - Меркурий 234",INDEX(ТУ!$BD:$BD,MATCH($U65*1,ТУ!$CP:$CP,0),1))),"Меркурий 234",
IF(ISNUMBER(SEARCH("Инкотекс - Меркурий 206",INDEX(ТУ!$BD:$BD,MATCH($U65*1,ТУ!$CP:$CP,0),1))),"Меркурий 206",
IF(ISNUMBER(SEARCH("Приборы с поддержкой протокола СПОДЭС - Универсальный счетчик СПОДЭС 2 трехфазный",INDEX(ТУ!$BD:$BD,MATCH($U65*1,ТУ!$CP:$CP,0),1))),"Нартис-И300",
IF(ISNUMBER(SEARCH("Приборы с поддержкой протокола СПОДЭС - Универсальный счетчик СПОДЭС 2 однофазный",INDEX(ТУ!$BD:$BD,MATCH($U65*1,ТУ!$CP:$CP,0),1))),"Нартис-И100",
IF(ISNUMBER(SEARCH("Приборы с поддержкой протокола СПОДЭС - Нартис-И100 (СПОДЭС)",INDEX(ТУ!$BD:$BD,MATCH($U65*1,ТУ!$CP:$CP,0),1))),"Нартис-И100",
IF(ISNUMBER(SEARCH("Приборы с поддержкой протокола СПОДЭС - СЕ308 (СПОДЭС)",INDEX(ТУ!$BD:$BD,MATCH($U65*1,ТУ!$CP:$CP,0),1))),"СЕ308 (СПОДЭС)",
IF(ISNUMBER(SEARCH("Приборы с поддержкой протокола СПОДЭС - СЕ207 (СПОДЭС)",INDEX(ТУ!$BD:$BD,MATCH($U65*1,ТУ!$CP:$CP,0),1))),"СЕ207 (СПОДЭС)",
IF(ISNUMBER(SEARCH("Приборы с поддержкой протокола СПОДЭС - СТЭМ-300 (СПОДЭС)",INDEX(ТУ!$BD:$BD,MATCH($U65*1,ТУ!$CP:$CP,0),1))),"СТЭМ-300 (СПОДЭС)",
IF(ISNUMBER(SEARCH("ТехноЭнерго - ТЕ3000",INDEX(ТУ!$BD:$BD,MATCH($U65*1,ТУ!$CP:$CP,0),1))),"ТЕ3000",
IF(ISNUMBER(SEARCH("НЗиФ - СЭТ-4ТМ",INDEX(ТУ!$BD:$BD,MATCH($U65*1,ТУ!$CP:$CP,0),1))),"СЭТ-4ТМ",
INDEX(ТУ!$BD:$BD,MATCH($U65*1,ТУ!$CP:$CP,0),1)
)))))))))))))</f>
        <v>СЭТ-4ТМ</v>
      </c>
      <c r="AC65" s="40" t="s">
        <v>2</v>
      </c>
      <c r="AD65" s="40" t="str">
        <f>IF(ISNUMBER(IFERROR(LEFT(IF(INDEX(ТУ!$CI:$CI,MATCH($U65*1,ТУ!$CP:$CP,0),1)=0,"",INDEX(ТУ!$CI:$CI,MATCH($U65*1,ТУ!$CP:$CP,0),1)),SEARCH(" ",IF(INDEX(ТУ!$CI:$CI,MATCH($U65*1,ТУ!$CP:$CP,0),1)=0,"",INDEX(ТУ!$CI:$CI,MATCH($U65*1,ТУ!$CP:$CP,0),1)),1)-1),"")*1),IFERROR(LEFT(IF(INDEX(ТУ!$CI:$CI,MATCH($U65*1,ТУ!$CP:$CP,0),1)=0,"",INDEX(ТУ!$CI:$CI,MATCH($U65*1,ТУ!$CP:$CP,0),1)),SEARCH(" ",IF(INDEX(ТУ!$CI:$CI,MATCH($U65*1,ТУ!$CP:$CP,0),1)=0,"",INDEX(ТУ!$CI:$CI,MATCH($U65*1,ТУ!$CP:$CP,0),1)),1)-1),""),"")</f>
        <v/>
      </c>
      <c r="AE65" s="40" t="str">
        <f>IF(INDEX(ТУ!$CB:$CB,MATCH($U65*1,ТУ!$CP:$CP,0),1)=0,INDEX(Adr!$B:$B,MATCH($U65*1,Adr!$C:$C,0),1),INDEX(ТУ!$CB:$CB,MATCH($U65*1,ТУ!$CP:$CP,0),1))</f>
        <v>51</v>
      </c>
      <c r="AF65" s="45" t="str">
        <f>IF(INDEX(ТУ!$CD:$CD,MATCH($U65*1,ТУ!$CP:$CP,0),1)=0,"",INDEX(ТУ!$CD:$CD,MATCH($U65*1,ТУ!$CP:$CP,0),1))</f>
        <v/>
      </c>
      <c r="AG65" s="45">
        <f>0</f>
        <v>0</v>
      </c>
      <c r="AH65" s="26">
        <f t="shared" si="17"/>
        <v>76</v>
      </c>
      <c r="AI65" s="20" t="str">
        <f t="shared" si="18"/>
        <v>765299641</v>
      </c>
      <c r="AJ65" s="41" t="str">
        <f t="shared" si="1"/>
        <v/>
      </c>
      <c r="AK65" s="41" t="str">
        <f>IF($AP65="",IFERROR(IFERROR(LEFT(RIGHT(INDEX(ТУ!$CE:$CE,MATCH($U65*1,ТУ!$CP:$CP,0),1),LEN(INDEX(ТУ!$CE:$CE,MATCH($U65*1,ТУ!$CP:$CP,0),1))-SEARCH(":",INDEX(ТУ!$CE:$CE,MATCH($U65*1,ТУ!$CP:$CP,0),1))),SEARCH("/",RIGHT(INDEX(ТУ!$CE:$CE,MATCH($U65*1,ТУ!$CP:$CP,0),1),LEN(INDEX(ТУ!$CE:$CE,MATCH($U65*1,ТУ!$CP:$CP,0),1))-SEARCH(":",INDEX(ТУ!$CE:$CE,MATCH($U65*1,ТУ!$CP:$CP,0),1))))-1), RIGHT(INDEX(ТУ!$CE:$CE,MATCH($U65*1,ТУ!$CP:$CP,0),1),LEN(INDEX(ТУ!$CE:$CE,MATCH($U65*1,ТУ!$CP:$CP,0),1))-SEARCH(":",INDEX(ТУ!$CE:$CE,MATCH($U65*1,ТУ!$CP:$CP,0),1)))), ""),IFERROR(IFERROR(LEFT(RIGHT(INDEX(УСПД!$M:$M,MATCH(IFERROR(1*LEFT(INDEX(ТУ!$CG:$CG,MATCH($U65*1,ТУ!$CP:$CP,0),1),SEARCH(" ",INDEX(ТУ!$CG:$CG,MATCH($U65*1,ТУ!$CP:$CP,0),1))-1),""),УСПД!$N:$N,0),1),LEN(INDEX(УСПД!$M:$M,MATCH(IFERROR(1*LEFT(INDEX(ТУ!$CG:$CG,MATCH($U65*1,ТУ!$CP:$CP,0),1),SEARCH(" ",INDEX(ТУ!$CG:$CG,MATCH($U65*1,ТУ!$CP:$CP,0),1))-1),""),УСПД!$N:$N,0),1))-SEARCH(":",INDEX(УСПД!$M:$M,MATCH(IFERROR(1*LEFT(INDEX(ТУ!$CG:$CG,MATCH($U65*1,ТУ!$CP:$CP,0),1),SEARCH(" ",INDEX(ТУ!$CG:$CG,MATCH($U65*1,ТУ!$CP:$CP,0),1))-1),""),УСПД!$N:$N,0),1))),SEARCH("/",RIGHT(INDEX(УСПД!$M:$M,MATCH(IFERROR(1*LEFT(INDEX(ТУ!$CG:$CG,MATCH($U65*1,ТУ!$CP:$CP,0),1),SEARCH(" ",INDEX(ТУ!$CG:$CG,MATCH($U65*1,ТУ!$CP:$CP,0),1))-1),""),УСПД!$N:$N,0),1),LEN(INDEX(УСПД!$M:$M,MATCH(IFERROR(1*LEFT(INDEX(ТУ!$CG:$CG,MATCH($U65*1,ТУ!$CP:$CP,0),1),SEARCH(" ",INDEX(ТУ!$CG:$CG,MATCH($U65*1,ТУ!$CP:$CP,0),1))-1),""),УСПД!$N:$N,0),1))-SEARCH(":",INDEX(УСПД!$M:$M,MATCH(IFERROR(1*LEFT(INDEX(ТУ!$CG:$CG,MATCH($U65*1,ТУ!$CP:$CP,0),1),SEARCH(" ",INDEX(ТУ!$CG:$CG,MATCH($U65*1,ТУ!$CP:$CP,0),1))-1),""),УСПД!$N:$N,0),1))))-1), RIGHT(INDEX(УСПД!$M:$M,MATCH(IFERROR(1*LEFT(INDEX(ТУ!$CG:$CG,MATCH($U65*1,ТУ!$CP:$CP,0),1),SEARCH(" ",INDEX(ТУ!$CG:$CG,MATCH($U65*1,ТУ!$CP:$CP,0),1))-1),""),УСПД!$N:$N,0),1),LEN(INDEX(УСПД!$M:$M,MATCH(IFERROR(1*LEFT(INDEX(ТУ!$CG:$CG,MATCH($U65*1,ТУ!$CP:$CP,0),1),SEARCH(" ",INDEX(ТУ!$CG:$CG,MATCH($U65*1,ТУ!$CP:$CP,0),1))-1),""),УСПД!$N:$N,0),1))-SEARCH(":",INDEX(УСПД!$M:$M,MATCH(IFERROR(1*LEFT(INDEX(ТУ!$CG:$CG,MATCH($U65*1,ТУ!$CP:$CP,0),1),SEARCH(" ",INDEX(ТУ!$CG:$CG,MATCH($U65*1,ТУ!$CP:$CP,0),1))-1),""),УСПД!$N:$N,0),1)))), ""))</f>
        <v/>
      </c>
      <c r="AL65" s="41"/>
      <c r="AM65" s="57" t="str">
        <f>IFERROR(IFERROR(INDEX(Tel!$B:$B,MATCH($AJ65,Tel!$E:$E,0),1),INDEX(Tel!$B:$B,MATCH($AJ65,Tel!$D:$D,0),1)),"")</f>
        <v/>
      </c>
      <c r="AN65" s="59" t="str">
        <f>IF(ISNUMBER(SEARCH("ТОПАЗ - ТОПАЗ УСПД",IFERROR(RIGHT(LEFT(INDEX(ТУ!$CG:$CG,MATCH($U65*1,ТУ!$CP:$CP,0),1),SEARCH(")",INDEX(ТУ!$CG:$CG,MATCH($U65*1,ТУ!$CP:$CP,0),1))-1),LEN(LEFT(INDEX(ТУ!$CG:$CG,MATCH($U65*1,ТУ!$CP:$CP,0),1),SEARCH(")",INDEX(ТУ!$CG:$CG,MATCH($U65*1,ТУ!$CP:$CP,0),1))-1))-SEARCH("(",INDEX(ТУ!$CG:$CG,MATCH($U65*1,ТУ!$CP:$CP,0),1))),""),1)),"RTU-327",
IF(ISNUMBER(SEARCH("TELEOFIS",$AP65)),"Модем",
""))</f>
        <v>Модем</v>
      </c>
      <c r="AO65" s="27">
        <f t="shared" si="24"/>
        <v>0</v>
      </c>
      <c r="AP65" s="57" t="str">
        <f>IF(ISNUMBER(SEARCH("Миландр - Милур GSM/GPRS модем",IFERROR(RIGHT(LEFT(INDEX(ТУ!$CG:$CG,MATCH($U65*1,ТУ!$CP:$CP,0),1),SEARCH(")",INDEX(ТУ!$CG:$CG,MATCH($U65*1,ТУ!$CP:$CP,0),1))-1),LEN(LEFT(INDEX(ТУ!$CG:$CG,MATCH($U65*1,ТУ!$CP:$CP,0),1),SEARCH(")",INDEX(ТУ!$CG:$CG,MATCH($U65*1,ТУ!$CP:$CP,0),1))-1))-SEARCH("(",INDEX(ТУ!$CG:$CG,MATCH($U65*1,ТУ!$CP:$CP,0),1))),""),1)), "TELEOFIS WRX708-L4",IFERROR(RIGHT(LEFT(INDEX(ТУ!$CG:$CG,MATCH($U65*1,ТУ!$CP:$CP,0),1),SEARCH(")",INDEX(ТУ!$CG:$CG,MATCH($U65*1,ТУ!$CP:$CP,0),1))-1),LEN(LEFT(INDEX(ТУ!$CG:$CG,MATCH($U65*1,ТУ!$CP:$CP,0),1),SEARCH(")",INDEX(ТУ!$CG:$CG,MATCH($U65*1,ТУ!$CP:$CP,0),1))-1))-SEARCH("(",INDEX(ТУ!$CG:$CG,MATCH($U65*1,ТУ!$CP:$CP,0),1))),""))</f>
        <v>TELEOFIS WRX708-L4</v>
      </c>
      <c r="AQ65" s="57" t="str">
        <f>IFERROR(IF(INDEX(УСПД!$K:$K,MATCH($AS65*1,УСПД!$N:$N,0),1)=0,"",INDEX(УСПД!$K:$K,MATCH($AS65*1,УСПД!$N:$N,0),1)),"")</f>
        <v/>
      </c>
      <c r="AR65" s="57" t="str">
        <f>IFERROR(IF(INDEX(УСПД!$L:$L,MATCH($AS65*1,УСПД!$N:$N,0),1)=0,"",INDEX(УСПД!$L:$L,MATCH($AS65*1,УСПД!$N:$N,0),1)),"")</f>
        <v/>
      </c>
      <c r="AS65" s="60" t="str">
        <f>IFERROR(LEFT(INDEX(ТУ!$CG:$CG,MATCH($U65*1,ТУ!$CP:$CP,0),1),SEARCH(" ",INDEX(ТУ!$CG:$CG,MATCH($U65*1,ТУ!$CP:$CP,0),1))-1),"")</f>
        <v>356945320913391</v>
      </c>
      <c r="AT65" s="59" t="s">
        <v>360</v>
      </c>
      <c r="AU65" s="59">
        <f>3</f>
        <v>3</v>
      </c>
      <c r="AV65" s="59" t="s">
        <v>368</v>
      </c>
      <c r="AW65" s="149">
        <f t="shared" si="19"/>
        <v>54</v>
      </c>
      <c r="AX65" s="149">
        <f t="shared" si="20"/>
        <v>7</v>
      </c>
      <c r="AY65" s="149" t="str">
        <f t="shared" si="21"/>
        <v/>
      </c>
      <c r="AZ65" s="149">
        <f t="shared" si="22"/>
        <v>25</v>
      </c>
      <c r="BA65" s="149">
        <f t="shared" si="23"/>
        <v>1</v>
      </c>
      <c r="BB65" s="154" t="str">
        <f>IF($AP65="",IFERROR(IFERROR(LEFT(RIGHT(INDEX(ТУ!$CE:$CE,MATCH($U65*1,ТУ!$CP:$CP,0),1),LEN(INDEX(ТУ!$CE:$CE,MATCH($U65*1,ТУ!$CP:$CP,0),1))-SEARCH(", ",INDEX(ТУ!$CE:$CE,MATCH($U65*1,ТУ!$CP:$CP,0),1),SEARCH(", ",INDEX(ТУ!$CE:$CE,MATCH($U65*1,ТУ!$CP:$CP,0),1))+1)-1),SEARCH(":",RIGHT(INDEX(ТУ!$CE:$CE,MATCH($U65*1,ТУ!$CP:$CP,0),1),LEN(INDEX(ТУ!$CE:$CE,MATCH($U65*1,ТУ!$CP:$CP,0),1))-SEARCH(", ",INDEX(ТУ!$CE:$CE,MATCH($U65*1,ТУ!$CP:$CP,0),1),SEARCH(", ",INDEX(ТУ!$CE:$CE,MATCH($U65*1,ТУ!$CP:$CP,0),1))+1)-1))-1),LEFT(INDEX(ТУ!$CE:$CE,MATCH($U65*1,ТУ!$CP:$CP,0),1),SEARCH(":",INDEX(ТУ!$CE:$CE,MATCH($U65*1,ТУ!$CP:$CP,0),1))-1)),""),IFERROR(IFERROR(LEFT(RIGHT(INDEX(УСПД!$M:$M,MATCH(IFERROR(1*LEFT(INDEX(ТУ!$CG:$CG,MATCH($U65*1,ТУ!$CP:$CP,0),1),SEARCH(" ",INDEX(ТУ!$CG:$CG,MATCH($U65*1,ТУ!$CP:$CP,0),1))-1),""),УСПД!$N:$N,0),1),LEN(INDEX(УСПД!$M:$M,MATCH(IFERROR(1*LEFT(INDEX(ТУ!$CG:$CG,MATCH($U65*1,ТУ!$CP:$CP,0),1),SEARCH(" ",INDEX(ТУ!$CG:$CG,MATCH($U65*1,ТУ!$CP:$CP,0),1))-1),""),УСПД!$N:$N,0),1))-SEARCH(", ",INDEX(УСПД!$M:$M,MATCH(IFERROR(1*LEFT(INDEX(ТУ!$CG:$CG,MATCH($U65*1,ТУ!$CP:$CP,0),1),SEARCH(" ",INDEX(ТУ!$CG:$CG,MATCH($U65*1,ТУ!$CP:$CP,0),1))-1),""),УСПД!$N:$N,0),1),SEARCH(", ",INDEX(УСПД!$M:$M,MATCH(IFERROR(1*LEFT(INDEX(ТУ!$CG:$CG,MATCH($U65*1,ТУ!$CP:$CP,0),1),SEARCH(" ",INDEX(ТУ!$CG:$CG,MATCH($U65*1,ТУ!$CP:$CP,0),1))-1),""),УСПД!$N:$N,0),1))+1)-1),SEARCH(":",RIGHT(INDEX(УСПД!$M:$M,MATCH(IFERROR(1*LEFT(INDEX(ТУ!$CG:$CG,MATCH($U65*1,ТУ!$CP:$CP,0),1),SEARCH(" ",INDEX(ТУ!$CG:$CG,MATCH($U65*1,ТУ!$CP:$CP,0),1))-1),""),УСПД!$N:$N,0),1),LEN(INDEX(УСПД!$M:$M,MATCH(IFERROR(1*LEFT(INDEX(ТУ!$CG:$CG,MATCH($U65*1,ТУ!$CP:$CP,0),1),SEARCH(" ",INDEX(ТУ!$CG:$CG,MATCH($U65*1,ТУ!$CP:$CP,0),1))-1),""),УСПД!$N:$N,0),1))-SEARCH(", ",INDEX(УСПД!$M:$M,MATCH(IFERROR(1*LEFT(INDEX(ТУ!$CG:$CG,MATCH($U65*1,ТУ!$CP:$CP,0),1),SEARCH(" ",INDEX(ТУ!$CG:$CG,MATCH($U65*1,ТУ!$CP:$CP,0),1))-1),""),УСПД!$N:$N,0),1),SEARCH(", ",INDEX(УСПД!$M:$M,MATCH(IFERROR(1*LEFT(INDEX(ТУ!$CG:$CG,MATCH($U65*1,ТУ!$CP:$CP,0),1),SEARCH(" ",INDEX(ТУ!$CG:$CG,MATCH($U65*1,ТУ!$CP:$CP,0),1))-1),""),УСПД!$N:$N,0),1))+1)-1))-1),LEFT(INDEX(УСПД!$M:$M,MATCH(IFERROR(1*LEFT(INDEX(ТУ!$CG:$CG,MATCH($U65*1,ТУ!$CP:$CP,0),1),SEARCH(" ",INDEX(ТУ!$CG:$CG,MATCH($U65*1,ТУ!$CP:$CP,0),1))-1),""),УСПД!$N:$N,0),1),SEARCH(":",INDEX(УСПД!$M:$M,MATCH(IFERROR(1*LEFT(INDEX(ТУ!$CG:$CG,MATCH($U65*1,ТУ!$CP:$CP,0),1),SEARCH(" ",INDEX(ТУ!$CG:$CG,MATCH($U65*1,ТУ!$CP:$CP,0),1))-1),""),УСПД!$N:$N,0),1))-1)),""))</f>
        <v/>
      </c>
      <c r="BC65" s="155" t="str">
        <f>INDEX(ТУ!$AF:$AF,MATCH($U65*1,ТУ!$CP:$CP,0),1)</f>
        <v>ТП-29964</v>
      </c>
      <c r="BD65" s="155">
        <f>INDEX(ТУ!$X:$X,MATCH($U65*1,ТУ!$CP:$CP,0),1)</f>
        <v>0</v>
      </c>
      <c r="BE65" s="155" t="str">
        <f>INDEX(ТУ!$CL:$CL,MATCH($U65*1,ТУ!$CP:$CP,0),1)</f>
        <v>Тех.учет</v>
      </c>
      <c r="BF65" s="147" t="str">
        <f>IFERROR(INDEX(естьАЦ!$A:$A,MATCH($U65*1,естьАЦ!$A:$A,0),1),"нет в АЦ")</f>
        <v>нет в АЦ</v>
      </c>
    </row>
    <row r="66" spans="1:58" ht="15" x14ac:dyDescent="0.25">
      <c r="A66" s="55">
        <f>3</f>
        <v>3</v>
      </c>
      <c r="B66" s="42" t="str">
        <f>IFERROR(IFERROR(INDEX(Справочники!$A$2:$P$79,MATCH(INDEX(ТУ!$E:$E,MATCH($U66*1,ТУ!$CP:$CP,0),1),Справочники!$P$2:$P$79,0),2),INDEX(Справочники!$A$2:$P$79,MATCH((INDEX(ТУ!$E:$E,MATCH($U66*1,ТУ!$CP:$CP,0),1))*1,Справочники!$P$2:$P$79,0),2)),"")</f>
        <v>20 р-н МКС (ЗОРУПЭ)</v>
      </c>
      <c r="C66" s="46" t="str">
        <f>IFERROR(TRIM(LEFT(INDEX(ТУ!$AF:$AF,MATCH($U66*1,ТУ!$CP:$CP,0),1),SEARCH("-",INDEX(ТУ!$AF:$AF,MATCH($U66*1,ТУ!$CP:$CP,0),1))-1)),IFERROR(LEFT(INDEX(ТУ!$X:$X,MATCH($U66*1,ТУ!$CP:$CP,0),1),SEARCH("-",INDEX(ТУ!$X:$X,MATCH($U66*1,ТУ!$CP:$CP,0),1))-1),"ТП"))</f>
        <v>ТП</v>
      </c>
      <c r="D66" s="47" t="str">
        <f>IF(TRIM(IF(ISNUMBER((IFERROR(RIGHT(INDEX(ТУ!$AF:$AF,MATCH($U66*1,ТУ!$CP:$CP,0),1),LEN(INDEX(ТУ!$AF:$AF,MATCH($U66*1,ТУ!$CP:$CP,0),1))-SEARCH("-",INDEX(ТУ!$AF:$AF,MATCH($U66*1,ТУ!$CP:$CP,0),1))),INDEX(ТУ!$AF:$AF,MATCH($U66*1,ТУ!$CP:$CP,0),1)))*1),IFERROR(RIGHT(INDEX(ТУ!$AF:$AF,MATCH($U66*1,ТУ!$CP:$CP,0),1),LEN(INDEX(ТУ!$AF:$AF,MATCH($U66*1,ТУ!$CP:$CP,0),1))-SEARCH("-",INDEX(ТУ!$AF:$AF,MATCH($U66*1,ТУ!$CP:$CP,0),1))),INDEX(ТУ!$AF:$AF,MATCH($U66*1,ТУ!$CP:$CP,0),1)),""))="",TRIM(IF(ISNUMBER((IFERROR(RIGHT(INDEX(ТУ!$X:$X,MATCH($U66*1,ТУ!$CP:$CP,0),1),LEN(INDEX(ТУ!$X:$X,MATCH($U66*1,ТУ!$CP:$CP,0),1))-SEARCH("-",INDEX(ТУ!$X:$X,MATCH($U66*1,ТУ!$CP:$CP,0),1))),INDEX(ТУ!$X:$X,MATCH($U66*1,ТУ!$CP:$CP,0),1)))*1),IFERROR(RIGHT(INDEX(ТУ!$X:$X,MATCH($U66*1,ТУ!$CP:$CP,0),1),LEN(INDEX(ТУ!$X:$X,MATCH($U66*1,ТУ!$CP:$CP,0),1))-SEARCH("-",INDEX(ТУ!$X:$X,MATCH($U66*1,ТУ!$CP:$CP,0),1))),INDEX(ТУ!$X:$X,MATCH($U66*1,ТУ!$CP:$CP,0),1)),"")),TRIM(IF(ISNUMBER((IFERROR(RIGHT(INDEX(ТУ!$AF:$AF,MATCH($U66*1,ТУ!$CP:$CP,0),1),LEN(INDEX(ТУ!$AF:$AF,MATCH($U66*1,ТУ!$CP:$CP,0),1))-SEARCH("-",INDEX(ТУ!$AF:$AF,MATCH($U66*1,ТУ!$CP:$CP,0),1))),INDEX(ТУ!$AF:$AF,MATCH($U66*1,ТУ!$CP:$CP,0),1)))*1),IFERROR(RIGHT(INDEX(ТУ!$AF:$AF,MATCH($U66*1,ТУ!$CP:$CP,0),1),LEN(INDEX(ТУ!$AF:$AF,MATCH($U66*1,ТУ!$CP:$CP,0),1))-SEARCH("-",INDEX(ТУ!$AF:$AF,MATCH($U66*1,ТУ!$CP:$CP,0),1))),INDEX(ТУ!$AF:$AF,MATCH($U66*1,ТУ!$CP:$CP,0),1)),"")))</f>
        <v>72771</v>
      </c>
      <c r="E66" s="25" t="str">
        <f t="shared" si="2"/>
        <v>МКС</v>
      </c>
      <c r="F66" s="20">
        <f t="shared" si="3"/>
        <v>94</v>
      </c>
      <c r="G66" s="21">
        <f t="shared" si="4"/>
        <v>5</v>
      </c>
      <c r="H66" s="25" t="str">
        <f t="shared" si="5"/>
        <v>ТП-72771</v>
      </c>
      <c r="I66" s="25" t="str">
        <f t="shared" si="6"/>
        <v>94572771</v>
      </c>
      <c r="J66" s="42" t="str">
        <f>INDEX(Справочники!$M:$M,MATCH(IF(INDEX(ТУ!$BO:$BO,MATCH($U66*1,ТУ!$CP:$CP,0),1)=1,1,INDEX(ТУ!$BO:$BO,MATCH($U66*1,ТУ!$CP:$CP,0),1)*100),Справочники!$N:$N,0),1)</f>
        <v>20 кВ</v>
      </c>
      <c r="K66" s="40">
        <f>1</f>
        <v>1</v>
      </c>
      <c r="L66" s="20" t="str">
        <f t="shared" si="7"/>
        <v>СШ-1</v>
      </c>
      <c r="M66" s="20">
        <f t="shared" si="8"/>
        <v>1</v>
      </c>
      <c r="N66" s="40"/>
      <c r="O66" s="56" t="str">
        <f t="shared" si="9"/>
        <v>Ввод-1-1</v>
      </c>
      <c r="P66" s="57" t="str">
        <f>IFERROR(IF(INDEX(ТУ!$AO:$AO,MATCH($U66*1,ТУ!$CP:$CP,0),1)=0,"",INDEX(ТУ!$AO:$AO,MATCH($U66*1,ТУ!$CP:$CP,0),1)),"")</f>
        <v>Ввод-1</v>
      </c>
      <c r="Q66" s="40">
        <f>IFERROR(IF(INDEX(ТУ!$BN:$BN,MATCH($U66*1,ТУ!$CP:$CP,0),1)=1,1,INDEX(ТУ!$BN:$BN,MATCH($U66*1,ТУ!$CP:$CP,0),1)*5),"")</f>
        <v>1</v>
      </c>
      <c r="R66" s="25">
        <f t="shared" si="10"/>
        <v>1</v>
      </c>
      <c r="S66" s="25">
        <f t="shared" si="11"/>
        <v>1</v>
      </c>
      <c r="T66" s="25">
        <f t="shared" si="12"/>
        <v>1</v>
      </c>
      <c r="U66" s="105" t="s">
        <v>1150</v>
      </c>
      <c r="V66" s="43">
        <f>IF(INDEX(ТУ!$BH:$BH,MATCH($U66*1,ТУ!$CP:$CP,0),1)=0,"",INDEX(ТУ!$BH:$BH,MATCH($U66*1,ТУ!$CP:$CP,0),1))</f>
        <v>44076</v>
      </c>
      <c r="W66" s="43" t="str">
        <f>IF(INDEX(ТУ!$BI:$BI,MATCH($U66*1,ТУ!$CP:$CP,0),1)=0,"",INDEX(ТУ!$BI:$BI,MATCH($U66*1,ТУ!$CP:$CP,0),1))</f>
        <v/>
      </c>
      <c r="X66" s="58" t="str">
        <f t="shared" si="13"/>
        <v>СЭТ-4ТМ</v>
      </c>
      <c r="Y66" s="25">
        <f t="shared" si="14"/>
        <v>7</v>
      </c>
      <c r="Z66" s="42" t="str">
        <f t="shared" si="15"/>
        <v/>
      </c>
      <c r="AA66" s="25" t="str">
        <f t="shared" si="16"/>
        <v/>
      </c>
      <c r="AB66" s="40" t="str">
        <f>IF(ISNUMBER(SEARCH("Приборы с поддержкой протокола СПОДЭС - Нартис-И300 (СПОДЭС)",INDEX(ТУ!$BD:$BD,MATCH($U66*1,ТУ!$CP:$CP,0),1))),"Нартис-И300",
IF(ISNUMBER(SEARCH("Приборы с поддержкой протокола СПОДЭС - Меркурий 234 (СПОДЭС)",INDEX(ТУ!$BD:$BD,MATCH($U66*1,ТУ!$CP:$CP,0),1))),"Меркурий 234 (СПОДЭС)",
IF(ISNUMBER(SEARCH("Приборы с поддержкой протокола СПОДЭС - Нартис-300 (СПОДЭС)",INDEX(ТУ!$BD:$BD,MATCH($U66*1,ТУ!$CP:$CP,0),1))),"Нартис-300",
IF(ISNUMBER(SEARCH("Инкотекс - Меркурий 234",INDEX(ТУ!$BD:$BD,MATCH($U66*1,ТУ!$CP:$CP,0),1))),"Меркурий 234",
IF(ISNUMBER(SEARCH("Инкотекс - Меркурий 206",INDEX(ТУ!$BD:$BD,MATCH($U66*1,ТУ!$CP:$CP,0),1))),"Меркурий 206",
IF(ISNUMBER(SEARCH("Приборы с поддержкой протокола СПОДЭС - Универсальный счетчик СПОДЭС 2 трехфазный",INDEX(ТУ!$BD:$BD,MATCH($U66*1,ТУ!$CP:$CP,0),1))),"Нартис-И300",
IF(ISNUMBER(SEARCH("Приборы с поддержкой протокола СПОДЭС - Универсальный счетчик СПОДЭС 2 однофазный",INDEX(ТУ!$BD:$BD,MATCH($U66*1,ТУ!$CP:$CP,0),1))),"Нартис-И100",
IF(ISNUMBER(SEARCH("Приборы с поддержкой протокола СПОДЭС - Нартис-И100 (СПОДЭС)",INDEX(ТУ!$BD:$BD,MATCH($U66*1,ТУ!$CP:$CP,0),1))),"Нартис-И100",
IF(ISNUMBER(SEARCH("Приборы с поддержкой протокола СПОДЭС - СЕ308 (СПОДЭС)",INDEX(ТУ!$BD:$BD,MATCH($U66*1,ТУ!$CP:$CP,0),1))),"СЕ308 (СПОДЭС)",
IF(ISNUMBER(SEARCH("Приборы с поддержкой протокола СПОДЭС - СЕ207 (СПОДЭС)",INDEX(ТУ!$BD:$BD,MATCH($U66*1,ТУ!$CP:$CP,0),1))),"СЕ207 (СПОДЭС)",
IF(ISNUMBER(SEARCH("Приборы с поддержкой протокола СПОДЭС - СТЭМ-300 (СПОДЭС)",INDEX(ТУ!$BD:$BD,MATCH($U66*1,ТУ!$CP:$CP,0),1))),"СТЭМ-300 (СПОДЭС)",
IF(ISNUMBER(SEARCH("ТехноЭнерго - ТЕ3000",INDEX(ТУ!$BD:$BD,MATCH($U66*1,ТУ!$CP:$CP,0),1))),"ТЕ3000",
IF(ISNUMBER(SEARCH("НЗиФ - СЭТ-4ТМ",INDEX(ТУ!$BD:$BD,MATCH($U66*1,ТУ!$CP:$CP,0),1))),"СЭТ-4ТМ",
INDEX(ТУ!$BD:$BD,MATCH($U66*1,ТУ!$CP:$CP,0),1)
)))))))))))))</f>
        <v>СЭТ-4ТМ</v>
      </c>
      <c r="AC66" s="40" t="s">
        <v>2</v>
      </c>
      <c r="AD66" s="40" t="str">
        <f>IF(ISNUMBER(IFERROR(LEFT(IF(INDEX(ТУ!$CI:$CI,MATCH($U66*1,ТУ!$CP:$CP,0),1)=0,"",INDEX(ТУ!$CI:$CI,MATCH($U66*1,ТУ!$CP:$CP,0),1)),SEARCH(" ",IF(INDEX(ТУ!$CI:$CI,MATCH($U66*1,ТУ!$CP:$CP,0),1)=0,"",INDEX(ТУ!$CI:$CI,MATCH($U66*1,ТУ!$CP:$CP,0),1)),1)-1),"")*1),IFERROR(LEFT(IF(INDEX(ТУ!$CI:$CI,MATCH($U66*1,ТУ!$CP:$CP,0),1)=0,"",INDEX(ТУ!$CI:$CI,MATCH($U66*1,ТУ!$CP:$CP,0),1)),SEARCH(" ",IF(INDEX(ТУ!$CI:$CI,MATCH($U66*1,ТУ!$CP:$CP,0),1)=0,"",INDEX(ТУ!$CI:$CI,MATCH($U66*1,ТУ!$CP:$CP,0),1)),1)-1),""),"")</f>
        <v/>
      </c>
      <c r="AE66" s="40" t="str">
        <f>IF(INDEX(ТУ!$CB:$CB,MATCH($U66*1,ТУ!$CP:$CP,0),1)=0,INDEX(Adr!$B:$B,MATCH($U66*1,Adr!$C:$C,0),1),INDEX(ТУ!$CB:$CB,MATCH($U66*1,ТУ!$CP:$CP,0),1))</f>
        <v>11</v>
      </c>
      <c r="AF66" s="45" t="str">
        <f>IF(INDEX(ТУ!$CD:$CD,MATCH($U66*1,ТУ!$CP:$CP,0),1)=0,"",INDEX(ТУ!$CD:$CD,MATCH($U66*1,ТУ!$CP:$CP,0),1))</f>
        <v>000000</v>
      </c>
      <c r="AG66" s="45">
        <f>0</f>
        <v>0</v>
      </c>
      <c r="AH66" s="26">
        <f t="shared" si="17"/>
        <v>94</v>
      </c>
      <c r="AI66" s="20" t="str">
        <f t="shared" si="18"/>
        <v>945727711</v>
      </c>
      <c r="AJ66" s="41" t="str">
        <f t="shared" si="1"/>
        <v>10.78.59.53</v>
      </c>
      <c r="AK66" s="41" t="str">
        <f>IF($AP66="",IFERROR(IFERROR(LEFT(RIGHT(INDEX(ТУ!$CE:$CE,MATCH($U66*1,ТУ!$CP:$CP,0),1),LEN(INDEX(ТУ!$CE:$CE,MATCH($U66*1,ТУ!$CP:$CP,0),1))-SEARCH(":",INDEX(ТУ!$CE:$CE,MATCH($U66*1,ТУ!$CP:$CP,0),1))),SEARCH("/",RIGHT(INDEX(ТУ!$CE:$CE,MATCH($U66*1,ТУ!$CP:$CP,0),1),LEN(INDEX(ТУ!$CE:$CE,MATCH($U66*1,ТУ!$CP:$CP,0),1))-SEARCH(":",INDEX(ТУ!$CE:$CE,MATCH($U66*1,ТУ!$CP:$CP,0),1))))-1), RIGHT(INDEX(ТУ!$CE:$CE,MATCH($U66*1,ТУ!$CP:$CP,0),1),LEN(INDEX(ТУ!$CE:$CE,MATCH($U66*1,ТУ!$CP:$CP,0),1))-SEARCH(":",INDEX(ТУ!$CE:$CE,MATCH($U66*1,ТУ!$CP:$CP,0),1)))), ""),IFERROR(IFERROR(LEFT(RIGHT(INDEX(УСПД!$M:$M,MATCH(IFERROR(1*LEFT(INDEX(ТУ!$CG:$CG,MATCH($U66*1,ТУ!$CP:$CP,0),1),SEARCH(" ",INDEX(ТУ!$CG:$CG,MATCH($U66*1,ТУ!$CP:$CP,0),1))-1),""),УСПД!$N:$N,0),1),LEN(INDEX(УСПД!$M:$M,MATCH(IFERROR(1*LEFT(INDEX(ТУ!$CG:$CG,MATCH($U66*1,ТУ!$CP:$CP,0),1),SEARCH(" ",INDEX(ТУ!$CG:$CG,MATCH($U66*1,ТУ!$CP:$CP,0),1))-1),""),УСПД!$N:$N,0),1))-SEARCH(":",INDEX(УСПД!$M:$M,MATCH(IFERROR(1*LEFT(INDEX(ТУ!$CG:$CG,MATCH($U66*1,ТУ!$CP:$CP,0),1),SEARCH(" ",INDEX(ТУ!$CG:$CG,MATCH($U66*1,ТУ!$CP:$CP,0),1))-1),""),УСПД!$N:$N,0),1))),SEARCH("/",RIGHT(INDEX(УСПД!$M:$M,MATCH(IFERROR(1*LEFT(INDEX(ТУ!$CG:$CG,MATCH($U66*1,ТУ!$CP:$CP,0),1),SEARCH(" ",INDEX(ТУ!$CG:$CG,MATCH($U66*1,ТУ!$CP:$CP,0),1))-1),""),УСПД!$N:$N,0),1),LEN(INDEX(УСПД!$M:$M,MATCH(IFERROR(1*LEFT(INDEX(ТУ!$CG:$CG,MATCH($U66*1,ТУ!$CP:$CP,0),1),SEARCH(" ",INDEX(ТУ!$CG:$CG,MATCH($U66*1,ТУ!$CP:$CP,0),1))-1),""),УСПД!$N:$N,0),1))-SEARCH(":",INDEX(УСПД!$M:$M,MATCH(IFERROR(1*LEFT(INDEX(ТУ!$CG:$CG,MATCH($U66*1,ТУ!$CP:$CP,0),1),SEARCH(" ",INDEX(ТУ!$CG:$CG,MATCH($U66*1,ТУ!$CP:$CP,0),1))-1),""),УСПД!$N:$N,0),1))))-1), RIGHT(INDEX(УСПД!$M:$M,MATCH(IFERROR(1*LEFT(INDEX(ТУ!$CG:$CG,MATCH($U66*1,ТУ!$CP:$CP,0),1),SEARCH(" ",INDEX(ТУ!$CG:$CG,MATCH($U66*1,ТУ!$CP:$CP,0),1))-1),""),УСПД!$N:$N,0),1),LEN(INDEX(УСПД!$M:$M,MATCH(IFERROR(1*LEFT(INDEX(ТУ!$CG:$CG,MATCH($U66*1,ТУ!$CP:$CP,0),1),SEARCH(" ",INDEX(ТУ!$CG:$CG,MATCH($U66*1,ТУ!$CP:$CP,0),1))-1),""),УСПД!$N:$N,0),1))-SEARCH(":",INDEX(УСПД!$M:$M,MATCH(IFERROR(1*LEFT(INDEX(ТУ!$CG:$CG,MATCH($U66*1,ТУ!$CP:$CP,0),1),SEARCH(" ",INDEX(ТУ!$CG:$CG,MATCH($U66*1,ТУ!$CP:$CP,0),1))-1),""),УСПД!$N:$N,0),1)))), ""))</f>
        <v>5001</v>
      </c>
      <c r="AL66" s="41"/>
      <c r="AM66" s="57" t="str">
        <f>IFERROR(IFERROR(INDEX(Tel!$B:$B,MATCH($AJ66,Tel!$E:$E,0),1),INDEX(Tel!$B:$B,MATCH($AJ66,Tel!$D:$D,0),1)),"")</f>
        <v/>
      </c>
      <c r="AN66" s="59" t="str">
        <f>IF(ISNUMBER(SEARCH("ТОПАЗ - ТОПАЗ УСПД",IFERROR(RIGHT(LEFT(INDEX(ТУ!$CG:$CG,MATCH($U66*1,ТУ!$CP:$CP,0),1),SEARCH(")",INDEX(ТУ!$CG:$CG,MATCH($U66*1,ТУ!$CP:$CP,0),1))-1),LEN(LEFT(INDEX(ТУ!$CG:$CG,MATCH($U66*1,ТУ!$CP:$CP,0),1),SEARCH(")",INDEX(ТУ!$CG:$CG,MATCH($U66*1,ТУ!$CP:$CP,0),1))-1))-SEARCH("(",INDEX(ТУ!$CG:$CG,MATCH($U66*1,ТУ!$CP:$CP,0),1))),""),1)),"RTU-327",
IF(ISNUMBER(SEARCH("TELEOFIS",$AP66)),"Модем",
""))</f>
        <v/>
      </c>
      <c r="AO66" s="27" t="str">
        <f t="shared" si="24"/>
        <v/>
      </c>
      <c r="AP66" s="57" t="str">
        <f>IF(ISNUMBER(SEARCH("Миландр - Милур GSM/GPRS модем",IFERROR(RIGHT(LEFT(INDEX(ТУ!$CG:$CG,MATCH($U66*1,ТУ!$CP:$CP,0),1),SEARCH(")",INDEX(ТУ!$CG:$CG,MATCH($U66*1,ТУ!$CP:$CP,0),1))-1),LEN(LEFT(INDEX(ТУ!$CG:$CG,MATCH($U66*1,ТУ!$CP:$CP,0),1),SEARCH(")",INDEX(ТУ!$CG:$CG,MATCH($U66*1,ТУ!$CP:$CP,0),1))-1))-SEARCH("(",INDEX(ТУ!$CG:$CG,MATCH($U66*1,ТУ!$CP:$CP,0),1))),""),1)), "TELEOFIS WRX708-L4",IFERROR(RIGHT(LEFT(INDEX(ТУ!$CG:$CG,MATCH($U66*1,ТУ!$CP:$CP,0),1),SEARCH(")",INDEX(ТУ!$CG:$CG,MATCH($U66*1,ТУ!$CP:$CP,0),1))-1),LEN(LEFT(INDEX(ТУ!$CG:$CG,MATCH($U66*1,ТУ!$CP:$CP,0),1),SEARCH(")",INDEX(ТУ!$CG:$CG,MATCH($U66*1,ТУ!$CP:$CP,0),1))-1))-SEARCH("(",INDEX(ТУ!$CG:$CG,MATCH($U66*1,ТУ!$CP:$CP,0),1))),""))</f>
        <v/>
      </c>
      <c r="AQ66" s="57" t="str">
        <f>IFERROR(IF(INDEX(УСПД!$K:$K,MATCH($AS66*1,УСПД!$N:$N,0),1)=0,"",INDEX(УСПД!$K:$K,MATCH($AS66*1,УСПД!$N:$N,0),1)),"")</f>
        <v/>
      </c>
      <c r="AR66" s="57" t="str">
        <f>IFERROR(IF(INDEX(УСПД!$L:$L,MATCH($AS66*1,УСПД!$N:$N,0),1)=0,"",INDEX(УСПД!$L:$L,MATCH($AS66*1,УСПД!$N:$N,0),1)),"")</f>
        <v/>
      </c>
      <c r="AS66" s="60" t="str">
        <f>IFERROR(LEFT(INDEX(ТУ!$CG:$CG,MATCH($U66*1,ТУ!$CP:$CP,0),1),SEARCH(" ",INDEX(ТУ!$CG:$CG,MATCH($U66*1,ТУ!$CP:$CP,0),1))-1),"")</f>
        <v/>
      </c>
      <c r="AT66" s="59" t="s">
        <v>360</v>
      </c>
      <c r="AU66" s="59">
        <f>3</f>
        <v>3</v>
      </c>
      <c r="AV66" s="59" t="s">
        <v>368</v>
      </c>
      <c r="AW66" s="149">
        <f t="shared" si="19"/>
        <v>72</v>
      </c>
      <c r="AX66" s="149">
        <f t="shared" si="20"/>
        <v>7</v>
      </c>
      <c r="AY66" s="149" t="str">
        <f t="shared" si="21"/>
        <v/>
      </c>
      <c r="AZ66" s="149" t="str">
        <f t="shared" si="22"/>
        <v/>
      </c>
      <c r="BA66" s="149">
        <f t="shared" si="23"/>
        <v>4</v>
      </c>
      <c r="BB66" s="154" t="str">
        <f>IF($AP66="",IFERROR(IFERROR(LEFT(RIGHT(INDEX(ТУ!$CE:$CE,MATCH($U66*1,ТУ!$CP:$CP,0),1),LEN(INDEX(ТУ!$CE:$CE,MATCH($U66*1,ТУ!$CP:$CP,0),1))-SEARCH(", ",INDEX(ТУ!$CE:$CE,MATCH($U66*1,ТУ!$CP:$CP,0),1),SEARCH(", ",INDEX(ТУ!$CE:$CE,MATCH($U66*1,ТУ!$CP:$CP,0),1))+1)-1),SEARCH(":",RIGHT(INDEX(ТУ!$CE:$CE,MATCH($U66*1,ТУ!$CP:$CP,0),1),LEN(INDEX(ТУ!$CE:$CE,MATCH($U66*1,ТУ!$CP:$CP,0),1))-SEARCH(", ",INDEX(ТУ!$CE:$CE,MATCH($U66*1,ТУ!$CP:$CP,0),1),SEARCH(", ",INDEX(ТУ!$CE:$CE,MATCH($U66*1,ТУ!$CP:$CP,0),1))+1)-1))-1),LEFT(INDEX(ТУ!$CE:$CE,MATCH($U66*1,ТУ!$CP:$CP,0),1),SEARCH(":",INDEX(ТУ!$CE:$CE,MATCH($U66*1,ТУ!$CP:$CP,0),1))-1)),""),IFERROR(IFERROR(LEFT(RIGHT(INDEX(УСПД!$M:$M,MATCH(IFERROR(1*LEFT(INDEX(ТУ!$CG:$CG,MATCH($U66*1,ТУ!$CP:$CP,0),1),SEARCH(" ",INDEX(ТУ!$CG:$CG,MATCH($U66*1,ТУ!$CP:$CP,0),1))-1),""),УСПД!$N:$N,0),1),LEN(INDEX(УСПД!$M:$M,MATCH(IFERROR(1*LEFT(INDEX(ТУ!$CG:$CG,MATCH($U66*1,ТУ!$CP:$CP,0),1),SEARCH(" ",INDEX(ТУ!$CG:$CG,MATCH($U66*1,ТУ!$CP:$CP,0),1))-1),""),УСПД!$N:$N,0),1))-SEARCH(", ",INDEX(УСПД!$M:$M,MATCH(IFERROR(1*LEFT(INDEX(ТУ!$CG:$CG,MATCH($U66*1,ТУ!$CP:$CP,0),1),SEARCH(" ",INDEX(ТУ!$CG:$CG,MATCH($U66*1,ТУ!$CP:$CP,0),1))-1),""),УСПД!$N:$N,0),1),SEARCH(", ",INDEX(УСПД!$M:$M,MATCH(IFERROR(1*LEFT(INDEX(ТУ!$CG:$CG,MATCH($U66*1,ТУ!$CP:$CP,0),1),SEARCH(" ",INDEX(ТУ!$CG:$CG,MATCH($U66*1,ТУ!$CP:$CP,0),1))-1),""),УСПД!$N:$N,0),1))+1)-1),SEARCH(":",RIGHT(INDEX(УСПД!$M:$M,MATCH(IFERROR(1*LEFT(INDEX(ТУ!$CG:$CG,MATCH($U66*1,ТУ!$CP:$CP,0),1),SEARCH(" ",INDEX(ТУ!$CG:$CG,MATCH($U66*1,ТУ!$CP:$CP,0),1))-1),""),УСПД!$N:$N,0),1),LEN(INDEX(УСПД!$M:$M,MATCH(IFERROR(1*LEFT(INDEX(ТУ!$CG:$CG,MATCH($U66*1,ТУ!$CP:$CP,0),1),SEARCH(" ",INDEX(ТУ!$CG:$CG,MATCH($U66*1,ТУ!$CP:$CP,0),1))-1),""),УСПД!$N:$N,0),1))-SEARCH(", ",INDEX(УСПД!$M:$M,MATCH(IFERROR(1*LEFT(INDEX(ТУ!$CG:$CG,MATCH($U66*1,ТУ!$CP:$CP,0),1),SEARCH(" ",INDEX(ТУ!$CG:$CG,MATCH($U66*1,ТУ!$CP:$CP,0),1))-1),""),УСПД!$N:$N,0),1),SEARCH(", ",INDEX(УСПД!$M:$M,MATCH(IFERROR(1*LEFT(INDEX(ТУ!$CG:$CG,MATCH($U66*1,ТУ!$CP:$CP,0),1),SEARCH(" ",INDEX(ТУ!$CG:$CG,MATCH($U66*1,ТУ!$CP:$CP,0),1))-1),""),УСПД!$N:$N,0),1))+1)-1))-1),LEFT(INDEX(УСПД!$M:$M,MATCH(IFERROR(1*LEFT(INDEX(ТУ!$CG:$CG,MATCH($U66*1,ТУ!$CP:$CP,0),1),SEARCH(" ",INDEX(ТУ!$CG:$CG,MATCH($U66*1,ТУ!$CP:$CP,0),1))-1),""),УСПД!$N:$N,0),1),SEARCH(":",INDEX(УСПД!$M:$M,MATCH(IFERROR(1*LEFT(INDEX(ТУ!$CG:$CG,MATCH($U66*1,ТУ!$CP:$CP,0),1),SEARCH(" ",INDEX(ТУ!$CG:$CG,MATCH($U66*1,ТУ!$CP:$CP,0),1))-1),""),УСПД!$N:$N,0),1))-1)),""))</f>
        <v>10.78.59.53</v>
      </c>
      <c r="BC66" s="155" t="str">
        <f>INDEX(ТУ!$AF:$AF,MATCH($U66*1,ТУ!$CP:$CP,0),1)</f>
        <v>ТП-72771</v>
      </c>
      <c r="BD66" s="155">
        <f>INDEX(ТУ!$X:$X,MATCH($U66*1,ТУ!$CP:$CP,0),1)</f>
        <v>0</v>
      </c>
      <c r="BE66" s="155" t="str">
        <f>INDEX(ТУ!$CL:$CL,MATCH($U66*1,ТУ!$CP:$CP,0),1)</f>
        <v>Тех.учет</v>
      </c>
      <c r="BF66" s="147" t="str">
        <f>IFERROR(INDEX(естьАЦ!$A:$A,MATCH($U66*1,естьАЦ!$A:$A,0),1),"нет в АЦ")</f>
        <v>нет в АЦ</v>
      </c>
    </row>
    <row r="67" spans="1:58" ht="15" x14ac:dyDescent="0.25">
      <c r="A67" s="55">
        <f>3</f>
        <v>3</v>
      </c>
      <c r="B67" s="42" t="str">
        <f>IFERROR(IFERROR(INDEX(Справочники!$A$2:$P$79,MATCH(INDEX(ТУ!$E:$E,MATCH($U67*1,ТУ!$CP:$CP,0),1),Справочники!$P$2:$P$79,0),2),INDEX(Справочники!$A$2:$P$79,MATCH((INDEX(ТУ!$E:$E,MATCH($U67*1,ТУ!$CP:$CP,0),1))*1,Справочники!$P$2:$P$79,0),2)),"")</f>
        <v>16 р-н МКС (ЮОРУПЭ)</v>
      </c>
      <c r="C67" s="46" t="str">
        <f>IFERROR(TRIM(LEFT(INDEX(ТУ!$AF:$AF,MATCH($U67*1,ТУ!$CP:$CP,0),1),SEARCH("-",INDEX(ТУ!$AF:$AF,MATCH($U67*1,ТУ!$CP:$CP,0),1))-1)),IFERROR(LEFT(INDEX(ТУ!$X:$X,MATCH($U67*1,ТУ!$CP:$CP,0),1),SEARCH("-",INDEX(ТУ!$X:$X,MATCH($U67*1,ТУ!$CP:$CP,0),1))-1),"ТП"))</f>
        <v>ТП</v>
      </c>
      <c r="D67" s="47" t="str">
        <f>IF(TRIM(IF(ISNUMBER((IFERROR(RIGHT(INDEX(ТУ!$AF:$AF,MATCH($U67*1,ТУ!$CP:$CP,0),1),LEN(INDEX(ТУ!$AF:$AF,MATCH($U67*1,ТУ!$CP:$CP,0),1))-SEARCH("-",INDEX(ТУ!$AF:$AF,MATCH($U67*1,ТУ!$CP:$CP,0),1))),INDEX(ТУ!$AF:$AF,MATCH($U67*1,ТУ!$CP:$CP,0),1)))*1),IFERROR(RIGHT(INDEX(ТУ!$AF:$AF,MATCH($U67*1,ТУ!$CP:$CP,0),1),LEN(INDEX(ТУ!$AF:$AF,MATCH($U67*1,ТУ!$CP:$CP,0),1))-SEARCH("-",INDEX(ТУ!$AF:$AF,MATCH($U67*1,ТУ!$CP:$CP,0),1))),INDEX(ТУ!$AF:$AF,MATCH($U67*1,ТУ!$CP:$CP,0),1)),""))="",TRIM(IF(ISNUMBER((IFERROR(RIGHT(INDEX(ТУ!$X:$X,MATCH($U67*1,ТУ!$CP:$CP,0),1),LEN(INDEX(ТУ!$X:$X,MATCH($U67*1,ТУ!$CP:$CP,0),1))-SEARCH("-",INDEX(ТУ!$X:$X,MATCH($U67*1,ТУ!$CP:$CP,0),1))),INDEX(ТУ!$X:$X,MATCH($U67*1,ТУ!$CP:$CP,0),1)))*1),IFERROR(RIGHT(INDEX(ТУ!$X:$X,MATCH($U67*1,ТУ!$CP:$CP,0),1),LEN(INDEX(ТУ!$X:$X,MATCH($U67*1,ТУ!$CP:$CP,0),1))-SEARCH("-",INDEX(ТУ!$X:$X,MATCH($U67*1,ТУ!$CP:$CP,0),1))),INDEX(ТУ!$X:$X,MATCH($U67*1,ТУ!$CP:$CP,0),1)),"")),TRIM(IF(ISNUMBER((IFERROR(RIGHT(INDEX(ТУ!$AF:$AF,MATCH($U67*1,ТУ!$CP:$CP,0),1),LEN(INDEX(ТУ!$AF:$AF,MATCH($U67*1,ТУ!$CP:$CP,0),1))-SEARCH("-",INDEX(ТУ!$AF:$AF,MATCH($U67*1,ТУ!$CP:$CP,0),1))),INDEX(ТУ!$AF:$AF,MATCH($U67*1,ТУ!$CP:$CP,0),1)))*1),IFERROR(RIGHT(INDEX(ТУ!$AF:$AF,MATCH($U67*1,ТУ!$CP:$CP,0),1),LEN(INDEX(ТУ!$AF:$AF,MATCH($U67*1,ТУ!$CP:$CP,0),1))-SEARCH("-",INDEX(ТУ!$AF:$AF,MATCH($U67*1,ТУ!$CP:$CP,0),1))),INDEX(ТУ!$AF:$AF,MATCH($U67*1,ТУ!$CP:$CP,0),1)),"")))</f>
        <v>15980</v>
      </c>
      <c r="E67" s="25" t="str">
        <f t="shared" si="2"/>
        <v>МКС</v>
      </c>
      <c r="F67" s="20">
        <f t="shared" si="3"/>
        <v>90</v>
      </c>
      <c r="G67" s="21">
        <f t="shared" si="4"/>
        <v>5</v>
      </c>
      <c r="H67" s="25" t="str">
        <f t="shared" si="5"/>
        <v>ТП-15980</v>
      </c>
      <c r="I67" s="25" t="str">
        <f t="shared" si="6"/>
        <v>90515980</v>
      </c>
      <c r="J67" s="42" t="str">
        <f>INDEX(Справочники!$M:$M,MATCH(IF(INDEX(ТУ!$BO:$BO,MATCH($U67*1,ТУ!$CP:$CP,0),1)=1,1,INDEX(ТУ!$BO:$BO,MATCH($U67*1,ТУ!$CP:$CP,0),1)*100),Справочники!$N:$N,0),1)</f>
        <v>0.4 кВ</v>
      </c>
      <c r="K67" s="40">
        <f>1</f>
        <v>1</v>
      </c>
      <c r="L67" s="20" t="str">
        <f t="shared" si="7"/>
        <v>СШ-1</v>
      </c>
      <c r="M67" s="20">
        <f t="shared" si="8"/>
        <v>1</v>
      </c>
      <c r="N67" s="40"/>
      <c r="O67" s="56" t="str">
        <f t="shared" si="9"/>
        <v>Ввод-1-1</v>
      </c>
      <c r="P67" s="57" t="str">
        <f>IFERROR(IF(INDEX(ТУ!$AO:$AO,MATCH($U67*1,ТУ!$CP:$CP,0),1)=0,"",INDEX(ТУ!$AO:$AO,MATCH($U67*1,ТУ!$CP:$CP,0),1)),"")</f>
        <v>Ввод 1</v>
      </c>
      <c r="Q67" s="40">
        <f>IFERROR(IF(INDEX(ТУ!$BN:$BN,MATCH($U67*1,ТУ!$CP:$CP,0),1)=1,1,INDEX(ТУ!$BN:$BN,MATCH($U67*1,ТУ!$CP:$CP,0),1)*5),"")</f>
        <v>1</v>
      </c>
      <c r="R67" s="25">
        <f t="shared" si="10"/>
        <v>1</v>
      </c>
      <c r="S67" s="25">
        <f t="shared" si="11"/>
        <v>1</v>
      </c>
      <c r="T67" s="25">
        <f t="shared" si="12"/>
        <v>1</v>
      </c>
      <c r="U67" s="105" t="s">
        <v>1154</v>
      </c>
      <c r="V67" s="43">
        <f>IF(INDEX(ТУ!$BH:$BH,MATCH($U67*1,ТУ!$CP:$CP,0),1)=0,"",INDEX(ТУ!$BH:$BH,MATCH($U67*1,ТУ!$CP:$CP,0),1))</f>
        <v>44426</v>
      </c>
      <c r="W67" s="43" t="str">
        <f>IF(INDEX(ТУ!$BI:$BI,MATCH($U67*1,ТУ!$CP:$CP,0),1)=0,"",INDEX(ТУ!$BI:$BI,MATCH($U67*1,ТУ!$CP:$CP,0),1))</f>
        <v>20.03.2021</v>
      </c>
      <c r="X67" s="58" t="str">
        <f t="shared" si="13"/>
        <v/>
      </c>
      <c r="Y67" s="25">
        <f t="shared" si="14"/>
        <v>35</v>
      </c>
      <c r="Z67" s="42" t="str">
        <f t="shared" si="15"/>
        <v/>
      </c>
      <c r="AA67" s="25" t="str">
        <f t="shared" si="16"/>
        <v/>
      </c>
      <c r="AB67" s="40" t="str">
        <f>IF(ISNUMBER(SEARCH("Приборы с поддержкой протокола СПОДЭС - Нартис-И300 (СПОДЭС)",INDEX(ТУ!$BD:$BD,MATCH($U67*1,ТУ!$CP:$CP,0),1))),"Нартис-И300",
IF(ISNUMBER(SEARCH("Приборы с поддержкой протокола СПОДЭС - Меркурий 234 (СПОДЭС)",INDEX(ТУ!$BD:$BD,MATCH($U67*1,ТУ!$CP:$CP,0),1))),"Меркурий 234 (СПОДЭС)",
IF(ISNUMBER(SEARCH("Приборы с поддержкой протокола СПОДЭС - Нартис-300 (СПОДЭС)",INDEX(ТУ!$BD:$BD,MATCH($U67*1,ТУ!$CP:$CP,0),1))),"Нартис-300",
IF(ISNUMBER(SEARCH("Инкотекс - Меркурий 234",INDEX(ТУ!$BD:$BD,MATCH($U67*1,ТУ!$CP:$CP,0),1))),"Меркурий 234",
IF(ISNUMBER(SEARCH("Инкотекс - Меркурий 206",INDEX(ТУ!$BD:$BD,MATCH($U67*1,ТУ!$CP:$CP,0),1))),"Меркурий 206",
IF(ISNUMBER(SEARCH("Приборы с поддержкой протокола СПОДЭС - Универсальный счетчик СПОДЭС 2 трехфазный",INDEX(ТУ!$BD:$BD,MATCH($U67*1,ТУ!$CP:$CP,0),1))),"Нартис-И300",
IF(ISNUMBER(SEARCH("Приборы с поддержкой протокола СПОДЭС - Универсальный счетчик СПОДЭС 2 однофазный",INDEX(ТУ!$BD:$BD,MATCH($U67*1,ТУ!$CP:$CP,0),1))),"Нартис-И100",
IF(ISNUMBER(SEARCH("Приборы с поддержкой протокола СПОДЭС - Нартис-И100 (СПОДЭС)",INDEX(ТУ!$BD:$BD,MATCH($U67*1,ТУ!$CP:$CP,0),1))),"Нартис-И100",
IF(ISNUMBER(SEARCH("Приборы с поддержкой протокола СПОДЭС - СЕ308 (СПОДЭС)",INDEX(ТУ!$BD:$BD,MATCH($U67*1,ТУ!$CP:$CP,0),1))),"СЕ308 (СПОДЭС)",
IF(ISNUMBER(SEARCH("Приборы с поддержкой протокола СПОДЭС - СЕ207 (СПОДЭС)",INDEX(ТУ!$BD:$BD,MATCH($U67*1,ТУ!$CP:$CP,0),1))),"СЕ207 (СПОДЭС)",
IF(ISNUMBER(SEARCH("Приборы с поддержкой протокола СПОДЭС - СТЭМ-300 (СПОДЭС)",INDEX(ТУ!$BD:$BD,MATCH($U67*1,ТУ!$CP:$CP,0),1))),"СТЭМ-300 (СПОДЭС)",
IF(ISNUMBER(SEARCH("ТехноЭнерго - ТЕ3000",INDEX(ТУ!$BD:$BD,MATCH($U67*1,ТУ!$CP:$CP,0),1))),"ТЕ3000",
IF(ISNUMBER(SEARCH("НЗиФ - СЭТ-4ТМ",INDEX(ТУ!$BD:$BD,MATCH($U67*1,ТУ!$CP:$CP,0),1))),"СЭТ-4ТМ",
INDEX(ТУ!$BD:$BD,MATCH($U67*1,ТУ!$CP:$CP,0),1)
)))))))))))))</f>
        <v>Энергомера - СЕ102</v>
      </c>
      <c r="AC67" s="40" t="s">
        <v>2</v>
      </c>
      <c r="AD67" s="40" t="str">
        <f>IF(ISNUMBER(IFERROR(LEFT(IF(INDEX(ТУ!$CI:$CI,MATCH($U67*1,ТУ!$CP:$CP,0),1)=0,"",INDEX(ТУ!$CI:$CI,MATCH($U67*1,ТУ!$CP:$CP,0),1)),SEARCH(" ",IF(INDEX(ТУ!$CI:$CI,MATCH($U67*1,ТУ!$CP:$CP,0),1)=0,"",INDEX(ТУ!$CI:$CI,MATCH($U67*1,ТУ!$CP:$CP,0),1)),1)-1),"")*1),IFERROR(LEFT(IF(INDEX(ТУ!$CI:$CI,MATCH($U67*1,ТУ!$CP:$CP,0),1)=0,"",INDEX(ТУ!$CI:$CI,MATCH($U67*1,ТУ!$CP:$CP,0),1)),SEARCH(" ",IF(INDEX(ТУ!$CI:$CI,MATCH($U67*1,ТУ!$CP:$CP,0),1)=0,"",INDEX(ТУ!$CI:$CI,MATCH($U67*1,ТУ!$CP:$CP,0),1)),1)-1),""),"")</f>
        <v/>
      </c>
      <c r="AE67" s="40" t="str">
        <f>IF(INDEX(ТУ!$CB:$CB,MATCH($U67*1,ТУ!$CP:$CP,0),1)=0,INDEX(Adr!$B:$B,MATCH($U67*1,Adr!$C:$C,0),1),INDEX(ТУ!$CB:$CB,MATCH($U67*1,ТУ!$CP:$CP,0),1))</f>
        <v>53322</v>
      </c>
      <c r="AF67" s="45" t="str">
        <f>IF(INDEX(ТУ!$CD:$CD,MATCH($U67*1,ТУ!$CP:$CP,0),1)=0,"",INDEX(ТУ!$CD:$CD,MATCH($U67*1,ТУ!$CP:$CP,0),1))</f>
        <v>777777</v>
      </c>
      <c r="AG67" s="45">
        <f>0</f>
        <v>0</v>
      </c>
      <c r="AH67" s="26">
        <f t="shared" si="17"/>
        <v>90</v>
      </c>
      <c r="AI67" s="20" t="str">
        <f t="shared" si="18"/>
        <v>905159801</v>
      </c>
      <c r="AJ67" s="41" t="str">
        <f t="shared" si="1"/>
        <v>10.81.164.63</v>
      </c>
      <c r="AK67" s="41" t="str">
        <f>IF($AP67="",IFERROR(IFERROR(LEFT(RIGHT(INDEX(ТУ!$CE:$CE,MATCH($U67*1,ТУ!$CP:$CP,0),1),LEN(INDEX(ТУ!$CE:$CE,MATCH($U67*1,ТУ!$CP:$CP,0),1))-SEARCH(":",INDEX(ТУ!$CE:$CE,MATCH($U67*1,ТУ!$CP:$CP,0),1))),SEARCH("/",RIGHT(INDEX(ТУ!$CE:$CE,MATCH($U67*1,ТУ!$CP:$CP,0),1),LEN(INDEX(ТУ!$CE:$CE,MATCH($U67*1,ТУ!$CP:$CP,0),1))-SEARCH(":",INDEX(ТУ!$CE:$CE,MATCH($U67*1,ТУ!$CP:$CP,0),1))))-1), RIGHT(INDEX(ТУ!$CE:$CE,MATCH($U67*1,ТУ!$CP:$CP,0),1),LEN(INDEX(ТУ!$CE:$CE,MATCH($U67*1,ТУ!$CP:$CP,0),1))-SEARCH(":",INDEX(ТУ!$CE:$CE,MATCH($U67*1,ТУ!$CP:$CP,0),1)))), ""),IFERROR(IFERROR(LEFT(RIGHT(INDEX(УСПД!$M:$M,MATCH(IFERROR(1*LEFT(INDEX(ТУ!$CG:$CG,MATCH($U67*1,ТУ!$CP:$CP,0),1),SEARCH(" ",INDEX(ТУ!$CG:$CG,MATCH($U67*1,ТУ!$CP:$CP,0),1))-1),""),УСПД!$N:$N,0),1),LEN(INDEX(УСПД!$M:$M,MATCH(IFERROR(1*LEFT(INDEX(ТУ!$CG:$CG,MATCH($U67*1,ТУ!$CP:$CP,0),1),SEARCH(" ",INDEX(ТУ!$CG:$CG,MATCH($U67*1,ТУ!$CP:$CP,0),1))-1),""),УСПД!$N:$N,0),1))-SEARCH(":",INDEX(УСПД!$M:$M,MATCH(IFERROR(1*LEFT(INDEX(ТУ!$CG:$CG,MATCH($U67*1,ТУ!$CP:$CP,0),1),SEARCH(" ",INDEX(ТУ!$CG:$CG,MATCH($U67*1,ТУ!$CP:$CP,0),1))-1),""),УСПД!$N:$N,0),1))),SEARCH("/",RIGHT(INDEX(УСПД!$M:$M,MATCH(IFERROR(1*LEFT(INDEX(ТУ!$CG:$CG,MATCH($U67*1,ТУ!$CP:$CP,0),1),SEARCH(" ",INDEX(ТУ!$CG:$CG,MATCH($U67*1,ТУ!$CP:$CP,0),1))-1),""),УСПД!$N:$N,0),1),LEN(INDEX(УСПД!$M:$M,MATCH(IFERROR(1*LEFT(INDEX(ТУ!$CG:$CG,MATCH($U67*1,ТУ!$CP:$CP,0),1),SEARCH(" ",INDEX(ТУ!$CG:$CG,MATCH($U67*1,ТУ!$CP:$CP,0),1))-1),""),УСПД!$N:$N,0),1))-SEARCH(":",INDEX(УСПД!$M:$M,MATCH(IFERROR(1*LEFT(INDEX(ТУ!$CG:$CG,MATCH($U67*1,ТУ!$CP:$CP,0),1),SEARCH(" ",INDEX(ТУ!$CG:$CG,MATCH($U67*1,ТУ!$CP:$CP,0),1))-1),""),УСПД!$N:$N,0),1))))-1), RIGHT(INDEX(УСПД!$M:$M,MATCH(IFERROR(1*LEFT(INDEX(ТУ!$CG:$CG,MATCH($U67*1,ТУ!$CP:$CP,0),1),SEARCH(" ",INDEX(ТУ!$CG:$CG,MATCH($U67*1,ТУ!$CP:$CP,0),1))-1),""),УСПД!$N:$N,0),1),LEN(INDEX(УСПД!$M:$M,MATCH(IFERROR(1*LEFT(INDEX(ТУ!$CG:$CG,MATCH($U67*1,ТУ!$CP:$CP,0),1),SEARCH(" ",INDEX(ТУ!$CG:$CG,MATCH($U67*1,ТУ!$CP:$CP,0),1))-1),""),УСПД!$N:$N,0),1))-SEARCH(":",INDEX(УСПД!$M:$M,MATCH(IFERROR(1*LEFT(INDEX(ТУ!$CG:$CG,MATCH($U67*1,ТУ!$CP:$CP,0),1),SEARCH(" ",INDEX(ТУ!$CG:$CG,MATCH($U67*1,ТУ!$CP:$CP,0),1))-1),""),УСПД!$N:$N,0),1)))), ""))</f>
        <v>4001</v>
      </c>
      <c r="AL67" s="41"/>
      <c r="AM67" s="57" t="str">
        <f>IFERROR(IFERROR(INDEX(Tel!$B:$B,MATCH($AJ67,Tel!$E:$E,0),1),INDEX(Tel!$B:$B,MATCH($AJ67,Tel!$D:$D,0),1)),"")</f>
        <v/>
      </c>
      <c r="AN67" s="59" t="str">
        <f>IF(ISNUMBER(SEARCH("ТОПАЗ - ТОПАЗ УСПД",IFERROR(RIGHT(LEFT(INDEX(ТУ!$CG:$CG,MATCH($U67*1,ТУ!$CP:$CP,0),1),SEARCH(")",INDEX(ТУ!$CG:$CG,MATCH($U67*1,ТУ!$CP:$CP,0),1))-1),LEN(LEFT(INDEX(ТУ!$CG:$CG,MATCH($U67*1,ТУ!$CP:$CP,0),1),SEARCH(")",INDEX(ТУ!$CG:$CG,MATCH($U67*1,ТУ!$CP:$CP,0),1))-1))-SEARCH("(",INDEX(ТУ!$CG:$CG,MATCH($U67*1,ТУ!$CP:$CP,0),1))),""),1)),"RTU-327",
IF(ISNUMBER(SEARCH("TELEOFIS",$AP67)),"Модем",
""))</f>
        <v/>
      </c>
      <c r="AO67" s="27" t="str">
        <f t="shared" si="24"/>
        <v/>
      </c>
      <c r="AP67" s="57" t="str">
        <f>IF(ISNUMBER(SEARCH("Миландр - Милур GSM/GPRS модем",IFERROR(RIGHT(LEFT(INDEX(ТУ!$CG:$CG,MATCH($U67*1,ТУ!$CP:$CP,0),1),SEARCH(")",INDEX(ТУ!$CG:$CG,MATCH($U67*1,ТУ!$CP:$CP,0),1))-1),LEN(LEFT(INDEX(ТУ!$CG:$CG,MATCH($U67*1,ТУ!$CP:$CP,0),1),SEARCH(")",INDEX(ТУ!$CG:$CG,MATCH($U67*1,ТУ!$CP:$CP,0),1))-1))-SEARCH("(",INDEX(ТУ!$CG:$CG,MATCH($U67*1,ТУ!$CP:$CP,0),1))),""),1)), "TELEOFIS WRX708-L4",IFERROR(RIGHT(LEFT(INDEX(ТУ!$CG:$CG,MATCH($U67*1,ТУ!$CP:$CP,0),1),SEARCH(")",INDEX(ТУ!$CG:$CG,MATCH($U67*1,ТУ!$CP:$CP,0),1))-1),LEN(LEFT(INDEX(ТУ!$CG:$CG,MATCH($U67*1,ТУ!$CP:$CP,0),1),SEARCH(")",INDEX(ТУ!$CG:$CG,MATCH($U67*1,ТУ!$CP:$CP,0),1))-1))-SEARCH("(",INDEX(ТУ!$CG:$CG,MATCH($U67*1,ТУ!$CP:$CP,0),1))),""))</f>
        <v/>
      </c>
      <c r="AQ67" s="57" t="str">
        <f>IFERROR(IF(INDEX(УСПД!$K:$K,MATCH($AS67*1,УСПД!$N:$N,0),1)=0,"",INDEX(УСПД!$K:$K,MATCH($AS67*1,УСПД!$N:$N,0),1)),"")</f>
        <v/>
      </c>
      <c r="AR67" s="57" t="str">
        <f>IFERROR(IF(INDEX(УСПД!$L:$L,MATCH($AS67*1,УСПД!$N:$N,0),1)=0,"",INDEX(УСПД!$L:$L,MATCH($AS67*1,УСПД!$N:$N,0),1)),"")</f>
        <v/>
      </c>
      <c r="AS67" s="60" t="str">
        <f>IFERROR(LEFT(INDEX(ТУ!$CG:$CG,MATCH($U67*1,ТУ!$CP:$CP,0),1),SEARCH(" ",INDEX(ТУ!$CG:$CG,MATCH($U67*1,ТУ!$CP:$CP,0),1))-1),"")</f>
        <v/>
      </c>
      <c r="AT67" s="59" t="s">
        <v>360</v>
      </c>
      <c r="AU67" s="59">
        <f>3</f>
        <v>3</v>
      </c>
      <c r="AV67" s="59" t="s">
        <v>368</v>
      </c>
      <c r="AW67" s="149">
        <f t="shared" si="19"/>
        <v>68</v>
      </c>
      <c r="AX67" s="149">
        <f t="shared" si="20"/>
        <v>34</v>
      </c>
      <c r="AY67" s="149" t="str">
        <f t="shared" si="21"/>
        <v/>
      </c>
      <c r="AZ67" s="149" t="str">
        <f t="shared" si="22"/>
        <v/>
      </c>
      <c r="BA67" s="149">
        <f t="shared" si="23"/>
        <v>1</v>
      </c>
      <c r="BB67" s="154" t="str">
        <f>IF($AP67="",IFERROR(IFERROR(LEFT(RIGHT(INDEX(ТУ!$CE:$CE,MATCH($U67*1,ТУ!$CP:$CP,0),1),LEN(INDEX(ТУ!$CE:$CE,MATCH($U67*1,ТУ!$CP:$CP,0),1))-SEARCH(", ",INDEX(ТУ!$CE:$CE,MATCH($U67*1,ТУ!$CP:$CP,0),1),SEARCH(", ",INDEX(ТУ!$CE:$CE,MATCH($U67*1,ТУ!$CP:$CP,0),1))+1)-1),SEARCH(":",RIGHT(INDEX(ТУ!$CE:$CE,MATCH($U67*1,ТУ!$CP:$CP,0),1),LEN(INDEX(ТУ!$CE:$CE,MATCH($U67*1,ТУ!$CP:$CP,0),1))-SEARCH(", ",INDEX(ТУ!$CE:$CE,MATCH($U67*1,ТУ!$CP:$CP,0),1),SEARCH(", ",INDEX(ТУ!$CE:$CE,MATCH($U67*1,ТУ!$CP:$CP,0),1))+1)-1))-1),LEFT(INDEX(ТУ!$CE:$CE,MATCH($U67*1,ТУ!$CP:$CP,0),1),SEARCH(":",INDEX(ТУ!$CE:$CE,MATCH($U67*1,ТУ!$CP:$CP,0),1))-1)),""),IFERROR(IFERROR(LEFT(RIGHT(INDEX(УСПД!$M:$M,MATCH(IFERROR(1*LEFT(INDEX(ТУ!$CG:$CG,MATCH($U67*1,ТУ!$CP:$CP,0),1),SEARCH(" ",INDEX(ТУ!$CG:$CG,MATCH($U67*1,ТУ!$CP:$CP,0),1))-1),""),УСПД!$N:$N,0),1),LEN(INDEX(УСПД!$M:$M,MATCH(IFERROR(1*LEFT(INDEX(ТУ!$CG:$CG,MATCH($U67*1,ТУ!$CP:$CP,0),1),SEARCH(" ",INDEX(ТУ!$CG:$CG,MATCH($U67*1,ТУ!$CP:$CP,0),1))-1),""),УСПД!$N:$N,0),1))-SEARCH(", ",INDEX(УСПД!$M:$M,MATCH(IFERROR(1*LEFT(INDEX(ТУ!$CG:$CG,MATCH($U67*1,ТУ!$CP:$CP,0),1),SEARCH(" ",INDEX(ТУ!$CG:$CG,MATCH($U67*1,ТУ!$CP:$CP,0),1))-1),""),УСПД!$N:$N,0),1),SEARCH(", ",INDEX(УСПД!$M:$M,MATCH(IFERROR(1*LEFT(INDEX(ТУ!$CG:$CG,MATCH($U67*1,ТУ!$CP:$CP,0),1),SEARCH(" ",INDEX(ТУ!$CG:$CG,MATCH($U67*1,ТУ!$CP:$CP,0),1))-1),""),УСПД!$N:$N,0),1))+1)-1),SEARCH(":",RIGHT(INDEX(УСПД!$M:$M,MATCH(IFERROR(1*LEFT(INDEX(ТУ!$CG:$CG,MATCH($U67*1,ТУ!$CP:$CP,0),1),SEARCH(" ",INDEX(ТУ!$CG:$CG,MATCH($U67*1,ТУ!$CP:$CP,0),1))-1),""),УСПД!$N:$N,0),1),LEN(INDEX(УСПД!$M:$M,MATCH(IFERROR(1*LEFT(INDEX(ТУ!$CG:$CG,MATCH($U67*1,ТУ!$CP:$CP,0),1),SEARCH(" ",INDEX(ТУ!$CG:$CG,MATCH($U67*1,ТУ!$CP:$CP,0),1))-1),""),УСПД!$N:$N,0),1))-SEARCH(", ",INDEX(УСПД!$M:$M,MATCH(IFERROR(1*LEFT(INDEX(ТУ!$CG:$CG,MATCH($U67*1,ТУ!$CP:$CP,0),1),SEARCH(" ",INDEX(ТУ!$CG:$CG,MATCH($U67*1,ТУ!$CP:$CP,0),1))-1),""),УСПД!$N:$N,0),1),SEARCH(", ",INDEX(УСПД!$M:$M,MATCH(IFERROR(1*LEFT(INDEX(ТУ!$CG:$CG,MATCH($U67*1,ТУ!$CP:$CP,0),1),SEARCH(" ",INDEX(ТУ!$CG:$CG,MATCH($U67*1,ТУ!$CP:$CP,0),1))-1),""),УСПД!$N:$N,0),1))+1)-1))-1),LEFT(INDEX(УСПД!$M:$M,MATCH(IFERROR(1*LEFT(INDEX(ТУ!$CG:$CG,MATCH($U67*1,ТУ!$CP:$CP,0),1),SEARCH(" ",INDEX(ТУ!$CG:$CG,MATCH($U67*1,ТУ!$CP:$CP,0),1))-1),""),УСПД!$N:$N,0),1),SEARCH(":",INDEX(УСПД!$M:$M,MATCH(IFERROR(1*LEFT(INDEX(ТУ!$CG:$CG,MATCH($U67*1,ТУ!$CP:$CP,0),1),SEARCH(" ",INDEX(ТУ!$CG:$CG,MATCH($U67*1,ТУ!$CP:$CP,0),1))-1),""),УСПД!$N:$N,0),1))-1)),""))</f>
        <v>10.81.164.63</v>
      </c>
      <c r="BC67" s="155" t="str">
        <f>INDEX(ТУ!$AF:$AF,MATCH($U67*1,ТУ!$CP:$CP,0),1)</f>
        <v>15980</v>
      </c>
      <c r="BD67" s="155">
        <f>INDEX(ТУ!$X:$X,MATCH($U67*1,ТУ!$CP:$CP,0),1)</f>
        <v>0</v>
      </c>
      <c r="BE67" s="155" t="str">
        <f>INDEX(ТУ!$CL:$CL,MATCH($U67*1,ТУ!$CP:$CP,0),1)</f>
        <v>Не принят ПНР</v>
      </c>
      <c r="BF67" s="147" t="str">
        <f>IFERROR(INDEX(естьАЦ!$A:$A,MATCH($U67*1,естьАЦ!$A:$A,0),1),"нет в АЦ")</f>
        <v>нет в АЦ</v>
      </c>
    </row>
    <row r="68" spans="1:58" ht="25.5" x14ac:dyDescent="0.25">
      <c r="A68" s="55">
        <f>3</f>
        <v>3</v>
      </c>
      <c r="B68" s="42" t="str">
        <f>IFERROR(IFERROR(INDEX(Справочники!$A$2:$P$79,MATCH(INDEX(ТУ!$E:$E,MATCH($U68*1,ТУ!$CP:$CP,0),1),Справочники!$P$2:$P$79,0),2),INDEX(Справочники!$A$2:$P$79,MATCH((INDEX(ТУ!$E:$E,MATCH($U68*1,ТУ!$CP:$CP,0),1))*1,Справочники!$P$2:$P$79,0),2)),"")</f>
        <v>03 р-н МКС (ЦОРУПЭ)</v>
      </c>
      <c r="C68" s="46" t="str">
        <f>IFERROR(TRIM(LEFT(INDEX(ТУ!$AF:$AF,MATCH($U68*1,ТУ!$CP:$CP,0),1),SEARCH("-",INDEX(ТУ!$AF:$AF,MATCH($U68*1,ТУ!$CP:$CP,0),1))-1)),IFERROR(LEFT(INDEX(ТУ!$X:$X,MATCH($U68*1,ТУ!$CP:$CP,0),1),SEARCH("-",INDEX(ТУ!$X:$X,MATCH($U68*1,ТУ!$CP:$CP,0),1))-1),"ТП"))</f>
        <v>ТП</v>
      </c>
      <c r="D68" s="47" t="str">
        <f>IF(TRIM(IF(ISNUMBER((IFERROR(RIGHT(INDEX(ТУ!$AF:$AF,MATCH($U68*1,ТУ!$CP:$CP,0),1),LEN(INDEX(ТУ!$AF:$AF,MATCH($U68*1,ТУ!$CP:$CP,0),1))-SEARCH("-",INDEX(ТУ!$AF:$AF,MATCH($U68*1,ТУ!$CP:$CP,0),1))),INDEX(ТУ!$AF:$AF,MATCH($U68*1,ТУ!$CP:$CP,0),1)))*1),IFERROR(RIGHT(INDEX(ТУ!$AF:$AF,MATCH($U68*1,ТУ!$CP:$CP,0),1),LEN(INDEX(ТУ!$AF:$AF,MATCH($U68*1,ТУ!$CP:$CP,0),1))-SEARCH("-",INDEX(ТУ!$AF:$AF,MATCH($U68*1,ТУ!$CP:$CP,0),1))),INDEX(ТУ!$AF:$AF,MATCH($U68*1,ТУ!$CP:$CP,0),1)),""))="",TRIM(IF(ISNUMBER((IFERROR(RIGHT(INDEX(ТУ!$X:$X,MATCH($U68*1,ТУ!$CP:$CP,0),1),LEN(INDEX(ТУ!$X:$X,MATCH($U68*1,ТУ!$CP:$CP,0),1))-SEARCH("-",INDEX(ТУ!$X:$X,MATCH($U68*1,ТУ!$CP:$CP,0),1))),INDEX(ТУ!$X:$X,MATCH($U68*1,ТУ!$CP:$CP,0),1)))*1),IFERROR(RIGHT(INDEX(ТУ!$X:$X,MATCH($U68*1,ТУ!$CP:$CP,0),1),LEN(INDEX(ТУ!$X:$X,MATCH($U68*1,ТУ!$CP:$CP,0),1))-SEARCH("-",INDEX(ТУ!$X:$X,MATCH($U68*1,ТУ!$CP:$CP,0),1))),INDEX(ТУ!$X:$X,MATCH($U68*1,ТУ!$CP:$CP,0),1)),"")),TRIM(IF(ISNUMBER((IFERROR(RIGHT(INDEX(ТУ!$AF:$AF,MATCH($U68*1,ТУ!$CP:$CP,0),1),LEN(INDEX(ТУ!$AF:$AF,MATCH($U68*1,ТУ!$CP:$CP,0),1))-SEARCH("-",INDEX(ТУ!$AF:$AF,MATCH($U68*1,ТУ!$CP:$CP,0),1))),INDEX(ТУ!$AF:$AF,MATCH($U68*1,ТУ!$CP:$CP,0),1)))*1),IFERROR(RIGHT(INDEX(ТУ!$AF:$AF,MATCH($U68*1,ТУ!$CP:$CP,0),1),LEN(INDEX(ТУ!$AF:$AF,MATCH($U68*1,ТУ!$CP:$CP,0),1))-SEARCH("-",INDEX(ТУ!$AF:$AF,MATCH($U68*1,ТУ!$CP:$CP,0),1))),INDEX(ТУ!$AF:$AF,MATCH($U68*1,ТУ!$CP:$CP,0),1)),"")))</f>
        <v>15377</v>
      </c>
      <c r="E68" s="25" t="str">
        <f t="shared" si="2"/>
        <v>МКС</v>
      </c>
      <c r="F68" s="20">
        <f t="shared" si="3"/>
        <v>77</v>
      </c>
      <c r="G68" s="21">
        <f t="shared" si="4"/>
        <v>5</v>
      </c>
      <c r="H68" s="25" t="str">
        <f t="shared" si="5"/>
        <v>ТП-15377</v>
      </c>
      <c r="I68" s="25" t="str">
        <f t="shared" si="6"/>
        <v>77515377</v>
      </c>
      <c r="J68" s="42" t="str">
        <f>INDEX(Справочники!$M:$M,MATCH(IF(INDEX(ТУ!$BO:$BO,MATCH($U68*1,ТУ!$CP:$CP,0),1)=1,1,INDEX(ТУ!$BO:$BO,MATCH($U68*1,ТУ!$CP:$CP,0),1)*100),Справочники!$N:$N,0),1)</f>
        <v>0.4 кВ</v>
      </c>
      <c r="K68" s="40">
        <f>1</f>
        <v>1</v>
      </c>
      <c r="L68" s="20" t="str">
        <f t="shared" si="7"/>
        <v>СШ-1</v>
      </c>
      <c r="M68" s="20">
        <f t="shared" si="8"/>
        <v>1</v>
      </c>
      <c r="N68" s="40"/>
      <c r="O68" s="56" t="str">
        <f t="shared" si="9"/>
        <v>Ввод-1-1</v>
      </c>
      <c r="P68" s="57" t="str">
        <f>IFERROR(IF(INDEX(ТУ!$AO:$AO,MATCH($U68*1,ТУ!$CP:$CP,0),1)=0,"",INDEX(ТУ!$AO:$AO,MATCH($U68*1,ТУ!$CP:$CP,0),1)),"")</f>
        <v>ВВ 103276 Б</v>
      </c>
      <c r="Q68" s="40">
        <f>IFERROR(IF(INDEX(ТУ!$BN:$BN,MATCH($U68*1,ТУ!$CP:$CP,0),1)=1,1,INDEX(ТУ!$BN:$BN,MATCH($U68*1,ТУ!$CP:$CP,0),1)*5),"")</f>
        <v>400</v>
      </c>
      <c r="R68" s="25">
        <f t="shared" si="10"/>
        <v>5</v>
      </c>
      <c r="S68" s="25">
        <f t="shared" si="11"/>
        <v>1</v>
      </c>
      <c r="T68" s="25">
        <f t="shared" si="12"/>
        <v>1</v>
      </c>
      <c r="U68" s="105" t="s">
        <v>1170</v>
      </c>
      <c r="V68" s="43">
        <f>IF(INDEX(ТУ!$BH:$BH,MATCH($U68*1,ТУ!$CP:$CP,0),1)=0,"",INDEX(ТУ!$BH:$BH,MATCH($U68*1,ТУ!$CP:$CP,0),1))</f>
        <v>45708</v>
      </c>
      <c r="W68" s="43" t="str">
        <f>IF(INDEX(ТУ!$BI:$BI,MATCH($U68*1,ТУ!$CP:$CP,0),1)=0,"",INDEX(ТУ!$BI:$BI,MATCH($U68*1,ТУ!$CP:$CP,0),1))</f>
        <v>20.12.2024</v>
      </c>
      <c r="X68" s="58" t="str">
        <f t="shared" si="13"/>
        <v/>
      </c>
      <c r="Y68" s="25">
        <f t="shared" si="14"/>
        <v>35</v>
      </c>
      <c r="Z68" s="42" t="str">
        <f t="shared" si="15"/>
        <v/>
      </c>
      <c r="AA68" s="25" t="str">
        <f t="shared" si="16"/>
        <v/>
      </c>
      <c r="AB68" s="40" t="str">
        <f>IF(ISNUMBER(SEARCH("Приборы с поддержкой протокола СПОДЭС - Нартис-И300 (СПОДЭС)",INDEX(ТУ!$BD:$BD,MATCH($U68*1,ТУ!$CP:$CP,0),1))),"Нартис-И300",
IF(ISNUMBER(SEARCH("Приборы с поддержкой протокола СПОДЭС - Меркурий 234 (СПОДЭС)",INDEX(ТУ!$BD:$BD,MATCH($U68*1,ТУ!$CP:$CP,0),1))),"Меркурий 234 (СПОДЭС)",
IF(ISNUMBER(SEARCH("Приборы с поддержкой протокола СПОДЭС - Нартис-300 (СПОДЭС)",INDEX(ТУ!$BD:$BD,MATCH($U68*1,ТУ!$CP:$CP,0),1))),"Нартис-300",
IF(ISNUMBER(SEARCH("Инкотекс - Меркурий 234",INDEX(ТУ!$BD:$BD,MATCH($U68*1,ТУ!$CP:$CP,0),1))),"Меркурий 234",
IF(ISNUMBER(SEARCH("Инкотекс - Меркурий 206",INDEX(ТУ!$BD:$BD,MATCH($U68*1,ТУ!$CP:$CP,0),1))),"Меркурий 206",
IF(ISNUMBER(SEARCH("Приборы с поддержкой протокола СПОДЭС - Универсальный счетчик СПОДЭС 2 трехфазный",INDEX(ТУ!$BD:$BD,MATCH($U68*1,ТУ!$CP:$CP,0),1))),"Нартис-И300",
IF(ISNUMBER(SEARCH("Приборы с поддержкой протокола СПОДЭС - Универсальный счетчик СПОДЭС 2 однофазный",INDEX(ТУ!$BD:$BD,MATCH($U68*1,ТУ!$CP:$CP,0),1))),"Нартис-И100",
IF(ISNUMBER(SEARCH("Приборы с поддержкой протокола СПОДЭС - Нартис-И100 (СПОДЭС)",INDEX(ТУ!$BD:$BD,MATCH($U68*1,ТУ!$CP:$CP,0),1))),"Нартис-И100",
IF(ISNUMBER(SEARCH("Приборы с поддержкой протокола СПОДЭС - СЕ308 (СПОДЭС)",INDEX(ТУ!$BD:$BD,MATCH($U68*1,ТУ!$CP:$CP,0),1))),"СЕ308 (СПОДЭС)",
IF(ISNUMBER(SEARCH("Приборы с поддержкой протокола СПОДЭС - СЕ207 (СПОДЭС)",INDEX(ТУ!$BD:$BD,MATCH($U68*1,ТУ!$CP:$CP,0),1))),"СЕ207 (СПОДЭС)",
IF(ISNUMBER(SEARCH("Приборы с поддержкой протокола СПОДЭС - СТЭМ-300 (СПОДЭС)",INDEX(ТУ!$BD:$BD,MATCH($U68*1,ТУ!$CP:$CP,0),1))),"СТЭМ-300 (СПОДЭС)",
IF(ISNUMBER(SEARCH("ТехноЭнерго - ТЕ3000",INDEX(ТУ!$BD:$BD,MATCH($U68*1,ТУ!$CP:$CP,0),1))),"ТЕ3000",
IF(ISNUMBER(SEARCH("НЗиФ - СЭТ-4ТМ",INDEX(ТУ!$BD:$BD,MATCH($U68*1,ТУ!$CP:$CP,0),1))),"СЭТ-4ТМ",
INDEX(ТУ!$BD:$BD,MATCH($U68*1,ТУ!$CP:$CP,0),1)
)))))))))))))</f>
        <v>Приборы с поддержкой протокола СПОДЭС - Универсальный счетчик СПОДЭС трехфазный</v>
      </c>
      <c r="AC68" s="40" t="s">
        <v>2</v>
      </c>
      <c r="AD68" s="40" t="str">
        <f>IF(ISNUMBER(IFERROR(LEFT(IF(INDEX(ТУ!$CI:$CI,MATCH($U68*1,ТУ!$CP:$CP,0),1)=0,"",INDEX(ТУ!$CI:$CI,MATCH($U68*1,ТУ!$CP:$CP,0),1)),SEARCH(" ",IF(INDEX(ТУ!$CI:$CI,MATCH($U68*1,ТУ!$CP:$CP,0),1)=0,"",INDEX(ТУ!$CI:$CI,MATCH($U68*1,ТУ!$CP:$CP,0),1)),1)-1),"")*1),IFERROR(LEFT(IF(INDEX(ТУ!$CI:$CI,MATCH($U68*1,ТУ!$CP:$CP,0),1)=0,"",INDEX(ТУ!$CI:$CI,MATCH($U68*1,ТУ!$CP:$CP,0),1)),SEARCH(" ",IF(INDEX(ТУ!$CI:$CI,MATCH($U68*1,ТУ!$CP:$CP,0),1)=0,"",INDEX(ТУ!$CI:$CI,MATCH($U68*1,ТУ!$CP:$CP,0),1)),1)-1),""),"")</f>
        <v/>
      </c>
      <c r="AE68" s="40">
        <f>IF(INDEX(ТУ!$CB:$CB,MATCH($U68*1,ТУ!$CP:$CP,0),1)=0,INDEX(Adr!$B:$B,MATCH($U68*1,Adr!$C:$C,0),1),INDEX(ТУ!$CB:$CB,MATCH($U68*1,ТУ!$CP:$CP,0),1))</f>
        <v>108</v>
      </c>
      <c r="AF68" s="45" t="str">
        <f>IF(INDEX(ТУ!$CD:$CD,MATCH($U68*1,ТУ!$CP:$CP,0),1)=0,"",INDEX(ТУ!$CD:$CD,MATCH($U68*1,ТУ!$CP:$CP,0),1))</f>
        <v>0000000100000001</v>
      </c>
      <c r="AG68" s="45">
        <f>0</f>
        <v>0</v>
      </c>
      <c r="AH68" s="26">
        <f t="shared" si="17"/>
        <v>77</v>
      </c>
      <c r="AI68" s="20" t="str">
        <f t="shared" si="18"/>
        <v>775153771</v>
      </c>
      <c r="AJ68" s="41" t="str">
        <f t="shared" si="1"/>
        <v/>
      </c>
      <c r="AK68" s="41" t="str">
        <f>IF($AP68="",IFERROR(IFERROR(LEFT(RIGHT(INDEX(ТУ!$CE:$CE,MATCH($U68*1,ТУ!$CP:$CP,0),1),LEN(INDEX(ТУ!$CE:$CE,MATCH($U68*1,ТУ!$CP:$CP,0),1))-SEARCH(":",INDEX(ТУ!$CE:$CE,MATCH($U68*1,ТУ!$CP:$CP,0),1))),SEARCH("/",RIGHT(INDEX(ТУ!$CE:$CE,MATCH($U68*1,ТУ!$CP:$CP,0),1),LEN(INDEX(ТУ!$CE:$CE,MATCH($U68*1,ТУ!$CP:$CP,0),1))-SEARCH(":",INDEX(ТУ!$CE:$CE,MATCH($U68*1,ТУ!$CP:$CP,0),1))))-1), RIGHT(INDEX(ТУ!$CE:$CE,MATCH($U68*1,ТУ!$CP:$CP,0),1),LEN(INDEX(ТУ!$CE:$CE,MATCH($U68*1,ТУ!$CP:$CP,0),1))-SEARCH(":",INDEX(ТУ!$CE:$CE,MATCH($U68*1,ТУ!$CP:$CP,0),1)))), ""),IFERROR(IFERROR(LEFT(RIGHT(INDEX(УСПД!$M:$M,MATCH(IFERROR(1*LEFT(INDEX(ТУ!$CG:$CG,MATCH($U68*1,ТУ!$CP:$CP,0),1),SEARCH(" ",INDEX(ТУ!$CG:$CG,MATCH($U68*1,ТУ!$CP:$CP,0),1))-1),""),УСПД!$N:$N,0),1),LEN(INDEX(УСПД!$M:$M,MATCH(IFERROR(1*LEFT(INDEX(ТУ!$CG:$CG,MATCH($U68*1,ТУ!$CP:$CP,0),1),SEARCH(" ",INDEX(ТУ!$CG:$CG,MATCH($U68*1,ТУ!$CP:$CP,0),1))-1),""),УСПД!$N:$N,0),1))-SEARCH(":",INDEX(УСПД!$M:$M,MATCH(IFERROR(1*LEFT(INDEX(ТУ!$CG:$CG,MATCH($U68*1,ТУ!$CP:$CP,0),1),SEARCH(" ",INDEX(ТУ!$CG:$CG,MATCH($U68*1,ТУ!$CP:$CP,0),1))-1),""),УСПД!$N:$N,0),1))),SEARCH("/",RIGHT(INDEX(УСПД!$M:$M,MATCH(IFERROR(1*LEFT(INDEX(ТУ!$CG:$CG,MATCH($U68*1,ТУ!$CP:$CP,0),1),SEARCH(" ",INDEX(ТУ!$CG:$CG,MATCH($U68*1,ТУ!$CP:$CP,0),1))-1),""),УСПД!$N:$N,0),1),LEN(INDEX(УСПД!$M:$M,MATCH(IFERROR(1*LEFT(INDEX(ТУ!$CG:$CG,MATCH($U68*1,ТУ!$CP:$CP,0),1),SEARCH(" ",INDEX(ТУ!$CG:$CG,MATCH($U68*1,ТУ!$CP:$CP,0),1))-1),""),УСПД!$N:$N,0),1))-SEARCH(":",INDEX(УСПД!$M:$M,MATCH(IFERROR(1*LEFT(INDEX(ТУ!$CG:$CG,MATCH($U68*1,ТУ!$CP:$CP,0),1),SEARCH(" ",INDEX(ТУ!$CG:$CG,MATCH($U68*1,ТУ!$CP:$CP,0),1))-1),""),УСПД!$N:$N,0),1))))-1), RIGHT(INDEX(УСПД!$M:$M,MATCH(IFERROR(1*LEFT(INDEX(ТУ!$CG:$CG,MATCH($U68*1,ТУ!$CP:$CP,0),1),SEARCH(" ",INDEX(ТУ!$CG:$CG,MATCH($U68*1,ТУ!$CP:$CP,0),1))-1),""),УСПД!$N:$N,0),1),LEN(INDEX(УСПД!$M:$M,MATCH(IFERROR(1*LEFT(INDEX(ТУ!$CG:$CG,MATCH($U68*1,ТУ!$CP:$CP,0),1),SEARCH(" ",INDEX(ТУ!$CG:$CG,MATCH($U68*1,ТУ!$CP:$CP,0),1))-1),""),УСПД!$N:$N,0),1))-SEARCH(":",INDEX(УСПД!$M:$M,MATCH(IFERROR(1*LEFT(INDEX(ТУ!$CG:$CG,MATCH($U68*1,ТУ!$CP:$CP,0),1),SEARCH(" ",INDEX(ТУ!$CG:$CG,MATCH($U68*1,ТУ!$CP:$CP,0),1))-1),""),УСПД!$N:$N,0),1)))), ""))</f>
        <v/>
      </c>
      <c r="AL68" s="41"/>
      <c r="AM68" s="57" t="str">
        <f>IFERROR(IFERROR(INDEX(Tel!$B:$B,MATCH($AJ68,Tel!$E:$E,0),1),INDEX(Tel!$B:$B,MATCH($AJ68,Tel!$D:$D,0),1)),"")</f>
        <v/>
      </c>
      <c r="AN68" s="59" t="str">
        <f>IF(ISNUMBER(SEARCH("ТОПАЗ - ТОПАЗ УСПД",IFERROR(RIGHT(LEFT(INDEX(ТУ!$CG:$CG,MATCH($U68*1,ТУ!$CP:$CP,0),1),SEARCH(")",INDEX(ТУ!$CG:$CG,MATCH($U68*1,ТУ!$CP:$CP,0),1))-1),LEN(LEFT(INDEX(ТУ!$CG:$CG,MATCH($U68*1,ТУ!$CP:$CP,0),1),SEARCH(")",INDEX(ТУ!$CG:$CG,MATCH($U68*1,ТУ!$CP:$CP,0),1))-1))-SEARCH("(",INDEX(ТУ!$CG:$CG,MATCH($U68*1,ТУ!$CP:$CP,0),1))),""),1)),"RTU-327",
IF(ISNUMBER(SEARCH("TELEOFIS",$AP68)),"Модем",
""))</f>
        <v/>
      </c>
      <c r="AO68" s="27" t="str">
        <f t="shared" si="24"/>
        <v/>
      </c>
      <c r="AP68" s="57" t="str">
        <f>IF(ISNUMBER(SEARCH("Миландр - Милур GSM/GPRS модем",IFERROR(RIGHT(LEFT(INDEX(ТУ!$CG:$CG,MATCH($U68*1,ТУ!$CP:$CP,0),1),SEARCH(")",INDEX(ТУ!$CG:$CG,MATCH($U68*1,ТУ!$CP:$CP,0),1))-1),LEN(LEFT(INDEX(ТУ!$CG:$CG,MATCH($U68*1,ТУ!$CP:$CP,0),1),SEARCH(")",INDEX(ТУ!$CG:$CG,MATCH($U68*1,ТУ!$CP:$CP,0),1))-1))-SEARCH("(",INDEX(ТУ!$CG:$CG,MATCH($U68*1,ТУ!$CP:$CP,0),1))),""),1)), "TELEOFIS WRX708-L4",IFERROR(RIGHT(LEFT(INDEX(ТУ!$CG:$CG,MATCH($U68*1,ТУ!$CP:$CP,0),1),SEARCH(")",INDEX(ТУ!$CG:$CG,MATCH($U68*1,ТУ!$CP:$CP,0),1))-1),LEN(LEFT(INDEX(ТУ!$CG:$CG,MATCH($U68*1,ТУ!$CP:$CP,0),1),SEARCH(")",INDEX(ТУ!$CG:$CG,MATCH($U68*1,ТУ!$CP:$CP,0),1))-1))-SEARCH("(",INDEX(ТУ!$CG:$CG,MATCH($U68*1,ТУ!$CP:$CP,0),1))),""))</f>
        <v>Завод НАРТИС - УСПД ШЛ-ZB-L</v>
      </c>
      <c r="AQ68" s="57" t="str">
        <f>IFERROR(IF(INDEX(УСПД!$K:$K,MATCH($AS68*1,УСПД!$N:$N,0),1)=0,"",INDEX(УСПД!$K:$K,MATCH($AS68*1,УСПД!$N:$N,0),1)),"")</f>
        <v/>
      </c>
      <c r="AR68" s="57" t="str">
        <f>IFERROR(IF(INDEX(УСПД!$L:$L,MATCH($AS68*1,УСПД!$N:$N,0),1)=0,"",INDEX(УСПД!$L:$L,MATCH($AS68*1,УСПД!$N:$N,0),1)),"")</f>
        <v/>
      </c>
      <c r="AS68" s="60" t="str">
        <f>IFERROR(LEFT(INDEX(ТУ!$CG:$CG,MATCH($U68*1,ТУ!$CP:$CP,0),1),SEARCH(" ",INDEX(ТУ!$CG:$CG,MATCH($U68*1,ТУ!$CP:$CP,0),1))-1),"")</f>
        <v>112402012262</v>
      </c>
      <c r="AT68" s="59" t="s">
        <v>360</v>
      </c>
      <c r="AU68" s="59">
        <f>3</f>
        <v>3</v>
      </c>
      <c r="AV68" s="59" t="s">
        <v>368</v>
      </c>
      <c r="AW68" s="149">
        <f t="shared" si="19"/>
        <v>55</v>
      </c>
      <c r="AX68" s="149">
        <f t="shared" si="20"/>
        <v>34</v>
      </c>
      <c r="AY68" s="149" t="str">
        <f t="shared" si="21"/>
        <v/>
      </c>
      <c r="AZ68" s="149" t="str">
        <f t="shared" si="22"/>
        <v/>
      </c>
      <c r="BA68" s="149">
        <f t="shared" si="23"/>
        <v>1</v>
      </c>
      <c r="BB68" s="154" t="str">
        <f>IF($AP68="",IFERROR(IFERROR(LEFT(RIGHT(INDEX(ТУ!$CE:$CE,MATCH($U68*1,ТУ!$CP:$CP,0),1),LEN(INDEX(ТУ!$CE:$CE,MATCH($U68*1,ТУ!$CP:$CP,0),1))-SEARCH(", ",INDEX(ТУ!$CE:$CE,MATCH($U68*1,ТУ!$CP:$CP,0),1),SEARCH(", ",INDEX(ТУ!$CE:$CE,MATCH($U68*1,ТУ!$CP:$CP,0),1))+1)-1),SEARCH(":",RIGHT(INDEX(ТУ!$CE:$CE,MATCH($U68*1,ТУ!$CP:$CP,0),1),LEN(INDEX(ТУ!$CE:$CE,MATCH($U68*1,ТУ!$CP:$CP,0),1))-SEARCH(", ",INDEX(ТУ!$CE:$CE,MATCH($U68*1,ТУ!$CP:$CP,0),1),SEARCH(", ",INDEX(ТУ!$CE:$CE,MATCH($U68*1,ТУ!$CP:$CP,0),1))+1)-1))-1),LEFT(INDEX(ТУ!$CE:$CE,MATCH($U68*1,ТУ!$CP:$CP,0),1),SEARCH(":",INDEX(ТУ!$CE:$CE,MATCH($U68*1,ТУ!$CP:$CP,0),1))-1)),""),IFERROR(IFERROR(LEFT(RIGHT(INDEX(УСПД!$M:$M,MATCH(IFERROR(1*LEFT(INDEX(ТУ!$CG:$CG,MATCH($U68*1,ТУ!$CP:$CP,0),1),SEARCH(" ",INDEX(ТУ!$CG:$CG,MATCH($U68*1,ТУ!$CP:$CP,0),1))-1),""),УСПД!$N:$N,0),1),LEN(INDEX(УСПД!$M:$M,MATCH(IFERROR(1*LEFT(INDEX(ТУ!$CG:$CG,MATCH($U68*1,ТУ!$CP:$CP,0),1),SEARCH(" ",INDEX(ТУ!$CG:$CG,MATCH($U68*1,ТУ!$CP:$CP,0),1))-1),""),УСПД!$N:$N,0),1))-SEARCH(", ",INDEX(УСПД!$M:$M,MATCH(IFERROR(1*LEFT(INDEX(ТУ!$CG:$CG,MATCH($U68*1,ТУ!$CP:$CP,0),1),SEARCH(" ",INDEX(ТУ!$CG:$CG,MATCH($U68*1,ТУ!$CP:$CP,0),1))-1),""),УСПД!$N:$N,0),1),SEARCH(", ",INDEX(УСПД!$M:$M,MATCH(IFERROR(1*LEFT(INDEX(ТУ!$CG:$CG,MATCH($U68*1,ТУ!$CP:$CP,0),1),SEARCH(" ",INDEX(ТУ!$CG:$CG,MATCH($U68*1,ТУ!$CP:$CP,0),1))-1),""),УСПД!$N:$N,0),1))+1)-1),SEARCH(":",RIGHT(INDEX(УСПД!$M:$M,MATCH(IFERROR(1*LEFT(INDEX(ТУ!$CG:$CG,MATCH($U68*1,ТУ!$CP:$CP,0),1),SEARCH(" ",INDEX(ТУ!$CG:$CG,MATCH($U68*1,ТУ!$CP:$CP,0),1))-1),""),УСПД!$N:$N,0),1),LEN(INDEX(УСПД!$M:$M,MATCH(IFERROR(1*LEFT(INDEX(ТУ!$CG:$CG,MATCH($U68*1,ТУ!$CP:$CP,0),1),SEARCH(" ",INDEX(ТУ!$CG:$CG,MATCH($U68*1,ТУ!$CP:$CP,0),1))-1),""),УСПД!$N:$N,0),1))-SEARCH(", ",INDEX(УСПД!$M:$M,MATCH(IFERROR(1*LEFT(INDEX(ТУ!$CG:$CG,MATCH($U68*1,ТУ!$CP:$CP,0),1),SEARCH(" ",INDEX(ТУ!$CG:$CG,MATCH($U68*1,ТУ!$CP:$CP,0),1))-1),""),УСПД!$N:$N,0),1),SEARCH(", ",INDEX(УСПД!$M:$M,MATCH(IFERROR(1*LEFT(INDEX(ТУ!$CG:$CG,MATCH($U68*1,ТУ!$CP:$CP,0),1),SEARCH(" ",INDEX(ТУ!$CG:$CG,MATCH($U68*1,ТУ!$CP:$CP,0),1))-1),""),УСПД!$N:$N,0),1))+1)-1))-1),LEFT(INDEX(УСПД!$M:$M,MATCH(IFERROR(1*LEFT(INDEX(ТУ!$CG:$CG,MATCH($U68*1,ТУ!$CP:$CP,0),1),SEARCH(" ",INDEX(ТУ!$CG:$CG,MATCH($U68*1,ТУ!$CP:$CP,0),1))-1),""),УСПД!$N:$N,0),1),SEARCH(":",INDEX(УСПД!$M:$M,MATCH(IFERROR(1*LEFT(INDEX(ТУ!$CG:$CG,MATCH($U68*1,ТУ!$CP:$CP,0),1),SEARCH(" ",INDEX(ТУ!$CG:$CG,MATCH($U68*1,ТУ!$CP:$CP,0),1))-1),""),УСПД!$N:$N,0),1))-1)),""))</f>
        <v/>
      </c>
      <c r="BC68" s="155" t="str">
        <f>INDEX(ТУ!$AF:$AF,MATCH($U68*1,ТУ!$CP:$CP,0),1)</f>
        <v>ТП-15377</v>
      </c>
      <c r="BD68" s="155" t="str">
        <f>INDEX(ТУ!$X:$X,MATCH($U68*1,ТУ!$CP:$CP,0),1)</f>
        <v>РП-10225</v>
      </c>
      <c r="BE68" s="155">
        <f>INDEX(ТУ!$CL:$CL,MATCH($U68*1,ТУ!$CP:$CP,0),1)</f>
        <v>0</v>
      </c>
      <c r="BF68" s="147" t="str">
        <f>IFERROR(INDEX(естьАЦ!$A:$A,MATCH($U68*1,естьАЦ!$A:$A,0),1),"нет в АЦ")</f>
        <v>нет в АЦ</v>
      </c>
    </row>
    <row r="69" spans="1:58" ht="25.5" x14ac:dyDescent="0.25">
      <c r="A69" s="55">
        <f>3</f>
        <v>3</v>
      </c>
      <c r="B69" s="42" t="str">
        <f>IFERROR(IFERROR(INDEX(Справочники!$A$2:$P$79,MATCH(INDEX(ТУ!$E:$E,MATCH($U69*1,ТУ!$CP:$CP,0),1),Справочники!$P$2:$P$79,0),2),INDEX(Справочники!$A$2:$P$79,MATCH((INDEX(ТУ!$E:$E,MATCH($U69*1,ТУ!$CP:$CP,0),1))*1,Справочники!$P$2:$P$79,0),2)),"")</f>
        <v>03 р-н МКС (ЦОРУПЭ)</v>
      </c>
      <c r="C69" s="46" t="str">
        <f>IFERROR(TRIM(LEFT(INDEX(ТУ!$AF:$AF,MATCH($U69*1,ТУ!$CP:$CP,0),1),SEARCH("-",INDEX(ТУ!$AF:$AF,MATCH($U69*1,ТУ!$CP:$CP,0),1))-1)),IFERROR(LEFT(INDEX(ТУ!$X:$X,MATCH($U69*1,ТУ!$CP:$CP,0),1),SEARCH("-",INDEX(ТУ!$X:$X,MATCH($U69*1,ТУ!$CP:$CP,0),1))-1),"ТП"))</f>
        <v>ТП</v>
      </c>
      <c r="D69" s="47" t="str">
        <f>IF(TRIM(IF(ISNUMBER((IFERROR(RIGHT(INDEX(ТУ!$AF:$AF,MATCH($U69*1,ТУ!$CP:$CP,0),1),LEN(INDEX(ТУ!$AF:$AF,MATCH($U69*1,ТУ!$CP:$CP,0),1))-SEARCH("-",INDEX(ТУ!$AF:$AF,MATCH($U69*1,ТУ!$CP:$CP,0),1))),INDEX(ТУ!$AF:$AF,MATCH($U69*1,ТУ!$CP:$CP,0),1)))*1),IFERROR(RIGHT(INDEX(ТУ!$AF:$AF,MATCH($U69*1,ТУ!$CP:$CP,0),1),LEN(INDEX(ТУ!$AF:$AF,MATCH($U69*1,ТУ!$CP:$CP,0),1))-SEARCH("-",INDEX(ТУ!$AF:$AF,MATCH($U69*1,ТУ!$CP:$CP,0),1))),INDEX(ТУ!$AF:$AF,MATCH($U69*1,ТУ!$CP:$CP,0),1)),""))="",TRIM(IF(ISNUMBER((IFERROR(RIGHT(INDEX(ТУ!$X:$X,MATCH($U69*1,ТУ!$CP:$CP,0),1),LEN(INDEX(ТУ!$X:$X,MATCH($U69*1,ТУ!$CP:$CP,0),1))-SEARCH("-",INDEX(ТУ!$X:$X,MATCH($U69*1,ТУ!$CP:$CP,0),1))),INDEX(ТУ!$X:$X,MATCH($U69*1,ТУ!$CP:$CP,0),1)))*1),IFERROR(RIGHT(INDEX(ТУ!$X:$X,MATCH($U69*1,ТУ!$CP:$CP,0),1),LEN(INDEX(ТУ!$X:$X,MATCH($U69*1,ТУ!$CP:$CP,0),1))-SEARCH("-",INDEX(ТУ!$X:$X,MATCH($U69*1,ТУ!$CP:$CP,0),1))),INDEX(ТУ!$X:$X,MATCH($U69*1,ТУ!$CP:$CP,0),1)),"")),TRIM(IF(ISNUMBER((IFERROR(RIGHT(INDEX(ТУ!$AF:$AF,MATCH($U69*1,ТУ!$CP:$CP,0),1),LEN(INDEX(ТУ!$AF:$AF,MATCH($U69*1,ТУ!$CP:$CP,0),1))-SEARCH("-",INDEX(ТУ!$AF:$AF,MATCH($U69*1,ТУ!$CP:$CP,0),1))),INDEX(ТУ!$AF:$AF,MATCH($U69*1,ТУ!$CP:$CP,0),1)))*1),IFERROR(RIGHT(INDEX(ТУ!$AF:$AF,MATCH($U69*1,ТУ!$CP:$CP,0),1),LEN(INDEX(ТУ!$AF:$AF,MATCH($U69*1,ТУ!$CP:$CP,0),1))-SEARCH("-",INDEX(ТУ!$AF:$AF,MATCH($U69*1,ТУ!$CP:$CP,0),1))),INDEX(ТУ!$AF:$AF,MATCH($U69*1,ТУ!$CP:$CP,0),1)),"")))</f>
        <v>12360</v>
      </c>
      <c r="E69" s="25" t="str">
        <f t="shared" si="2"/>
        <v>МКС</v>
      </c>
      <c r="F69" s="20">
        <f t="shared" si="3"/>
        <v>77</v>
      </c>
      <c r="G69" s="21">
        <f t="shared" si="4"/>
        <v>5</v>
      </c>
      <c r="H69" s="25" t="str">
        <f t="shared" si="5"/>
        <v>ТП-12360</v>
      </c>
      <c r="I69" s="25" t="str">
        <f t="shared" si="6"/>
        <v>77512360</v>
      </c>
      <c r="J69" s="42" t="str">
        <f>INDEX(Справочники!$M:$M,MATCH(IF(INDEX(ТУ!$BO:$BO,MATCH($U69*1,ТУ!$CP:$CP,0),1)=1,1,INDEX(ТУ!$BO:$BO,MATCH($U69*1,ТУ!$CP:$CP,0),1)*100),Справочники!$N:$N,0),1)</f>
        <v>0.4 кВ</v>
      </c>
      <c r="K69" s="40">
        <f>1</f>
        <v>1</v>
      </c>
      <c r="L69" s="20" t="str">
        <f t="shared" si="7"/>
        <v>СШ-1</v>
      </c>
      <c r="M69" s="20">
        <f t="shared" si="8"/>
        <v>1</v>
      </c>
      <c r="N69" s="40"/>
      <c r="O69" s="56" t="str">
        <f t="shared" si="9"/>
        <v>Ввод-1-1</v>
      </c>
      <c r="P69" s="57" t="str">
        <f>IFERROR(IF(INDEX(ТУ!$AO:$AO,MATCH($U69*1,ТУ!$CP:$CP,0),1)=0,"",INDEX(ТУ!$AO:$AO,MATCH($U69*1,ТУ!$CP:$CP,0),1)),"")</f>
        <v>вв 131023 А</v>
      </c>
      <c r="Q69" s="40">
        <f>IFERROR(IF(INDEX(ТУ!$BN:$BN,MATCH($U69*1,ТУ!$CP:$CP,0),1)=1,1,INDEX(ТУ!$BN:$BN,MATCH($U69*1,ТУ!$CP:$CP,0),1)*5),"")</f>
        <v>1</v>
      </c>
      <c r="R69" s="25">
        <f t="shared" si="10"/>
        <v>1</v>
      </c>
      <c r="S69" s="25">
        <f t="shared" si="11"/>
        <v>1</v>
      </c>
      <c r="T69" s="25">
        <f t="shared" si="12"/>
        <v>1</v>
      </c>
      <c r="U69" s="105" t="s">
        <v>1180</v>
      </c>
      <c r="V69" s="43">
        <f>IF(INDEX(ТУ!$BH:$BH,MATCH($U69*1,ТУ!$CP:$CP,0),1)=0,"",INDEX(ТУ!$BH:$BH,MATCH($U69*1,ТУ!$CP:$CP,0),1))</f>
        <v>44112</v>
      </c>
      <c r="W69" s="43" t="str">
        <f>IF(INDEX(ТУ!$BI:$BI,MATCH($U69*1,ТУ!$CP:$CP,0),1)=0,"",INDEX(ТУ!$BI:$BI,MATCH($U69*1,ТУ!$CP:$CP,0),1))</f>
        <v>11.05.2020</v>
      </c>
      <c r="X69" s="58" t="str">
        <f t="shared" si="13"/>
        <v/>
      </c>
      <c r="Y69" s="25">
        <f t="shared" si="14"/>
        <v>35</v>
      </c>
      <c r="Z69" s="42" t="str">
        <f t="shared" si="15"/>
        <v/>
      </c>
      <c r="AA69" s="25" t="str">
        <f t="shared" si="16"/>
        <v/>
      </c>
      <c r="AB69" s="40" t="str">
        <f>IF(ISNUMBER(SEARCH("Приборы с поддержкой протокола СПОДЭС - Нартис-И300 (СПОДЭС)",INDEX(ТУ!$BD:$BD,MATCH($U69*1,ТУ!$CP:$CP,0),1))),"Нартис-И300",
IF(ISNUMBER(SEARCH("Приборы с поддержкой протокола СПОДЭС - Меркурий 234 (СПОДЭС)",INDEX(ТУ!$BD:$BD,MATCH($U69*1,ТУ!$CP:$CP,0),1))),"Меркурий 234 (СПОДЭС)",
IF(ISNUMBER(SEARCH("Приборы с поддержкой протокола СПОДЭС - Нартис-300 (СПОДЭС)",INDEX(ТУ!$BD:$BD,MATCH($U69*1,ТУ!$CP:$CP,0),1))),"Нартис-300",
IF(ISNUMBER(SEARCH("Инкотекс - Меркурий 234",INDEX(ТУ!$BD:$BD,MATCH($U69*1,ТУ!$CP:$CP,0),1))),"Меркурий 234",
IF(ISNUMBER(SEARCH("Инкотекс - Меркурий 206",INDEX(ТУ!$BD:$BD,MATCH($U69*1,ТУ!$CP:$CP,0),1))),"Меркурий 206",
IF(ISNUMBER(SEARCH("Приборы с поддержкой протокола СПОДЭС - Универсальный счетчик СПОДЭС 2 трехфазный",INDEX(ТУ!$BD:$BD,MATCH($U69*1,ТУ!$CP:$CP,0),1))),"Нартис-И300",
IF(ISNUMBER(SEARCH("Приборы с поддержкой протокола СПОДЭС - Универсальный счетчик СПОДЭС 2 однофазный",INDEX(ТУ!$BD:$BD,MATCH($U69*1,ТУ!$CP:$CP,0),1))),"Нартис-И100",
IF(ISNUMBER(SEARCH("Приборы с поддержкой протокола СПОДЭС - Нартис-И100 (СПОДЭС)",INDEX(ТУ!$BD:$BD,MATCH($U69*1,ТУ!$CP:$CP,0),1))),"Нартис-И100",
IF(ISNUMBER(SEARCH("Приборы с поддержкой протокола СПОДЭС - СЕ308 (СПОДЭС)",INDEX(ТУ!$BD:$BD,MATCH($U69*1,ТУ!$CP:$CP,0),1))),"СЕ308 (СПОДЭС)",
IF(ISNUMBER(SEARCH("Приборы с поддержкой протокола СПОДЭС - СЕ207 (СПОДЭС)",INDEX(ТУ!$BD:$BD,MATCH($U69*1,ТУ!$CP:$CP,0),1))),"СЕ207 (СПОДЭС)",
IF(ISNUMBER(SEARCH("Приборы с поддержкой протокола СПОДЭС - СТЭМ-300 (СПОДЭС)",INDEX(ТУ!$BD:$BD,MATCH($U69*1,ТУ!$CP:$CP,0),1))),"СТЭМ-300 (СПОДЭС)",
IF(ISNUMBER(SEARCH("ТехноЭнерго - ТЕ3000",INDEX(ТУ!$BD:$BD,MATCH($U69*1,ТУ!$CP:$CP,0),1))),"ТЕ3000",
IF(ISNUMBER(SEARCH("НЗиФ - СЭТ-4ТМ",INDEX(ТУ!$BD:$BD,MATCH($U69*1,ТУ!$CP:$CP,0),1))),"СЭТ-4ТМ",
INDEX(ТУ!$BD:$BD,MATCH($U69*1,ТУ!$CP:$CP,0),1)
)))))))))))))</f>
        <v>Энергомера - СЕ303</v>
      </c>
      <c r="AC69" s="40" t="s">
        <v>2</v>
      </c>
      <c r="AD69" s="40" t="str">
        <f>IF(ISNUMBER(IFERROR(LEFT(IF(INDEX(ТУ!$CI:$CI,MATCH($U69*1,ТУ!$CP:$CP,0),1)=0,"",INDEX(ТУ!$CI:$CI,MATCH($U69*1,ТУ!$CP:$CP,0),1)),SEARCH(" ",IF(INDEX(ТУ!$CI:$CI,MATCH($U69*1,ТУ!$CP:$CP,0),1)=0,"",INDEX(ТУ!$CI:$CI,MATCH($U69*1,ТУ!$CP:$CP,0),1)),1)-1),"")*1),IFERROR(LEFT(IF(INDEX(ТУ!$CI:$CI,MATCH($U69*1,ТУ!$CP:$CP,0),1)=0,"",INDEX(ТУ!$CI:$CI,MATCH($U69*1,ТУ!$CP:$CP,0),1)),SEARCH(" ",IF(INDEX(ТУ!$CI:$CI,MATCH($U69*1,ТУ!$CP:$CP,0),1)=0,"",INDEX(ТУ!$CI:$CI,MATCH($U69*1,ТУ!$CP:$CP,0),1)),1)-1),""),"")</f>
        <v>77620001003816</v>
      </c>
      <c r="AE69" s="40" t="str">
        <f>IF(INDEX(ТУ!$CB:$CB,MATCH($U69*1,ТУ!$CP:$CP,0),1)=0,INDEX(Adr!$B:$B,MATCH($U69*1,Adr!$C:$C,0),1),INDEX(ТУ!$CB:$CB,MATCH($U69*1,ТУ!$CP:$CP,0),1))</f>
        <v>151226274</v>
      </c>
      <c r="AF69" s="45" t="str">
        <f>IF(INDEX(ТУ!$CD:$CD,MATCH($U69*1,ТУ!$CP:$CP,0),1)=0,"",INDEX(ТУ!$CD:$CD,MATCH($U69*1,ТУ!$CP:$CP,0),1))</f>
        <v>777777</v>
      </c>
      <c r="AG69" s="45">
        <f>0</f>
        <v>0</v>
      </c>
      <c r="AH69" s="26">
        <f t="shared" si="17"/>
        <v>77</v>
      </c>
      <c r="AI69" s="20" t="str">
        <f t="shared" si="18"/>
        <v>775123601</v>
      </c>
      <c r="AJ69" s="41" t="str">
        <f>IFERROR(RIGHT($BB69,LEN($BB69)-SEARCH("/",$BB69,1)),$BB69)</f>
        <v>10.212.54.103</v>
      </c>
      <c r="AK69" s="41" t="str">
        <f>IF($AP69="",IFERROR(IFERROR(LEFT(RIGHT(INDEX(ТУ!$CE:$CE,MATCH($U69*1,ТУ!$CP:$CP,0),1),LEN(INDEX(ТУ!$CE:$CE,MATCH($U69*1,ТУ!$CP:$CP,0),1))-SEARCH(":",INDEX(ТУ!$CE:$CE,MATCH($U69*1,ТУ!$CP:$CP,0),1))),SEARCH("/",RIGHT(INDEX(ТУ!$CE:$CE,MATCH($U69*1,ТУ!$CP:$CP,0),1),LEN(INDEX(ТУ!$CE:$CE,MATCH($U69*1,ТУ!$CP:$CP,0),1))-SEARCH(":",INDEX(ТУ!$CE:$CE,MATCH($U69*1,ТУ!$CP:$CP,0),1))))-1), RIGHT(INDEX(ТУ!$CE:$CE,MATCH($U69*1,ТУ!$CP:$CP,0),1),LEN(INDEX(ТУ!$CE:$CE,MATCH($U69*1,ТУ!$CP:$CP,0),1))-SEARCH(":",INDEX(ТУ!$CE:$CE,MATCH($U69*1,ТУ!$CP:$CP,0),1)))), ""),IFERROR(IFERROR(LEFT(RIGHT(INDEX(УСПД!$M:$M,MATCH(IFERROR(1*LEFT(INDEX(ТУ!$CG:$CG,MATCH($U69*1,ТУ!$CP:$CP,0),1),SEARCH(" ",INDEX(ТУ!$CG:$CG,MATCH($U69*1,ТУ!$CP:$CP,0),1))-1),""),УСПД!$N:$N,0),1),LEN(INDEX(УСПД!$M:$M,MATCH(IFERROR(1*LEFT(INDEX(ТУ!$CG:$CG,MATCH($U69*1,ТУ!$CP:$CP,0),1),SEARCH(" ",INDEX(ТУ!$CG:$CG,MATCH($U69*1,ТУ!$CP:$CP,0),1))-1),""),УСПД!$N:$N,0),1))-SEARCH(":",INDEX(УСПД!$M:$M,MATCH(IFERROR(1*LEFT(INDEX(ТУ!$CG:$CG,MATCH($U69*1,ТУ!$CP:$CP,0),1),SEARCH(" ",INDEX(ТУ!$CG:$CG,MATCH($U69*1,ТУ!$CP:$CP,0),1))-1),""),УСПД!$N:$N,0),1))),SEARCH("/",RIGHT(INDEX(УСПД!$M:$M,MATCH(IFERROR(1*LEFT(INDEX(ТУ!$CG:$CG,MATCH($U69*1,ТУ!$CP:$CP,0),1),SEARCH(" ",INDEX(ТУ!$CG:$CG,MATCH($U69*1,ТУ!$CP:$CP,0),1))-1),""),УСПД!$N:$N,0),1),LEN(INDEX(УСПД!$M:$M,MATCH(IFERROR(1*LEFT(INDEX(ТУ!$CG:$CG,MATCH($U69*1,ТУ!$CP:$CP,0),1),SEARCH(" ",INDEX(ТУ!$CG:$CG,MATCH($U69*1,ТУ!$CP:$CP,0),1))-1),""),УСПД!$N:$N,0),1))-SEARCH(":",INDEX(УСПД!$M:$M,MATCH(IFERROR(1*LEFT(INDEX(ТУ!$CG:$CG,MATCH($U69*1,ТУ!$CP:$CP,0),1),SEARCH(" ",INDEX(ТУ!$CG:$CG,MATCH($U69*1,ТУ!$CP:$CP,0),1))-1),""),УСПД!$N:$N,0),1))))-1), RIGHT(INDEX(УСПД!$M:$M,MATCH(IFERROR(1*LEFT(INDEX(ТУ!$CG:$CG,MATCH($U69*1,ТУ!$CP:$CP,0),1),SEARCH(" ",INDEX(ТУ!$CG:$CG,MATCH($U69*1,ТУ!$CP:$CP,0),1))-1),""),УСПД!$N:$N,0),1),LEN(INDEX(УСПД!$M:$M,MATCH(IFERROR(1*LEFT(INDEX(ТУ!$CG:$CG,MATCH($U69*1,ТУ!$CP:$CP,0),1),SEARCH(" ",INDEX(ТУ!$CG:$CG,MATCH($U69*1,ТУ!$CP:$CP,0),1))-1),""),УСПД!$N:$N,0),1))-SEARCH(":",INDEX(УСПД!$M:$M,MATCH(IFERROR(1*LEFT(INDEX(ТУ!$CG:$CG,MATCH($U69*1,ТУ!$CP:$CP,0),1),SEARCH(" ",INDEX(ТУ!$CG:$CG,MATCH($U69*1,ТУ!$CP:$CP,0),1))-1),""),УСПД!$N:$N,0),1)))), ""))</f>
        <v>4002</v>
      </c>
      <c r="AL69" s="41"/>
      <c r="AM69" s="57" t="str">
        <f>IFERROR(IFERROR(INDEX(Tel!$B:$B,MATCH($AJ69,Tel!$E:$E,0),1),INDEX(Tel!$B:$B,MATCH($AJ69,Tel!$D:$D,0),1)),"")</f>
        <v/>
      </c>
      <c r="AN69" s="59" t="str">
        <f>IF(ISNUMBER(SEARCH("ТОПАЗ - ТОПАЗ УСПД",IFERROR(RIGHT(LEFT(INDEX(ТУ!$CG:$CG,MATCH($U69*1,ТУ!$CP:$CP,0),1),SEARCH(")",INDEX(ТУ!$CG:$CG,MATCH($U69*1,ТУ!$CP:$CP,0),1))-1),LEN(LEFT(INDEX(ТУ!$CG:$CG,MATCH($U69*1,ТУ!$CP:$CP,0),1),SEARCH(")",INDEX(ТУ!$CG:$CG,MATCH($U69*1,ТУ!$CP:$CP,0),1))-1))-SEARCH("(",INDEX(ТУ!$CG:$CG,MATCH($U69*1,ТУ!$CP:$CP,0),1))),""),1)),"RTU-327",
IF(ISNUMBER(SEARCH("TELEOFIS",$AP69)),"Модем",
""))</f>
        <v/>
      </c>
      <c r="AO69" s="27" t="str">
        <f t="shared" si="24"/>
        <v/>
      </c>
      <c r="AP69" s="57" t="str">
        <f>IF(ISNUMBER(SEARCH("Миландр - Милур GSM/GPRS модем",IFERROR(RIGHT(LEFT(INDEX(ТУ!$CG:$CG,MATCH($U69*1,ТУ!$CP:$CP,0),1),SEARCH(")",INDEX(ТУ!$CG:$CG,MATCH($U69*1,ТУ!$CP:$CP,0),1))-1),LEN(LEFT(INDEX(ТУ!$CG:$CG,MATCH($U69*1,ТУ!$CP:$CP,0),1),SEARCH(")",INDEX(ТУ!$CG:$CG,MATCH($U69*1,ТУ!$CP:$CP,0),1))-1))-SEARCH("(",INDEX(ТУ!$CG:$CG,MATCH($U69*1,ТУ!$CP:$CP,0),1))),""),1)), "TELEOFIS WRX708-L4",IFERROR(RIGHT(LEFT(INDEX(ТУ!$CG:$CG,MATCH($U69*1,ТУ!$CP:$CP,0),1),SEARCH(")",INDEX(ТУ!$CG:$CG,MATCH($U69*1,ТУ!$CP:$CP,0),1))-1),LEN(LEFT(INDEX(ТУ!$CG:$CG,MATCH($U69*1,ТУ!$CP:$CP,0),1),SEARCH(")",INDEX(ТУ!$CG:$CG,MATCH($U69*1,ТУ!$CP:$CP,0),1))-1))-SEARCH("(",INDEX(ТУ!$CG:$CG,MATCH($U69*1,ТУ!$CP:$CP,0),1))),""))</f>
        <v/>
      </c>
      <c r="AQ69" s="57" t="str">
        <f>IFERROR(IF(INDEX(УСПД!$K:$K,MATCH($AS69*1,УСПД!$N:$N,0),1)=0,"",INDEX(УСПД!$K:$K,MATCH($AS69*1,УСПД!$N:$N,0),1)),"")</f>
        <v/>
      </c>
      <c r="AR69" s="57" t="str">
        <f>IFERROR(IF(INDEX(УСПД!$L:$L,MATCH($AS69*1,УСПД!$N:$N,0),1)=0,"",INDEX(УСПД!$L:$L,MATCH($AS69*1,УСПД!$N:$N,0),1)),"")</f>
        <v/>
      </c>
      <c r="AS69" s="60" t="str">
        <f>IFERROR(LEFT(INDEX(ТУ!$CG:$CG,MATCH($U69*1,ТУ!$CP:$CP,0),1),SEARCH(" ",INDEX(ТУ!$CG:$CG,MATCH($U69*1,ТУ!$CP:$CP,0),1))-1),"")</f>
        <v/>
      </c>
      <c r="AT69" s="59" t="s">
        <v>360</v>
      </c>
      <c r="AU69" s="59">
        <f>3</f>
        <v>3</v>
      </c>
      <c r="AV69" s="59" t="s">
        <v>368</v>
      </c>
      <c r="AW69" s="149">
        <f t="shared" si="19"/>
        <v>55</v>
      </c>
      <c r="AX69" s="149">
        <f t="shared" si="20"/>
        <v>34</v>
      </c>
      <c r="AY69" s="149" t="str">
        <f t="shared" si="21"/>
        <v/>
      </c>
      <c r="AZ69" s="149" t="str">
        <f t="shared" si="22"/>
        <v/>
      </c>
      <c r="BA69" s="149">
        <f t="shared" si="23"/>
        <v>1</v>
      </c>
      <c r="BB69" s="154" t="str">
        <f>IF($AP69="",IFERROR(IFERROR(LEFT(RIGHT(INDEX(ТУ!$CE:$CE,MATCH($U69*1,ТУ!$CP:$CP,0),1),LEN(INDEX(ТУ!$CE:$CE,MATCH($U69*1,ТУ!$CP:$CP,0),1))-SEARCH(", ",INDEX(ТУ!$CE:$CE,MATCH($U69*1,ТУ!$CP:$CP,0),1),SEARCH(", ",INDEX(ТУ!$CE:$CE,MATCH($U69*1,ТУ!$CP:$CP,0),1))+1)-1),SEARCH(":",RIGHT(INDEX(ТУ!$CE:$CE,MATCH($U69*1,ТУ!$CP:$CP,0),1),LEN(INDEX(ТУ!$CE:$CE,MATCH($U69*1,ТУ!$CP:$CP,0),1))-SEARCH(", ",INDEX(ТУ!$CE:$CE,MATCH($U69*1,ТУ!$CP:$CP,0),1),SEARCH(", ",INDEX(ТУ!$CE:$CE,MATCH($U69*1,ТУ!$CP:$CP,0),1))+1)-1))-1),LEFT(INDEX(ТУ!$CE:$CE,MATCH($U69*1,ТУ!$CP:$CP,0),1),SEARCH(":",INDEX(ТУ!$CE:$CE,MATCH($U69*1,ТУ!$CP:$CP,0),1))-1)),""),IFERROR(IFERROR(LEFT(RIGHT(INDEX(УСПД!$M:$M,MATCH(IFERROR(1*LEFT(INDEX(ТУ!$CG:$CG,MATCH($U69*1,ТУ!$CP:$CP,0),1),SEARCH(" ",INDEX(ТУ!$CG:$CG,MATCH($U69*1,ТУ!$CP:$CP,0),1))-1),""),УСПД!$N:$N,0),1),LEN(INDEX(УСПД!$M:$M,MATCH(IFERROR(1*LEFT(INDEX(ТУ!$CG:$CG,MATCH($U69*1,ТУ!$CP:$CP,0),1),SEARCH(" ",INDEX(ТУ!$CG:$CG,MATCH($U69*1,ТУ!$CP:$CP,0),1))-1),""),УСПД!$N:$N,0),1))-SEARCH(", ",INDEX(УСПД!$M:$M,MATCH(IFERROR(1*LEFT(INDEX(ТУ!$CG:$CG,MATCH($U69*1,ТУ!$CP:$CP,0),1),SEARCH(" ",INDEX(ТУ!$CG:$CG,MATCH($U69*1,ТУ!$CP:$CP,0),1))-1),""),УСПД!$N:$N,0),1),SEARCH(", ",INDEX(УСПД!$M:$M,MATCH(IFERROR(1*LEFT(INDEX(ТУ!$CG:$CG,MATCH($U69*1,ТУ!$CP:$CP,0),1),SEARCH(" ",INDEX(ТУ!$CG:$CG,MATCH($U69*1,ТУ!$CP:$CP,0),1))-1),""),УСПД!$N:$N,0),1))+1)-1),SEARCH(":",RIGHT(INDEX(УСПД!$M:$M,MATCH(IFERROR(1*LEFT(INDEX(ТУ!$CG:$CG,MATCH($U69*1,ТУ!$CP:$CP,0),1),SEARCH(" ",INDEX(ТУ!$CG:$CG,MATCH($U69*1,ТУ!$CP:$CP,0),1))-1),""),УСПД!$N:$N,0),1),LEN(INDEX(УСПД!$M:$M,MATCH(IFERROR(1*LEFT(INDEX(ТУ!$CG:$CG,MATCH($U69*1,ТУ!$CP:$CP,0),1),SEARCH(" ",INDEX(ТУ!$CG:$CG,MATCH($U69*1,ТУ!$CP:$CP,0),1))-1),""),УСПД!$N:$N,0),1))-SEARCH(", ",INDEX(УСПД!$M:$M,MATCH(IFERROR(1*LEFT(INDEX(ТУ!$CG:$CG,MATCH($U69*1,ТУ!$CP:$CP,0),1),SEARCH(" ",INDEX(ТУ!$CG:$CG,MATCH($U69*1,ТУ!$CP:$CP,0),1))-1),""),УСПД!$N:$N,0),1),SEARCH(", ",INDEX(УСПД!$M:$M,MATCH(IFERROR(1*LEFT(INDEX(ТУ!$CG:$CG,MATCH($U69*1,ТУ!$CP:$CP,0),1),SEARCH(" ",INDEX(ТУ!$CG:$CG,MATCH($U69*1,ТУ!$CP:$CP,0),1))-1),""),УСПД!$N:$N,0),1))+1)-1))-1),LEFT(INDEX(УСПД!$M:$M,MATCH(IFERROR(1*LEFT(INDEX(ТУ!$CG:$CG,MATCH($U69*1,ТУ!$CP:$CP,0),1),SEARCH(" ",INDEX(ТУ!$CG:$CG,MATCH($U69*1,ТУ!$CP:$CP,0),1))-1),""),УСПД!$N:$N,0),1),SEARCH(":",INDEX(УСПД!$M:$M,MATCH(IFERROR(1*LEFT(INDEX(ТУ!$CG:$CG,MATCH($U69*1,ТУ!$CP:$CP,0),1),SEARCH(" ",INDEX(ТУ!$CG:$CG,MATCH($U69*1,ТУ!$CP:$CP,0),1))-1),""),УСПД!$N:$N,0),1))-1)),""))</f>
        <v>10.212.54.103</v>
      </c>
      <c r="BC69" s="155" t="str">
        <f>INDEX(ТУ!$AF:$AF,MATCH($U69*1,ТУ!$CP:$CP,0),1)</f>
        <v>ТП-12360</v>
      </c>
      <c r="BD69" s="155">
        <f>INDEX(ТУ!$X:$X,MATCH($U69*1,ТУ!$CP:$CP,0),1)</f>
        <v>0</v>
      </c>
      <c r="BE69" s="155">
        <f>INDEX(ТУ!$CL:$CL,MATCH($U69*1,ТУ!$CP:$CP,0),1)</f>
        <v>0</v>
      </c>
      <c r="BF69" s="147" t="str">
        <f>IFERROR(INDEX(естьАЦ!$A:$A,MATCH($U69*1,естьАЦ!$A:$A,0),1),"нет в АЦ")</f>
        <v>нет в АЦ</v>
      </c>
    </row>
    <row r="70" spans="1:58" ht="25.5" x14ac:dyDescent="0.25">
      <c r="A70" s="55">
        <f>3</f>
        <v>3</v>
      </c>
      <c r="B70" s="42" t="str">
        <f>IFERROR(IFERROR(INDEX(Справочники!$A$2:$P$79,MATCH(INDEX(ТУ!$E:$E,MATCH($U70*1,ТУ!$CP:$CP,0),1),Справочники!$P$2:$P$79,0),2),INDEX(Справочники!$A$2:$P$79,MATCH((INDEX(ТУ!$E:$E,MATCH($U70*1,ТУ!$CP:$CP,0),1))*1,Справочники!$P$2:$P$79,0),2)),"")</f>
        <v/>
      </c>
      <c r="C70" s="46" t="str">
        <f>IFERROR(TRIM(LEFT(INDEX(ТУ!$AF:$AF,MATCH($U70*1,ТУ!$CP:$CP,0),1),SEARCH("-",INDEX(ТУ!$AF:$AF,MATCH($U70*1,ТУ!$CP:$CP,0),1))-1)),IFERROR(LEFT(INDEX(ТУ!$X:$X,MATCH($U70*1,ТУ!$CP:$CP,0),1),SEARCH("-",INDEX(ТУ!$X:$X,MATCH($U70*1,ТУ!$CP:$CP,0),1))-1),"ТП"))</f>
        <v>ТП</v>
      </c>
      <c r="D70" s="47" t="str">
        <f>IF(TRIM(IF(ISNUMBER((IFERROR(RIGHT(INDEX(ТУ!$AF:$AF,MATCH($U70*1,ТУ!$CP:$CP,0),1),LEN(INDEX(ТУ!$AF:$AF,MATCH($U70*1,ТУ!$CP:$CP,0),1))-SEARCH("-",INDEX(ТУ!$AF:$AF,MATCH($U70*1,ТУ!$CP:$CP,0),1))),INDEX(ТУ!$AF:$AF,MATCH($U70*1,ТУ!$CP:$CP,0),1)))*1),IFERROR(RIGHT(INDEX(ТУ!$AF:$AF,MATCH($U70*1,ТУ!$CP:$CP,0),1),LEN(INDEX(ТУ!$AF:$AF,MATCH($U70*1,ТУ!$CP:$CP,0),1))-SEARCH("-",INDEX(ТУ!$AF:$AF,MATCH($U70*1,ТУ!$CP:$CP,0),1))),INDEX(ТУ!$AF:$AF,MATCH($U70*1,ТУ!$CP:$CP,0),1)),""))="",TRIM(IF(ISNUMBER((IFERROR(RIGHT(INDEX(ТУ!$X:$X,MATCH($U70*1,ТУ!$CP:$CP,0),1),LEN(INDEX(ТУ!$X:$X,MATCH($U70*1,ТУ!$CP:$CP,0),1))-SEARCH("-",INDEX(ТУ!$X:$X,MATCH($U70*1,ТУ!$CP:$CP,0),1))),INDEX(ТУ!$X:$X,MATCH($U70*1,ТУ!$CP:$CP,0),1)))*1),IFERROR(RIGHT(INDEX(ТУ!$X:$X,MATCH($U70*1,ТУ!$CP:$CP,0),1),LEN(INDEX(ТУ!$X:$X,MATCH($U70*1,ТУ!$CP:$CP,0),1))-SEARCH("-",INDEX(ТУ!$X:$X,MATCH($U70*1,ТУ!$CP:$CP,0),1))),INDEX(ТУ!$X:$X,MATCH($U70*1,ТУ!$CP:$CP,0),1)),"")),TRIM(IF(ISNUMBER((IFERROR(RIGHT(INDEX(ТУ!$AF:$AF,MATCH($U70*1,ТУ!$CP:$CP,0),1),LEN(INDEX(ТУ!$AF:$AF,MATCH($U70*1,ТУ!$CP:$CP,0),1))-SEARCH("-",INDEX(ТУ!$AF:$AF,MATCH($U70*1,ТУ!$CP:$CP,0),1))),INDEX(ТУ!$AF:$AF,MATCH($U70*1,ТУ!$CP:$CP,0),1)))*1),IFERROR(RIGHT(INDEX(ТУ!$AF:$AF,MATCH($U70*1,ТУ!$CP:$CP,0),1),LEN(INDEX(ТУ!$AF:$AF,MATCH($U70*1,ТУ!$CP:$CP,0),1))-SEARCH("-",INDEX(ТУ!$AF:$AF,MATCH($U70*1,ТУ!$CP:$CP,0),1))),INDEX(ТУ!$AF:$AF,MATCH($U70*1,ТУ!$CP:$CP,0),1)),"")))</f>
        <v/>
      </c>
      <c r="E70" s="25" t="str">
        <f t="shared" si="2"/>
        <v/>
      </c>
      <c r="F70" s="20" t="str">
        <f t="shared" si="3"/>
        <v/>
      </c>
      <c r="G70" s="21">
        <f t="shared" si="4"/>
        <v>5</v>
      </c>
      <c r="H70" s="25" t="str">
        <f t="shared" si="5"/>
        <v>ТП-</v>
      </c>
      <c r="I70" s="25" t="str">
        <f t="shared" si="6"/>
        <v>500000</v>
      </c>
      <c r="J70" s="42" t="str">
        <f>INDEX(Справочники!$M:$M,MATCH(IF(INDEX(ТУ!$BO:$BO,MATCH($U70*1,ТУ!$CP:$CP,0),1)=1,1,INDEX(ТУ!$BO:$BO,MATCH($U70*1,ТУ!$CP:$CP,0),1)*100),Справочники!$N:$N,0),1)</f>
        <v>0.4 кВ</v>
      </c>
      <c r="K70" s="40">
        <f>1</f>
        <v>1</v>
      </c>
      <c r="L70" s="20" t="str">
        <f t="shared" si="7"/>
        <v>СШ-1</v>
      </c>
      <c r="M70" s="20">
        <f t="shared" si="8"/>
        <v>1</v>
      </c>
      <c r="N70" s="40"/>
      <c r="O70" s="56" t="str">
        <f t="shared" si="9"/>
        <v>Ввод-1-1</v>
      </c>
      <c r="P70" s="57" t="str">
        <f>IFERROR(IF(INDEX(ТУ!$AO:$AO,MATCH($U70*1,ТУ!$CP:$CP,0),1)=0,"",INDEX(ТУ!$AO:$AO,MATCH($U70*1,ТУ!$CP:$CP,0),1)),"")</f>
        <v>яч.1</v>
      </c>
      <c r="Q70" s="40">
        <f>IFERROR(IF(INDEX(ТУ!$BN:$BN,MATCH($U70*1,ТУ!$CP:$CP,0),1)=1,1,INDEX(ТУ!$BN:$BN,MATCH($U70*1,ТУ!$CP:$CP,0),1)*5),"")</f>
        <v>1</v>
      </c>
      <c r="R70" s="25">
        <f t="shared" si="10"/>
        <v>1</v>
      </c>
      <c r="S70" s="25">
        <f t="shared" si="11"/>
        <v>1</v>
      </c>
      <c r="T70" s="25">
        <f t="shared" si="12"/>
        <v>1</v>
      </c>
      <c r="U70" s="105" t="s">
        <v>1189</v>
      </c>
      <c r="V70" s="43">
        <f>IF(INDEX(ТУ!$BH:$BH,MATCH($U70*1,ТУ!$CP:$CP,0),1)=0,"",INDEX(ТУ!$BH:$BH,MATCH($U70*1,ТУ!$CP:$CP,0),1))</f>
        <v>44690</v>
      </c>
      <c r="W70" s="43" t="str">
        <f>IF(INDEX(ТУ!$BI:$BI,MATCH($U70*1,ТУ!$CP:$CP,0),1)=0,"",INDEX(ТУ!$BI:$BI,MATCH($U70*1,ТУ!$CP:$CP,0),1))</f>
        <v/>
      </c>
      <c r="X70" s="58" t="str">
        <f t="shared" si="13"/>
        <v/>
      </c>
      <c r="Y70" s="25">
        <f t="shared" si="14"/>
        <v>35</v>
      </c>
      <c r="Z70" s="42" t="str">
        <f t="shared" si="15"/>
        <v/>
      </c>
      <c r="AA70" s="25" t="str">
        <f t="shared" si="16"/>
        <v/>
      </c>
      <c r="AB70" s="40" t="str">
        <f>IF(ISNUMBER(SEARCH("Приборы с поддержкой протокола СПОДЭС - Нартис-И300 (СПОДЭС)",INDEX(ТУ!$BD:$BD,MATCH($U70*1,ТУ!$CP:$CP,0),1))),"Нартис-И300",
IF(ISNUMBER(SEARCH("Приборы с поддержкой протокола СПОДЭС - Меркурий 234 (СПОДЭС)",INDEX(ТУ!$BD:$BD,MATCH($U70*1,ТУ!$CP:$CP,0),1))),"Меркурий 234 (СПОДЭС)",
IF(ISNUMBER(SEARCH("Приборы с поддержкой протокола СПОДЭС - Нартис-300 (СПОДЭС)",INDEX(ТУ!$BD:$BD,MATCH($U70*1,ТУ!$CP:$CP,0),1))),"Нартис-300",
IF(ISNUMBER(SEARCH("Инкотекс - Меркурий 234",INDEX(ТУ!$BD:$BD,MATCH($U70*1,ТУ!$CP:$CP,0),1))),"Меркурий 234",
IF(ISNUMBER(SEARCH("Инкотекс - Меркурий 206",INDEX(ТУ!$BD:$BD,MATCH($U70*1,ТУ!$CP:$CP,0),1))),"Меркурий 206",
IF(ISNUMBER(SEARCH("Приборы с поддержкой протокола СПОДЭС - Универсальный счетчик СПОДЭС 2 трехфазный",INDEX(ТУ!$BD:$BD,MATCH($U70*1,ТУ!$CP:$CP,0),1))),"Нартис-И300",
IF(ISNUMBER(SEARCH("Приборы с поддержкой протокола СПОДЭС - Универсальный счетчик СПОДЭС 2 однофазный",INDEX(ТУ!$BD:$BD,MATCH($U70*1,ТУ!$CP:$CP,0),1))),"Нартис-И100",
IF(ISNUMBER(SEARCH("Приборы с поддержкой протокола СПОДЭС - Нартис-И100 (СПОДЭС)",INDEX(ТУ!$BD:$BD,MATCH($U70*1,ТУ!$CP:$CP,0),1))),"Нартис-И100",
IF(ISNUMBER(SEARCH("Приборы с поддержкой протокола СПОДЭС - СЕ308 (СПОДЭС)",INDEX(ТУ!$BD:$BD,MATCH($U70*1,ТУ!$CP:$CP,0),1))),"СЕ308 (СПОДЭС)",
IF(ISNUMBER(SEARCH("Приборы с поддержкой протокола СПОДЭС - СЕ207 (СПОДЭС)",INDEX(ТУ!$BD:$BD,MATCH($U70*1,ТУ!$CP:$CP,0),1))),"СЕ207 (СПОДЭС)",
IF(ISNUMBER(SEARCH("Приборы с поддержкой протокола СПОДЭС - СТЭМ-300 (СПОДЭС)",INDEX(ТУ!$BD:$BD,MATCH($U70*1,ТУ!$CP:$CP,0),1))),"СТЭМ-300 (СПОДЭС)",
IF(ISNUMBER(SEARCH("ТехноЭнерго - ТЕ3000",INDEX(ТУ!$BD:$BD,MATCH($U70*1,ТУ!$CP:$CP,0),1))),"ТЕ3000",
IF(ISNUMBER(SEARCH("НЗиФ - СЭТ-4ТМ",INDEX(ТУ!$BD:$BD,MATCH($U70*1,ТУ!$CP:$CP,0),1))),"СЭТ-4ТМ",
INDEX(ТУ!$BD:$BD,MATCH($U70*1,ТУ!$CP:$CP,0),1)
)))))))))))))</f>
        <v>Приборы с поддержкой протокола СПОДЭС - СЕ208 (СПОДЭС)</v>
      </c>
      <c r="AC70" s="40" t="s">
        <v>2</v>
      </c>
      <c r="AD70" s="40" t="str">
        <f>IF(ISNUMBER(IFERROR(LEFT(IF(INDEX(ТУ!$CI:$CI,MATCH($U70*1,ТУ!$CP:$CP,0),1)=0,"",INDEX(ТУ!$CI:$CI,MATCH($U70*1,ТУ!$CP:$CP,0),1)),SEARCH(" ",IF(INDEX(ТУ!$CI:$CI,MATCH($U70*1,ТУ!$CP:$CP,0),1)=0,"",INDEX(ТУ!$CI:$CI,MATCH($U70*1,ТУ!$CP:$CP,0),1)),1)-1),"")*1),IFERROR(LEFT(IF(INDEX(ТУ!$CI:$CI,MATCH($U70*1,ТУ!$CP:$CP,0),1)=0,"",INDEX(ТУ!$CI:$CI,MATCH($U70*1,ТУ!$CP:$CP,0),1)),SEARCH(" ",IF(INDEX(ТУ!$CI:$CI,MATCH($U70*1,ТУ!$CP:$CP,0),1)=0,"",INDEX(ТУ!$CI:$CI,MATCH($U70*1,ТУ!$CP:$CP,0),1)),1)-1),""),"")</f>
        <v/>
      </c>
      <c r="AE70" s="40" t="e">
        <f>IF(INDEX(ТУ!$CB:$CB,MATCH($U70*1,ТУ!$CP:$CP,0),1)=0,INDEX(Adr!$B:$B,MATCH($U70*1,Adr!$C:$C,0),1),INDEX(ТУ!$CB:$CB,MATCH($U70*1,ТУ!$CP:$CP,0),1))</f>
        <v>#N/A</v>
      </c>
      <c r="AF70" s="45" t="str">
        <f>IF(INDEX(ТУ!$CD:$CD,MATCH($U70*1,ТУ!$CP:$CP,0),1)=0,"",INDEX(ТУ!$CD:$CD,MATCH($U70*1,ТУ!$CP:$CP,0),1))</f>
        <v/>
      </c>
      <c r="AG70" s="45">
        <f>0</f>
        <v>0</v>
      </c>
      <c r="AH70" s="26" t="str">
        <f t="shared" si="17"/>
        <v/>
      </c>
      <c r="AI70" s="20" t="str">
        <f t="shared" si="18"/>
        <v>5000001</v>
      </c>
      <c r="AJ70" s="41" t="str">
        <f>IFERROR(RIGHT($BB70,LEN($BB70)-SEARCH("/",$BB70,1)),$BB70)</f>
        <v/>
      </c>
      <c r="AK70" s="41" t="str">
        <f>IF($AP70="",IFERROR(IFERROR(LEFT(RIGHT(INDEX(ТУ!$CE:$CE,MATCH($U70*1,ТУ!$CP:$CP,0),1),LEN(INDEX(ТУ!$CE:$CE,MATCH($U70*1,ТУ!$CP:$CP,0),1))-SEARCH(":",INDEX(ТУ!$CE:$CE,MATCH($U70*1,ТУ!$CP:$CP,0),1))),SEARCH("/",RIGHT(INDEX(ТУ!$CE:$CE,MATCH($U70*1,ТУ!$CP:$CP,0),1),LEN(INDEX(ТУ!$CE:$CE,MATCH($U70*1,ТУ!$CP:$CP,0),1))-SEARCH(":",INDEX(ТУ!$CE:$CE,MATCH($U70*1,ТУ!$CP:$CP,0),1))))-1), RIGHT(INDEX(ТУ!$CE:$CE,MATCH($U70*1,ТУ!$CP:$CP,0),1),LEN(INDEX(ТУ!$CE:$CE,MATCH($U70*1,ТУ!$CP:$CP,0),1))-SEARCH(":",INDEX(ТУ!$CE:$CE,MATCH($U70*1,ТУ!$CP:$CP,0),1)))), ""),IFERROR(IFERROR(LEFT(RIGHT(INDEX(УСПД!$M:$M,MATCH(IFERROR(1*LEFT(INDEX(ТУ!$CG:$CG,MATCH($U70*1,ТУ!$CP:$CP,0),1),SEARCH(" ",INDEX(ТУ!$CG:$CG,MATCH($U70*1,ТУ!$CP:$CP,0),1))-1),""),УСПД!$N:$N,0),1),LEN(INDEX(УСПД!$M:$M,MATCH(IFERROR(1*LEFT(INDEX(ТУ!$CG:$CG,MATCH($U70*1,ТУ!$CP:$CP,0),1),SEARCH(" ",INDEX(ТУ!$CG:$CG,MATCH($U70*1,ТУ!$CP:$CP,0),1))-1),""),УСПД!$N:$N,0),1))-SEARCH(":",INDEX(УСПД!$M:$M,MATCH(IFERROR(1*LEFT(INDEX(ТУ!$CG:$CG,MATCH($U70*1,ТУ!$CP:$CP,0),1),SEARCH(" ",INDEX(ТУ!$CG:$CG,MATCH($U70*1,ТУ!$CP:$CP,0),1))-1),""),УСПД!$N:$N,0),1))),SEARCH("/",RIGHT(INDEX(УСПД!$M:$M,MATCH(IFERROR(1*LEFT(INDEX(ТУ!$CG:$CG,MATCH($U70*1,ТУ!$CP:$CP,0),1),SEARCH(" ",INDEX(ТУ!$CG:$CG,MATCH($U70*1,ТУ!$CP:$CP,0),1))-1),""),УСПД!$N:$N,0),1),LEN(INDEX(УСПД!$M:$M,MATCH(IFERROR(1*LEFT(INDEX(ТУ!$CG:$CG,MATCH($U70*1,ТУ!$CP:$CP,0),1),SEARCH(" ",INDEX(ТУ!$CG:$CG,MATCH($U70*1,ТУ!$CP:$CP,0),1))-1),""),УСПД!$N:$N,0),1))-SEARCH(":",INDEX(УСПД!$M:$M,MATCH(IFERROR(1*LEFT(INDEX(ТУ!$CG:$CG,MATCH($U70*1,ТУ!$CP:$CP,0),1),SEARCH(" ",INDEX(ТУ!$CG:$CG,MATCH($U70*1,ТУ!$CP:$CP,0),1))-1),""),УСПД!$N:$N,0),1))))-1), RIGHT(INDEX(УСПД!$M:$M,MATCH(IFERROR(1*LEFT(INDEX(ТУ!$CG:$CG,MATCH($U70*1,ТУ!$CP:$CP,0),1),SEARCH(" ",INDEX(ТУ!$CG:$CG,MATCH($U70*1,ТУ!$CP:$CP,0),1))-1),""),УСПД!$N:$N,0),1),LEN(INDEX(УСПД!$M:$M,MATCH(IFERROR(1*LEFT(INDEX(ТУ!$CG:$CG,MATCH($U70*1,ТУ!$CP:$CP,0),1),SEARCH(" ",INDEX(ТУ!$CG:$CG,MATCH($U70*1,ТУ!$CP:$CP,0),1))-1),""),УСПД!$N:$N,0),1))-SEARCH(":",INDEX(УСПД!$M:$M,MATCH(IFERROR(1*LEFT(INDEX(ТУ!$CG:$CG,MATCH($U70*1,ТУ!$CP:$CP,0),1),SEARCH(" ",INDEX(ТУ!$CG:$CG,MATCH($U70*1,ТУ!$CP:$CP,0),1))-1),""),УСПД!$N:$N,0),1)))), ""))</f>
        <v/>
      </c>
      <c r="AL70" s="41"/>
      <c r="AM70" s="57" t="str">
        <f>IFERROR(IFERROR(INDEX(Tel!$B:$B,MATCH($AJ70,Tel!$E:$E,0),1),INDEX(Tel!$B:$B,MATCH($AJ70,Tel!$D:$D,0),1)),"")</f>
        <v/>
      </c>
      <c r="AN70" s="59" t="str">
        <f>IF(ISNUMBER(SEARCH("ТОПАЗ - ТОПАЗ УСПД",IFERROR(RIGHT(LEFT(INDEX(ТУ!$CG:$CG,MATCH($U70*1,ТУ!$CP:$CP,0),1),SEARCH(")",INDEX(ТУ!$CG:$CG,MATCH($U70*1,ТУ!$CP:$CP,0),1))-1),LEN(LEFT(INDEX(ТУ!$CG:$CG,MATCH($U70*1,ТУ!$CP:$CP,0),1),SEARCH(")",INDEX(ТУ!$CG:$CG,MATCH($U70*1,ТУ!$CP:$CP,0),1))-1))-SEARCH("(",INDEX(ТУ!$CG:$CG,MATCH($U70*1,ТУ!$CP:$CP,0),1))),""),1)),"RTU-327",
IF(ISNUMBER(SEARCH("TELEOFIS",$AP70)),"Модем",
""))</f>
        <v/>
      </c>
      <c r="AO70" s="27" t="str">
        <f t="shared" si="24"/>
        <v/>
      </c>
      <c r="AP70" s="57" t="str">
        <f>IF(ISNUMBER(SEARCH("Миландр - Милур GSM/GPRS модем",IFERROR(RIGHT(LEFT(INDEX(ТУ!$CG:$CG,MATCH($U70*1,ТУ!$CP:$CP,0),1),SEARCH(")",INDEX(ТУ!$CG:$CG,MATCH($U70*1,ТУ!$CP:$CP,0),1))-1),LEN(LEFT(INDEX(ТУ!$CG:$CG,MATCH($U70*1,ТУ!$CP:$CP,0),1),SEARCH(")",INDEX(ТУ!$CG:$CG,MATCH($U70*1,ТУ!$CP:$CP,0),1))-1))-SEARCH("(",INDEX(ТУ!$CG:$CG,MATCH($U70*1,ТУ!$CP:$CP,0),1))),""),1)), "TELEOFIS WRX708-L4",IFERROR(RIGHT(LEFT(INDEX(ТУ!$CG:$CG,MATCH($U70*1,ТУ!$CP:$CP,0),1),SEARCH(")",INDEX(ТУ!$CG:$CG,MATCH($U70*1,ТУ!$CP:$CP,0),1))-1),LEN(LEFT(INDEX(ТУ!$CG:$CG,MATCH($U70*1,ТУ!$CP:$CP,0),1),SEARCH(")",INDEX(ТУ!$CG:$CG,MATCH($U70*1,ТУ!$CP:$CP,0),1))-1))-SEARCH("(",INDEX(ТУ!$CG:$CG,MATCH($U70*1,ТУ!$CP:$CP,0),1))),""))</f>
        <v>МИРТЕК - УСПД МИРТ-881</v>
      </c>
      <c r="AQ70" s="57" t="str">
        <f>IFERROR(IF(INDEX(УСПД!$K:$K,MATCH($AS70*1,УСПД!$N:$N,0),1)=0,"",INDEX(УСПД!$K:$K,MATCH($AS70*1,УСПД!$N:$N,0),1)),"")</f>
        <v/>
      </c>
      <c r="AR70" s="57" t="str">
        <f>IFERROR(IF(INDEX(УСПД!$L:$L,MATCH($AS70*1,УСПД!$N:$N,0),1)=0,"",INDEX(УСПД!$L:$L,MATCH($AS70*1,УСПД!$N:$N,0),1)),"")</f>
        <v/>
      </c>
      <c r="AS70" s="60" t="str">
        <f>IFERROR(LEFT(INDEX(ТУ!$CG:$CG,MATCH($U70*1,ТУ!$CP:$CP,0),1),SEARCH(" ",INDEX(ТУ!$CG:$CG,MATCH($U70*1,ТУ!$CP:$CP,0),1))-1),"")</f>
        <v>0200404000561</v>
      </c>
      <c r="AT70" s="59" t="s">
        <v>360</v>
      </c>
      <c r="AU70" s="59">
        <f>3</f>
        <v>3</v>
      </c>
      <c r="AV70" s="59" t="s">
        <v>368</v>
      </c>
      <c r="AW70" s="149" t="str">
        <f t="shared" si="19"/>
        <v/>
      </c>
      <c r="AX70" s="149">
        <f t="shared" si="20"/>
        <v>34</v>
      </c>
      <c r="AY70" s="149" t="str">
        <f t="shared" si="21"/>
        <v/>
      </c>
      <c r="AZ70" s="149" t="str">
        <f t="shared" si="22"/>
        <v/>
      </c>
      <c r="BA70" s="149">
        <f t="shared" si="23"/>
        <v>1</v>
      </c>
      <c r="BB70" s="154" t="str">
        <f>IF($AP70="",IFERROR(IFERROR(LEFT(RIGHT(INDEX(ТУ!$CE:$CE,MATCH($U70*1,ТУ!$CP:$CP,0),1),LEN(INDEX(ТУ!$CE:$CE,MATCH($U70*1,ТУ!$CP:$CP,0),1))-SEARCH(", ",INDEX(ТУ!$CE:$CE,MATCH($U70*1,ТУ!$CP:$CP,0),1),SEARCH(", ",INDEX(ТУ!$CE:$CE,MATCH($U70*1,ТУ!$CP:$CP,0),1))+1)-1),SEARCH(":",RIGHT(INDEX(ТУ!$CE:$CE,MATCH($U70*1,ТУ!$CP:$CP,0),1),LEN(INDEX(ТУ!$CE:$CE,MATCH($U70*1,ТУ!$CP:$CP,0),1))-SEARCH(", ",INDEX(ТУ!$CE:$CE,MATCH($U70*1,ТУ!$CP:$CP,0),1),SEARCH(", ",INDEX(ТУ!$CE:$CE,MATCH($U70*1,ТУ!$CP:$CP,0),1))+1)-1))-1),LEFT(INDEX(ТУ!$CE:$CE,MATCH($U70*1,ТУ!$CP:$CP,0),1),SEARCH(":",INDEX(ТУ!$CE:$CE,MATCH($U70*1,ТУ!$CP:$CP,0),1))-1)),""),IFERROR(IFERROR(LEFT(RIGHT(INDEX(УСПД!$M:$M,MATCH(IFERROR(1*LEFT(INDEX(ТУ!$CG:$CG,MATCH($U70*1,ТУ!$CP:$CP,0),1),SEARCH(" ",INDEX(ТУ!$CG:$CG,MATCH($U70*1,ТУ!$CP:$CP,0),1))-1),""),УСПД!$N:$N,0),1),LEN(INDEX(УСПД!$M:$M,MATCH(IFERROR(1*LEFT(INDEX(ТУ!$CG:$CG,MATCH($U70*1,ТУ!$CP:$CP,0),1),SEARCH(" ",INDEX(ТУ!$CG:$CG,MATCH($U70*1,ТУ!$CP:$CP,0),1))-1),""),УСПД!$N:$N,0),1))-SEARCH(", ",INDEX(УСПД!$M:$M,MATCH(IFERROR(1*LEFT(INDEX(ТУ!$CG:$CG,MATCH($U70*1,ТУ!$CP:$CP,0),1),SEARCH(" ",INDEX(ТУ!$CG:$CG,MATCH($U70*1,ТУ!$CP:$CP,0),1))-1),""),УСПД!$N:$N,0),1),SEARCH(", ",INDEX(УСПД!$M:$M,MATCH(IFERROR(1*LEFT(INDEX(ТУ!$CG:$CG,MATCH($U70*1,ТУ!$CP:$CP,0),1),SEARCH(" ",INDEX(ТУ!$CG:$CG,MATCH($U70*1,ТУ!$CP:$CP,0),1))-1),""),УСПД!$N:$N,0),1))+1)-1),SEARCH(":",RIGHT(INDEX(УСПД!$M:$M,MATCH(IFERROR(1*LEFT(INDEX(ТУ!$CG:$CG,MATCH($U70*1,ТУ!$CP:$CP,0),1),SEARCH(" ",INDEX(ТУ!$CG:$CG,MATCH($U70*1,ТУ!$CP:$CP,0),1))-1),""),УСПД!$N:$N,0),1),LEN(INDEX(УСПД!$M:$M,MATCH(IFERROR(1*LEFT(INDEX(ТУ!$CG:$CG,MATCH($U70*1,ТУ!$CP:$CP,0),1),SEARCH(" ",INDEX(ТУ!$CG:$CG,MATCH($U70*1,ТУ!$CP:$CP,0),1))-1),""),УСПД!$N:$N,0),1))-SEARCH(", ",INDEX(УСПД!$M:$M,MATCH(IFERROR(1*LEFT(INDEX(ТУ!$CG:$CG,MATCH($U70*1,ТУ!$CP:$CP,0),1),SEARCH(" ",INDEX(ТУ!$CG:$CG,MATCH($U70*1,ТУ!$CP:$CP,0),1))-1),""),УСПД!$N:$N,0),1),SEARCH(", ",INDEX(УСПД!$M:$M,MATCH(IFERROR(1*LEFT(INDEX(ТУ!$CG:$CG,MATCH($U70*1,ТУ!$CP:$CP,0),1),SEARCH(" ",INDEX(ТУ!$CG:$CG,MATCH($U70*1,ТУ!$CP:$CP,0),1))-1),""),УСПД!$N:$N,0),1))+1)-1))-1),LEFT(INDEX(УСПД!$M:$M,MATCH(IFERROR(1*LEFT(INDEX(ТУ!$CG:$CG,MATCH($U70*1,ТУ!$CP:$CP,0),1),SEARCH(" ",INDEX(ТУ!$CG:$CG,MATCH($U70*1,ТУ!$CP:$CP,0),1))-1),""),УСПД!$N:$N,0),1),SEARCH(":",INDEX(УСПД!$M:$M,MATCH(IFERROR(1*LEFT(INDEX(ТУ!$CG:$CG,MATCH($U70*1,ТУ!$CP:$CP,0),1),SEARCH(" ",INDEX(ТУ!$CG:$CG,MATCH($U70*1,ТУ!$CP:$CP,0),1))-1),""),УСПД!$N:$N,0),1))-1)),""))</f>
        <v/>
      </c>
      <c r="BC70" s="155" t="str">
        <f>INDEX(ТУ!$AF:$AF,MATCH($U70*1,ТУ!$CP:$CP,0),1)</f>
        <v>ТП-МКС/б/н-РЭР</v>
      </c>
      <c r="BD70" s="155">
        <f>INDEX(ТУ!$X:$X,MATCH($U70*1,ТУ!$CP:$CP,0),1)</f>
        <v>0</v>
      </c>
      <c r="BE70" s="155">
        <f>INDEX(ТУ!$CL:$CL,MATCH($U70*1,ТУ!$CP:$CP,0),1)</f>
        <v>0</v>
      </c>
      <c r="BF70" s="147" t="str">
        <f>IFERROR(INDEX(естьАЦ!$A:$A,MATCH($U70*1,естьАЦ!$A:$A,0),1),"нет в АЦ")</f>
        <v>нет в АЦ</v>
      </c>
    </row>
  </sheetData>
  <autoFilter ref="A3:BF6"/>
  <mergeCells count="1">
    <mergeCell ref="A1:W1"/>
  </mergeCells>
  <dataValidations xWindow="298" yWindow="444" count="5">
    <dataValidation type="list" allowBlank="1" showInputMessage="1" promptTitle="выберите наименование РЭС" prompt="выберите наименование РЭС" sqref="B4:B70">
      <formula1>РЭС</formula1>
    </dataValidation>
    <dataValidation type="list" allowBlank="1" showInputMessage="1" promptTitle="Тип электроустановки" prompt="Выберите Тип электроустановки" sqref="C4:C70">
      <formula1>ТипЭУ</formula1>
    </dataValidation>
    <dataValidation type="list" allowBlank="1" showInputMessage="1" promptTitle="Класс напряжения" prompt="Выберите из списка класс напряжения" sqref="J4:J70">
      <formula1>NAPR</formula1>
    </dataValidation>
    <dataValidation type="list" allowBlank="1" showInputMessage="1" promptTitle="Выберите из списка тип ПУ" prompt="Выберите из списка тип ПУ" sqref="X4:X70">
      <formula1>ТипПУ</formula1>
    </dataValidation>
    <dataValidation type="list" allowBlank="1" showInputMessage="1" promptTitle="Выберите модель ПУ СПОДЭС" prompt="Выберите модель ПУ СПОДЭС (DLMS)" sqref="Z4:Z70">
      <formula1>DLMS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98" yWindow="444" count="5">
        <x14:dataValidation type="list" allowBlank="1" showInputMessage="1" showErrorMessage="1">
          <x14:formula1>
            <xm:f>Справочники!$Q$2:$Q$7</xm:f>
          </x14:formula1>
          <xm:sqref>AU4:AU70</xm:sqref>
        </x14:dataValidation>
        <x14:dataValidation type="list" allowBlank="1" showInputMessage="1" showErrorMessage="1">
          <x14:formula1>
            <xm:f>Справочники!$E$2:$E$4</xm:f>
          </x14:formula1>
          <xm:sqref>AC4:AC70</xm:sqref>
        </x14:dataValidation>
        <x14:dataValidation type="list" allowBlank="1" showInputMessage="1" promptTitle="Выбор типа УСПД" prompt="Выберите УСПД из списка">
          <x14:formula1>
            <xm:f>Справочники!$L$2:$L$26</xm:f>
          </x14:formula1>
          <xm:sqref>AN4:AN70</xm:sqref>
        </x14:dataValidation>
        <x14:dataValidation type="list" allowBlank="1" showInputMessage="1" showErrorMessage="1">
          <x14:formula1>
            <xm:f>Справочники!$P$2:$P$6</xm:f>
          </x14:formula1>
          <xm:sqref>AT4:AT70</xm:sqref>
        </x14:dataValidation>
        <x14:dataValidation type="list" allowBlank="1" showInputMessage="1" showErrorMessage="1">
          <x14:formula1>
            <xm:f>Справочники!$R$2:$R$29</xm:f>
          </x14:formula1>
          <xm:sqref>AV4:AV70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79"/>
  <sheetViews>
    <sheetView topLeftCell="E1" workbookViewId="0">
      <pane ySplit="1" topLeftCell="A41" activePane="bottomLeft" state="frozen"/>
      <selection pane="bottomLeft" activeCell="R64" sqref="R64"/>
    </sheetView>
  </sheetViews>
  <sheetFormatPr defaultColWidth="9.140625" defaultRowHeight="12.75" x14ac:dyDescent="0.2"/>
  <cols>
    <col min="1" max="1" width="30.140625" style="1" bestFit="1" customWidth="1"/>
    <col min="2" max="2" width="27.140625" style="1" bestFit="1" customWidth="1"/>
    <col min="3" max="3" width="9.140625" style="1"/>
    <col min="4" max="5" width="23.85546875" style="1" customWidth="1"/>
    <col min="6" max="6" width="22.5703125" style="1" customWidth="1"/>
    <col min="7" max="7" width="9.140625" style="4"/>
    <col min="8" max="8" width="21" style="1" bestFit="1" customWidth="1"/>
    <col min="9" max="9" width="9.140625" style="1" bestFit="1" customWidth="1"/>
    <col min="10" max="10" width="21.5703125" style="1" bestFit="1" customWidth="1"/>
    <col min="11" max="11" width="9.140625" style="4"/>
    <col min="12" max="12" width="18.7109375" style="1" bestFit="1" customWidth="1"/>
    <col min="13" max="13" width="12.7109375" style="1" customWidth="1"/>
    <col min="14" max="15" width="9.140625" style="1"/>
    <col min="16" max="16" width="21.42578125" style="1" bestFit="1" customWidth="1"/>
    <col min="17" max="17" width="9.140625" style="1"/>
    <col min="18" max="18" width="19.7109375" style="1" bestFit="1" customWidth="1"/>
    <col min="19" max="19" width="30.140625" style="1" customWidth="1"/>
    <col min="20" max="16384" width="9.140625" style="1"/>
  </cols>
  <sheetData>
    <row r="1" spans="1:19" s="12" customFormat="1" ht="10.5" x14ac:dyDescent="0.15">
      <c r="A1" s="9" t="s">
        <v>10</v>
      </c>
      <c r="B1" s="9" t="s">
        <v>9</v>
      </c>
      <c r="C1" s="9" t="s">
        <v>8</v>
      </c>
      <c r="D1" s="9" t="s">
        <v>51</v>
      </c>
      <c r="E1" s="9" t="s">
        <v>55</v>
      </c>
      <c r="F1" s="9" t="s">
        <v>55</v>
      </c>
      <c r="G1" s="10" t="s">
        <v>64</v>
      </c>
      <c r="H1" s="11" t="s">
        <v>65</v>
      </c>
      <c r="I1" s="11" t="s">
        <v>123</v>
      </c>
      <c r="J1" s="11" t="s">
        <v>122</v>
      </c>
      <c r="K1" s="24" t="s">
        <v>185</v>
      </c>
      <c r="L1" s="22" t="s">
        <v>186</v>
      </c>
      <c r="M1" s="22" t="s">
        <v>217</v>
      </c>
      <c r="N1" s="22" t="s">
        <v>224</v>
      </c>
      <c r="O1" s="22" t="s">
        <v>225</v>
      </c>
      <c r="P1" s="51" t="s">
        <v>359</v>
      </c>
      <c r="Q1" s="51" t="s">
        <v>251</v>
      </c>
      <c r="R1" s="157" t="s">
        <v>365</v>
      </c>
      <c r="S1" s="12" t="s">
        <v>271</v>
      </c>
    </row>
    <row r="2" spans="1:19" x14ac:dyDescent="0.2">
      <c r="A2" s="5" t="s">
        <v>114</v>
      </c>
      <c r="B2" s="5" t="s">
        <v>11</v>
      </c>
      <c r="C2" s="6">
        <v>1</v>
      </c>
      <c r="D2" s="1" t="s">
        <v>52</v>
      </c>
      <c r="E2" s="61" t="s">
        <v>257</v>
      </c>
      <c r="F2" s="1" t="s">
        <v>57</v>
      </c>
      <c r="G2" s="7">
        <v>1</v>
      </c>
      <c r="H2" s="8" t="s">
        <v>66</v>
      </c>
      <c r="I2" s="8">
        <v>21</v>
      </c>
      <c r="J2" s="33" t="s">
        <v>252</v>
      </c>
      <c r="K2" s="4">
        <v>1</v>
      </c>
      <c r="L2" s="23" t="s">
        <v>187</v>
      </c>
      <c r="M2" s="28" t="s">
        <v>223</v>
      </c>
      <c r="N2" s="29">
        <v>1</v>
      </c>
      <c r="O2" s="29">
        <v>1</v>
      </c>
      <c r="P2" s="165" t="s">
        <v>360</v>
      </c>
      <c r="Q2" s="52">
        <v>1</v>
      </c>
      <c r="R2" s="158" t="s">
        <v>366</v>
      </c>
    </row>
    <row r="3" spans="1:19" x14ac:dyDescent="0.2">
      <c r="A3" s="5" t="s">
        <v>114</v>
      </c>
      <c r="B3" s="5" t="s">
        <v>12</v>
      </c>
      <c r="C3" s="6">
        <v>2</v>
      </c>
      <c r="D3" s="1" t="s">
        <v>53</v>
      </c>
      <c r="E3" s="61" t="s">
        <v>2</v>
      </c>
      <c r="F3" s="1" t="s">
        <v>56</v>
      </c>
      <c r="G3" s="7">
        <v>2</v>
      </c>
      <c r="H3" s="8" t="s">
        <v>67</v>
      </c>
      <c r="I3" s="1">
        <v>22</v>
      </c>
      <c r="J3" s="33" t="s">
        <v>253</v>
      </c>
      <c r="K3" s="4">
        <v>2</v>
      </c>
      <c r="L3" s="23" t="s">
        <v>188</v>
      </c>
      <c r="M3" s="28" t="s">
        <v>218</v>
      </c>
      <c r="N3" s="29">
        <v>6000</v>
      </c>
      <c r="O3" s="29">
        <v>100</v>
      </c>
      <c r="P3" s="165" t="s">
        <v>361</v>
      </c>
      <c r="Q3" s="52">
        <v>2</v>
      </c>
      <c r="R3" s="158" t="s">
        <v>367</v>
      </c>
    </row>
    <row r="4" spans="1:19" x14ac:dyDescent="0.2">
      <c r="A4" s="5" t="s">
        <v>114</v>
      </c>
      <c r="B4" s="5" t="s">
        <v>13</v>
      </c>
      <c r="C4" s="6">
        <v>3</v>
      </c>
      <c r="D4" s="1" t="s">
        <v>143</v>
      </c>
      <c r="E4" s="61" t="s">
        <v>258</v>
      </c>
      <c r="F4" s="1" t="s">
        <v>58</v>
      </c>
      <c r="G4" s="7">
        <v>3</v>
      </c>
      <c r="H4" s="8" t="s">
        <v>68</v>
      </c>
      <c r="I4" s="1">
        <v>222</v>
      </c>
      <c r="J4" s="33" t="s">
        <v>240</v>
      </c>
      <c r="K4" s="4">
        <v>3</v>
      </c>
      <c r="L4" s="23" t="s">
        <v>189</v>
      </c>
      <c r="M4" s="28" t="s">
        <v>216</v>
      </c>
      <c r="N4" s="29">
        <v>10000</v>
      </c>
      <c r="O4" s="29">
        <v>100</v>
      </c>
      <c r="P4" s="165" t="s">
        <v>362</v>
      </c>
      <c r="Q4" s="52">
        <v>3</v>
      </c>
      <c r="R4" s="158" t="s">
        <v>368</v>
      </c>
    </row>
    <row r="5" spans="1:19" x14ac:dyDescent="0.2">
      <c r="A5" s="5" t="s">
        <v>114</v>
      </c>
      <c r="B5" s="5" t="s">
        <v>14</v>
      </c>
      <c r="C5" s="6">
        <v>4</v>
      </c>
      <c r="D5" s="15" t="s">
        <v>150</v>
      </c>
      <c r="E5" s="15"/>
      <c r="G5" s="7">
        <v>4</v>
      </c>
      <c r="H5" s="8" t="s">
        <v>69</v>
      </c>
      <c r="I5" s="1">
        <v>223</v>
      </c>
      <c r="J5" s="33" t="s">
        <v>239</v>
      </c>
      <c r="K5" s="4">
        <v>4</v>
      </c>
      <c r="L5" s="23" t="s">
        <v>190</v>
      </c>
      <c r="M5" s="28" t="s">
        <v>219</v>
      </c>
      <c r="N5" s="29">
        <v>20000</v>
      </c>
      <c r="O5" s="29">
        <v>100</v>
      </c>
      <c r="P5" s="165" t="s">
        <v>363</v>
      </c>
      <c r="Q5" s="52">
        <v>4</v>
      </c>
      <c r="R5" s="158" t="s">
        <v>369</v>
      </c>
    </row>
    <row r="6" spans="1:19" x14ac:dyDescent="0.2">
      <c r="A6" s="5" t="s">
        <v>114</v>
      </c>
      <c r="B6" s="5" t="s">
        <v>15</v>
      </c>
      <c r="C6" s="6">
        <v>5</v>
      </c>
      <c r="D6" s="1" t="s">
        <v>6</v>
      </c>
      <c r="G6" s="7">
        <v>5</v>
      </c>
      <c r="H6" s="8" t="s">
        <v>70</v>
      </c>
      <c r="I6" s="8">
        <v>61</v>
      </c>
      <c r="J6" s="32" t="s">
        <v>254</v>
      </c>
      <c r="K6" s="4">
        <v>5</v>
      </c>
      <c r="L6" s="23" t="s">
        <v>191</v>
      </c>
      <c r="M6" s="28" t="s">
        <v>220</v>
      </c>
      <c r="N6" s="29">
        <v>35000</v>
      </c>
      <c r="O6" s="29">
        <v>100</v>
      </c>
      <c r="P6" s="165" t="s">
        <v>364</v>
      </c>
      <c r="Q6" s="52">
        <v>5</v>
      </c>
      <c r="R6" s="158" t="s">
        <v>54</v>
      </c>
    </row>
    <row r="7" spans="1:19" x14ac:dyDescent="0.2">
      <c r="A7" s="5" t="s">
        <v>114</v>
      </c>
      <c r="B7" s="5" t="s">
        <v>16</v>
      </c>
      <c r="C7" s="6">
        <v>6</v>
      </c>
      <c r="D7" s="15" t="s">
        <v>144</v>
      </c>
      <c r="E7" s="15"/>
      <c r="G7" s="7">
        <v>6</v>
      </c>
      <c r="H7" s="8" t="s">
        <v>71</v>
      </c>
      <c r="I7" s="1">
        <v>62</v>
      </c>
      <c r="J7" s="1" t="s">
        <v>255</v>
      </c>
      <c r="K7" s="4">
        <v>7</v>
      </c>
      <c r="L7" s="23" t="s">
        <v>192</v>
      </c>
      <c r="M7" s="28" t="s">
        <v>221</v>
      </c>
      <c r="N7" s="29">
        <v>110000</v>
      </c>
      <c r="O7" s="29">
        <v>100</v>
      </c>
      <c r="P7" s="166"/>
      <c r="Q7" s="52">
        <v>6</v>
      </c>
      <c r="R7" s="158" t="s">
        <v>370</v>
      </c>
    </row>
    <row r="8" spans="1:19" x14ac:dyDescent="0.2">
      <c r="A8" s="5" t="s">
        <v>114</v>
      </c>
      <c r="B8" s="5" t="s">
        <v>17</v>
      </c>
      <c r="C8" s="6">
        <v>7</v>
      </c>
      <c r="D8" s="15" t="s">
        <v>149</v>
      </c>
      <c r="E8" s="15"/>
      <c r="G8" s="7">
        <v>7</v>
      </c>
      <c r="H8" s="8" t="s">
        <v>72</v>
      </c>
      <c r="I8" s="8">
        <v>64</v>
      </c>
      <c r="J8" s="32" t="s">
        <v>235</v>
      </c>
      <c r="K8" s="4">
        <v>11</v>
      </c>
      <c r="L8" s="23" t="s">
        <v>193</v>
      </c>
      <c r="M8" s="28" t="s">
        <v>222</v>
      </c>
      <c r="N8" s="29">
        <v>220000</v>
      </c>
      <c r="O8" s="29">
        <v>100</v>
      </c>
      <c r="P8" s="166"/>
      <c r="R8" s="158" t="s">
        <v>371</v>
      </c>
    </row>
    <row r="9" spans="1:19" x14ac:dyDescent="0.2">
      <c r="A9" s="5" t="s">
        <v>114</v>
      </c>
      <c r="B9" s="5" t="s">
        <v>18</v>
      </c>
      <c r="C9" s="6">
        <v>8</v>
      </c>
      <c r="D9" s="1" t="s">
        <v>145</v>
      </c>
      <c r="G9" s="7">
        <v>8</v>
      </c>
      <c r="H9" s="8" t="s">
        <v>73</v>
      </c>
      <c r="I9" s="8">
        <v>65</v>
      </c>
      <c r="J9" s="32" t="s">
        <v>234</v>
      </c>
      <c r="K9" s="4">
        <v>12</v>
      </c>
      <c r="L9" s="23" t="s">
        <v>194</v>
      </c>
      <c r="P9" s="166"/>
      <c r="R9" s="158" t="s">
        <v>372</v>
      </c>
    </row>
    <row r="10" spans="1:19" x14ac:dyDescent="0.2">
      <c r="A10" s="5" t="s">
        <v>114</v>
      </c>
      <c r="B10" s="5" t="s">
        <v>19</v>
      </c>
      <c r="C10" s="6">
        <v>9</v>
      </c>
      <c r="D10" s="15" t="s">
        <v>54</v>
      </c>
      <c r="E10" s="15"/>
      <c r="G10" s="7">
        <v>9</v>
      </c>
      <c r="H10" s="8" t="s">
        <v>74</v>
      </c>
      <c r="I10" s="8">
        <v>31</v>
      </c>
      <c r="J10" s="8" t="s">
        <v>121</v>
      </c>
      <c r="K10" s="4">
        <v>14</v>
      </c>
      <c r="L10" s="23" t="s">
        <v>195</v>
      </c>
      <c r="P10" s="166"/>
      <c r="R10" s="158" t="s">
        <v>373</v>
      </c>
    </row>
    <row r="11" spans="1:19" x14ac:dyDescent="0.2">
      <c r="A11" s="5" t="s">
        <v>114</v>
      </c>
      <c r="B11" s="50" t="s">
        <v>250</v>
      </c>
      <c r="C11" s="6">
        <v>10</v>
      </c>
      <c r="G11" s="7">
        <v>10</v>
      </c>
      <c r="H11" s="8" t="s">
        <v>75</v>
      </c>
      <c r="I11" s="8">
        <v>160</v>
      </c>
      <c r="J11" s="32" t="s">
        <v>233</v>
      </c>
      <c r="K11" s="4">
        <v>16</v>
      </c>
      <c r="L11" s="23" t="s">
        <v>196</v>
      </c>
      <c r="P11" s="166"/>
      <c r="R11" s="158" t="s">
        <v>374</v>
      </c>
    </row>
    <row r="12" spans="1:19" x14ac:dyDescent="0.2">
      <c r="A12" s="5" t="s">
        <v>114</v>
      </c>
      <c r="B12" s="5" t="s">
        <v>20</v>
      </c>
      <c r="C12" s="6">
        <v>11</v>
      </c>
      <c r="G12" s="7">
        <v>11</v>
      </c>
      <c r="H12" s="8" t="s">
        <v>76</v>
      </c>
      <c r="I12" s="8">
        <v>161</v>
      </c>
      <c r="J12" s="32" t="s">
        <v>237</v>
      </c>
      <c r="K12" s="4">
        <v>21</v>
      </c>
      <c r="L12" s="23" t="s">
        <v>198</v>
      </c>
      <c r="P12" s="166"/>
      <c r="R12" s="158" t="s">
        <v>375</v>
      </c>
    </row>
    <row r="13" spans="1:19" x14ac:dyDescent="0.2">
      <c r="A13" s="5" t="s">
        <v>114</v>
      </c>
      <c r="B13" s="5" t="s">
        <v>21</v>
      </c>
      <c r="C13" s="6">
        <v>12</v>
      </c>
      <c r="G13" s="7">
        <v>12</v>
      </c>
      <c r="H13" s="8" t="s">
        <v>77</v>
      </c>
      <c r="I13" s="8">
        <v>130</v>
      </c>
      <c r="J13" s="8" t="s">
        <v>119</v>
      </c>
      <c r="K13" s="4">
        <v>22</v>
      </c>
      <c r="L13" s="23" t="s">
        <v>197</v>
      </c>
      <c r="P13" s="166"/>
      <c r="R13" s="158" t="s">
        <v>6</v>
      </c>
    </row>
    <row r="14" spans="1:19" x14ac:dyDescent="0.2">
      <c r="A14" s="5" t="s">
        <v>113</v>
      </c>
      <c r="B14" s="5" t="s">
        <v>22</v>
      </c>
      <c r="C14" s="6">
        <v>13</v>
      </c>
      <c r="G14" s="7">
        <v>13</v>
      </c>
      <c r="H14" s="8" t="s">
        <v>78</v>
      </c>
      <c r="I14" s="8">
        <v>131</v>
      </c>
      <c r="J14" s="8" t="s">
        <v>242</v>
      </c>
      <c r="K14" s="4">
        <v>23</v>
      </c>
      <c r="L14" s="23" t="s">
        <v>199</v>
      </c>
      <c r="P14" s="166"/>
      <c r="R14" s="158" t="s">
        <v>376</v>
      </c>
    </row>
    <row r="15" spans="1:19" x14ac:dyDescent="0.2">
      <c r="A15" s="5" t="s">
        <v>113</v>
      </c>
      <c r="B15" s="5" t="s">
        <v>23</v>
      </c>
      <c r="C15" s="6">
        <v>14</v>
      </c>
      <c r="G15" s="7">
        <v>14</v>
      </c>
      <c r="H15" s="8" t="s">
        <v>79</v>
      </c>
      <c r="I15" s="8">
        <v>132</v>
      </c>
      <c r="J15" s="8" t="s">
        <v>243</v>
      </c>
      <c r="K15" s="4">
        <v>24</v>
      </c>
      <c r="L15" s="23" t="s">
        <v>200</v>
      </c>
      <c r="P15" s="166"/>
      <c r="R15" s="158" t="s">
        <v>377</v>
      </c>
    </row>
    <row r="16" spans="1:19" x14ac:dyDescent="0.2">
      <c r="A16" s="5" t="s">
        <v>113</v>
      </c>
      <c r="B16" s="5" t="s">
        <v>24</v>
      </c>
      <c r="C16" s="6">
        <v>15</v>
      </c>
      <c r="G16" s="7">
        <v>15</v>
      </c>
      <c r="H16" s="8" t="s">
        <v>80</v>
      </c>
      <c r="I16" s="8">
        <v>162</v>
      </c>
      <c r="J16" s="32" t="s">
        <v>244</v>
      </c>
      <c r="K16" s="4">
        <v>26</v>
      </c>
      <c r="L16" s="23" t="s">
        <v>201</v>
      </c>
      <c r="P16" s="166"/>
      <c r="R16" s="158" t="s">
        <v>378</v>
      </c>
    </row>
    <row r="17" spans="1:18" x14ac:dyDescent="0.2">
      <c r="A17" s="5" t="s">
        <v>113</v>
      </c>
      <c r="B17" s="5" t="s">
        <v>25</v>
      </c>
      <c r="C17" s="6">
        <v>16</v>
      </c>
      <c r="G17" s="7">
        <v>16</v>
      </c>
      <c r="H17" s="8" t="s">
        <v>81</v>
      </c>
      <c r="I17" s="8">
        <v>163</v>
      </c>
      <c r="J17" s="32" t="s">
        <v>245</v>
      </c>
      <c r="K17" s="4">
        <v>33</v>
      </c>
      <c r="L17" s="23" t="s">
        <v>202</v>
      </c>
      <c r="P17" s="166"/>
      <c r="R17" s="158" t="s">
        <v>379</v>
      </c>
    </row>
    <row r="18" spans="1:18" x14ac:dyDescent="0.2">
      <c r="A18" s="5" t="s">
        <v>113</v>
      </c>
      <c r="B18" s="5" t="s">
        <v>26</v>
      </c>
      <c r="C18" s="6">
        <v>17</v>
      </c>
      <c r="G18" s="7">
        <v>17</v>
      </c>
      <c r="H18" s="8" t="s">
        <v>82</v>
      </c>
      <c r="I18" s="8">
        <v>164</v>
      </c>
      <c r="J18" s="32" t="s">
        <v>246</v>
      </c>
      <c r="K18" s="4">
        <v>34</v>
      </c>
      <c r="L18" s="23" t="s">
        <v>203</v>
      </c>
      <c r="P18" s="166"/>
      <c r="R18" s="158" t="s">
        <v>380</v>
      </c>
    </row>
    <row r="19" spans="1:18" x14ac:dyDescent="0.2">
      <c r="A19" s="5" t="s">
        <v>113</v>
      </c>
      <c r="B19" s="5" t="s">
        <v>27</v>
      </c>
      <c r="C19" s="6">
        <v>18</v>
      </c>
      <c r="G19" s="7">
        <v>18</v>
      </c>
      <c r="H19" s="8" t="s">
        <v>83</v>
      </c>
      <c r="I19" s="8">
        <v>4</v>
      </c>
      <c r="J19" s="32" t="s">
        <v>120</v>
      </c>
      <c r="K19" s="4">
        <v>35</v>
      </c>
      <c r="L19" s="23" t="s">
        <v>204</v>
      </c>
      <c r="P19" s="166"/>
      <c r="R19" s="158" t="s">
        <v>381</v>
      </c>
    </row>
    <row r="20" spans="1:18" x14ac:dyDescent="0.2">
      <c r="A20" s="5" t="s">
        <v>113</v>
      </c>
      <c r="B20" s="5" t="s">
        <v>28</v>
      </c>
      <c r="C20" s="6">
        <v>19</v>
      </c>
      <c r="G20" s="7">
        <v>19</v>
      </c>
      <c r="H20" s="8" t="s">
        <v>84</v>
      </c>
      <c r="I20" s="8">
        <v>11</v>
      </c>
      <c r="J20" s="32" t="s">
        <v>241</v>
      </c>
      <c r="K20" s="4">
        <v>37</v>
      </c>
      <c r="L20" s="23" t="s">
        <v>205</v>
      </c>
      <c r="P20" s="166"/>
      <c r="R20" s="158" t="s">
        <v>382</v>
      </c>
    </row>
    <row r="21" spans="1:18" x14ac:dyDescent="0.2">
      <c r="A21" s="5" t="s">
        <v>113</v>
      </c>
      <c r="B21" s="5" t="s">
        <v>29</v>
      </c>
      <c r="C21" s="6">
        <v>20</v>
      </c>
      <c r="G21" s="7">
        <v>20</v>
      </c>
      <c r="H21" s="8" t="s">
        <v>85</v>
      </c>
      <c r="I21" s="1">
        <v>121</v>
      </c>
      <c r="J21" s="33" t="s">
        <v>236</v>
      </c>
      <c r="K21" s="4">
        <v>38</v>
      </c>
      <c r="L21" s="23" t="s">
        <v>206</v>
      </c>
      <c r="P21" s="166"/>
      <c r="R21" s="158" t="s">
        <v>383</v>
      </c>
    </row>
    <row r="22" spans="1:18" x14ac:dyDescent="0.2">
      <c r="A22" s="5" t="s">
        <v>112</v>
      </c>
      <c r="B22" s="5" t="s">
        <v>7</v>
      </c>
      <c r="C22" s="6">
        <v>21</v>
      </c>
      <c r="G22" s="4">
        <v>21</v>
      </c>
      <c r="I22" s="8">
        <v>220</v>
      </c>
      <c r="J22" s="8" t="s">
        <v>238</v>
      </c>
      <c r="K22" s="4">
        <v>40</v>
      </c>
      <c r="L22" s="23" t="s">
        <v>207</v>
      </c>
      <c r="P22" s="166"/>
      <c r="R22" s="158" t="s">
        <v>384</v>
      </c>
    </row>
    <row r="23" spans="1:18" x14ac:dyDescent="0.2">
      <c r="A23" s="5" t="s">
        <v>112</v>
      </c>
      <c r="B23" s="5" t="s">
        <v>30</v>
      </c>
      <c r="C23" s="6">
        <v>22</v>
      </c>
      <c r="G23" s="7">
        <v>22</v>
      </c>
      <c r="H23" s="8" t="s">
        <v>86</v>
      </c>
      <c r="I23" s="1">
        <v>221</v>
      </c>
      <c r="J23" s="1" t="s">
        <v>228</v>
      </c>
      <c r="K23" s="4">
        <v>41</v>
      </c>
      <c r="L23" s="23" t="s">
        <v>208</v>
      </c>
      <c r="P23" s="166"/>
      <c r="R23" s="158" t="s">
        <v>385</v>
      </c>
    </row>
    <row r="24" spans="1:18" x14ac:dyDescent="0.2">
      <c r="A24" s="5" t="s">
        <v>112</v>
      </c>
      <c r="B24" s="5" t="s">
        <v>31</v>
      </c>
      <c r="C24" s="6">
        <v>23</v>
      </c>
      <c r="G24" s="7">
        <v>23</v>
      </c>
      <c r="H24" s="8" t="s">
        <v>87</v>
      </c>
      <c r="I24" s="1">
        <v>24</v>
      </c>
      <c r="J24" s="166" t="s">
        <v>256</v>
      </c>
      <c r="K24" s="167">
        <v>42</v>
      </c>
      <c r="L24" s="23" t="s">
        <v>209</v>
      </c>
      <c r="P24" s="166"/>
      <c r="R24" s="158" t="s">
        <v>386</v>
      </c>
    </row>
    <row r="25" spans="1:18" x14ac:dyDescent="0.2">
      <c r="A25" s="5" t="s">
        <v>112</v>
      </c>
      <c r="B25" s="5" t="s">
        <v>4</v>
      </c>
      <c r="C25" s="6">
        <v>24</v>
      </c>
      <c r="G25" s="7">
        <v>24</v>
      </c>
      <c r="H25" s="8" t="s">
        <v>88</v>
      </c>
      <c r="I25" s="8">
        <v>122</v>
      </c>
      <c r="J25" s="166" t="s">
        <v>232</v>
      </c>
      <c r="K25" s="167">
        <v>43</v>
      </c>
      <c r="L25" s="23" t="s">
        <v>210</v>
      </c>
      <c r="P25" s="166"/>
      <c r="R25" s="158" t="s">
        <v>387</v>
      </c>
    </row>
    <row r="26" spans="1:18" x14ac:dyDescent="0.2">
      <c r="A26" s="5" t="s">
        <v>112</v>
      </c>
      <c r="B26" s="5" t="s">
        <v>32</v>
      </c>
      <c r="C26" s="6">
        <v>25</v>
      </c>
      <c r="G26" s="7">
        <v>26</v>
      </c>
      <c r="H26" s="8" t="s">
        <v>89</v>
      </c>
      <c r="I26" s="1">
        <v>170</v>
      </c>
      <c r="J26" s="166" t="s">
        <v>247</v>
      </c>
      <c r="K26" s="167">
        <v>0</v>
      </c>
      <c r="L26" s="33" t="s">
        <v>259</v>
      </c>
      <c r="P26" s="166"/>
      <c r="R26" s="158" t="s">
        <v>388</v>
      </c>
    </row>
    <row r="27" spans="1:18" x14ac:dyDescent="0.2">
      <c r="A27" s="5" t="s">
        <v>112</v>
      </c>
      <c r="B27" s="5" t="s">
        <v>33</v>
      </c>
      <c r="C27" s="6">
        <v>26</v>
      </c>
      <c r="G27" s="7">
        <v>27</v>
      </c>
      <c r="H27" s="8" t="s">
        <v>90</v>
      </c>
      <c r="I27" s="1">
        <v>171</v>
      </c>
      <c r="J27" s="33" t="s">
        <v>248</v>
      </c>
      <c r="P27" s="166"/>
      <c r="R27" s="158" t="s">
        <v>389</v>
      </c>
    </row>
    <row r="28" spans="1:18" x14ac:dyDescent="0.2">
      <c r="A28" s="5" t="s">
        <v>112</v>
      </c>
      <c r="B28" s="5" t="s">
        <v>34</v>
      </c>
      <c r="C28" s="6">
        <v>27</v>
      </c>
      <c r="G28" s="7">
        <v>28</v>
      </c>
      <c r="H28" s="8" t="s">
        <v>91</v>
      </c>
      <c r="I28" s="1">
        <v>172</v>
      </c>
      <c r="J28" s="33" t="s">
        <v>249</v>
      </c>
      <c r="P28" s="166"/>
      <c r="R28" s="158" t="s">
        <v>390</v>
      </c>
    </row>
    <row r="29" spans="1:18" x14ac:dyDescent="0.2">
      <c r="A29" s="5" t="s">
        <v>112</v>
      </c>
      <c r="B29" s="5" t="s">
        <v>35</v>
      </c>
      <c r="C29" s="6">
        <v>28</v>
      </c>
      <c r="G29" s="7">
        <v>29</v>
      </c>
      <c r="H29" s="8" t="s">
        <v>92</v>
      </c>
      <c r="I29" s="8"/>
      <c r="J29" s="32"/>
      <c r="P29" s="166"/>
      <c r="R29" s="158" t="s">
        <v>391</v>
      </c>
    </row>
    <row r="30" spans="1:18" x14ac:dyDescent="0.2">
      <c r="A30" s="5" t="s">
        <v>112</v>
      </c>
      <c r="B30" s="5" t="s">
        <v>36</v>
      </c>
      <c r="C30" s="6">
        <v>29</v>
      </c>
      <c r="G30" s="7">
        <v>30</v>
      </c>
      <c r="H30" s="8" t="s">
        <v>93</v>
      </c>
      <c r="I30" s="8"/>
      <c r="J30" s="32"/>
      <c r="P30" s="166"/>
    </row>
    <row r="31" spans="1:18" x14ac:dyDescent="0.2">
      <c r="A31" s="5" t="s">
        <v>115</v>
      </c>
      <c r="B31" s="5" t="s">
        <v>37</v>
      </c>
      <c r="C31" s="6">
        <v>30</v>
      </c>
      <c r="G31" s="7">
        <v>31</v>
      </c>
      <c r="H31" s="8" t="s">
        <v>94</v>
      </c>
      <c r="I31" s="8"/>
      <c r="J31" s="8"/>
      <c r="P31" s="166"/>
    </row>
    <row r="32" spans="1:18" x14ac:dyDescent="0.2">
      <c r="A32" s="5" t="s">
        <v>115</v>
      </c>
      <c r="B32" s="5" t="s">
        <v>38</v>
      </c>
      <c r="C32" s="6">
        <v>31</v>
      </c>
      <c r="G32" s="7">
        <v>32</v>
      </c>
      <c r="H32" s="8" t="s">
        <v>95</v>
      </c>
      <c r="I32" s="8"/>
      <c r="J32" s="32"/>
      <c r="P32" s="166"/>
    </row>
    <row r="33" spans="1:16" x14ac:dyDescent="0.2">
      <c r="A33" s="5" t="s">
        <v>115</v>
      </c>
      <c r="B33" s="5" t="s">
        <v>39</v>
      </c>
      <c r="C33" s="6">
        <v>32</v>
      </c>
      <c r="G33" s="7">
        <v>33</v>
      </c>
      <c r="H33" s="8" t="s">
        <v>96</v>
      </c>
      <c r="I33" s="8"/>
      <c r="J33" s="32"/>
      <c r="P33" s="166"/>
    </row>
    <row r="34" spans="1:16" x14ac:dyDescent="0.2">
      <c r="A34" s="5" t="s">
        <v>115</v>
      </c>
      <c r="B34" s="5" t="s">
        <v>40</v>
      </c>
      <c r="C34" s="6">
        <v>33</v>
      </c>
      <c r="G34" s="7">
        <v>34</v>
      </c>
      <c r="H34" s="8" t="s">
        <v>97</v>
      </c>
      <c r="I34" s="8"/>
      <c r="J34" s="8"/>
      <c r="P34" s="166"/>
    </row>
    <row r="35" spans="1:16" x14ac:dyDescent="0.2">
      <c r="A35" s="5" t="s">
        <v>115</v>
      </c>
      <c r="B35" s="5" t="s">
        <v>41</v>
      </c>
      <c r="C35" s="6">
        <v>34</v>
      </c>
      <c r="G35" s="7">
        <v>35</v>
      </c>
      <c r="H35" s="8" t="s">
        <v>98</v>
      </c>
      <c r="I35" s="8"/>
      <c r="J35" s="8"/>
      <c r="P35" s="166"/>
    </row>
    <row r="36" spans="1:16" x14ac:dyDescent="0.2">
      <c r="A36" s="5" t="s">
        <v>115</v>
      </c>
      <c r="B36" s="5" t="s">
        <v>42</v>
      </c>
      <c r="C36" s="6">
        <v>36</v>
      </c>
      <c r="G36" s="7">
        <v>36</v>
      </c>
      <c r="H36" s="8" t="s">
        <v>99</v>
      </c>
      <c r="I36" s="8"/>
      <c r="J36" s="8"/>
      <c r="P36" s="166"/>
    </row>
    <row r="37" spans="1:16" x14ac:dyDescent="0.2">
      <c r="A37" s="5" t="s">
        <v>115</v>
      </c>
      <c r="B37" s="5" t="s">
        <v>43</v>
      </c>
      <c r="C37" s="6">
        <v>37</v>
      </c>
      <c r="G37" s="7">
        <v>37</v>
      </c>
      <c r="H37" s="8" t="s">
        <v>3</v>
      </c>
      <c r="I37" s="8"/>
      <c r="J37" s="32"/>
      <c r="P37" s="166"/>
    </row>
    <row r="38" spans="1:16" x14ac:dyDescent="0.2">
      <c r="A38" s="5" t="s">
        <v>115</v>
      </c>
      <c r="B38" s="5" t="s">
        <v>44</v>
      </c>
      <c r="C38" s="6">
        <v>38</v>
      </c>
      <c r="G38" s="7">
        <v>38</v>
      </c>
      <c r="H38" s="8" t="s">
        <v>100</v>
      </c>
      <c r="I38" s="8"/>
      <c r="J38" s="32"/>
      <c r="P38" s="166"/>
    </row>
    <row r="39" spans="1:16" x14ac:dyDescent="0.2">
      <c r="A39" s="5" t="s">
        <v>115</v>
      </c>
      <c r="B39" s="5" t="s">
        <v>45</v>
      </c>
      <c r="C39" s="6">
        <v>40</v>
      </c>
      <c r="G39" s="7">
        <v>39</v>
      </c>
      <c r="H39" s="8" t="s">
        <v>101</v>
      </c>
      <c r="I39" s="8"/>
      <c r="J39" s="32"/>
      <c r="P39" s="166"/>
    </row>
    <row r="40" spans="1:16" x14ac:dyDescent="0.2">
      <c r="A40" s="5" t="s">
        <v>47</v>
      </c>
      <c r="B40" s="5" t="s">
        <v>46</v>
      </c>
      <c r="C40" s="6">
        <v>71</v>
      </c>
      <c r="G40" s="7">
        <v>40</v>
      </c>
      <c r="H40" s="8" t="s">
        <v>102</v>
      </c>
      <c r="I40" s="8"/>
      <c r="J40" s="32"/>
      <c r="P40" s="166"/>
    </row>
    <row r="41" spans="1:16" x14ac:dyDescent="0.2">
      <c r="A41" s="5" t="s">
        <v>47</v>
      </c>
      <c r="B41" s="5" t="s">
        <v>48</v>
      </c>
      <c r="C41" s="6">
        <v>72</v>
      </c>
      <c r="G41" s="7">
        <v>43</v>
      </c>
      <c r="H41" s="8" t="s">
        <v>103</v>
      </c>
      <c r="I41" s="8"/>
      <c r="J41" s="32"/>
      <c r="P41" s="166"/>
    </row>
    <row r="42" spans="1:16" x14ac:dyDescent="0.2">
      <c r="A42" s="5" t="s">
        <v>113</v>
      </c>
      <c r="B42" s="5" t="s">
        <v>49</v>
      </c>
      <c r="C42" s="6">
        <v>73</v>
      </c>
      <c r="G42" s="7">
        <v>44</v>
      </c>
      <c r="H42" s="8" t="s">
        <v>104</v>
      </c>
      <c r="J42" s="33"/>
      <c r="P42" s="166"/>
    </row>
    <row r="43" spans="1:16" x14ac:dyDescent="0.2">
      <c r="A43" s="5" t="s">
        <v>115</v>
      </c>
      <c r="B43" s="5" t="s">
        <v>50</v>
      </c>
      <c r="C43" s="6">
        <v>74</v>
      </c>
      <c r="G43" s="7">
        <v>45</v>
      </c>
      <c r="H43" s="8" t="s">
        <v>105</v>
      </c>
      <c r="J43" s="33"/>
      <c r="P43" s="166"/>
    </row>
    <row r="44" spans="1:16" x14ac:dyDescent="0.2">
      <c r="A44" s="5" t="s">
        <v>260</v>
      </c>
      <c r="B44" s="5" t="s">
        <v>261</v>
      </c>
      <c r="C44" s="6">
        <v>41</v>
      </c>
      <c r="G44" s="7">
        <v>46</v>
      </c>
      <c r="H44" s="8" t="s">
        <v>106</v>
      </c>
      <c r="I44" s="8"/>
      <c r="J44" s="8"/>
      <c r="P44" s="166"/>
    </row>
    <row r="45" spans="1:16" x14ac:dyDescent="0.2">
      <c r="A45" s="5" t="s">
        <v>260</v>
      </c>
      <c r="B45" s="5" t="s">
        <v>262</v>
      </c>
      <c r="C45" s="6">
        <v>42</v>
      </c>
      <c r="G45" s="7">
        <v>47</v>
      </c>
      <c r="H45" s="8" t="s">
        <v>107</v>
      </c>
      <c r="I45" s="8"/>
      <c r="J45" s="8"/>
      <c r="P45" s="166"/>
    </row>
    <row r="46" spans="1:16" x14ac:dyDescent="0.2">
      <c r="A46" s="5" t="s">
        <v>260</v>
      </c>
      <c r="B46" s="5" t="s">
        <v>263</v>
      </c>
      <c r="C46" s="6">
        <v>43</v>
      </c>
      <c r="G46" s="7">
        <v>48</v>
      </c>
      <c r="H46" s="8" t="s">
        <v>108</v>
      </c>
      <c r="I46" s="8"/>
      <c r="J46" s="8"/>
      <c r="P46" s="166"/>
    </row>
    <row r="47" spans="1:16" x14ac:dyDescent="0.2">
      <c r="A47" s="5" t="s">
        <v>260</v>
      </c>
      <c r="B47" s="5" t="s">
        <v>264</v>
      </c>
      <c r="C47" s="6">
        <v>44</v>
      </c>
      <c r="G47" s="7">
        <v>49</v>
      </c>
      <c r="H47" s="8" t="s">
        <v>109</v>
      </c>
      <c r="I47" s="8"/>
      <c r="J47" s="8"/>
      <c r="P47" s="166"/>
    </row>
    <row r="48" spans="1:16" x14ac:dyDescent="0.2">
      <c r="A48" s="5" t="s">
        <v>260</v>
      </c>
      <c r="B48" s="5" t="s">
        <v>265</v>
      </c>
      <c r="C48" s="6">
        <v>45</v>
      </c>
      <c r="G48" s="7">
        <v>50</v>
      </c>
      <c r="H48" s="8" t="s">
        <v>229</v>
      </c>
      <c r="I48" s="8"/>
      <c r="J48" s="8"/>
      <c r="P48" s="166"/>
    </row>
    <row r="49" spans="1:17" x14ac:dyDescent="0.2">
      <c r="A49" s="5" t="s">
        <v>260</v>
      </c>
      <c r="B49" s="5" t="s">
        <v>266</v>
      </c>
      <c r="C49" s="6">
        <v>46</v>
      </c>
      <c r="G49" s="7">
        <v>51</v>
      </c>
      <c r="H49" s="8" t="s">
        <v>230</v>
      </c>
      <c r="I49" s="8"/>
      <c r="J49" s="8"/>
      <c r="P49" s="166"/>
    </row>
    <row r="50" spans="1:17" x14ac:dyDescent="0.2">
      <c r="A50" s="5" t="s">
        <v>260</v>
      </c>
      <c r="B50" s="5" t="s">
        <v>267</v>
      </c>
      <c r="C50" s="6">
        <v>47</v>
      </c>
      <c r="G50" s="7">
        <v>52</v>
      </c>
      <c r="H50" s="8" t="s">
        <v>231</v>
      </c>
      <c r="P50" s="166"/>
    </row>
    <row r="51" spans="1:17" x14ac:dyDescent="0.2">
      <c r="A51" s="5" t="s">
        <v>260</v>
      </c>
      <c r="B51" s="5" t="s">
        <v>268</v>
      </c>
      <c r="C51" s="6">
        <v>48</v>
      </c>
      <c r="G51" s="30">
        <v>53</v>
      </c>
      <c r="H51" s="31" t="s">
        <v>110</v>
      </c>
      <c r="P51" s="166"/>
    </row>
    <row r="52" spans="1:17" x14ac:dyDescent="0.2">
      <c r="A52" s="5" t="s">
        <v>260</v>
      </c>
      <c r="B52" s="5" t="s">
        <v>269</v>
      </c>
      <c r="C52" s="6">
        <v>49</v>
      </c>
      <c r="G52" s="30">
        <v>54</v>
      </c>
      <c r="H52" s="31" t="s">
        <v>110</v>
      </c>
      <c r="P52" s="166"/>
    </row>
    <row r="53" spans="1:17" x14ac:dyDescent="0.2">
      <c r="A53" s="5" t="s">
        <v>260</v>
      </c>
      <c r="B53" s="5" t="s">
        <v>270</v>
      </c>
      <c r="C53" s="6">
        <v>50</v>
      </c>
      <c r="G53" s="30">
        <v>55</v>
      </c>
      <c r="H53" s="31" t="s">
        <v>110</v>
      </c>
      <c r="P53" s="166"/>
    </row>
    <row r="54" spans="1:17" x14ac:dyDescent="0.2">
      <c r="A54" s="5" t="s">
        <v>116</v>
      </c>
      <c r="B54" s="16" t="s">
        <v>156</v>
      </c>
      <c r="C54" s="6">
        <v>75</v>
      </c>
      <c r="G54" s="30">
        <v>100</v>
      </c>
      <c r="H54" s="31" t="s">
        <v>110</v>
      </c>
      <c r="P54" s="159">
        <v>1</v>
      </c>
      <c r="Q54" s="48"/>
    </row>
    <row r="55" spans="1:17" x14ac:dyDescent="0.2">
      <c r="A55" s="5" t="s">
        <v>116</v>
      </c>
      <c r="B55" s="16" t="s">
        <v>158</v>
      </c>
      <c r="C55" s="6">
        <v>76</v>
      </c>
      <c r="G55" s="30">
        <v>101</v>
      </c>
      <c r="H55" s="31" t="s">
        <v>111</v>
      </c>
      <c r="P55" s="159">
        <v>2</v>
      </c>
      <c r="Q55" s="48"/>
    </row>
    <row r="56" spans="1:17" x14ac:dyDescent="0.2">
      <c r="A56" s="5" t="s">
        <v>116</v>
      </c>
      <c r="B56" s="16" t="s">
        <v>159</v>
      </c>
      <c r="C56" s="6">
        <v>77</v>
      </c>
      <c r="P56" s="159">
        <v>3</v>
      </c>
      <c r="Q56" s="48"/>
    </row>
    <row r="57" spans="1:17" x14ac:dyDescent="0.2">
      <c r="A57" s="5" t="s">
        <v>116</v>
      </c>
      <c r="B57" s="16" t="s">
        <v>160</v>
      </c>
      <c r="C57" s="6">
        <v>78</v>
      </c>
      <c r="P57" s="159">
        <v>4</v>
      </c>
      <c r="Q57" s="48"/>
    </row>
    <row r="58" spans="1:17" x14ac:dyDescent="0.2">
      <c r="A58" s="5" t="s">
        <v>116</v>
      </c>
      <c r="B58" s="16" t="s">
        <v>161</v>
      </c>
      <c r="C58" s="6">
        <v>79</v>
      </c>
      <c r="P58" s="159">
        <v>5</v>
      </c>
      <c r="Q58" s="48"/>
    </row>
    <row r="59" spans="1:17" x14ac:dyDescent="0.2">
      <c r="A59" s="5" t="s">
        <v>116</v>
      </c>
      <c r="B59" s="16" t="s">
        <v>162</v>
      </c>
      <c r="C59" s="6">
        <v>80</v>
      </c>
      <c r="P59" s="159">
        <v>6</v>
      </c>
      <c r="Q59" s="48"/>
    </row>
    <row r="60" spans="1:17" x14ac:dyDescent="0.2">
      <c r="A60" s="5" t="s">
        <v>116</v>
      </c>
      <c r="B60" s="16" t="s">
        <v>163</v>
      </c>
      <c r="C60" s="6">
        <v>81</v>
      </c>
      <c r="P60" s="159">
        <v>7</v>
      </c>
      <c r="Q60" s="48"/>
    </row>
    <row r="61" spans="1:17" x14ac:dyDescent="0.2">
      <c r="A61" s="5" t="s">
        <v>116</v>
      </c>
      <c r="B61" s="16" t="s">
        <v>164</v>
      </c>
      <c r="C61" s="6">
        <v>82</v>
      </c>
      <c r="P61" s="159">
        <v>8</v>
      </c>
      <c r="Q61" s="48"/>
    </row>
    <row r="62" spans="1:17" x14ac:dyDescent="0.2">
      <c r="A62" s="5" t="s">
        <v>116</v>
      </c>
      <c r="B62" s="16" t="s">
        <v>165</v>
      </c>
      <c r="C62" s="6">
        <v>83</v>
      </c>
      <c r="P62" s="159">
        <v>9</v>
      </c>
      <c r="Q62" s="48"/>
    </row>
    <row r="63" spans="1:17" x14ac:dyDescent="0.2">
      <c r="A63" s="5" t="s">
        <v>116</v>
      </c>
      <c r="B63" s="16" t="s">
        <v>157</v>
      </c>
      <c r="C63" s="6">
        <v>84</v>
      </c>
      <c r="P63" s="159">
        <v>10</v>
      </c>
      <c r="Q63" s="48"/>
    </row>
    <row r="64" spans="1:17" x14ac:dyDescent="0.2">
      <c r="A64" s="5" t="s">
        <v>116</v>
      </c>
      <c r="B64" s="16" t="s">
        <v>166</v>
      </c>
      <c r="C64" s="6">
        <v>85</v>
      </c>
      <c r="P64" s="159">
        <v>11</v>
      </c>
      <c r="Q64" s="48"/>
    </row>
    <row r="65" spans="1:17" x14ac:dyDescent="0.2">
      <c r="A65" s="5" t="s">
        <v>116</v>
      </c>
      <c r="B65" s="16" t="s">
        <v>167</v>
      </c>
      <c r="C65" s="6">
        <v>86</v>
      </c>
      <c r="P65" s="159">
        <v>12</v>
      </c>
      <c r="Q65" s="48"/>
    </row>
    <row r="66" spans="1:17" x14ac:dyDescent="0.2">
      <c r="A66" s="5" t="s">
        <v>116</v>
      </c>
      <c r="B66" s="16" t="s">
        <v>168</v>
      </c>
      <c r="C66" s="6">
        <v>87</v>
      </c>
      <c r="P66" s="159">
        <v>13</v>
      </c>
      <c r="Q66" s="48"/>
    </row>
    <row r="67" spans="1:17" x14ac:dyDescent="0.2">
      <c r="A67" s="5" t="s">
        <v>116</v>
      </c>
      <c r="B67" s="16" t="s">
        <v>169</v>
      </c>
      <c r="C67" s="6">
        <v>88</v>
      </c>
      <c r="P67" s="159">
        <v>14</v>
      </c>
      <c r="Q67" s="48"/>
    </row>
    <row r="68" spans="1:17" x14ac:dyDescent="0.2">
      <c r="A68" s="5" t="s">
        <v>116</v>
      </c>
      <c r="B68" s="16" t="s">
        <v>170</v>
      </c>
      <c r="C68" s="6">
        <v>89</v>
      </c>
      <c r="P68" s="159">
        <v>15</v>
      </c>
      <c r="Q68" s="48"/>
    </row>
    <row r="69" spans="1:17" x14ac:dyDescent="0.2">
      <c r="A69" s="5" t="s">
        <v>116</v>
      </c>
      <c r="B69" s="16" t="s">
        <v>171</v>
      </c>
      <c r="C69" s="6">
        <v>90</v>
      </c>
      <c r="P69" s="159">
        <v>16</v>
      </c>
      <c r="Q69" s="48"/>
    </row>
    <row r="70" spans="1:17" x14ac:dyDescent="0.2">
      <c r="A70" s="5" t="s">
        <v>116</v>
      </c>
      <c r="B70" s="16" t="s">
        <v>172</v>
      </c>
      <c r="C70" s="6">
        <v>91</v>
      </c>
      <c r="P70" s="159">
        <v>17</v>
      </c>
      <c r="Q70" s="48"/>
    </row>
    <row r="71" spans="1:17" x14ac:dyDescent="0.2">
      <c r="A71" s="5" t="s">
        <v>116</v>
      </c>
      <c r="B71" s="16" t="s">
        <v>173</v>
      </c>
      <c r="C71" s="6">
        <v>92</v>
      </c>
      <c r="P71" s="159">
        <v>18</v>
      </c>
      <c r="Q71" s="48"/>
    </row>
    <row r="72" spans="1:17" x14ac:dyDescent="0.2">
      <c r="A72" s="5" t="s">
        <v>116</v>
      </c>
      <c r="B72" s="16" t="s">
        <v>174</v>
      </c>
      <c r="C72" s="6">
        <v>93</v>
      </c>
      <c r="P72" s="159">
        <v>19</v>
      </c>
      <c r="Q72" s="48"/>
    </row>
    <row r="73" spans="1:17" x14ac:dyDescent="0.2">
      <c r="A73" s="5" t="s">
        <v>116</v>
      </c>
      <c r="B73" s="16" t="s">
        <v>175</v>
      </c>
      <c r="C73" s="6">
        <v>94</v>
      </c>
      <c r="P73" s="159">
        <v>20</v>
      </c>
      <c r="Q73" s="48"/>
    </row>
    <row r="74" spans="1:17" x14ac:dyDescent="0.2">
      <c r="A74" s="5" t="s">
        <v>116</v>
      </c>
      <c r="B74" s="16" t="s">
        <v>176</v>
      </c>
      <c r="C74" s="6">
        <v>95</v>
      </c>
      <c r="P74" s="159">
        <v>21</v>
      </c>
      <c r="Q74" s="48"/>
    </row>
    <row r="75" spans="1:17" x14ac:dyDescent="0.2">
      <c r="A75" s="5" t="s">
        <v>116</v>
      </c>
      <c r="B75" s="16" t="s">
        <v>177</v>
      </c>
      <c r="C75" s="6">
        <v>96</v>
      </c>
      <c r="P75" s="159">
        <v>22</v>
      </c>
      <c r="Q75" s="48"/>
    </row>
    <row r="76" spans="1:17" x14ac:dyDescent="0.2">
      <c r="A76" s="5" t="s">
        <v>116</v>
      </c>
      <c r="B76" s="16" t="s">
        <v>178</v>
      </c>
      <c r="C76" s="6">
        <v>97</v>
      </c>
      <c r="P76" s="159">
        <v>23</v>
      </c>
      <c r="Q76" s="48"/>
    </row>
    <row r="77" spans="1:17" x14ac:dyDescent="0.2">
      <c r="A77" s="5" t="s">
        <v>116</v>
      </c>
      <c r="B77" s="16" t="s">
        <v>179</v>
      </c>
      <c r="C77" s="6">
        <v>98</v>
      </c>
      <c r="P77" s="159">
        <v>24</v>
      </c>
      <c r="Q77" s="48"/>
    </row>
    <row r="78" spans="1:17" x14ac:dyDescent="0.2">
      <c r="A78" s="5" t="s">
        <v>116</v>
      </c>
      <c r="B78" s="16" t="s">
        <v>180</v>
      </c>
      <c r="C78" s="6">
        <v>99</v>
      </c>
      <c r="P78" s="159">
        <v>25</v>
      </c>
      <c r="Q78" s="48"/>
    </row>
    <row r="79" spans="1:17" x14ac:dyDescent="0.2">
      <c r="A79" s="5" t="s">
        <v>116</v>
      </c>
      <c r="B79" s="16" t="s">
        <v>181</v>
      </c>
      <c r="C79" s="6">
        <v>39</v>
      </c>
      <c r="P79" s="159" t="s">
        <v>354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theme="7"/>
  </sheetPr>
  <dimension ref="A1:CP70"/>
  <sheetViews>
    <sheetView topLeftCell="CH1" zoomScaleNormal="100" workbookViewId="0">
      <pane ySplit="3" topLeftCell="A51" activePane="bottomLeft" state="frozen"/>
      <selection pane="bottomLeft" activeCell="CQ72" sqref="CQ72"/>
    </sheetView>
  </sheetViews>
  <sheetFormatPr defaultColWidth="9.140625" defaultRowHeight="15" outlineLevelCol="1" x14ac:dyDescent="0.25"/>
  <cols>
    <col min="1" max="1" width="7.28515625" style="103" customWidth="1"/>
    <col min="2" max="2" width="10.42578125" style="103" customWidth="1"/>
    <col min="3" max="3" width="16.7109375" style="103" customWidth="1"/>
    <col min="4" max="4" width="5.5703125" style="103" customWidth="1"/>
    <col min="5" max="7" width="14.28515625" style="103" customWidth="1"/>
    <col min="8" max="8" width="13.7109375" style="103" customWidth="1"/>
    <col min="9" max="10" width="12.28515625" style="103" customWidth="1" outlineLevel="1"/>
    <col min="11" max="12" width="10" style="103" customWidth="1" outlineLevel="1"/>
    <col min="13" max="14" width="15.42578125" style="103" customWidth="1" outlineLevel="1"/>
    <col min="15" max="16" width="12.28515625" style="103" customWidth="1"/>
    <col min="17" max="18" width="10" style="103" customWidth="1"/>
    <col min="19" max="21" width="15.42578125" style="103" customWidth="1"/>
    <col min="22" max="23" width="14.28515625" style="103" customWidth="1"/>
    <col min="24" max="25" width="14.28515625" style="103" customWidth="1" outlineLevel="1"/>
    <col min="26" max="26" width="10.5703125" style="103" customWidth="1" outlineLevel="1"/>
    <col min="27" max="27" width="15.85546875" style="103" customWidth="1" outlineLevel="1"/>
    <col min="28" max="29" width="15.5703125" style="103" customWidth="1" outlineLevel="1"/>
    <col min="30" max="31" width="14.28515625" style="103" customWidth="1" outlineLevel="1"/>
    <col min="32" max="33" width="14.28515625" style="103" customWidth="1"/>
    <col min="34" max="35" width="10.5703125" style="103" customWidth="1" outlineLevel="1"/>
    <col min="36" max="36" width="15.85546875" style="103" customWidth="1" outlineLevel="1"/>
    <col min="37" max="38" width="17" style="103" customWidth="1" outlineLevel="1"/>
    <col min="39" max="40" width="10.5703125" style="103" customWidth="1"/>
    <col min="41" max="41" width="15.85546875" style="103" customWidth="1"/>
    <col min="42" max="43" width="17" style="103" customWidth="1"/>
    <col min="44" max="49" width="14.28515625" style="103" customWidth="1"/>
    <col min="50" max="50" width="54.140625" style="103" customWidth="1"/>
    <col min="51" max="55" width="14.28515625" style="103" customWidth="1"/>
    <col min="56" max="56" width="35.7109375" style="103" customWidth="1"/>
    <col min="57" max="57" width="7.28515625" style="103" customWidth="1"/>
    <col min="58" max="58" width="12.28515625" style="103" customWidth="1"/>
    <col min="59" max="59" width="10.7109375" style="103" customWidth="1"/>
    <col min="60" max="60" width="12.42578125" style="103" customWidth="1"/>
    <col min="61" max="63" width="18" style="103" customWidth="1"/>
    <col min="64" max="65" width="11" style="103" customWidth="1"/>
    <col min="66" max="66" width="7" style="103" customWidth="1"/>
    <col min="67" max="68" width="6.5703125" style="103" customWidth="1"/>
    <col min="69" max="69" width="11" style="107" customWidth="1" outlineLevel="1"/>
    <col min="70" max="70" width="4.28515625" style="107" customWidth="1" outlineLevel="1"/>
    <col min="71" max="71" width="11" style="107" customWidth="1" outlineLevel="1"/>
    <col min="72" max="72" width="4.28515625" style="107" customWidth="1" outlineLevel="1"/>
    <col min="73" max="73" width="11" style="107" customWidth="1" outlineLevel="1"/>
    <col min="74" max="74" width="4.28515625" style="107" customWidth="1" outlineLevel="1"/>
    <col min="75" max="75" width="11" style="107" customWidth="1" outlineLevel="1"/>
    <col min="76" max="76" width="4.28515625" style="107" customWidth="1" outlineLevel="1"/>
    <col min="77" max="77" width="11" style="107" customWidth="1" outlineLevel="1"/>
    <col min="78" max="78" width="4.28515625" style="107" customWidth="1" outlineLevel="1"/>
    <col min="79" max="79" width="11" style="107" customWidth="1" outlineLevel="1"/>
    <col min="80" max="80" width="11.140625" style="103" customWidth="1"/>
    <col min="81" max="81" width="15.5703125" style="103" customWidth="1"/>
    <col min="82" max="82" width="10" style="103" customWidth="1"/>
    <col min="83" max="84" width="12" style="103" customWidth="1"/>
    <col min="85" max="85" width="162.85546875" style="107" bestFit="1" customWidth="1"/>
    <col min="86" max="86" width="4.28515625" style="107" customWidth="1"/>
    <col min="87" max="87" width="24.28515625" style="107" customWidth="1"/>
    <col min="88" max="88" width="15.5703125" style="103" customWidth="1"/>
    <col min="89" max="89" width="16.5703125" style="103" customWidth="1"/>
    <col min="90" max="90" width="15.85546875" style="103" customWidth="1"/>
    <col min="91" max="91" width="13.7109375" style="103" customWidth="1"/>
    <col min="92" max="92" width="12.7109375" style="103" customWidth="1"/>
    <col min="93" max="93" width="12.5703125" style="103" customWidth="1"/>
    <col min="94" max="94" width="13" style="103" customWidth="1"/>
    <col min="95" max="95" width="12.85546875" style="103" customWidth="1"/>
    <col min="96" max="96" width="12.5703125" style="103" customWidth="1"/>
    <col min="97" max="97" width="9.140625" style="103" customWidth="1"/>
    <col min="98" max="16384" width="9.140625" style="103"/>
  </cols>
  <sheetData>
    <row r="1" spans="1:94" s="78" customFormat="1" ht="15" customHeight="1" x14ac:dyDescent="0.25">
      <c r="A1" s="62" t="s">
        <v>272</v>
      </c>
      <c r="B1" s="63"/>
      <c r="C1" s="62" t="s">
        <v>273</v>
      </c>
      <c r="D1" s="63"/>
      <c r="E1" s="62" t="s">
        <v>5</v>
      </c>
      <c r="F1" s="64"/>
      <c r="G1" s="65" t="s">
        <v>52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7"/>
      <c r="W1" s="68"/>
      <c r="X1" s="69" t="s">
        <v>53</v>
      </c>
      <c r="Y1" s="70"/>
      <c r="Z1" s="70"/>
      <c r="AA1" s="70"/>
      <c r="AB1" s="70"/>
      <c r="AC1" s="70"/>
      <c r="AD1" s="71"/>
      <c r="AE1" s="68"/>
      <c r="AF1" s="65" t="s">
        <v>6</v>
      </c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7"/>
      <c r="AS1" s="69" t="s">
        <v>274</v>
      </c>
      <c r="AT1" s="70"/>
      <c r="AU1" s="70"/>
      <c r="AV1" s="71"/>
      <c r="AW1" s="68"/>
      <c r="AX1" s="69" t="s">
        <v>275</v>
      </c>
      <c r="AY1" s="71"/>
      <c r="AZ1" s="68"/>
      <c r="BA1" s="68"/>
      <c r="BB1" s="68"/>
      <c r="BC1" s="68"/>
      <c r="BD1" s="69" t="s">
        <v>276</v>
      </c>
      <c r="BE1" s="70"/>
      <c r="BF1" s="70"/>
      <c r="BG1" s="70"/>
      <c r="BH1" s="70"/>
      <c r="BI1" s="70"/>
      <c r="BJ1" s="70"/>
      <c r="BK1" s="70"/>
      <c r="BL1" s="70"/>
      <c r="BM1" s="71"/>
      <c r="BN1" s="69" t="s">
        <v>277</v>
      </c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1"/>
      <c r="CB1" s="69" t="s">
        <v>278</v>
      </c>
      <c r="CC1" s="70"/>
      <c r="CD1" s="70"/>
      <c r="CE1" s="71"/>
      <c r="CF1" s="72"/>
      <c r="CG1" s="73" t="s">
        <v>186</v>
      </c>
      <c r="CH1" s="74"/>
      <c r="CI1" s="73" t="s">
        <v>279</v>
      </c>
      <c r="CJ1" s="62" t="s">
        <v>280</v>
      </c>
      <c r="CK1" s="62" t="s">
        <v>281</v>
      </c>
      <c r="CL1" s="75" t="s">
        <v>282</v>
      </c>
      <c r="CM1" s="76"/>
      <c r="CN1" s="77"/>
      <c r="CO1" s="77"/>
    </row>
    <row r="2" spans="1:94" s="78" customFormat="1" ht="15" customHeight="1" x14ac:dyDescent="0.25">
      <c r="A2" s="62"/>
      <c r="B2" s="63"/>
      <c r="C2" s="62"/>
      <c r="D2" s="63"/>
      <c r="E2" s="62"/>
      <c r="F2" s="64"/>
      <c r="G2" s="64"/>
      <c r="H2" s="79"/>
      <c r="I2" s="62" t="s">
        <v>283</v>
      </c>
      <c r="J2" s="62"/>
      <c r="K2" s="62"/>
      <c r="L2" s="62"/>
      <c r="M2" s="62"/>
      <c r="N2" s="62"/>
      <c r="O2" s="62" t="s">
        <v>284</v>
      </c>
      <c r="P2" s="62"/>
      <c r="Q2" s="62"/>
      <c r="R2" s="62"/>
      <c r="S2" s="62"/>
      <c r="T2" s="62"/>
      <c r="U2" s="62"/>
      <c r="V2" s="62"/>
      <c r="W2" s="80"/>
      <c r="X2" s="81"/>
      <c r="Y2" s="82"/>
      <c r="Z2" s="82"/>
      <c r="AA2" s="82"/>
      <c r="AB2" s="82"/>
      <c r="AC2" s="82"/>
      <c r="AD2" s="83"/>
      <c r="AE2" s="84"/>
      <c r="AF2" s="64"/>
      <c r="AG2" s="64"/>
      <c r="AH2" s="65" t="s">
        <v>283</v>
      </c>
      <c r="AI2" s="66"/>
      <c r="AJ2" s="66"/>
      <c r="AK2" s="66"/>
      <c r="AL2" s="79"/>
      <c r="AM2" s="62" t="s">
        <v>284</v>
      </c>
      <c r="AN2" s="62"/>
      <c r="AO2" s="62"/>
      <c r="AP2" s="62"/>
      <c r="AQ2" s="62"/>
      <c r="AR2" s="62"/>
      <c r="AS2" s="81"/>
      <c r="AT2" s="82"/>
      <c r="AU2" s="82"/>
      <c r="AV2" s="83"/>
      <c r="AW2" s="80"/>
      <c r="AX2" s="81"/>
      <c r="AY2" s="83"/>
      <c r="AZ2" s="84"/>
      <c r="BA2" s="84"/>
      <c r="BB2" s="84"/>
      <c r="BC2" s="84"/>
      <c r="BD2" s="81"/>
      <c r="BE2" s="82"/>
      <c r="BF2" s="82"/>
      <c r="BG2" s="82"/>
      <c r="BH2" s="82"/>
      <c r="BI2" s="82"/>
      <c r="BJ2" s="82"/>
      <c r="BK2" s="82"/>
      <c r="BL2" s="82"/>
      <c r="BM2" s="83"/>
      <c r="BN2" s="81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3"/>
      <c r="CB2" s="81"/>
      <c r="CC2" s="82"/>
      <c r="CD2" s="82"/>
      <c r="CE2" s="83"/>
      <c r="CF2" s="85"/>
      <c r="CG2" s="86"/>
      <c r="CH2" s="87"/>
      <c r="CI2" s="86"/>
      <c r="CJ2" s="88"/>
      <c r="CK2" s="88"/>
      <c r="CL2" s="75"/>
      <c r="CM2" s="89"/>
      <c r="CN2" s="90"/>
      <c r="CO2" s="90"/>
    </row>
    <row r="3" spans="1:94" s="78" customFormat="1" ht="45" x14ac:dyDescent="0.25">
      <c r="A3" s="73"/>
      <c r="B3" s="91" t="s">
        <v>285</v>
      </c>
      <c r="C3" s="73"/>
      <c r="D3" s="91" t="s">
        <v>285</v>
      </c>
      <c r="E3" s="73"/>
      <c r="F3" s="91" t="s">
        <v>285</v>
      </c>
      <c r="G3" s="74" t="s">
        <v>52</v>
      </c>
      <c r="H3" s="74" t="s">
        <v>286</v>
      </c>
      <c r="I3" s="74" t="s">
        <v>287</v>
      </c>
      <c r="J3" s="91" t="s">
        <v>285</v>
      </c>
      <c r="K3" s="74" t="s">
        <v>288</v>
      </c>
      <c r="L3" s="91" t="s">
        <v>285</v>
      </c>
      <c r="M3" s="74" t="s">
        <v>289</v>
      </c>
      <c r="N3" s="74" t="s">
        <v>290</v>
      </c>
      <c r="O3" s="74" t="s">
        <v>287</v>
      </c>
      <c r="P3" s="91" t="s">
        <v>285</v>
      </c>
      <c r="Q3" s="74" t="s">
        <v>288</v>
      </c>
      <c r="R3" s="91" t="s">
        <v>285</v>
      </c>
      <c r="S3" s="74" t="s">
        <v>289</v>
      </c>
      <c r="T3" s="74" t="s">
        <v>290</v>
      </c>
      <c r="U3" s="91" t="s">
        <v>285</v>
      </c>
      <c r="V3" s="74" t="s">
        <v>291</v>
      </c>
      <c r="W3" s="91" t="s">
        <v>285</v>
      </c>
      <c r="X3" s="74" t="s">
        <v>53</v>
      </c>
      <c r="Y3" s="91" t="s">
        <v>285</v>
      </c>
      <c r="Z3" s="74" t="s">
        <v>288</v>
      </c>
      <c r="AA3" s="74" t="s">
        <v>292</v>
      </c>
      <c r="AB3" s="74" t="s">
        <v>293</v>
      </c>
      <c r="AC3" s="74"/>
      <c r="AD3" s="74" t="s">
        <v>291</v>
      </c>
      <c r="AE3" s="91" t="s">
        <v>285</v>
      </c>
      <c r="AF3" s="74" t="s">
        <v>6</v>
      </c>
      <c r="AG3" s="91" t="s">
        <v>285</v>
      </c>
      <c r="AH3" s="74" t="s">
        <v>288</v>
      </c>
      <c r="AI3" s="91" t="s">
        <v>285</v>
      </c>
      <c r="AJ3" s="74" t="s">
        <v>289</v>
      </c>
      <c r="AK3" s="74" t="s">
        <v>290</v>
      </c>
      <c r="AL3" s="91" t="s">
        <v>285</v>
      </c>
      <c r="AM3" s="74" t="s">
        <v>288</v>
      </c>
      <c r="AN3" s="91" t="s">
        <v>285</v>
      </c>
      <c r="AO3" s="74" t="s">
        <v>289</v>
      </c>
      <c r="AP3" s="74" t="s">
        <v>290</v>
      </c>
      <c r="AQ3" s="91" t="s">
        <v>285</v>
      </c>
      <c r="AR3" s="74" t="s">
        <v>291</v>
      </c>
      <c r="AS3" s="91" t="s">
        <v>285</v>
      </c>
      <c r="AT3" s="91" t="s">
        <v>294</v>
      </c>
      <c r="AU3" s="91" t="s">
        <v>295</v>
      </c>
      <c r="AV3" s="91" t="s">
        <v>296</v>
      </c>
      <c r="AW3" s="91" t="s">
        <v>285</v>
      </c>
      <c r="AX3" s="74" t="s">
        <v>297</v>
      </c>
      <c r="AY3" s="74" t="s">
        <v>298</v>
      </c>
      <c r="AZ3" s="92" t="s">
        <v>295</v>
      </c>
      <c r="BA3" s="92" t="s">
        <v>296</v>
      </c>
      <c r="BB3" s="91" t="s">
        <v>285</v>
      </c>
      <c r="BC3" s="91" t="s">
        <v>299</v>
      </c>
      <c r="BD3" s="74" t="s">
        <v>136</v>
      </c>
      <c r="BE3" s="91" t="s">
        <v>285</v>
      </c>
      <c r="BF3" s="74" t="s">
        <v>300</v>
      </c>
      <c r="BG3" s="74" t="s">
        <v>301</v>
      </c>
      <c r="BH3" s="74" t="s">
        <v>134</v>
      </c>
      <c r="BI3" s="74" t="s">
        <v>302</v>
      </c>
      <c r="BJ3" s="92" t="s">
        <v>303</v>
      </c>
      <c r="BK3" s="92" t="s">
        <v>304</v>
      </c>
      <c r="BL3" s="74" t="s">
        <v>305</v>
      </c>
      <c r="BM3" s="74" t="s">
        <v>306</v>
      </c>
      <c r="BN3" s="74" t="s">
        <v>307</v>
      </c>
      <c r="BO3" s="74" t="s">
        <v>308</v>
      </c>
      <c r="BP3" s="93" t="s">
        <v>285</v>
      </c>
      <c r="BQ3" s="74" t="s">
        <v>309</v>
      </c>
      <c r="BR3" s="93" t="s">
        <v>285</v>
      </c>
      <c r="BS3" s="74" t="s">
        <v>310</v>
      </c>
      <c r="BT3" s="93" t="s">
        <v>285</v>
      </c>
      <c r="BU3" s="74" t="s">
        <v>311</v>
      </c>
      <c r="BV3" s="93" t="s">
        <v>285</v>
      </c>
      <c r="BW3" s="74" t="s">
        <v>312</v>
      </c>
      <c r="BX3" s="93" t="s">
        <v>285</v>
      </c>
      <c r="BY3" s="74" t="s">
        <v>313</v>
      </c>
      <c r="BZ3" s="93" t="s">
        <v>285</v>
      </c>
      <c r="CA3" s="74" t="s">
        <v>314</v>
      </c>
      <c r="CB3" s="74" t="s">
        <v>315</v>
      </c>
      <c r="CC3" s="74" t="s">
        <v>316</v>
      </c>
      <c r="CD3" s="74" t="s">
        <v>317</v>
      </c>
      <c r="CE3" s="74" t="s">
        <v>318</v>
      </c>
      <c r="CF3" s="93" t="s">
        <v>285</v>
      </c>
      <c r="CG3" s="86"/>
      <c r="CH3" s="93" t="s">
        <v>285</v>
      </c>
      <c r="CI3" s="86"/>
      <c r="CJ3" s="94"/>
      <c r="CK3" s="94"/>
      <c r="CL3" s="95"/>
      <c r="CM3" s="96"/>
      <c r="CN3" s="97"/>
      <c r="CO3" s="97"/>
      <c r="CP3" s="78" t="s">
        <v>319</v>
      </c>
    </row>
    <row r="4" spans="1:94" x14ac:dyDescent="0.25">
      <c r="A4" s="98" t="s">
        <v>395</v>
      </c>
      <c r="B4" s="99"/>
      <c r="C4" s="99" t="s">
        <v>320</v>
      </c>
      <c r="D4" s="99"/>
      <c r="E4" s="99" t="s">
        <v>396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 t="s">
        <v>397</v>
      </c>
      <c r="AG4" s="99"/>
      <c r="AH4" s="99"/>
      <c r="AI4" s="99"/>
      <c r="AJ4" s="99"/>
      <c r="AK4" s="99"/>
      <c r="AL4" s="99"/>
      <c r="AM4" s="99" t="s">
        <v>398</v>
      </c>
      <c r="AN4" s="99"/>
      <c r="AO4" s="99" t="s">
        <v>399</v>
      </c>
      <c r="AP4" s="99" t="s">
        <v>321</v>
      </c>
      <c r="AQ4" s="99"/>
      <c r="AR4" s="99" t="s">
        <v>399</v>
      </c>
      <c r="AS4" s="99"/>
      <c r="AT4" s="99"/>
      <c r="AU4" s="99"/>
      <c r="AV4" s="99"/>
      <c r="AW4" s="99"/>
      <c r="AX4" s="99" t="s">
        <v>400</v>
      </c>
      <c r="AY4" s="99" t="s">
        <v>393</v>
      </c>
      <c r="AZ4" s="99"/>
      <c r="BA4" s="99"/>
      <c r="BB4" s="99"/>
      <c r="BC4" s="99" t="s">
        <v>401</v>
      </c>
      <c r="BD4" s="99" t="s">
        <v>402</v>
      </c>
      <c r="BE4" s="99"/>
      <c r="BF4" s="99" t="s">
        <v>403</v>
      </c>
      <c r="BG4" s="99"/>
      <c r="BH4" s="99" t="s">
        <v>404</v>
      </c>
      <c r="BI4" s="99"/>
      <c r="BJ4" s="99" t="s">
        <v>405</v>
      </c>
      <c r="BK4" s="99"/>
      <c r="BL4" s="99"/>
      <c r="BM4" s="99" t="s">
        <v>406</v>
      </c>
      <c r="BN4" s="99">
        <v>1</v>
      </c>
      <c r="BO4" s="99">
        <v>1</v>
      </c>
      <c r="BP4" s="99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99">
        <v>18</v>
      </c>
      <c r="CC4" s="99" t="s">
        <v>322</v>
      </c>
      <c r="CD4" s="99" t="s">
        <v>407</v>
      </c>
      <c r="CE4" s="99" t="s">
        <v>408</v>
      </c>
      <c r="CF4" s="99"/>
      <c r="CG4" s="100" t="s">
        <v>393</v>
      </c>
      <c r="CH4" s="100" t="s">
        <v>393</v>
      </c>
      <c r="CI4" s="100"/>
      <c r="CJ4" s="99" t="s">
        <v>116</v>
      </c>
      <c r="CK4" s="99"/>
      <c r="CL4" s="99"/>
      <c r="CM4" s="101" t="s">
        <v>409</v>
      </c>
      <c r="CN4" s="101">
        <v>7269.5</v>
      </c>
      <c r="CO4" s="102">
        <v>47279618</v>
      </c>
      <c r="CP4" s="103">
        <f>BF4*1</f>
        <v>47279618</v>
      </c>
    </row>
    <row r="5" spans="1:94" x14ac:dyDescent="0.25">
      <c r="A5" s="98" t="s">
        <v>1191</v>
      </c>
      <c r="B5" s="99"/>
      <c r="C5" s="99" t="s">
        <v>320</v>
      </c>
      <c r="D5" s="99"/>
      <c r="E5" s="99" t="s">
        <v>405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 t="s">
        <v>506</v>
      </c>
      <c r="AG5" s="99"/>
      <c r="AH5" s="99"/>
      <c r="AI5" s="99"/>
      <c r="AJ5" s="99"/>
      <c r="AK5" s="99"/>
      <c r="AL5" s="99"/>
      <c r="AM5" s="99" t="s">
        <v>507</v>
      </c>
      <c r="AN5" s="99"/>
      <c r="AO5" s="99" t="s">
        <v>508</v>
      </c>
      <c r="AP5" s="99" t="s">
        <v>321</v>
      </c>
      <c r="AQ5" s="99"/>
      <c r="AR5" s="99" t="s">
        <v>509</v>
      </c>
      <c r="AS5" s="99"/>
      <c r="AT5" s="99"/>
      <c r="AU5" s="99"/>
      <c r="AV5" s="99"/>
      <c r="AW5" s="99"/>
      <c r="AX5" s="99" t="s">
        <v>510</v>
      </c>
      <c r="AY5" s="99" t="s">
        <v>393</v>
      </c>
      <c r="AZ5" s="99"/>
      <c r="BA5" s="99"/>
      <c r="BB5" s="99"/>
      <c r="BC5" s="99" t="s">
        <v>511</v>
      </c>
      <c r="BD5" s="99" t="s">
        <v>512</v>
      </c>
      <c r="BE5" s="99"/>
      <c r="BF5" s="99" t="s">
        <v>513</v>
      </c>
      <c r="BG5" s="99"/>
      <c r="BH5" s="170">
        <v>45623</v>
      </c>
      <c r="BI5" s="99"/>
      <c r="BJ5" s="99" t="s">
        <v>393</v>
      </c>
      <c r="BK5" s="99"/>
      <c r="BL5" s="99"/>
      <c r="BM5" s="99"/>
      <c r="BN5" s="99">
        <v>1</v>
      </c>
      <c r="BO5" s="99">
        <v>1</v>
      </c>
      <c r="BP5" s="99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99">
        <v>17</v>
      </c>
      <c r="CC5" s="99" t="s">
        <v>322</v>
      </c>
      <c r="CD5" s="99" t="s">
        <v>514</v>
      </c>
      <c r="CE5" s="99" t="s">
        <v>515</v>
      </c>
      <c r="CF5" s="99"/>
      <c r="CG5" s="100" t="s">
        <v>393</v>
      </c>
      <c r="CH5" s="100" t="s">
        <v>393</v>
      </c>
      <c r="CI5" s="100"/>
      <c r="CJ5" s="99" t="s">
        <v>116</v>
      </c>
      <c r="CK5" s="99" t="s">
        <v>516</v>
      </c>
      <c r="CL5" s="171" t="s">
        <v>517</v>
      </c>
      <c r="CM5" s="101"/>
      <c r="CN5" s="101"/>
      <c r="CO5" s="102"/>
      <c r="CP5" s="103">
        <f t="shared" ref="CP5:CP68" si="0">BF5*1</f>
        <v>23240254570</v>
      </c>
    </row>
    <row r="6" spans="1:94" x14ac:dyDescent="0.25">
      <c r="A6" s="104" t="s">
        <v>1192</v>
      </c>
      <c r="B6" s="105"/>
      <c r="C6" s="105" t="s">
        <v>320</v>
      </c>
      <c r="D6" s="105"/>
      <c r="E6" s="105" t="s">
        <v>518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 t="s">
        <v>519</v>
      </c>
      <c r="AG6" s="105"/>
      <c r="AH6" s="105"/>
      <c r="AI6" s="105"/>
      <c r="AJ6" s="105"/>
      <c r="AK6" s="105"/>
      <c r="AL6" s="105"/>
      <c r="AM6" s="105" t="s">
        <v>398</v>
      </c>
      <c r="AN6" s="105"/>
      <c r="AO6" s="105" t="s">
        <v>399</v>
      </c>
      <c r="AP6" s="105" t="s">
        <v>321</v>
      </c>
      <c r="AQ6" s="105"/>
      <c r="AR6" s="105" t="s">
        <v>399</v>
      </c>
      <c r="AS6" s="105"/>
      <c r="AT6" s="105"/>
      <c r="AU6" s="105"/>
      <c r="AV6" s="105"/>
      <c r="AW6" s="105"/>
      <c r="AX6" s="105" t="s">
        <v>520</v>
      </c>
      <c r="AY6" s="105" t="s">
        <v>393</v>
      </c>
      <c r="AZ6" s="105"/>
      <c r="BA6" s="105"/>
      <c r="BB6" s="105"/>
      <c r="BC6" s="105" t="s">
        <v>401</v>
      </c>
      <c r="BD6" s="105" t="s">
        <v>402</v>
      </c>
      <c r="BE6" s="105"/>
      <c r="BF6" s="105" t="s">
        <v>521</v>
      </c>
      <c r="BG6" s="105"/>
      <c r="BH6" s="172">
        <v>44592</v>
      </c>
      <c r="BI6" s="105" t="s">
        <v>522</v>
      </c>
      <c r="BJ6" s="105" t="s">
        <v>405</v>
      </c>
      <c r="BK6" s="105" t="s">
        <v>523</v>
      </c>
      <c r="BL6" s="105"/>
      <c r="BM6" s="105" t="s">
        <v>406</v>
      </c>
      <c r="BN6" s="105">
        <v>1</v>
      </c>
      <c r="BO6" s="105">
        <v>1</v>
      </c>
      <c r="BP6" s="105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5">
        <v>25</v>
      </c>
      <c r="CC6" s="105" t="s">
        <v>322</v>
      </c>
      <c r="CD6" s="105" t="s">
        <v>407</v>
      </c>
      <c r="CE6" s="105" t="s">
        <v>524</v>
      </c>
      <c r="CF6" s="105"/>
      <c r="CG6" s="106" t="s">
        <v>393</v>
      </c>
      <c r="CH6" s="106" t="s">
        <v>393</v>
      </c>
      <c r="CI6" s="106"/>
      <c r="CJ6" s="105" t="s">
        <v>116</v>
      </c>
      <c r="CK6" s="105" t="s">
        <v>525</v>
      </c>
      <c r="CL6" s="105" t="s">
        <v>526</v>
      </c>
      <c r="CM6" s="101"/>
      <c r="CN6" s="101"/>
      <c r="CO6" s="102"/>
      <c r="CP6" s="103">
        <f t="shared" si="0"/>
        <v>46150805</v>
      </c>
    </row>
    <row r="7" spans="1:94" x14ac:dyDescent="0.25">
      <c r="A7" s="104" t="s">
        <v>1193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 t="s">
        <v>527</v>
      </c>
      <c r="AY7" s="105" t="s">
        <v>393</v>
      </c>
      <c r="AZ7" s="105" t="s">
        <v>528</v>
      </c>
      <c r="BA7" s="105" t="s">
        <v>529</v>
      </c>
      <c r="BB7" s="105"/>
      <c r="BC7" s="105" t="s">
        <v>393</v>
      </c>
      <c r="BD7" s="105" t="s">
        <v>530</v>
      </c>
      <c r="BE7" s="105"/>
      <c r="BF7" s="105" t="s">
        <v>531</v>
      </c>
      <c r="BG7" s="105"/>
      <c r="BH7" s="172">
        <v>45699</v>
      </c>
      <c r="BI7" s="105"/>
      <c r="BJ7" s="105" t="s">
        <v>393</v>
      </c>
      <c r="BK7" s="105"/>
      <c r="BL7" s="105"/>
      <c r="BM7" s="105" t="s">
        <v>406</v>
      </c>
      <c r="BN7" s="105">
        <v>1</v>
      </c>
      <c r="BO7" s="105">
        <v>1</v>
      </c>
      <c r="BP7" s="105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5">
        <v>17</v>
      </c>
      <c r="CC7" s="105" t="s">
        <v>322</v>
      </c>
      <c r="CD7" s="105" t="s">
        <v>514</v>
      </c>
      <c r="CE7" s="105" t="s">
        <v>532</v>
      </c>
      <c r="CF7" s="105"/>
      <c r="CG7" s="106" t="s">
        <v>393</v>
      </c>
      <c r="CH7" s="106" t="s">
        <v>393</v>
      </c>
      <c r="CI7" s="106"/>
      <c r="CJ7" s="105" t="s">
        <v>116</v>
      </c>
      <c r="CK7" s="105"/>
      <c r="CL7" s="105"/>
      <c r="CM7" s="101"/>
      <c r="CN7" s="101"/>
      <c r="CO7" s="102"/>
      <c r="CP7" s="103">
        <f t="shared" si="0"/>
        <v>21240212524</v>
      </c>
    </row>
    <row r="8" spans="1:94" x14ac:dyDescent="0.25">
      <c r="A8" s="104" t="s">
        <v>1194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 t="s">
        <v>533</v>
      </c>
      <c r="AY8" s="105" t="s">
        <v>393</v>
      </c>
      <c r="AZ8" s="105" t="s">
        <v>534</v>
      </c>
      <c r="BA8" s="105" t="s">
        <v>535</v>
      </c>
      <c r="BB8" s="105"/>
      <c r="BC8" s="105" t="s">
        <v>393</v>
      </c>
      <c r="BD8" s="105" t="s">
        <v>536</v>
      </c>
      <c r="BE8" s="105"/>
      <c r="BF8" s="105" t="s">
        <v>537</v>
      </c>
      <c r="BG8" s="105"/>
      <c r="BH8" s="172">
        <v>45699</v>
      </c>
      <c r="BI8" s="105" t="s">
        <v>538</v>
      </c>
      <c r="BJ8" s="105" t="s">
        <v>393</v>
      </c>
      <c r="BK8" s="105"/>
      <c r="BL8" s="105"/>
      <c r="BM8" s="105" t="s">
        <v>406</v>
      </c>
      <c r="BN8" s="105">
        <v>1</v>
      </c>
      <c r="BO8" s="105">
        <v>1</v>
      </c>
      <c r="BP8" s="105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5">
        <v>16</v>
      </c>
      <c r="CC8" s="105" t="s">
        <v>322</v>
      </c>
      <c r="CD8" s="105" t="s">
        <v>514</v>
      </c>
      <c r="CE8" s="105" t="s">
        <v>539</v>
      </c>
      <c r="CF8" s="105"/>
      <c r="CG8" s="106" t="s">
        <v>393</v>
      </c>
      <c r="CH8" s="106" t="s">
        <v>393</v>
      </c>
      <c r="CI8" s="106"/>
      <c r="CJ8" s="105" t="s">
        <v>116</v>
      </c>
      <c r="CK8" s="105"/>
      <c r="CL8" s="105"/>
      <c r="CM8" s="101"/>
      <c r="CN8" s="101"/>
      <c r="CO8" s="102"/>
      <c r="CP8" s="103">
        <f t="shared" si="0"/>
        <v>24015273</v>
      </c>
    </row>
    <row r="9" spans="1:94" x14ac:dyDescent="0.25">
      <c r="A9" s="104" t="s">
        <v>1195</v>
      </c>
      <c r="B9" s="105"/>
      <c r="C9" s="105" t="s">
        <v>320</v>
      </c>
      <c r="D9" s="105"/>
      <c r="E9" s="105" t="s">
        <v>405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 t="s">
        <v>540</v>
      </c>
      <c r="AG9" s="105"/>
      <c r="AH9" s="105"/>
      <c r="AI9" s="105"/>
      <c r="AJ9" s="105"/>
      <c r="AK9" s="105"/>
      <c r="AL9" s="105"/>
      <c r="AM9" s="105" t="s">
        <v>507</v>
      </c>
      <c r="AN9" s="105"/>
      <c r="AO9" s="105" t="s">
        <v>541</v>
      </c>
      <c r="AP9" s="105" t="s">
        <v>321</v>
      </c>
      <c r="AQ9" s="105"/>
      <c r="AR9" s="105" t="s">
        <v>542</v>
      </c>
      <c r="AS9" s="105"/>
      <c r="AT9" s="105"/>
      <c r="AU9" s="105"/>
      <c r="AV9" s="105"/>
      <c r="AW9" s="105"/>
      <c r="AX9" s="105" t="s">
        <v>543</v>
      </c>
      <c r="AY9" s="105" t="s">
        <v>393</v>
      </c>
      <c r="AZ9" s="105"/>
      <c r="BA9" s="105"/>
      <c r="BB9" s="105"/>
      <c r="BC9" s="105" t="s">
        <v>401</v>
      </c>
      <c r="BD9" s="105" t="s">
        <v>544</v>
      </c>
      <c r="BE9" s="105"/>
      <c r="BF9" s="105" t="s">
        <v>545</v>
      </c>
      <c r="BG9" s="105"/>
      <c r="BH9" s="172">
        <v>45583</v>
      </c>
      <c r="BI9" s="105"/>
      <c r="BJ9" s="105" t="s">
        <v>405</v>
      </c>
      <c r="BK9" s="105"/>
      <c r="BL9" s="105"/>
      <c r="BM9" s="105" t="s">
        <v>406</v>
      </c>
      <c r="BN9" s="105">
        <v>1</v>
      </c>
      <c r="BO9" s="105">
        <v>1</v>
      </c>
      <c r="BP9" s="105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5">
        <v>16</v>
      </c>
      <c r="CC9" s="105" t="s">
        <v>322</v>
      </c>
      <c r="CD9" s="105" t="s">
        <v>546</v>
      </c>
      <c r="CE9" s="105" t="s">
        <v>547</v>
      </c>
      <c r="CF9" s="105"/>
      <c r="CG9" s="106" t="s">
        <v>393</v>
      </c>
      <c r="CH9" s="106" t="s">
        <v>393</v>
      </c>
      <c r="CI9" s="106"/>
      <c r="CJ9" s="105" t="s">
        <v>116</v>
      </c>
      <c r="CK9" s="105" t="s">
        <v>516</v>
      </c>
      <c r="CL9" s="105"/>
      <c r="CM9" s="101"/>
      <c r="CN9" s="101"/>
      <c r="CO9" s="102"/>
      <c r="CP9" s="103">
        <f t="shared" si="0"/>
        <v>12930192811626</v>
      </c>
    </row>
    <row r="10" spans="1:94" x14ac:dyDescent="0.25">
      <c r="A10" s="104" t="s">
        <v>1196</v>
      </c>
      <c r="B10" s="105"/>
      <c r="C10" s="105" t="s">
        <v>320</v>
      </c>
      <c r="D10" s="105"/>
      <c r="E10" s="105" t="s">
        <v>548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 t="s">
        <v>549</v>
      </c>
      <c r="AG10" s="105"/>
      <c r="AH10" s="105"/>
      <c r="AI10" s="105"/>
      <c r="AJ10" s="105"/>
      <c r="AK10" s="105"/>
      <c r="AL10" s="105"/>
      <c r="AM10" s="105" t="s">
        <v>398</v>
      </c>
      <c r="AN10" s="105"/>
      <c r="AO10" s="105" t="s">
        <v>550</v>
      </c>
      <c r="AP10" s="105" t="s">
        <v>321</v>
      </c>
      <c r="AQ10" s="105"/>
      <c r="AR10" s="105"/>
      <c r="AS10" s="105"/>
      <c r="AT10" s="105"/>
      <c r="AU10" s="105"/>
      <c r="AV10" s="105"/>
      <c r="AW10" s="105"/>
      <c r="AX10" s="105"/>
      <c r="AY10" s="105"/>
      <c r="AZ10" s="105" t="s">
        <v>551</v>
      </c>
      <c r="BA10" s="105" t="s">
        <v>552</v>
      </c>
      <c r="BB10" s="105"/>
      <c r="BC10" s="105" t="s">
        <v>401</v>
      </c>
      <c r="BD10" s="105" t="s">
        <v>553</v>
      </c>
      <c r="BE10" s="105"/>
      <c r="BF10" s="105" t="s">
        <v>554</v>
      </c>
      <c r="BG10" s="105"/>
      <c r="BH10" s="172">
        <v>44630</v>
      </c>
      <c r="BI10" s="105" t="s">
        <v>555</v>
      </c>
      <c r="BJ10" s="105" t="s">
        <v>405</v>
      </c>
      <c r="BK10" s="105" t="s">
        <v>556</v>
      </c>
      <c r="BL10" s="105"/>
      <c r="BM10" s="105" t="s">
        <v>406</v>
      </c>
      <c r="BN10" s="105">
        <v>40</v>
      </c>
      <c r="BO10" s="105">
        <v>1</v>
      </c>
      <c r="BP10" s="105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5" t="s">
        <v>557</v>
      </c>
      <c r="CC10" s="105"/>
      <c r="CD10" s="105" t="s">
        <v>558</v>
      </c>
      <c r="CE10" s="105" t="s">
        <v>559</v>
      </c>
      <c r="CF10" s="105"/>
      <c r="CG10" s="106" t="s">
        <v>560</v>
      </c>
      <c r="CH10" s="106" t="s">
        <v>393</v>
      </c>
      <c r="CI10" s="106"/>
      <c r="CJ10" s="105" t="s">
        <v>116</v>
      </c>
      <c r="CK10" s="105" t="s">
        <v>525</v>
      </c>
      <c r="CL10" s="105" t="s">
        <v>561</v>
      </c>
      <c r="CM10" s="101"/>
      <c r="CN10" s="101"/>
      <c r="CO10" s="102"/>
      <c r="CP10" s="103">
        <f t="shared" si="0"/>
        <v>45486252</v>
      </c>
    </row>
    <row r="11" spans="1:94" x14ac:dyDescent="0.25">
      <c r="A11" s="104" t="s">
        <v>1197</v>
      </c>
      <c r="B11" s="105"/>
      <c r="C11" s="105" t="s">
        <v>320</v>
      </c>
      <c r="D11" s="105"/>
      <c r="E11" s="105" t="s">
        <v>562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 t="s">
        <v>563</v>
      </c>
      <c r="AG11" s="105"/>
      <c r="AH11" s="105"/>
      <c r="AI11" s="105"/>
      <c r="AJ11" s="105"/>
      <c r="AK11" s="105"/>
      <c r="AL11" s="105"/>
      <c r="AM11" s="105" t="s">
        <v>507</v>
      </c>
      <c r="AN11" s="105"/>
      <c r="AO11" s="105" t="s">
        <v>564</v>
      </c>
      <c r="AP11" s="105" t="s">
        <v>321</v>
      </c>
      <c r="AQ11" s="105"/>
      <c r="AR11" s="105" t="s">
        <v>565</v>
      </c>
      <c r="AS11" s="105"/>
      <c r="AT11" s="105"/>
      <c r="AU11" s="105"/>
      <c r="AV11" s="105"/>
      <c r="AW11" s="105"/>
      <c r="AX11" s="105" t="s">
        <v>566</v>
      </c>
      <c r="AY11" s="105" t="s">
        <v>393</v>
      </c>
      <c r="AZ11" s="105"/>
      <c r="BA11" s="105"/>
      <c r="BB11" s="105"/>
      <c r="BC11" s="105" t="s">
        <v>401</v>
      </c>
      <c r="BD11" s="105" t="s">
        <v>567</v>
      </c>
      <c r="BE11" s="105"/>
      <c r="BF11" s="105" t="s">
        <v>568</v>
      </c>
      <c r="BG11" s="105"/>
      <c r="BH11" s="172">
        <v>44663</v>
      </c>
      <c r="BI11" s="105" t="s">
        <v>569</v>
      </c>
      <c r="BJ11" s="105" t="s">
        <v>405</v>
      </c>
      <c r="BK11" s="105" t="s">
        <v>570</v>
      </c>
      <c r="BL11" s="105"/>
      <c r="BM11" s="105" t="s">
        <v>406</v>
      </c>
      <c r="BN11" s="105">
        <v>200</v>
      </c>
      <c r="BO11" s="105">
        <v>1</v>
      </c>
      <c r="BP11" s="105"/>
      <c r="BQ11" s="106" t="s">
        <v>571</v>
      </c>
      <c r="BR11" s="106"/>
      <c r="BS11" s="106" t="s">
        <v>572</v>
      </c>
      <c r="BT11" s="106"/>
      <c r="BU11" s="106" t="s">
        <v>573</v>
      </c>
      <c r="BV11" s="106"/>
      <c r="BW11" s="106"/>
      <c r="BX11" s="106"/>
      <c r="BY11" s="106"/>
      <c r="BZ11" s="106"/>
      <c r="CA11" s="106"/>
      <c r="CB11" s="105" t="s">
        <v>557</v>
      </c>
      <c r="CC11" s="105"/>
      <c r="CD11" s="105" t="s">
        <v>574</v>
      </c>
      <c r="CE11" s="105" t="s">
        <v>575</v>
      </c>
      <c r="CF11" s="105"/>
      <c r="CG11" s="106" t="s">
        <v>393</v>
      </c>
      <c r="CH11" s="106"/>
      <c r="CI11" s="106" t="s">
        <v>576</v>
      </c>
      <c r="CJ11" s="105" t="s">
        <v>116</v>
      </c>
      <c r="CK11" s="105" t="s">
        <v>525</v>
      </c>
      <c r="CL11" s="105"/>
      <c r="CM11" s="101"/>
      <c r="CN11" s="101"/>
      <c r="CO11" s="102"/>
      <c r="CP11" s="103">
        <f t="shared" si="0"/>
        <v>44352853</v>
      </c>
    </row>
    <row r="12" spans="1:94" x14ac:dyDescent="0.25">
      <c r="A12" s="104" t="s">
        <v>1198</v>
      </c>
      <c r="B12" s="105"/>
      <c r="C12" s="105" t="s">
        <v>577</v>
      </c>
      <c r="D12" s="105"/>
      <c r="E12" s="105" t="s">
        <v>37</v>
      </c>
      <c r="F12" s="105"/>
      <c r="G12" s="105" t="s">
        <v>578</v>
      </c>
      <c r="H12" s="105" t="s">
        <v>221</v>
      </c>
      <c r="I12" s="105" t="s">
        <v>221</v>
      </c>
      <c r="J12" s="105"/>
      <c r="K12" s="105" t="s">
        <v>507</v>
      </c>
      <c r="L12" s="105"/>
      <c r="M12" s="105" t="s">
        <v>396</v>
      </c>
      <c r="N12" s="105"/>
      <c r="O12" s="105" t="s">
        <v>216</v>
      </c>
      <c r="P12" s="105"/>
      <c r="Q12" s="105" t="s">
        <v>396</v>
      </c>
      <c r="R12" s="105"/>
      <c r="S12" s="105" t="s">
        <v>579</v>
      </c>
      <c r="T12" s="105" t="s">
        <v>321</v>
      </c>
      <c r="U12" s="105"/>
      <c r="V12" s="105" t="s">
        <v>579</v>
      </c>
      <c r="W12" s="105"/>
      <c r="X12" s="105"/>
      <c r="Y12" s="105"/>
      <c r="Z12" s="105"/>
      <c r="AA12" s="105"/>
      <c r="AB12" s="105"/>
      <c r="AC12" s="105"/>
      <c r="AD12" s="105"/>
      <c r="AE12" s="105"/>
      <c r="AF12" s="105" t="s">
        <v>580</v>
      </c>
      <c r="AG12" s="105"/>
      <c r="AH12" s="105" t="s">
        <v>396</v>
      </c>
      <c r="AI12" s="105"/>
      <c r="AJ12" s="105" t="s">
        <v>396</v>
      </c>
      <c r="AK12" s="105"/>
      <c r="AL12" s="105"/>
      <c r="AM12" s="105" t="s">
        <v>507</v>
      </c>
      <c r="AN12" s="105"/>
      <c r="AO12" s="105" t="s">
        <v>581</v>
      </c>
      <c r="AP12" s="105" t="s">
        <v>321</v>
      </c>
      <c r="AQ12" s="105"/>
      <c r="AR12" s="105" t="s">
        <v>396</v>
      </c>
      <c r="AS12" s="105"/>
      <c r="AT12" s="105"/>
      <c r="AU12" s="105"/>
      <c r="AV12" s="105"/>
      <c r="AW12" s="105"/>
      <c r="AX12" s="105" t="s">
        <v>582</v>
      </c>
      <c r="AY12" s="105" t="s">
        <v>393</v>
      </c>
      <c r="AZ12" s="105" t="s">
        <v>583</v>
      </c>
      <c r="BA12" s="105" t="s">
        <v>584</v>
      </c>
      <c r="BB12" s="105"/>
      <c r="BC12" s="105" t="s">
        <v>401</v>
      </c>
      <c r="BD12" s="105" t="s">
        <v>585</v>
      </c>
      <c r="BE12" s="105"/>
      <c r="BF12" s="105" t="s">
        <v>586</v>
      </c>
      <c r="BG12" s="105" t="s">
        <v>587</v>
      </c>
      <c r="BH12" s="172">
        <v>44425</v>
      </c>
      <c r="BI12" s="105" t="s">
        <v>587</v>
      </c>
      <c r="BJ12" s="105" t="s">
        <v>405</v>
      </c>
      <c r="BK12" s="105" t="s">
        <v>588</v>
      </c>
      <c r="BL12" s="105"/>
      <c r="BM12" s="105" t="s">
        <v>406</v>
      </c>
      <c r="BN12" s="105">
        <v>1</v>
      </c>
      <c r="BO12" s="105">
        <v>1</v>
      </c>
      <c r="BP12" s="105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5" t="s">
        <v>589</v>
      </c>
      <c r="CC12" s="105"/>
      <c r="CD12" s="105"/>
      <c r="CE12" s="105" t="s">
        <v>393</v>
      </c>
      <c r="CF12" s="105"/>
      <c r="CG12" s="106" t="s">
        <v>590</v>
      </c>
      <c r="CH12" s="106"/>
      <c r="CI12" s="106" t="s">
        <v>591</v>
      </c>
      <c r="CJ12" s="105" t="s">
        <v>577</v>
      </c>
      <c r="CK12" s="105" t="s">
        <v>525</v>
      </c>
      <c r="CL12" s="105"/>
      <c r="CM12" s="101"/>
      <c r="CN12" s="101"/>
      <c r="CO12" s="102"/>
      <c r="CP12" s="103">
        <f t="shared" si="0"/>
        <v>2210144314522</v>
      </c>
    </row>
    <row r="13" spans="1:94" x14ac:dyDescent="0.25">
      <c r="A13" s="104" t="s">
        <v>1199</v>
      </c>
      <c r="B13" s="105"/>
      <c r="C13" s="105" t="s">
        <v>577</v>
      </c>
      <c r="D13" s="105"/>
      <c r="E13" s="105" t="s">
        <v>37</v>
      </c>
      <c r="F13" s="105"/>
      <c r="G13" s="105" t="s">
        <v>592</v>
      </c>
      <c r="H13" s="105" t="s">
        <v>221</v>
      </c>
      <c r="I13" s="105" t="s">
        <v>221</v>
      </c>
      <c r="J13" s="105"/>
      <c r="K13" s="105" t="s">
        <v>507</v>
      </c>
      <c r="L13" s="105"/>
      <c r="M13" s="105" t="s">
        <v>406</v>
      </c>
      <c r="N13" s="105"/>
      <c r="O13" s="105" t="s">
        <v>216</v>
      </c>
      <c r="P13" s="105"/>
      <c r="Q13" s="105" t="s">
        <v>396</v>
      </c>
      <c r="R13" s="105"/>
      <c r="S13" s="105" t="s">
        <v>593</v>
      </c>
      <c r="T13" s="105" t="s">
        <v>321</v>
      </c>
      <c r="U13" s="105"/>
      <c r="V13" s="105" t="s">
        <v>593</v>
      </c>
      <c r="W13" s="105"/>
      <c r="X13" s="105"/>
      <c r="Y13" s="105"/>
      <c r="Z13" s="105"/>
      <c r="AA13" s="105"/>
      <c r="AB13" s="105"/>
      <c r="AC13" s="105"/>
      <c r="AD13" s="105"/>
      <c r="AE13" s="105"/>
      <c r="AF13" s="105" t="s">
        <v>594</v>
      </c>
      <c r="AG13" s="105"/>
      <c r="AH13" s="105" t="s">
        <v>396</v>
      </c>
      <c r="AI13" s="105"/>
      <c r="AJ13" s="105" t="s">
        <v>396</v>
      </c>
      <c r="AK13" s="105"/>
      <c r="AL13" s="105"/>
      <c r="AM13" s="105" t="s">
        <v>507</v>
      </c>
      <c r="AN13" s="105"/>
      <c r="AO13" s="105" t="s">
        <v>581</v>
      </c>
      <c r="AP13" s="105" t="s">
        <v>321</v>
      </c>
      <c r="AQ13" s="105"/>
      <c r="AR13" s="105" t="s">
        <v>396</v>
      </c>
      <c r="AS13" s="105"/>
      <c r="AT13" s="105"/>
      <c r="AU13" s="105"/>
      <c r="AV13" s="105"/>
      <c r="AW13" s="105"/>
      <c r="AX13" s="105" t="s">
        <v>595</v>
      </c>
      <c r="AY13" s="105" t="s">
        <v>393</v>
      </c>
      <c r="AZ13" s="105" t="s">
        <v>596</v>
      </c>
      <c r="BA13" s="105" t="s">
        <v>597</v>
      </c>
      <c r="BB13" s="105"/>
      <c r="BC13" s="105" t="s">
        <v>401</v>
      </c>
      <c r="BD13" s="105" t="s">
        <v>598</v>
      </c>
      <c r="BE13" s="105"/>
      <c r="BF13" s="105" t="s">
        <v>599</v>
      </c>
      <c r="BG13" s="105" t="s">
        <v>587</v>
      </c>
      <c r="BH13" s="172">
        <v>44433</v>
      </c>
      <c r="BI13" s="105" t="s">
        <v>587</v>
      </c>
      <c r="BJ13" s="105" t="s">
        <v>405</v>
      </c>
      <c r="BK13" s="105" t="s">
        <v>588</v>
      </c>
      <c r="BL13" s="105"/>
      <c r="BM13" s="105" t="s">
        <v>406</v>
      </c>
      <c r="BN13" s="105">
        <v>1</v>
      </c>
      <c r="BO13" s="105">
        <v>1</v>
      </c>
      <c r="BP13" s="105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5" t="s">
        <v>600</v>
      </c>
      <c r="CC13" s="105"/>
      <c r="CD13" s="105"/>
      <c r="CE13" s="105" t="s">
        <v>393</v>
      </c>
      <c r="CF13" s="105"/>
      <c r="CG13" s="106" t="s">
        <v>601</v>
      </c>
      <c r="CH13" s="106"/>
      <c r="CI13" s="106" t="s">
        <v>602</v>
      </c>
      <c r="CJ13" s="105" t="s">
        <v>577</v>
      </c>
      <c r="CK13" s="105" t="s">
        <v>603</v>
      </c>
      <c r="CL13" s="105"/>
      <c r="CM13" s="101"/>
      <c r="CN13" s="101"/>
      <c r="CO13" s="102"/>
      <c r="CP13" s="103">
        <f t="shared" si="0"/>
        <v>210274543318</v>
      </c>
    </row>
    <row r="14" spans="1:94" x14ac:dyDescent="0.25">
      <c r="A14" s="104" t="s">
        <v>1200</v>
      </c>
      <c r="B14" s="105"/>
      <c r="C14" s="105" t="s">
        <v>320</v>
      </c>
      <c r="D14" s="105"/>
      <c r="E14" s="105" t="s">
        <v>604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 t="s">
        <v>605</v>
      </c>
      <c r="AG14" s="105"/>
      <c r="AH14" s="105"/>
      <c r="AI14" s="105"/>
      <c r="AJ14" s="105"/>
      <c r="AK14" s="105"/>
      <c r="AL14" s="105"/>
      <c r="AM14" s="105" t="s">
        <v>507</v>
      </c>
      <c r="AN14" s="105"/>
      <c r="AO14" s="105" t="s">
        <v>541</v>
      </c>
      <c r="AP14" s="105" t="s">
        <v>321</v>
      </c>
      <c r="AQ14" s="105"/>
      <c r="AR14" s="105" t="s">
        <v>542</v>
      </c>
      <c r="AS14" s="105"/>
      <c r="AT14" s="105"/>
      <c r="AU14" s="105"/>
      <c r="AV14" s="105"/>
      <c r="AW14" s="105"/>
      <c r="AX14" s="105" t="s">
        <v>606</v>
      </c>
      <c r="AY14" s="105" t="s">
        <v>393</v>
      </c>
      <c r="AZ14" s="105"/>
      <c r="BA14" s="105"/>
      <c r="BB14" s="105"/>
      <c r="BC14" s="105" t="s">
        <v>401</v>
      </c>
      <c r="BD14" s="105" t="s">
        <v>607</v>
      </c>
      <c r="BE14" s="105"/>
      <c r="BF14" s="105" t="s">
        <v>608</v>
      </c>
      <c r="BG14" s="105"/>
      <c r="BH14" s="172">
        <v>43761</v>
      </c>
      <c r="BI14" s="105" t="s">
        <v>609</v>
      </c>
      <c r="BJ14" s="105" t="s">
        <v>610</v>
      </c>
      <c r="BK14" s="105" t="s">
        <v>611</v>
      </c>
      <c r="BL14" s="105"/>
      <c r="BM14" s="105" t="s">
        <v>406</v>
      </c>
      <c r="BN14" s="105">
        <v>80</v>
      </c>
      <c r="BO14" s="105">
        <v>1</v>
      </c>
      <c r="BP14" s="105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5" t="s">
        <v>396</v>
      </c>
      <c r="CC14" s="105"/>
      <c r="CD14" s="105" t="s">
        <v>612</v>
      </c>
      <c r="CE14" s="105" t="s">
        <v>613</v>
      </c>
      <c r="CF14" s="105"/>
      <c r="CG14" s="106" t="s">
        <v>614</v>
      </c>
      <c r="CH14" s="106" t="s">
        <v>393</v>
      </c>
      <c r="CI14" s="106"/>
      <c r="CJ14" s="105" t="s">
        <v>116</v>
      </c>
      <c r="CK14" s="105"/>
      <c r="CL14" s="105" t="s">
        <v>615</v>
      </c>
      <c r="CM14" s="101"/>
      <c r="CN14" s="101"/>
      <c r="CO14" s="102"/>
      <c r="CP14" s="103">
        <f t="shared" si="0"/>
        <v>304082321</v>
      </c>
    </row>
    <row r="15" spans="1:94" x14ac:dyDescent="0.25">
      <c r="A15" s="104" t="s">
        <v>1201</v>
      </c>
      <c r="B15" s="105"/>
      <c r="C15" s="105" t="s">
        <v>320</v>
      </c>
      <c r="D15" s="105"/>
      <c r="E15" s="105" t="s">
        <v>562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 t="s">
        <v>616</v>
      </c>
      <c r="AG15" s="105"/>
      <c r="AH15" s="105"/>
      <c r="AI15" s="105"/>
      <c r="AJ15" s="105"/>
      <c r="AK15" s="105"/>
      <c r="AL15" s="105"/>
      <c r="AM15" s="105" t="s">
        <v>507</v>
      </c>
      <c r="AN15" s="105"/>
      <c r="AO15" s="105" t="s">
        <v>541</v>
      </c>
      <c r="AP15" s="105" t="s">
        <v>321</v>
      </c>
      <c r="AQ15" s="105"/>
      <c r="AR15" s="105" t="s">
        <v>542</v>
      </c>
      <c r="AS15" s="105"/>
      <c r="AT15" s="105"/>
      <c r="AU15" s="105"/>
      <c r="AV15" s="105"/>
      <c r="AW15" s="105"/>
      <c r="AX15" s="105" t="s">
        <v>617</v>
      </c>
      <c r="AY15" s="105" t="s">
        <v>393</v>
      </c>
      <c r="AZ15" s="105" t="s">
        <v>618</v>
      </c>
      <c r="BA15" s="105" t="s">
        <v>619</v>
      </c>
      <c r="BB15" s="105"/>
      <c r="BC15" s="105" t="s">
        <v>401</v>
      </c>
      <c r="BD15" s="105" t="s">
        <v>620</v>
      </c>
      <c r="BE15" s="105"/>
      <c r="BF15" s="105" t="s">
        <v>621</v>
      </c>
      <c r="BG15" s="105"/>
      <c r="BH15" s="172">
        <v>44808</v>
      </c>
      <c r="BI15" s="105" t="s">
        <v>622</v>
      </c>
      <c r="BJ15" s="105" t="s">
        <v>393</v>
      </c>
      <c r="BK15" s="105"/>
      <c r="BL15" s="105"/>
      <c r="BM15" s="105" t="s">
        <v>406</v>
      </c>
      <c r="BN15" s="105">
        <v>1</v>
      </c>
      <c r="BO15" s="105">
        <v>1</v>
      </c>
      <c r="BP15" s="105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5">
        <v>22</v>
      </c>
      <c r="CC15" s="105" t="s">
        <v>322</v>
      </c>
      <c r="CD15" s="105" t="s">
        <v>514</v>
      </c>
      <c r="CE15" s="105" t="s">
        <v>623</v>
      </c>
      <c r="CF15" s="105"/>
      <c r="CG15" s="106" t="s">
        <v>393</v>
      </c>
      <c r="CH15" s="106" t="s">
        <v>393</v>
      </c>
      <c r="CI15" s="106"/>
      <c r="CJ15" s="105" t="s">
        <v>116</v>
      </c>
      <c r="CK15" s="105" t="s">
        <v>525</v>
      </c>
      <c r="CL15" s="105"/>
      <c r="CM15" s="101"/>
      <c r="CN15" s="101"/>
      <c r="CO15" s="102"/>
      <c r="CP15" s="103">
        <f t="shared" si="0"/>
        <v>47224302</v>
      </c>
    </row>
    <row r="16" spans="1:94" x14ac:dyDescent="0.25">
      <c r="A16" s="104" t="s">
        <v>1202</v>
      </c>
      <c r="B16" s="105"/>
      <c r="C16" s="105" t="s">
        <v>320</v>
      </c>
      <c r="D16" s="105"/>
      <c r="E16" s="105" t="s">
        <v>593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 t="s">
        <v>624</v>
      </c>
      <c r="AG16" s="105"/>
      <c r="AH16" s="105"/>
      <c r="AI16" s="105"/>
      <c r="AJ16" s="105"/>
      <c r="AK16" s="105"/>
      <c r="AL16" s="105"/>
      <c r="AM16" s="105" t="s">
        <v>507</v>
      </c>
      <c r="AN16" s="105"/>
      <c r="AO16" s="105" t="s">
        <v>625</v>
      </c>
      <c r="AP16" s="105" t="s">
        <v>321</v>
      </c>
      <c r="AQ16" s="105"/>
      <c r="AR16" s="105" t="s">
        <v>626</v>
      </c>
      <c r="AS16" s="105"/>
      <c r="AT16" s="105"/>
      <c r="AU16" s="105"/>
      <c r="AV16" s="105"/>
      <c r="AW16" s="105"/>
      <c r="AX16" s="105" t="s">
        <v>627</v>
      </c>
      <c r="AY16" s="105" t="s">
        <v>393</v>
      </c>
      <c r="AZ16" s="105" t="s">
        <v>628</v>
      </c>
      <c r="BA16" s="105" t="s">
        <v>629</v>
      </c>
      <c r="BB16" s="105"/>
      <c r="BC16" s="105" t="s">
        <v>401</v>
      </c>
      <c r="BD16" s="105" t="s">
        <v>630</v>
      </c>
      <c r="BE16" s="105"/>
      <c r="BF16" s="105" t="s">
        <v>631</v>
      </c>
      <c r="BG16" s="105"/>
      <c r="BH16" s="172">
        <v>44848</v>
      </c>
      <c r="BI16" s="105"/>
      <c r="BJ16" s="105" t="s">
        <v>405</v>
      </c>
      <c r="BK16" s="105"/>
      <c r="BL16" s="105" t="s">
        <v>396</v>
      </c>
      <c r="BM16" s="105" t="s">
        <v>406</v>
      </c>
      <c r="BN16" s="105">
        <v>1</v>
      </c>
      <c r="BO16" s="105">
        <v>1</v>
      </c>
      <c r="BP16" s="105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5" t="s">
        <v>632</v>
      </c>
      <c r="CC16" s="105"/>
      <c r="CD16" s="105" t="s">
        <v>633</v>
      </c>
      <c r="CE16" s="105" t="s">
        <v>393</v>
      </c>
      <c r="CF16" s="105"/>
      <c r="CG16" s="106" t="s">
        <v>634</v>
      </c>
      <c r="CH16" s="106"/>
      <c r="CI16" s="106" t="s">
        <v>635</v>
      </c>
      <c r="CJ16" s="105" t="s">
        <v>116</v>
      </c>
      <c r="CK16" s="105" t="s">
        <v>525</v>
      </c>
      <c r="CL16" s="105" t="s">
        <v>636</v>
      </c>
      <c r="CM16" s="101"/>
      <c r="CN16" s="101"/>
      <c r="CO16" s="102"/>
      <c r="CP16" s="103">
        <f t="shared" si="0"/>
        <v>47291539</v>
      </c>
    </row>
    <row r="17" spans="1:94" x14ac:dyDescent="0.25">
      <c r="A17" s="104" t="s">
        <v>1203</v>
      </c>
      <c r="B17" s="105"/>
      <c r="C17" s="105" t="s">
        <v>320</v>
      </c>
      <c r="D17" s="105"/>
      <c r="E17" s="105" t="s">
        <v>637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 t="s">
        <v>638</v>
      </c>
      <c r="AG17" s="105"/>
      <c r="AH17" s="105"/>
      <c r="AI17" s="105"/>
      <c r="AJ17" s="105"/>
      <c r="AK17" s="105"/>
      <c r="AL17" s="105"/>
      <c r="AM17" s="105" t="s">
        <v>507</v>
      </c>
      <c r="AN17" s="105"/>
      <c r="AO17" s="105" t="s">
        <v>639</v>
      </c>
      <c r="AP17" s="105" t="s">
        <v>321</v>
      </c>
      <c r="AQ17" s="105"/>
      <c r="AR17" s="105" t="s">
        <v>640</v>
      </c>
      <c r="AS17" s="105"/>
      <c r="AT17" s="105"/>
      <c r="AU17" s="105"/>
      <c r="AV17" s="105"/>
      <c r="AW17" s="105"/>
      <c r="AX17" s="105" t="s">
        <v>641</v>
      </c>
      <c r="AY17" s="105" t="s">
        <v>393</v>
      </c>
      <c r="AZ17" s="105"/>
      <c r="BA17" s="105"/>
      <c r="BB17" s="105"/>
      <c r="BC17" s="105" t="s">
        <v>401</v>
      </c>
      <c r="BD17" s="105" t="s">
        <v>642</v>
      </c>
      <c r="BE17" s="105"/>
      <c r="BF17" s="105" t="s">
        <v>643</v>
      </c>
      <c r="BG17" s="105" t="s">
        <v>644</v>
      </c>
      <c r="BH17" s="172">
        <v>44854</v>
      </c>
      <c r="BI17" s="105" t="s">
        <v>645</v>
      </c>
      <c r="BJ17" s="105" t="s">
        <v>405</v>
      </c>
      <c r="BK17" s="105" t="s">
        <v>646</v>
      </c>
      <c r="BL17" s="105"/>
      <c r="BM17" s="105" t="s">
        <v>406</v>
      </c>
      <c r="BN17" s="105">
        <v>1</v>
      </c>
      <c r="BO17" s="105">
        <v>1</v>
      </c>
      <c r="BP17" s="105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5" t="s">
        <v>647</v>
      </c>
      <c r="CC17" s="105"/>
      <c r="CD17" s="105" t="s">
        <v>574</v>
      </c>
      <c r="CE17" s="105" t="s">
        <v>648</v>
      </c>
      <c r="CF17" s="105"/>
      <c r="CG17" s="106" t="s">
        <v>393</v>
      </c>
      <c r="CH17" s="106"/>
      <c r="CI17" s="106" t="s">
        <v>649</v>
      </c>
      <c r="CJ17" s="105" t="s">
        <v>116</v>
      </c>
      <c r="CK17" s="105" t="s">
        <v>525</v>
      </c>
      <c r="CL17" s="105"/>
      <c r="CM17" s="101"/>
      <c r="CN17" s="101"/>
      <c r="CO17" s="102"/>
      <c r="CP17" s="103">
        <f t="shared" si="0"/>
        <v>46119564</v>
      </c>
    </row>
    <row r="18" spans="1:94" x14ac:dyDescent="0.25">
      <c r="A18" s="104" t="s">
        <v>1204</v>
      </c>
      <c r="B18" s="105"/>
      <c r="C18" s="105" t="s">
        <v>320</v>
      </c>
      <c r="D18" s="105"/>
      <c r="E18" s="105" t="s">
        <v>604</v>
      </c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 t="s">
        <v>650</v>
      </c>
      <c r="AG18" s="105"/>
      <c r="AH18" s="105"/>
      <c r="AI18" s="105"/>
      <c r="AJ18" s="105"/>
      <c r="AK18" s="105"/>
      <c r="AL18" s="105"/>
      <c r="AM18" s="105" t="s">
        <v>507</v>
      </c>
      <c r="AN18" s="105"/>
      <c r="AO18" s="105" t="s">
        <v>651</v>
      </c>
      <c r="AP18" s="105" t="s">
        <v>321</v>
      </c>
      <c r="AQ18" s="105"/>
      <c r="AR18" s="105" t="s">
        <v>652</v>
      </c>
      <c r="AS18" s="105"/>
      <c r="AT18" s="105"/>
      <c r="AU18" s="105"/>
      <c r="AV18" s="105"/>
      <c r="AW18" s="105"/>
      <c r="AX18" s="105" t="s">
        <v>653</v>
      </c>
      <c r="AY18" s="105" t="s">
        <v>393</v>
      </c>
      <c r="AZ18" s="105" t="s">
        <v>654</v>
      </c>
      <c r="BA18" s="105" t="s">
        <v>655</v>
      </c>
      <c r="BB18" s="105"/>
      <c r="BC18" s="105" t="s">
        <v>401</v>
      </c>
      <c r="BD18" s="105" t="s">
        <v>656</v>
      </c>
      <c r="BE18" s="105"/>
      <c r="BF18" s="105" t="s">
        <v>657</v>
      </c>
      <c r="BG18" s="105"/>
      <c r="BH18" s="172">
        <v>44872</v>
      </c>
      <c r="BI18" s="105" t="s">
        <v>658</v>
      </c>
      <c r="BJ18" s="105" t="s">
        <v>405</v>
      </c>
      <c r="BK18" s="105" t="s">
        <v>659</v>
      </c>
      <c r="BL18" s="105"/>
      <c r="BM18" s="105" t="s">
        <v>406</v>
      </c>
      <c r="BN18" s="105">
        <v>40</v>
      </c>
      <c r="BO18" s="105">
        <v>1</v>
      </c>
      <c r="BP18" s="105"/>
      <c r="BQ18" s="106" t="s">
        <v>660</v>
      </c>
      <c r="BR18" s="106"/>
      <c r="BS18" s="106" t="s">
        <v>661</v>
      </c>
      <c r="BT18" s="106"/>
      <c r="BU18" s="106" t="s">
        <v>662</v>
      </c>
      <c r="BV18" s="106"/>
      <c r="BW18" s="106"/>
      <c r="BX18" s="106"/>
      <c r="BY18" s="106"/>
      <c r="BZ18" s="106"/>
      <c r="CA18" s="106"/>
      <c r="CB18" s="105">
        <v>4131</v>
      </c>
      <c r="CC18" s="105" t="s">
        <v>322</v>
      </c>
      <c r="CD18" s="105" t="s">
        <v>514</v>
      </c>
      <c r="CE18" s="105" t="s">
        <v>663</v>
      </c>
      <c r="CF18" s="105"/>
      <c r="CG18" s="106" t="s">
        <v>393</v>
      </c>
      <c r="CH18" s="106"/>
      <c r="CI18" s="106" t="s">
        <v>664</v>
      </c>
      <c r="CJ18" s="105" t="s">
        <v>116</v>
      </c>
      <c r="CK18" s="105" t="s">
        <v>525</v>
      </c>
      <c r="CL18" s="105"/>
      <c r="CM18" s="101"/>
      <c r="CN18" s="101"/>
      <c r="CO18" s="102"/>
      <c r="CP18" s="103">
        <f t="shared" si="0"/>
        <v>435030024131</v>
      </c>
    </row>
    <row r="19" spans="1:94" x14ac:dyDescent="0.25">
      <c r="A19" s="104" t="s">
        <v>1205</v>
      </c>
      <c r="B19" s="105"/>
      <c r="C19" s="105" t="s">
        <v>320</v>
      </c>
      <c r="D19" s="105"/>
      <c r="E19" s="105" t="s">
        <v>405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 t="s">
        <v>665</v>
      </c>
      <c r="AG19" s="105"/>
      <c r="AH19" s="105"/>
      <c r="AI19" s="105"/>
      <c r="AJ19" s="105"/>
      <c r="AK19" s="105"/>
      <c r="AL19" s="105"/>
      <c r="AM19" s="105" t="s">
        <v>507</v>
      </c>
      <c r="AN19" s="105"/>
      <c r="AO19" s="105" t="s">
        <v>651</v>
      </c>
      <c r="AP19" s="105" t="s">
        <v>321</v>
      </c>
      <c r="AQ19" s="105"/>
      <c r="AR19" s="105" t="s">
        <v>652</v>
      </c>
      <c r="AS19" s="105"/>
      <c r="AT19" s="105"/>
      <c r="AU19" s="105"/>
      <c r="AV19" s="105"/>
      <c r="AW19" s="105"/>
      <c r="AX19" s="105" t="s">
        <v>666</v>
      </c>
      <c r="AY19" s="105" t="s">
        <v>393</v>
      </c>
      <c r="AZ19" s="105" t="s">
        <v>667</v>
      </c>
      <c r="BA19" s="105" t="s">
        <v>668</v>
      </c>
      <c r="BB19" s="105"/>
      <c r="BC19" s="105" t="s">
        <v>401</v>
      </c>
      <c r="BD19" s="105" t="s">
        <v>669</v>
      </c>
      <c r="BE19" s="105"/>
      <c r="BF19" s="105" t="s">
        <v>670</v>
      </c>
      <c r="BG19" s="105"/>
      <c r="BH19" s="172">
        <v>44873</v>
      </c>
      <c r="BI19" s="105" t="s">
        <v>671</v>
      </c>
      <c r="BJ19" s="105" t="s">
        <v>405</v>
      </c>
      <c r="BK19" s="105" t="s">
        <v>672</v>
      </c>
      <c r="BL19" s="105"/>
      <c r="BM19" s="105" t="s">
        <v>406</v>
      </c>
      <c r="BN19" s="105">
        <v>1</v>
      </c>
      <c r="BO19" s="105">
        <v>1</v>
      </c>
      <c r="BP19" s="105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5" t="s">
        <v>673</v>
      </c>
      <c r="CC19" s="105"/>
      <c r="CD19" s="105" t="s">
        <v>574</v>
      </c>
      <c r="CE19" s="105" t="s">
        <v>393</v>
      </c>
      <c r="CF19" s="105"/>
      <c r="CG19" s="106" t="s">
        <v>674</v>
      </c>
      <c r="CH19" s="106"/>
      <c r="CI19" s="106" t="s">
        <v>675</v>
      </c>
      <c r="CJ19" s="105" t="s">
        <v>116</v>
      </c>
      <c r="CK19" s="105" t="s">
        <v>516</v>
      </c>
      <c r="CL19" s="105"/>
      <c r="CM19" s="101"/>
      <c r="CN19" s="101"/>
      <c r="CO19" s="102"/>
      <c r="CP19" s="103">
        <f t="shared" si="0"/>
        <v>45011879</v>
      </c>
    </row>
    <row r="20" spans="1:94" x14ac:dyDescent="0.25">
      <c r="A20" s="104" t="s">
        <v>1206</v>
      </c>
      <c r="B20" s="105"/>
      <c r="C20" s="105" t="s">
        <v>320</v>
      </c>
      <c r="D20" s="105"/>
      <c r="E20" s="105" t="s">
        <v>676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 t="s">
        <v>677</v>
      </c>
      <c r="AG20" s="105"/>
      <c r="AH20" s="105"/>
      <c r="AI20" s="105"/>
      <c r="AJ20" s="105"/>
      <c r="AK20" s="105"/>
      <c r="AL20" s="105"/>
      <c r="AM20" s="105" t="s">
        <v>678</v>
      </c>
      <c r="AN20" s="105"/>
      <c r="AO20" s="105" t="s">
        <v>679</v>
      </c>
      <c r="AP20" s="105" t="s">
        <v>321</v>
      </c>
      <c r="AQ20" s="105"/>
      <c r="AR20" s="105" t="s">
        <v>652</v>
      </c>
      <c r="AS20" s="105"/>
      <c r="AT20" s="105"/>
      <c r="AU20" s="105"/>
      <c r="AV20" s="105"/>
      <c r="AW20" s="105"/>
      <c r="AX20" s="105" t="s">
        <v>680</v>
      </c>
      <c r="AY20" s="105" t="s">
        <v>393</v>
      </c>
      <c r="AZ20" s="105" t="s">
        <v>681</v>
      </c>
      <c r="BA20" s="105" t="s">
        <v>682</v>
      </c>
      <c r="BB20" s="105"/>
      <c r="BC20" s="105" t="s">
        <v>401</v>
      </c>
      <c r="BD20" s="105" t="s">
        <v>683</v>
      </c>
      <c r="BE20" s="105"/>
      <c r="BF20" s="105" t="s">
        <v>684</v>
      </c>
      <c r="BG20" s="105"/>
      <c r="BH20" s="172">
        <v>44908</v>
      </c>
      <c r="BI20" s="105" t="s">
        <v>685</v>
      </c>
      <c r="BJ20" s="105" t="s">
        <v>393</v>
      </c>
      <c r="BK20" s="105"/>
      <c r="BL20" s="105"/>
      <c r="BM20" s="105" t="s">
        <v>406</v>
      </c>
      <c r="BN20" s="105">
        <v>1</v>
      </c>
      <c r="BO20" s="105">
        <v>1</v>
      </c>
      <c r="BP20" s="105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5" t="s">
        <v>686</v>
      </c>
      <c r="CC20" s="105"/>
      <c r="CD20" s="105" t="s">
        <v>574</v>
      </c>
      <c r="CE20" s="105" t="s">
        <v>687</v>
      </c>
      <c r="CF20" s="105"/>
      <c r="CG20" s="106" t="s">
        <v>393</v>
      </c>
      <c r="CH20" s="106"/>
      <c r="CI20" s="106" t="s">
        <v>688</v>
      </c>
      <c r="CJ20" s="105" t="s">
        <v>116</v>
      </c>
      <c r="CK20" s="105" t="s">
        <v>525</v>
      </c>
      <c r="CL20" s="105"/>
      <c r="CM20" s="101"/>
      <c r="CN20" s="101"/>
      <c r="CO20" s="102"/>
      <c r="CP20" s="103">
        <f t="shared" si="0"/>
        <v>45033558</v>
      </c>
    </row>
    <row r="21" spans="1:94" x14ac:dyDescent="0.25">
      <c r="A21" s="104" t="s">
        <v>1207</v>
      </c>
      <c r="B21" s="105"/>
      <c r="C21" s="105" t="s">
        <v>320</v>
      </c>
      <c r="D21" s="105"/>
      <c r="E21" s="105" t="s">
        <v>689</v>
      </c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 t="s">
        <v>690</v>
      </c>
      <c r="AG21" s="105"/>
      <c r="AH21" s="105"/>
      <c r="AI21" s="105"/>
      <c r="AJ21" s="105"/>
      <c r="AK21" s="105"/>
      <c r="AL21" s="105"/>
      <c r="AM21" s="105" t="s">
        <v>507</v>
      </c>
      <c r="AN21" s="105"/>
      <c r="AO21" s="105" t="s">
        <v>691</v>
      </c>
      <c r="AP21" s="105" t="s">
        <v>321</v>
      </c>
      <c r="AQ21" s="105"/>
      <c r="AR21" s="105" t="s">
        <v>692</v>
      </c>
      <c r="AS21" s="105"/>
      <c r="AT21" s="105"/>
      <c r="AU21" s="105"/>
      <c r="AV21" s="105"/>
      <c r="AW21" s="105"/>
      <c r="AX21" s="105" t="s">
        <v>693</v>
      </c>
      <c r="AY21" s="105" t="s">
        <v>393</v>
      </c>
      <c r="AZ21" s="105"/>
      <c r="BA21" s="105"/>
      <c r="BB21" s="105"/>
      <c r="BC21" s="105" t="s">
        <v>401</v>
      </c>
      <c r="BD21" s="105" t="s">
        <v>694</v>
      </c>
      <c r="BE21" s="105"/>
      <c r="BF21" s="105" t="s">
        <v>695</v>
      </c>
      <c r="BG21" s="105"/>
      <c r="BH21" s="172">
        <v>44860</v>
      </c>
      <c r="BI21" s="105" t="s">
        <v>696</v>
      </c>
      <c r="BJ21" s="105" t="s">
        <v>405</v>
      </c>
      <c r="BK21" s="105" t="s">
        <v>697</v>
      </c>
      <c r="BL21" s="105"/>
      <c r="BM21" s="105" t="s">
        <v>406</v>
      </c>
      <c r="BN21" s="105">
        <v>1</v>
      </c>
      <c r="BO21" s="105">
        <v>1</v>
      </c>
      <c r="BP21" s="105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5" t="s">
        <v>632</v>
      </c>
      <c r="CC21" s="105"/>
      <c r="CD21" s="105" t="s">
        <v>574</v>
      </c>
      <c r="CE21" s="105" t="s">
        <v>698</v>
      </c>
      <c r="CF21" s="105"/>
      <c r="CG21" s="106" t="s">
        <v>699</v>
      </c>
      <c r="CH21" s="106"/>
      <c r="CI21" s="106" t="s">
        <v>700</v>
      </c>
      <c r="CJ21" s="105" t="s">
        <v>116</v>
      </c>
      <c r="CK21" s="105"/>
      <c r="CL21" s="105"/>
      <c r="CM21" s="101"/>
      <c r="CN21" s="101"/>
      <c r="CO21" s="102"/>
      <c r="CP21" s="103">
        <f t="shared" si="0"/>
        <v>45177539</v>
      </c>
    </row>
    <row r="22" spans="1:94" x14ac:dyDescent="0.25">
      <c r="A22" s="104" t="s">
        <v>1208</v>
      </c>
      <c r="B22" s="105"/>
      <c r="C22" s="105" t="s">
        <v>320</v>
      </c>
      <c r="D22" s="105"/>
      <c r="E22" s="105" t="s">
        <v>701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 t="s">
        <v>702</v>
      </c>
      <c r="AG22" s="105"/>
      <c r="AH22" s="105"/>
      <c r="AI22" s="105"/>
      <c r="AJ22" s="105"/>
      <c r="AK22" s="105"/>
      <c r="AL22" s="105"/>
      <c r="AM22" s="105" t="s">
        <v>507</v>
      </c>
      <c r="AN22" s="105"/>
      <c r="AO22" s="105" t="s">
        <v>625</v>
      </c>
      <c r="AP22" s="105" t="s">
        <v>321</v>
      </c>
      <c r="AQ22" s="105"/>
      <c r="AR22" s="105" t="s">
        <v>692</v>
      </c>
      <c r="AS22" s="105"/>
      <c r="AT22" s="105"/>
      <c r="AU22" s="105"/>
      <c r="AV22" s="105"/>
      <c r="AW22" s="105"/>
      <c r="AX22" s="105" t="s">
        <v>703</v>
      </c>
      <c r="AY22" s="105" t="s">
        <v>393</v>
      </c>
      <c r="AZ22" s="105"/>
      <c r="BA22" s="105"/>
      <c r="BB22" s="105"/>
      <c r="BC22" s="105" t="s">
        <v>401</v>
      </c>
      <c r="BD22" s="105" t="s">
        <v>704</v>
      </c>
      <c r="BE22" s="105"/>
      <c r="BF22" s="105" t="s">
        <v>705</v>
      </c>
      <c r="BG22" s="105"/>
      <c r="BH22" s="172">
        <v>44908</v>
      </c>
      <c r="BI22" s="105" t="s">
        <v>706</v>
      </c>
      <c r="BJ22" s="105" t="s">
        <v>405</v>
      </c>
      <c r="BK22" s="105" t="s">
        <v>707</v>
      </c>
      <c r="BL22" s="105"/>
      <c r="BM22" s="105" t="s">
        <v>406</v>
      </c>
      <c r="BN22" s="105">
        <v>1</v>
      </c>
      <c r="BO22" s="105">
        <v>1</v>
      </c>
      <c r="BP22" s="105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5" t="s">
        <v>705</v>
      </c>
      <c r="CC22" s="105"/>
      <c r="CD22" s="105"/>
      <c r="CE22" s="105" t="s">
        <v>393</v>
      </c>
      <c r="CF22" s="105"/>
      <c r="CG22" s="106" t="s">
        <v>708</v>
      </c>
      <c r="CH22" s="106"/>
      <c r="CI22" s="106" t="s">
        <v>709</v>
      </c>
      <c r="CJ22" s="105" t="s">
        <v>116</v>
      </c>
      <c r="CK22" s="105"/>
      <c r="CL22" s="105"/>
      <c r="CM22" s="101"/>
      <c r="CN22" s="101"/>
      <c r="CO22" s="102"/>
      <c r="CP22" s="103">
        <f t="shared" si="0"/>
        <v>47030977</v>
      </c>
    </row>
    <row r="23" spans="1:94" x14ac:dyDescent="0.25">
      <c r="A23" s="104" t="s">
        <v>1209</v>
      </c>
      <c r="B23" s="105"/>
      <c r="C23" s="105" t="s">
        <v>320</v>
      </c>
      <c r="D23" s="105"/>
      <c r="E23" s="105" t="s">
        <v>637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 t="s">
        <v>710</v>
      </c>
      <c r="AG23" s="105"/>
      <c r="AH23" s="105"/>
      <c r="AI23" s="105"/>
      <c r="AJ23" s="105"/>
      <c r="AK23" s="105"/>
      <c r="AL23" s="105"/>
      <c r="AM23" s="105" t="s">
        <v>507</v>
      </c>
      <c r="AN23" s="105"/>
      <c r="AO23" s="105" t="s">
        <v>711</v>
      </c>
      <c r="AP23" s="105" t="s">
        <v>321</v>
      </c>
      <c r="AQ23" s="105"/>
      <c r="AR23" s="105" t="s">
        <v>652</v>
      </c>
      <c r="AS23" s="105"/>
      <c r="AT23" s="105"/>
      <c r="AU23" s="105"/>
      <c r="AV23" s="105"/>
      <c r="AW23" s="105"/>
      <c r="AX23" s="105" t="s">
        <v>712</v>
      </c>
      <c r="AY23" s="105" t="s">
        <v>393</v>
      </c>
      <c r="AZ23" s="105" t="s">
        <v>713</v>
      </c>
      <c r="BA23" s="105" t="s">
        <v>714</v>
      </c>
      <c r="BB23" s="105"/>
      <c r="BC23" s="105" t="s">
        <v>401</v>
      </c>
      <c r="BD23" s="105" t="s">
        <v>715</v>
      </c>
      <c r="BE23" s="105"/>
      <c r="BF23" s="105" t="s">
        <v>716</v>
      </c>
      <c r="BG23" s="105"/>
      <c r="BH23" s="172">
        <v>45078</v>
      </c>
      <c r="BI23" s="105" t="s">
        <v>717</v>
      </c>
      <c r="BJ23" s="105" t="s">
        <v>610</v>
      </c>
      <c r="BK23" s="105" t="s">
        <v>718</v>
      </c>
      <c r="BL23" s="105"/>
      <c r="BM23" s="105" t="s">
        <v>406</v>
      </c>
      <c r="BN23" s="105">
        <v>60</v>
      </c>
      <c r="BO23" s="105">
        <v>1</v>
      </c>
      <c r="BP23" s="105"/>
      <c r="BQ23" s="106" t="s">
        <v>719</v>
      </c>
      <c r="BR23" s="106"/>
      <c r="BS23" s="106" t="s">
        <v>720</v>
      </c>
      <c r="BT23" s="106"/>
      <c r="BU23" s="106" t="s">
        <v>721</v>
      </c>
      <c r="BV23" s="106"/>
      <c r="BW23" s="106"/>
      <c r="BX23" s="106"/>
      <c r="BY23" s="106"/>
      <c r="BZ23" s="106"/>
      <c r="CA23" s="106"/>
      <c r="CB23" s="105" t="s">
        <v>722</v>
      </c>
      <c r="CC23" s="105"/>
      <c r="CD23" s="105" t="s">
        <v>558</v>
      </c>
      <c r="CE23" s="105" t="s">
        <v>723</v>
      </c>
      <c r="CF23" s="105"/>
      <c r="CG23" s="106" t="s">
        <v>393</v>
      </c>
      <c r="CH23" s="106" t="s">
        <v>393</v>
      </c>
      <c r="CI23" s="106"/>
      <c r="CJ23" s="105" t="s">
        <v>116</v>
      </c>
      <c r="CK23" s="105" t="s">
        <v>525</v>
      </c>
      <c r="CL23" s="105"/>
      <c r="CM23" s="101"/>
      <c r="CN23" s="101"/>
      <c r="CO23" s="102"/>
      <c r="CP23" s="103">
        <f t="shared" si="0"/>
        <v>44529586</v>
      </c>
    </row>
    <row r="24" spans="1:94" x14ac:dyDescent="0.25">
      <c r="A24" s="104" t="s">
        <v>1210</v>
      </c>
      <c r="B24" s="105"/>
      <c r="C24" s="105" t="s">
        <v>320</v>
      </c>
      <c r="D24" s="105"/>
      <c r="E24" s="105" t="s">
        <v>518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 t="s">
        <v>724</v>
      </c>
      <c r="AG24" s="105"/>
      <c r="AH24" s="105"/>
      <c r="AI24" s="105"/>
      <c r="AJ24" s="105"/>
      <c r="AK24" s="105"/>
      <c r="AL24" s="105"/>
      <c r="AM24" s="105" t="s">
        <v>507</v>
      </c>
      <c r="AN24" s="105"/>
      <c r="AO24" s="105" t="s">
        <v>581</v>
      </c>
      <c r="AP24" s="105" t="s">
        <v>321</v>
      </c>
      <c r="AQ24" s="105"/>
      <c r="AR24" s="105" t="s">
        <v>725</v>
      </c>
      <c r="AS24" s="105"/>
      <c r="AT24" s="105"/>
      <c r="AU24" s="105"/>
      <c r="AV24" s="105"/>
      <c r="AW24" s="105"/>
      <c r="AX24" s="105" t="s">
        <v>726</v>
      </c>
      <c r="AY24" s="105" t="s">
        <v>393</v>
      </c>
      <c r="AZ24" s="105"/>
      <c r="BA24" s="105"/>
      <c r="BB24" s="105"/>
      <c r="BC24" s="105" t="s">
        <v>401</v>
      </c>
      <c r="BD24" s="105" t="s">
        <v>727</v>
      </c>
      <c r="BE24" s="105"/>
      <c r="BF24" s="105" t="s">
        <v>728</v>
      </c>
      <c r="BG24" s="105"/>
      <c r="BH24" s="172">
        <v>44752</v>
      </c>
      <c r="BI24" s="105" t="s">
        <v>729</v>
      </c>
      <c r="BJ24" s="105" t="s">
        <v>393</v>
      </c>
      <c r="BK24" s="105"/>
      <c r="BL24" s="105"/>
      <c r="BM24" s="105" t="s">
        <v>406</v>
      </c>
      <c r="BN24" s="105">
        <v>1</v>
      </c>
      <c r="BO24" s="105">
        <v>1</v>
      </c>
      <c r="BP24" s="105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5">
        <v>1327</v>
      </c>
      <c r="CC24" s="105" t="s">
        <v>322</v>
      </c>
      <c r="CD24" s="105" t="s">
        <v>730</v>
      </c>
      <c r="CE24" s="105" t="s">
        <v>731</v>
      </c>
      <c r="CF24" s="105"/>
      <c r="CG24" s="106" t="s">
        <v>393</v>
      </c>
      <c r="CH24" s="106" t="s">
        <v>393</v>
      </c>
      <c r="CI24" s="106"/>
      <c r="CJ24" s="105" t="s">
        <v>116</v>
      </c>
      <c r="CK24" s="105" t="s">
        <v>516</v>
      </c>
      <c r="CL24" s="105"/>
      <c r="CM24" s="101"/>
      <c r="CN24" s="101"/>
      <c r="CO24" s="102"/>
      <c r="CP24" s="103">
        <f t="shared" si="0"/>
        <v>47821222081327</v>
      </c>
    </row>
    <row r="25" spans="1:94" x14ac:dyDescent="0.25">
      <c r="A25" s="104" t="s">
        <v>1211</v>
      </c>
      <c r="B25" s="105"/>
      <c r="C25" s="105" t="s">
        <v>320</v>
      </c>
      <c r="D25" s="105"/>
      <c r="E25" s="105" t="s">
        <v>518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 t="s">
        <v>732</v>
      </c>
      <c r="AG25" s="105"/>
      <c r="AH25" s="105"/>
      <c r="AI25" s="105"/>
      <c r="AJ25" s="105"/>
      <c r="AK25" s="105"/>
      <c r="AL25" s="105"/>
      <c r="AM25" s="105" t="s">
        <v>507</v>
      </c>
      <c r="AN25" s="105"/>
      <c r="AO25" s="105" t="s">
        <v>625</v>
      </c>
      <c r="AP25" s="105" t="s">
        <v>321</v>
      </c>
      <c r="AQ25" s="105"/>
      <c r="AR25" s="105" t="s">
        <v>733</v>
      </c>
      <c r="AS25" s="105"/>
      <c r="AT25" s="105"/>
      <c r="AU25" s="105"/>
      <c r="AV25" s="105"/>
      <c r="AW25" s="105"/>
      <c r="AX25" s="105" t="s">
        <v>734</v>
      </c>
      <c r="AY25" s="105" t="s">
        <v>393</v>
      </c>
      <c r="AZ25" s="105"/>
      <c r="BA25" s="105"/>
      <c r="BB25" s="105"/>
      <c r="BC25" s="105" t="s">
        <v>401</v>
      </c>
      <c r="BD25" s="105" t="s">
        <v>735</v>
      </c>
      <c r="BE25" s="105"/>
      <c r="BF25" s="105" t="s">
        <v>736</v>
      </c>
      <c r="BG25" s="105"/>
      <c r="BH25" s="172">
        <v>44970</v>
      </c>
      <c r="BI25" s="105" t="s">
        <v>737</v>
      </c>
      <c r="BJ25" s="105" t="s">
        <v>393</v>
      </c>
      <c r="BK25" s="105"/>
      <c r="BL25" s="105"/>
      <c r="BM25" s="105" t="s">
        <v>406</v>
      </c>
      <c r="BN25" s="105">
        <v>1</v>
      </c>
      <c r="BO25" s="105">
        <v>1</v>
      </c>
      <c r="BP25" s="105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5">
        <v>17</v>
      </c>
      <c r="CC25" s="105"/>
      <c r="CD25" s="105"/>
      <c r="CE25" s="105" t="s">
        <v>393</v>
      </c>
      <c r="CF25" s="105"/>
      <c r="CG25" s="106" t="s">
        <v>393</v>
      </c>
      <c r="CH25" s="106" t="s">
        <v>393</v>
      </c>
      <c r="CI25" s="106"/>
      <c r="CJ25" s="105" t="s">
        <v>116</v>
      </c>
      <c r="CK25" s="105" t="s">
        <v>525</v>
      </c>
      <c r="CL25" s="105" t="s">
        <v>561</v>
      </c>
      <c r="CM25" s="101"/>
      <c r="CN25" s="101"/>
      <c r="CO25" s="102"/>
      <c r="CP25" s="103" t="e">
        <f t="shared" si="0"/>
        <v>#VALUE!</v>
      </c>
    </row>
    <row r="26" spans="1:94" x14ac:dyDescent="0.25">
      <c r="A26" s="104" t="s">
        <v>1212</v>
      </c>
      <c r="B26" s="105"/>
      <c r="C26" s="105" t="s">
        <v>320</v>
      </c>
      <c r="D26" s="105"/>
      <c r="E26" s="105" t="s">
        <v>518</v>
      </c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 t="s">
        <v>738</v>
      </c>
      <c r="AG26" s="105"/>
      <c r="AH26" s="105"/>
      <c r="AI26" s="105"/>
      <c r="AJ26" s="105"/>
      <c r="AK26" s="105"/>
      <c r="AL26" s="105"/>
      <c r="AM26" s="105" t="s">
        <v>507</v>
      </c>
      <c r="AN26" s="105"/>
      <c r="AO26" s="105" t="s">
        <v>625</v>
      </c>
      <c r="AP26" s="105" t="s">
        <v>321</v>
      </c>
      <c r="AQ26" s="105"/>
      <c r="AR26" s="105" t="s">
        <v>733</v>
      </c>
      <c r="AS26" s="105"/>
      <c r="AT26" s="105"/>
      <c r="AU26" s="105"/>
      <c r="AV26" s="105"/>
      <c r="AW26" s="105"/>
      <c r="AX26" s="105" t="s">
        <v>739</v>
      </c>
      <c r="AY26" s="105" t="s">
        <v>393</v>
      </c>
      <c r="AZ26" s="105"/>
      <c r="BA26" s="105"/>
      <c r="BB26" s="105"/>
      <c r="BC26" s="105" t="s">
        <v>401</v>
      </c>
      <c r="BD26" s="105" t="s">
        <v>740</v>
      </c>
      <c r="BE26" s="105"/>
      <c r="BF26" s="105" t="s">
        <v>741</v>
      </c>
      <c r="BG26" s="105"/>
      <c r="BH26" s="172">
        <v>44975</v>
      </c>
      <c r="BI26" s="105" t="s">
        <v>742</v>
      </c>
      <c r="BJ26" s="105" t="s">
        <v>393</v>
      </c>
      <c r="BK26" s="105"/>
      <c r="BL26" s="105"/>
      <c r="BM26" s="105" t="s">
        <v>406</v>
      </c>
      <c r="BN26" s="105">
        <v>1</v>
      </c>
      <c r="BO26" s="105">
        <v>1</v>
      </c>
      <c r="BP26" s="105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5">
        <v>17</v>
      </c>
      <c r="CC26" s="105"/>
      <c r="CD26" s="105"/>
      <c r="CE26" s="105" t="s">
        <v>393</v>
      </c>
      <c r="CF26" s="105"/>
      <c r="CG26" s="106" t="s">
        <v>393</v>
      </c>
      <c r="CH26" s="106" t="s">
        <v>393</v>
      </c>
      <c r="CI26" s="106"/>
      <c r="CJ26" s="105" t="s">
        <v>116</v>
      </c>
      <c r="CK26" s="105" t="s">
        <v>525</v>
      </c>
      <c r="CL26" s="105" t="s">
        <v>561</v>
      </c>
      <c r="CM26" s="101"/>
      <c r="CN26" s="101"/>
      <c r="CO26" s="102"/>
      <c r="CP26" s="103" t="e">
        <f t="shared" si="0"/>
        <v>#VALUE!</v>
      </c>
    </row>
    <row r="27" spans="1:94" x14ac:dyDescent="0.25">
      <c r="A27" s="104" t="s">
        <v>1213</v>
      </c>
      <c r="B27" s="105"/>
      <c r="C27" s="105" t="s">
        <v>320</v>
      </c>
      <c r="D27" s="105"/>
      <c r="E27" s="105" t="s">
        <v>743</v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 t="s">
        <v>744</v>
      </c>
      <c r="AG27" s="105"/>
      <c r="AH27" s="105"/>
      <c r="AI27" s="105"/>
      <c r="AJ27" s="105"/>
      <c r="AK27" s="105"/>
      <c r="AL27" s="105"/>
      <c r="AM27" s="105" t="s">
        <v>507</v>
      </c>
      <c r="AN27" s="105"/>
      <c r="AO27" s="105" t="s">
        <v>745</v>
      </c>
      <c r="AP27" s="105" t="s">
        <v>321</v>
      </c>
      <c r="AQ27" s="105"/>
      <c r="AR27" s="105" t="s">
        <v>692</v>
      </c>
      <c r="AS27" s="105"/>
      <c r="AT27" s="105"/>
      <c r="AU27" s="105"/>
      <c r="AV27" s="105"/>
      <c r="AW27" s="105"/>
      <c r="AX27" s="105" t="s">
        <v>746</v>
      </c>
      <c r="AY27" s="105" t="s">
        <v>393</v>
      </c>
      <c r="AZ27" s="105"/>
      <c r="BA27" s="105"/>
      <c r="BB27" s="105"/>
      <c r="BC27" s="105" t="s">
        <v>401</v>
      </c>
      <c r="BD27" s="105" t="s">
        <v>747</v>
      </c>
      <c r="BE27" s="105"/>
      <c r="BF27" s="105" t="s">
        <v>748</v>
      </c>
      <c r="BG27" s="105"/>
      <c r="BH27" s="172">
        <v>44549</v>
      </c>
      <c r="BI27" s="105" t="s">
        <v>749</v>
      </c>
      <c r="BJ27" s="105" t="s">
        <v>405</v>
      </c>
      <c r="BK27" s="105" t="s">
        <v>750</v>
      </c>
      <c r="BL27" s="105" t="s">
        <v>396</v>
      </c>
      <c r="BM27" s="105" t="s">
        <v>406</v>
      </c>
      <c r="BN27" s="105">
        <v>30</v>
      </c>
      <c r="BO27" s="105">
        <v>1</v>
      </c>
      <c r="BP27" s="105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5" t="s">
        <v>751</v>
      </c>
      <c r="CC27" s="105"/>
      <c r="CD27" s="105" t="s">
        <v>558</v>
      </c>
      <c r="CE27" s="105" t="s">
        <v>752</v>
      </c>
      <c r="CF27" s="105"/>
      <c r="CG27" s="106" t="s">
        <v>393</v>
      </c>
      <c r="CH27" s="106"/>
      <c r="CI27" s="106" t="s">
        <v>753</v>
      </c>
      <c r="CJ27" s="105" t="s">
        <v>116</v>
      </c>
      <c r="CK27" s="105" t="s">
        <v>516</v>
      </c>
      <c r="CL27" s="105"/>
      <c r="CM27" s="101"/>
      <c r="CN27" s="101"/>
      <c r="CO27" s="102"/>
      <c r="CP27" s="103">
        <f t="shared" si="0"/>
        <v>45717381</v>
      </c>
    </row>
    <row r="28" spans="1:94" x14ac:dyDescent="0.25">
      <c r="A28" s="104" t="s">
        <v>1214</v>
      </c>
      <c r="B28" s="105"/>
      <c r="C28" s="105" t="s">
        <v>320</v>
      </c>
      <c r="D28" s="105"/>
      <c r="E28" s="105" t="s">
        <v>754</v>
      </c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 t="s">
        <v>755</v>
      </c>
      <c r="AG28" s="105"/>
      <c r="AH28" s="105"/>
      <c r="AI28" s="105"/>
      <c r="AJ28" s="105"/>
      <c r="AK28" s="105"/>
      <c r="AL28" s="105"/>
      <c r="AM28" s="105" t="s">
        <v>507</v>
      </c>
      <c r="AN28" s="105"/>
      <c r="AO28" s="105" t="s">
        <v>756</v>
      </c>
      <c r="AP28" s="105" t="s">
        <v>321</v>
      </c>
      <c r="AQ28" s="105"/>
      <c r="AR28" s="105" t="s">
        <v>692</v>
      </c>
      <c r="AS28" s="105"/>
      <c r="AT28" s="105"/>
      <c r="AU28" s="105"/>
      <c r="AV28" s="105"/>
      <c r="AW28" s="105"/>
      <c r="AX28" s="105" t="s">
        <v>757</v>
      </c>
      <c r="AY28" s="105" t="s">
        <v>393</v>
      </c>
      <c r="AZ28" s="105"/>
      <c r="BA28" s="105"/>
      <c r="BB28" s="105"/>
      <c r="BC28" s="105" t="s">
        <v>401</v>
      </c>
      <c r="BD28" s="105" t="s">
        <v>758</v>
      </c>
      <c r="BE28" s="105"/>
      <c r="BF28" s="105" t="s">
        <v>759</v>
      </c>
      <c r="BG28" s="105"/>
      <c r="BH28" s="172">
        <v>44271</v>
      </c>
      <c r="BI28" s="105" t="s">
        <v>760</v>
      </c>
      <c r="BJ28" s="105" t="s">
        <v>610</v>
      </c>
      <c r="BK28" s="105" t="s">
        <v>761</v>
      </c>
      <c r="BL28" s="105"/>
      <c r="BM28" s="105" t="s">
        <v>406</v>
      </c>
      <c r="BN28" s="105">
        <v>60</v>
      </c>
      <c r="BO28" s="105">
        <v>1</v>
      </c>
      <c r="BP28" s="105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5" t="s">
        <v>762</v>
      </c>
      <c r="CC28" s="105"/>
      <c r="CD28" s="105" t="s">
        <v>558</v>
      </c>
      <c r="CE28" s="105" t="s">
        <v>763</v>
      </c>
      <c r="CF28" s="105"/>
      <c r="CG28" s="106" t="s">
        <v>393</v>
      </c>
      <c r="CH28" s="106"/>
      <c r="CI28" s="106" t="s">
        <v>764</v>
      </c>
      <c r="CJ28" s="105" t="s">
        <v>116</v>
      </c>
      <c r="CK28" s="105"/>
      <c r="CL28" s="105"/>
      <c r="CM28" s="101"/>
      <c r="CN28" s="101"/>
      <c r="CO28" s="102"/>
      <c r="CP28" s="103">
        <f t="shared" si="0"/>
        <v>43716483</v>
      </c>
    </row>
    <row r="29" spans="1:94" x14ac:dyDescent="0.25">
      <c r="A29" s="104" t="s">
        <v>1215</v>
      </c>
      <c r="B29" s="105"/>
      <c r="C29" s="105" t="s">
        <v>320</v>
      </c>
      <c r="D29" s="105"/>
      <c r="E29" s="105" t="s">
        <v>765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 t="s">
        <v>766</v>
      </c>
      <c r="AG29" s="105"/>
      <c r="AH29" s="105"/>
      <c r="AI29" s="105"/>
      <c r="AJ29" s="105"/>
      <c r="AK29" s="105"/>
      <c r="AL29" s="105"/>
      <c r="AM29" s="105" t="s">
        <v>678</v>
      </c>
      <c r="AN29" s="105"/>
      <c r="AO29" s="105" t="s">
        <v>767</v>
      </c>
      <c r="AP29" s="105" t="s">
        <v>321</v>
      </c>
      <c r="AQ29" s="105"/>
      <c r="AR29" s="105" t="s">
        <v>733</v>
      </c>
      <c r="AS29" s="105"/>
      <c r="AT29" s="105"/>
      <c r="AU29" s="105"/>
      <c r="AV29" s="105"/>
      <c r="AW29" s="105"/>
      <c r="AX29" s="105" t="s">
        <v>768</v>
      </c>
      <c r="AY29" s="105" t="s">
        <v>393</v>
      </c>
      <c r="AZ29" s="105"/>
      <c r="BA29" s="105"/>
      <c r="BB29" s="105"/>
      <c r="BC29" s="105" t="s">
        <v>401</v>
      </c>
      <c r="BD29" s="105" t="s">
        <v>769</v>
      </c>
      <c r="BE29" s="105"/>
      <c r="BF29" s="105" t="s">
        <v>770</v>
      </c>
      <c r="BG29" s="105" t="s">
        <v>771</v>
      </c>
      <c r="BH29" s="172">
        <v>44591</v>
      </c>
      <c r="BI29" s="105" t="s">
        <v>771</v>
      </c>
      <c r="BJ29" s="105" t="s">
        <v>405</v>
      </c>
      <c r="BK29" s="105" t="s">
        <v>772</v>
      </c>
      <c r="BL29" s="105"/>
      <c r="BM29" s="105" t="s">
        <v>406</v>
      </c>
      <c r="BN29" s="105">
        <v>1</v>
      </c>
      <c r="BO29" s="105">
        <v>1</v>
      </c>
      <c r="BP29" s="105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5" t="s">
        <v>689</v>
      </c>
      <c r="CC29" s="105"/>
      <c r="CD29" s="105"/>
      <c r="CE29" s="105" t="s">
        <v>773</v>
      </c>
      <c r="CF29" s="105"/>
      <c r="CG29" s="106" t="s">
        <v>393</v>
      </c>
      <c r="CH29" s="106"/>
      <c r="CI29" s="106" t="s">
        <v>774</v>
      </c>
      <c r="CJ29" s="105" t="s">
        <v>116</v>
      </c>
      <c r="CK29" s="105" t="s">
        <v>516</v>
      </c>
      <c r="CL29" s="105" t="s">
        <v>636</v>
      </c>
      <c r="CM29" s="101"/>
      <c r="CN29" s="101"/>
      <c r="CO29" s="102"/>
      <c r="CP29" s="103">
        <f t="shared" si="0"/>
        <v>46145605</v>
      </c>
    </row>
    <row r="30" spans="1:94" x14ac:dyDescent="0.25">
      <c r="A30" s="104" t="s">
        <v>1216</v>
      </c>
      <c r="B30" s="105"/>
      <c r="C30" s="105" t="s">
        <v>320</v>
      </c>
      <c r="D30" s="105"/>
      <c r="E30" s="105" t="s">
        <v>775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 t="s">
        <v>776</v>
      </c>
      <c r="AG30" s="105"/>
      <c r="AH30" s="105"/>
      <c r="AI30" s="105"/>
      <c r="AJ30" s="105"/>
      <c r="AK30" s="105"/>
      <c r="AL30" s="105"/>
      <c r="AM30" s="105" t="s">
        <v>507</v>
      </c>
      <c r="AN30" s="105"/>
      <c r="AO30" s="105" t="s">
        <v>777</v>
      </c>
      <c r="AP30" s="105" t="s">
        <v>321</v>
      </c>
      <c r="AQ30" s="105"/>
      <c r="AR30" s="105" t="s">
        <v>692</v>
      </c>
      <c r="AS30" s="105"/>
      <c r="AT30" s="105"/>
      <c r="AU30" s="105"/>
      <c r="AV30" s="105"/>
      <c r="AW30" s="105"/>
      <c r="AX30" s="105" t="s">
        <v>778</v>
      </c>
      <c r="AY30" s="105" t="s">
        <v>393</v>
      </c>
      <c r="AZ30" s="105"/>
      <c r="BA30" s="105"/>
      <c r="BB30" s="105"/>
      <c r="BC30" s="105" t="s">
        <v>401</v>
      </c>
      <c r="BD30" s="105" t="s">
        <v>779</v>
      </c>
      <c r="BE30" s="105"/>
      <c r="BF30" s="105" t="s">
        <v>780</v>
      </c>
      <c r="BG30" s="105"/>
      <c r="BH30" s="172">
        <v>44653</v>
      </c>
      <c r="BI30" s="105" t="s">
        <v>781</v>
      </c>
      <c r="BJ30" s="105" t="s">
        <v>405</v>
      </c>
      <c r="BK30" s="105" t="s">
        <v>782</v>
      </c>
      <c r="BL30" s="105"/>
      <c r="BM30" s="105" t="s">
        <v>406</v>
      </c>
      <c r="BN30" s="105">
        <v>1</v>
      </c>
      <c r="BO30" s="105">
        <v>1</v>
      </c>
      <c r="BP30" s="105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5" t="s">
        <v>783</v>
      </c>
      <c r="CC30" s="105"/>
      <c r="CD30" s="105" t="s">
        <v>558</v>
      </c>
      <c r="CE30" s="105" t="s">
        <v>784</v>
      </c>
      <c r="CF30" s="105"/>
      <c r="CG30" s="106" t="s">
        <v>393</v>
      </c>
      <c r="CH30" s="106"/>
      <c r="CI30" s="106" t="s">
        <v>785</v>
      </c>
      <c r="CJ30" s="105" t="s">
        <v>116</v>
      </c>
      <c r="CK30" s="105" t="s">
        <v>525</v>
      </c>
      <c r="CL30" s="105"/>
      <c r="CM30" s="101"/>
      <c r="CN30" s="101"/>
      <c r="CO30" s="102"/>
      <c r="CP30" s="103">
        <f t="shared" si="0"/>
        <v>46150826</v>
      </c>
    </row>
    <row r="31" spans="1:94" x14ac:dyDescent="0.25">
      <c r="A31" s="104" t="s">
        <v>1217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 t="s">
        <v>786</v>
      </c>
      <c r="AY31" s="105" t="s">
        <v>393</v>
      </c>
      <c r="AZ31" s="105"/>
      <c r="BA31" s="105"/>
      <c r="BB31" s="105"/>
      <c r="BC31" s="105" t="s">
        <v>393</v>
      </c>
      <c r="BD31" s="105" t="s">
        <v>787</v>
      </c>
      <c r="BE31" s="105"/>
      <c r="BF31" s="105" t="s">
        <v>788</v>
      </c>
      <c r="BG31" s="105"/>
      <c r="BH31" s="172">
        <v>45708</v>
      </c>
      <c r="BI31" s="105"/>
      <c r="BJ31" s="105" t="s">
        <v>393</v>
      </c>
      <c r="BK31" s="105"/>
      <c r="BL31" s="105"/>
      <c r="BM31" s="105" t="s">
        <v>406</v>
      </c>
      <c r="BN31" s="105">
        <v>1</v>
      </c>
      <c r="BO31" s="105">
        <v>1</v>
      </c>
      <c r="BP31" s="105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5" t="s">
        <v>789</v>
      </c>
      <c r="CC31" s="105"/>
      <c r="CD31" s="105" t="s">
        <v>574</v>
      </c>
      <c r="CE31" s="105" t="s">
        <v>790</v>
      </c>
      <c r="CF31" s="105"/>
      <c r="CG31" s="106" t="s">
        <v>393</v>
      </c>
      <c r="CH31" s="106" t="s">
        <v>393</v>
      </c>
      <c r="CI31" s="106"/>
      <c r="CJ31" s="105" t="s">
        <v>116</v>
      </c>
      <c r="CK31" s="105"/>
      <c r="CL31" s="105"/>
      <c r="CM31" s="101"/>
      <c r="CN31" s="101"/>
      <c r="CO31" s="102"/>
      <c r="CP31" s="103">
        <f t="shared" si="0"/>
        <v>2002240288</v>
      </c>
    </row>
    <row r="32" spans="1:94" x14ac:dyDescent="0.25">
      <c r="A32" s="104" t="s">
        <v>1218</v>
      </c>
      <c r="B32" s="105"/>
      <c r="C32" s="105" t="s">
        <v>320</v>
      </c>
      <c r="D32" s="105"/>
      <c r="E32" s="105" t="s">
        <v>562</v>
      </c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 t="s">
        <v>616</v>
      </c>
      <c r="AG32" s="105"/>
      <c r="AH32" s="105"/>
      <c r="AI32" s="105"/>
      <c r="AJ32" s="105"/>
      <c r="AK32" s="105"/>
      <c r="AL32" s="105"/>
      <c r="AM32" s="105" t="s">
        <v>507</v>
      </c>
      <c r="AN32" s="105"/>
      <c r="AO32" s="105" t="s">
        <v>541</v>
      </c>
      <c r="AP32" s="105" t="s">
        <v>321</v>
      </c>
      <c r="AQ32" s="105"/>
      <c r="AR32" s="105" t="s">
        <v>542</v>
      </c>
      <c r="AS32" s="105"/>
      <c r="AT32" s="105"/>
      <c r="AU32" s="105"/>
      <c r="AV32" s="105"/>
      <c r="AW32" s="105"/>
      <c r="AX32" s="105" t="s">
        <v>791</v>
      </c>
      <c r="AY32" s="105" t="s">
        <v>393</v>
      </c>
      <c r="AZ32" s="105"/>
      <c r="BA32" s="105"/>
      <c r="BB32" s="105"/>
      <c r="BC32" s="105" t="s">
        <v>401</v>
      </c>
      <c r="BD32" s="105" t="s">
        <v>792</v>
      </c>
      <c r="BE32" s="105"/>
      <c r="BF32" s="105" t="s">
        <v>793</v>
      </c>
      <c r="BG32" s="105"/>
      <c r="BH32" s="172">
        <v>43760</v>
      </c>
      <c r="BI32" s="105" t="s">
        <v>794</v>
      </c>
      <c r="BJ32" s="105" t="s">
        <v>610</v>
      </c>
      <c r="BK32" s="105" t="s">
        <v>795</v>
      </c>
      <c r="BL32" s="105"/>
      <c r="BM32" s="105"/>
      <c r="BN32" s="105">
        <v>80</v>
      </c>
      <c r="BO32" s="105">
        <v>1</v>
      </c>
      <c r="BP32" s="105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5" t="s">
        <v>796</v>
      </c>
      <c r="CC32" s="105"/>
      <c r="CD32" s="105" t="s">
        <v>612</v>
      </c>
      <c r="CE32" s="105" t="s">
        <v>797</v>
      </c>
      <c r="CF32" s="105"/>
      <c r="CG32" s="106" t="s">
        <v>393</v>
      </c>
      <c r="CH32" s="106"/>
      <c r="CI32" s="106" t="s">
        <v>798</v>
      </c>
      <c r="CJ32" s="105" t="s">
        <v>116</v>
      </c>
      <c r="CK32" s="105" t="s">
        <v>516</v>
      </c>
      <c r="CL32" s="105"/>
      <c r="CM32" s="101"/>
      <c r="CN32" s="101"/>
      <c r="CO32" s="102"/>
      <c r="CP32" s="103">
        <f t="shared" si="0"/>
        <v>312077857</v>
      </c>
    </row>
    <row r="33" spans="1:94" x14ac:dyDescent="0.25">
      <c r="A33" s="104" t="s">
        <v>1219</v>
      </c>
      <c r="B33" s="105"/>
      <c r="C33" s="105" t="s">
        <v>320</v>
      </c>
      <c r="D33" s="105"/>
      <c r="E33" s="105" t="s">
        <v>799</v>
      </c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 t="s">
        <v>616</v>
      </c>
      <c r="AG33" s="105"/>
      <c r="AH33" s="105"/>
      <c r="AI33" s="105"/>
      <c r="AJ33" s="105"/>
      <c r="AK33" s="105"/>
      <c r="AL33" s="105"/>
      <c r="AM33" s="105" t="s">
        <v>507</v>
      </c>
      <c r="AN33" s="105"/>
      <c r="AO33" s="105" t="s">
        <v>541</v>
      </c>
      <c r="AP33" s="105" t="s">
        <v>321</v>
      </c>
      <c r="AQ33" s="105"/>
      <c r="AR33" s="105" t="s">
        <v>542</v>
      </c>
      <c r="AS33" s="105"/>
      <c r="AT33" s="105"/>
      <c r="AU33" s="105"/>
      <c r="AV33" s="105"/>
      <c r="AW33" s="105"/>
      <c r="AX33" s="105" t="s">
        <v>800</v>
      </c>
      <c r="AY33" s="105" t="s">
        <v>393</v>
      </c>
      <c r="AZ33" s="105" t="s">
        <v>801</v>
      </c>
      <c r="BA33" s="105" t="s">
        <v>802</v>
      </c>
      <c r="BB33" s="105"/>
      <c r="BC33" s="105" t="s">
        <v>401</v>
      </c>
      <c r="BD33" s="105" t="s">
        <v>803</v>
      </c>
      <c r="BE33" s="105"/>
      <c r="BF33" s="105" t="s">
        <v>804</v>
      </c>
      <c r="BG33" s="105"/>
      <c r="BH33" s="172">
        <v>44836</v>
      </c>
      <c r="BI33" s="105" t="s">
        <v>805</v>
      </c>
      <c r="BJ33" s="105" t="s">
        <v>405</v>
      </c>
      <c r="BK33" s="105" t="s">
        <v>806</v>
      </c>
      <c r="BL33" s="105"/>
      <c r="BM33" s="105" t="s">
        <v>406</v>
      </c>
      <c r="BN33" s="105">
        <v>1</v>
      </c>
      <c r="BO33" s="105">
        <v>1</v>
      </c>
      <c r="BP33" s="105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5" t="s">
        <v>807</v>
      </c>
      <c r="CC33" s="105"/>
      <c r="CD33" s="105" t="s">
        <v>730</v>
      </c>
      <c r="CE33" s="105" t="s">
        <v>808</v>
      </c>
      <c r="CF33" s="105"/>
      <c r="CG33" s="106" t="s">
        <v>393</v>
      </c>
      <c r="CH33" s="106"/>
      <c r="CI33" s="106" t="s">
        <v>809</v>
      </c>
      <c r="CJ33" s="105" t="s">
        <v>116</v>
      </c>
      <c r="CK33" s="105" t="s">
        <v>525</v>
      </c>
      <c r="CL33" s="105"/>
      <c r="CM33" s="101"/>
      <c r="CN33" s="101"/>
      <c r="CO33" s="102"/>
      <c r="CP33" s="103">
        <f t="shared" si="0"/>
        <v>47821222077447</v>
      </c>
    </row>
    <row r="34" spans="1:94" x14ac:dyDescent="0.25">
      <c r="A34" s="104" t="s">
        <v>1220</v>
      </c>
      <c r="B34" s="105"/>
      <c r="C34" s="105" t="s">
        <v>320</v>
      </c>
      <c r="D34" s="105"/>
      <c r="E34" s="105" t="s">
        <v>676</v>
      </c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 t="s">
        <v>810</v>
      </c>
      <c r="AG34" s="105"/>
      <c r="AH34" s="105"/>
      <c r="AI34" s="105"/>
      <c r="AJ34" s="105"/>
      <c r="AK34" s="105"/>
      <c r="AL34" s="105"/>
      <c r="AM34" s="105" t="s">
        <v>507</v>
      </c>
      <c r="AN34" s="105"/>
      <c r="AO34" s="105" t="s">
        <v>811</v>
      </c>
      <c r="AP34" s="105" t="s">
        <v>321</v>
      </c>
      <c r="AQ34" s="105"/>
      <c r="AR34" s="105" t="s">
        <v>812</v>
      </c>
      <c r="AS34" s="105"/>
      <c r="AT34" s="105"/>
      <c r="AU34" s="105"/>
      <c r="AV34" s="105"/>
      <c r="AW34" s="105"/>
      <c r="AX34" s="105" t="s">
        <v>813</v>
      </c>
      <c r="AY34" s="105" t="s">
        <v>393</v>
      </c>
      <c r="AZ34" s="105"/>
      <c r="BA34" s="105"/>
      <c r="BB34" s="105"/>
      <c r="BC34" s="105" t="s">
        <v>511</v>
      </c>
      <c r="BD34" s="105" t="s">
        <v>814</v>
      </c>
      <c r="BE34" s="105"/>
      <c r="BF34" s="105" t="s">
        <v>815</v>
      </c>
      <c r="BG34" s="105" t="s">
        <v>816</v>
      </c>
      <c r="BH34" s="172">
        <v>42217</v>
      </c>
      <c r="BI34" s="105" t="s">
        <v>817</v>
      </c>
      <c r="BJ34" s="105" t="s">
        <v>610</v>
      </c>
      <c r="BK34" s="105" t="s">
        <v>818</v>
      </c>
      <c r="BL34" s="105"/>
      <c r="BM34" s="105"/>
      <c r="BN34" s="105">
        <v>120</v>
      </c>
      <c r="BO34" s="105">
        <v>100</v>
      </c>
      <c r="BP34" s="105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5" t="s">
        <v>632</v>
      </c>
      <c r="CC34" s="105"/>
      <c r="CD34" s="105" t="s">
        <v>612</v>
      </c>
      <c r="CE34" s="105" t="s">
        <v>819</v>
      </c>
      <c r="CF34" s="105"/>
      <c r="CG34" s="106" t="s">
        <v>393</v>
      </c>
      <c r="CH34" s="106" t="s">
        <v>393</v>
      </c>
      <c r="CI34" s="106"/>
      <c r="CJ34" s="105" t="s">
        <v>116</v>
      </c>
      <c r="CK34" s="105"/>
      <c r="CL34" s="105" t="s">
        <v>517</v>
      </c>
      <c r="CM34" s="101"/>
      <c r="CN34" s="101"/>
      <c r="CO34" s="102"/>
      <c r="CP34" s="103">
        <f t="shared" si="0"/>
        <v>806151439</v>
      </c>
    </row>
    <row r="35" spans="1:94" x14ac:dyDescent="0.25">
      <c r="A35" s="104" t="s">
        <v>1221</v>
      </c>
      <c r="B35" s="105"/>
      <c r="C35" s="105" t="s">
        <v>320</v>
      </c>
      <c r="D35" s="105"/>
      <c r="E35" s="105" t="s">
        <v>396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 t="s">
        <v>820</v>
      </c>
      <c r="AG35" s="105"/>
      <c r="AH35" s="105"/>
      <c r="AI35" s="105"/>
      <c r="AJ35" s="105"/>
      <c r="AK35" s="105"/>
      <c r="AL35" s="105"/>
      <c r="AM35" s="105" t="s">
        <v>507</v>
      </c>
      <c r="AN35" s="105"/>
      <c r="AO35" s="105" t="s">
        <v>821</v>
      </c>
      <c r="AP35" s="105" t="s">
        <v>321</v>
      </c>
      <c r="AQ35" s="105"/>
      <c r="AR35" s="105" t="s">
        <v>822</v>
      </c>
      <c r="AS35" s="105"/>
      <c r="AT35" s="105"/>
      <c r="AU35" s="105"/>
      <c r="AV35" s="105"/>
      <c r="AW35" s="105"/>
      <c r="AX35" s="105" t="s">
        <v>823</v>
      </c>
      <c r="AY35" s="105" t="s">
        <v>393</v>
      </c>
      <c r="AZ35" s="105"/>
      <c r="BA35" s="105"/>
      <c r="BB35" s="105"/>
      <c r="BC35" s="105" t="s">
        <v>511</v>
      </c>
      <c r="BD35" s="105" t="s">
        <v>824</v>
      </c>
      <c r="BE35" s="105"/>
      <c r="BF35" s="105" t="s">
        <v>825</v>
      </c>
      <c r="BG35" s="105" t="s">
        <v>816</v>
      </c>
      <c r="BH35" s="172">
        <v>41299</v>
      </c>
      <c r="BI35" s="105" t="s">
        <v>816</v>
      </c>
      <c r="BJ35" s="105" t="s">
        <v>610</v>
      </c>
      <c r="BK35" s="105" t="s">
        <v>826</v>
      </c>
      <c r="BL35" s="105"/>
      <c r="BM35" s="105"/>
      <c r="BN35" s="105">
        <v>500</v>
      </c>
      <c r="BO35" s="105">
        <v>1</v>
      </c>
      <c r="BP35" s="105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5" t="s">
        <v>637</v>
      </c>
      <c r="CC35" s="105"/>
      <c r="CD35" s="105" t="s">
        <v>612</v>
      </c>
      <c r="CE35" s="105" t="s">
        <v>827</v>
      </c>
      <c r="CF35" s="105"/>
      <c r="CG35" s="106" t="s">
        <v>393</v>
      </c>
      <c r="CH35" s="106" t="s">
        <v>393</v>
      </c>
      <c r="CI35" s="106"/>
      <c r="CJ35" s="105" t="s">
        <v>116</v>
      </c>
      <c r="CK35" s="105"/>
      <c r="CL35" s="105" t="s">
        <v>517</v>
      </c>
      <c r="CM35" s="101"/>
      <c r="CN35" s="101"/>
      <c r="CO35" s="102"/>
      <c r="CP35" s="103">
        <f t="shared" si="0"/>
        <v>807125387</v>
      </c>
    </row>
    <row r="36" spans="1:94" x14ac:dyDescent="0.25">
      <c r="A36" s="104" t="s">
        <v>1222</v>
      </c>
      <c r="B36" s="105"/>
      <c r="C36" s="105" t="s">
        <v>320</v>
      </c>
      <c r="D36" s="105"/>
      <c r="E36" s="105" t="s">
        <v>405</v>
      </c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 t="s">
        <v>828</v>
      </c>
      <c r="AG36" s="105"/>
      <c r="AH36" s="105"/>
      <c r="AI36" s="105"/>
      <c r="AJ36" s="105"/>
      <c r="AK36" s="105"/>
      <c r="AL36" s="105"/>
      <c r="AM36" s="105" t="s">
        <v>678</v>
      </c>
      <c r="AN36" s="105"/>
      <c r="AO36" s="105" t="s">
        <v>829</v>
      </c>
      <c r="AP36" s="105" t="s">
        <v>321</v>
      </c>
      <c r="AQ36" s="105"/>
      <c r="AR36" s="105" t="s">
        <v>830</v>
      </c>
      <c r="AS36" s="105"/>
      <c r="AT36" s="105"/>
      <c r="AU36" s="105"/>
      <c r="AV36" s="105"/>
      <c r="AW36" s="105"/>
      <c r="AX36" s="105" t="s">
        <v>831</v>
      </c>
      <c r="AY36" s="105" t="s">
        <v>393</v>
      </c>
      <c r="AZ36" s="105"/>
      <c r="BA36" s="105"/>
      <c r="BB36" s="105"/>
      <c r="BC36" s="105" t="s">
        <v>511</v>
      </c>
      <c r="BD36" s="105" t="s">
        <v>832</v>
      </c>
      <c r="BE36" s="105"/>
      <c r="BF36" s="105" t="s">
        <v>833</v>
      </c>
      <c r="BG36" s="105" t="s">
        <v>816</v>
      </c>
      <c r="BH36" s="172">
        <v>41365</v>
      </c>
      <c r="BI36" s="105" t="s">
        <v>834</v>
      </c>
      <c r="BJ36" s="105" t="s">
        <v>610</v>
      </c>
      <c r="BK36" s="105" t="s">
        <v>835</v>
      </c>
      <c r="BL36" s="105"/>
      <c r="BM36" s="105"/>
      <c r="BN36" s="105">
        <v>80</v>
      </c>
      <c r="BO36" s="105">
        <v>100</v>
      </c>
      <c r="BP36" s="105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5" t="s">
        <v>836</v>
      </c>
      <c r="CC36" s="105"/>
      <c r="CD36" s="105" t="s">
        <v>612</v>
      </c>
      <c r="CE36" s="105" t="s">
        <v>837</v>
      </c>
      <c r="CF36" s="105"/>
      <c r="CG36" s="106" t="s">
        <v>393</v>
      </c>
      <c r="CH36" s="106" t="s">
        <v>393</v>
      </c>
      <c r="CI36" s="106"/>
      <c r="CJ36" s="105" t="s">
        <v>116</v>
      </c>
      <c r="CK36" s="105"/>
      <c r="CL36" s="105" t="s">
        <v>517</v>
      </c>
      <c r="CM36" s="101"/>
      <c r="CN36" s="101"/>
      <c r="CO36" s="102"/>
      <c r="CP36" s="103">
        <f t="shared" si="0"/>
        <v>810126489</v>
      </c>
    </row>
    <row r="37" spans="1:94" x14ac:dyDescent="0.25">
      <c r="A37" s="104" t="s">
        <v>1223</v>
      </c>
      <c r="B37" s="105"/>
      <c r="C37" s="105" t="s">
        <v>320</v>
      </c>
      <c r="D37" s="105"/>
      <c r="E37" s="105" t="s">
        <v>637</v>
      </c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 t="s">
        <v>838</v>
      </c>
      <c r="AG37" s="105"/>
      <c r="AH37" s="105"/>
      <c r="AI37" s="105"/>
      <c r="AJ37" s="105"/>
      <c r="AK37" s="105"/>
      <c r="AL37" s="105"/>
      <c r="AM37" s="105" t="s">
        <v>678</v>
      </c>
      <c r="AN37" s="105"/>
      <c r="AO37" s="105" t="s">
        <v>839</v>
      </c>
      <c r="AP37" s="105" t="s">
        <v>321</v>
      </c>
      <c r="AQ37" s="105"/>
      <c r="AR37" s="105" t="s">
        <v>840</v>
      </c>
      <c r="AS37" s="105"/>
      <c r="AT37" s="105"/>
      <c r="AU37" s="105"/>
      <c r="AV37" s="105"/>
      <c r="AW37" s="105"/>
      <c r="AX37" s="105" t="s">
        <v>841</v>
      </c>
      <c r="AY37" s="105" t="s">
        <v>393</v>
      </c>
      <c r="AZ37" s="105" t="s">
        <v>842</v>
      </c>
      <c r="BA37" s="105" t="s">
        <v>843</v>
      </c>
      <c r="BB37" s="105"/>
      <c r="BC37" s="105" t="s">
        <v>401</v>
      </c>
      <c r="BD37" s="105" t="s">
        <v>844</v>
      </c>
      <c r="BE37" s="105"/>
      <c r="BF37" s="105" t="s">
        <v>845</v>
      </c>
      <c r="BG37" s="105"/>
      <c r="BH37" s="172">
        <v>45672</v>
      </c>
      <c r="BI37" s="105" t="s">
        <v>846</v>
      </c>
      <c r="BJ37" s="105" t="s">
        <v>393</v>
      </c>
      <c r="BK37" s="105"/>
      <c r="BL37" s="105"/>
      <c r="BM37" s="105" t="s">
        <v>406</v>
      </c>
      <c r="BN37" s="105">
        <v>1</v>
      </c>
      <c r="BO37" s="105">
        <v>1</v>
      </c>
      <c r="BP37" s="105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5">
        <v>16</v>
      </c>
      <c r="CC37" s="105" t="s">
        <v>322</v>
      </c>
      <c r="CD37" s="105" t="s">
        <v>546</v>
      </c>
      <c r="CE37" s="105" t="s">
        <v>847</v>
      </c>
      <c r="CF37" s="105"/>
      <c r="CG37" s="106" t="s">
        <v>393</v>
      </c>
      <c r="CH37" s="106" t="s">
        <v>393</v>
      </c>
      <c r="CI37" s="106"/>
      <c r="CJ37" s="105" t="s">
        <v>116</v>
      </c>
      <c r="CK37" s="105" t="s">
        <v>516</v>
      </c>
      <c r="CL37" s="105"/>
      <c r="CM37" s="101"/>
      <c r="CN37" s="101"/>
      <c r="CO37" s="102"/>
      <c r="CP37" s="103">
        <f t="shared" si="0"/>
        <v>13127202428429</v>
      </c>
    </row>
    <row r="38" spans="1:94" x14ac:dyDescent="0.25">
      <c r="A38" s="104" t="s">
        <v>1224</v>
      </c>
      <c r="B38" s="105"/>
      <c r="C38" s="105" t="s">
        <v>320</v>
      </c>
      <c r="D38" s="105"/>
      <c r="E38" s="105" t="s">
        <v>848</v>
      </c>
      <c r="F38" s="105"/>
      <c r="G38" s="105" t="s">
        <v>849</v>
      </c>
      <c r="H38" s="105" t="s">
        <v>221</v>
      </c>
      <c r="I38" s="105" t="s">
        <v>221</v>
      </c>
      <c r="J38" s="105"/>
      <c r="K38" s="105" t="s">
        <v>507</v>
      </c>
      <c r="L38" s="105"/>
      <c r="M38" s="105" t="s">
        <v>396</v>
      </c>
      <c r="N38" s="105"/>
      <c r="O38" s="105" t="s">
        <v>216</v>
      </c>
      <c r="P38" s="105"/>
      <c r="Q38" s="105" t="s">
        <v>678</v>
      </c>
      <c r="R38" s="105"/>
      <c r="S38" s="105" t="s">
        <v>850</v>
      </c>
      <c r="T38" s="105" t="s">
        <v>321</v>
      </c>
      <c r="U38" s="105"/>
      <c r="V38" s="105" t="s">
        <v>850</v>
      </c>
      <c r="W38" s="105"/>
      <c r="X38" s="105" t="s">
        <v>851</v>
      </c>
      <c r="Y38" s="105"/>
      <c r="Z38" s="105" t="s">
        <v>507</v>
      </c>
      <c r="AA38" s="105" t="s">
        <v>850</v>
      </c>
      <c r="AB38" s="105" t="s">
        <v>852</v>
      </c>
      <c r="AC38" s="105" t="s">
        <v>393</v>
      </c>
      <c r="AD38" s="105" t="s">
        <v>852</v>
      </c>
      <c r="AE38" s="105"/>
      <c r="AF38" s="105" t="s">
        <v>853</v>
      </c>
      <c r="AG38" s="105"/>
      <c r="AH38" s="105" t="s">
        <v>507</v>
      </c>
      <c r="AI38" s="105"/>
      <c r="AJ38" s="105" t="s">
        <v>854</v>
      </c>
      <c r="AK38" s="105"/>
      <c r="AL38" s="105"/>
      <c r="AM38" s="105" t="s">
        <v>678</v>
      </c>
      <c r="AN38" s="105"/>
      <c r="AO38" s="105" t="s">
        <v>855</v>
      </c>
      <c r="AP38" s="105" t="s">
        <v>321</v>
      </c>
      <c r="AQ38" s="105"/>
      <c r="AR38" s="105" t="s">
        <v>855</v>
      </c>
      <c r="AS38" s="105"/>
      <c r="AT38" s="105"/>
      <c r="AU38" s="105"/>
      <c r="AV38" s="105"/>
      <c r="AW38" s="105"/>
      <c r="AX38" s="105" t="s">
        <v>856</v>
      </c>
      <c r="AY38" s="105" t="s">
        <v>393</v>
      </c>
      <c r="AZ38" s="105" t="s">
        <v>857</v>
      </c>
      <c r="BA38" s="105" t="s">
        <v>858</v>
      </c>
      <c r="BB38" s="105"/>
      <c r="BC38" s="105" t="s">
        <v>511</v>
      </c>
      <c r="BD38" s="105" t="s">
        <v>859</v>
      </c>
      <c r="BE38" s="105"/>
      <c r="BF38" s="105" t="s">
        <v>860</v>
      </c>
      <c r="BG38" s="105" t="s">
        <v>861</v>
      </c>
      <c r="BH38" s="172">
        <v>44714</v>
      </c>
      <c r="BI38" s="105" t="s">
        <v>861</v>
      </c>
      <c r="BJ38" s="105" t="s">
        <v>405</v>
      </c>
      <c r="BK38" s="105" t="s">
        <v>862</v>
      </c>
      <c r="BL38" s="105"/>
      <c r="BM38" s="105" t="s">
        <v>406</v>
      </c>
      <c r="BN38" s="105">
        <v>1</v>
      </c>
      <c r="BO38" s="105">
        <v>1</v>
      </c>
      <c r="BP38" s="105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5">
        <v>101</v>
      </c>
      <c r="CC38" s="105" t="s">
        <v>322</v>
      </c>
      <c r="CD38" s="105" t="s">
        <v>863</v>
      </c>
      <c r="CE38" s="105" t="s">
        <v>864</v>
      </c>
      <c r="CF38" s="105"/>
      <c r="CG38" s="106" t="s">
        <v>865</v>
      </c>
      <c r="CH38" s="106" t="s">
        <v>393</v>
      </c>
      <c r="CI38" s="106"/>
      <c r="CJ38" s="105" t="s">
        <v>116</v>
      </c>
      <c r="CK38" s="105" t="s">
        <v>525</v>
      </c>
      <c r="CL38" s="105" t="s">
        <v>517</v>
      </c>
      <c r="CM38" s="101"/>
      <c r="CN38" s="101"/>
      <c r="CO38" s="102"/>
      <c r="CP38" s="103">
        <f t="shared" si="0"/>
        <v>22000434</v>
      </c>
    </row>
    <row r="39" spans="1:94" x14ac:dyDescent="0.25">
      <c r="A39" s="104" t="s">
        <v>1225</v>
      </c>
      <c r="B39" s="105"/>
      <c r="C39" s="105" t="s">
        <v>320</v>
      </c>
      <c r="D39" s="105"/>
      <c r="E39" s="105" t="s">
        <v>866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 t="s">
        <v>867</v>
      </c>
      <c r="AG39" s="105"/>
      <c r="AH39" s="105"/>
      <c r="AI39" s="105"/>
      <c r="AJ39" s="105"/>
      <c r="AK39" s="105"/>
      <c r="AL39" s="105"/>
      <c r="AM39" s="105" t="s">
        <v>398</v>
      </c>
      <c r="AN39" s="105"/>
      <c r="AO39" s="105" t="s">
        <v>868</v>
      </c>
      <c r="AP39" s="105" t="s">
        <v>321</v>
      </c>
      <c r="AQ39" s="105"/>
      <c r="AR39" s="105" t="s">
        <v>868</v>
      </c>
      <c r="AS39" s="105"/>
      <c r="AT39" s="105"/>
      <c r="AU39" s="105"/>
      <c r="AV39" s="105"/>
      <c r="AW39" s="105"/>
      <c r="AX39" s="105" t="s">
        <v>869</v>
      </c>
      <c r="AY39" s="105" t="s">
        <v>870</v>
      </c>
      <c r="AZ39" s="105"/>
      <c r="BA39" s="105"/>
      <c r="BB39" s="105"/>
      <c r="BC39" s="105" t="s">
        <v>401</v>
      </c>
      <c r="BD39" s="105" t="s">
        <v>871</v>
      </c>
      <c r="BE39" s="105"/>
      <c r="BF39" s="105" t="s">
        <v>872</v>
      </c>
      <c r="BG39" s="105"/>
      <c r="BH39" s="172">
        <v>44560</v>
      </c>
      <c r="BI39" s="105" t="s">
        <v>873</v>
      </c>
      <c r="BJ39" s="105" t="s">
        <v>610</v>
      </c>
      <c r="BK39" s="105" t="s">
        <v>874</v>
      </c>
      <c r="BL39" s="105"/>
      <c r="BM39" s="105" t="s">
        <v>406</v>
      </c>
      <c r="BN39" s="105">
        <v>60</v>
      </c>
      <c r="BO39" s="105">
        <v>1</v>
      </c>
      <c r="BP39" s="105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5" t="s">
        <v>875</v>
      </c>
      <c r="CC39" s="105"/>
      <c r="CD39" s="105" t="s">
        <v>574</v>
      </c>
      <c r="CE39" s="105" t="s">
        <v>876</v>
      </c>
      <c r="CF39" s="105"/>
      <c r="CG39" s="106" t="s">
        <v>393</v>
      </c>
      <c r="CH39" s="106"/>
      <c r="CI39" s="106" t="s">
        <v>877</v>
      </c>
      <c r="CJ39" s="105" t="s">
        <v>116</v>
      </c>
      <c r="CK39" s="105" t="s">
        <v>516</v>
      </c>
      <c r="CL39" s="105"/>
      <c r="CM39" s="101"/>
      <c r="CN39" s="101"/>
      <c r="CO39" s="102"/>
      <c r="CP39" s="103">
        <f t="shared" si="0"/>
        <v>45438018</v>
      </c>
    </row>
    <row r="40" spans="1:94" x14ac:dyDescent="0.25">
      <c r="A40" s="104" t="s">
        <v>1226</v>
      </c>
      <c r="B40" s="105"/>
      <c r="C40" s="105" t="s">
        <v>320</v>
      </c>
      <c r="D40" s="105"/>
      <c r="E40" s="105" t="s">
        <v>875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 t="s">
        <v>878</v>
      </c>
      <c r="AG40" s="105"/>
      <c r="AH40" s="105"/>
      <c r="AI40" s="105"/>
      <c r="AJ40" s="105"/>
      <c r="AK40" s="105"/>
      <c r="AL40" s="105"/>
      <c r="AM40" s="105" t="s">
        <v>507</v>
      </c>
      <c r="AN40" s="105"/>
      <c r="AO40" s="105" t="s">
        <v>879</v>
      </c>
      <c r="AP40" s="105" t="s">
        <v>321</v>
      </c>
      <c r="AQ40" s="105"/>
      <c r="AR40" s="105" t="s">
        <v>692</v>
      </c>
      <c r="AS40" s="105"/>
      <c r="AT40" s="105"/>
      <c r="AU40" s="105"/>
      <c r="AV40" s="105"/>
      <c r="AW40" s="105"/>
      <c r="AX40" s="105" t="s">
        <v>880</v>
      </c>
      <c r="AY40" s="105" t="s">
        <v>881</v>
      </c>
      <c r="AZ40" s="105"/>
      <c r="BA40" s="105"/>
      <c r="BB40" s="105"/>
      <c r="BC40" s="105" t="s">
        <v>401</v>
      </c>
      <c r="BD40" s="105" t="s">
        <v>882</v>
      </c>
      <c r="BE40" s="105"/>
      <c r="BF40" s="105" t="s">
        <v>883</v>
      </c>
      <c r="BG40" s="105"/>
      <c r="BH40" s="172">
        <v>44673</v>
      </c>
      <c r="BI40" s="105"/>
      <c r="BJ40" s="105" t="s">
        <v>610</v>
      </c>
      <c r="BK40" s="105"/>
      <c r="BL40" s="105"/>
      <c r="BM40" s="105" t="s">
        <v>406</v>
      </c>
      <c r="BN40" s="105">
        <v>1</v>
      </c>
      <c r="BO40" s="105">
        <v>1</v>
      </c>
      <c r="BP40" s="105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5" t="s">
        <v>884</v>
      </c>
      <c r="CC40" s="105"/>
      <c r="CD40" s="105" t="s">
        <v>574</v>
      </c>
      <c r="CE40" s="105" t="s">
        <v>885</v>
      </c>
      <c r="CF40" s="105"/>
      <c r="CG40" s="106" t="s">
        <v>393</v>
      </c>
      <c r="CH40" s="106"/>
      <c r="CI40" s="106" t="s">
        <v>886</v>
      </c>
      <c r="CJ40" s="105" t="s">
        <v>116</v>
      </c>
      <c r="CK40" s="105" t="s">
        <v>516</v>
      </c>
      <c r="CL40" s="105"/>
      <c r="CM40" s="101"/>
      <c r="CN40" s="101"/>
      <c r="CO40" s="102"/>
      <c r="CP40" s="103">
        <f t="shared" si="0"/>
        <v>47211102</v>
      </c>
    </row>
    <row r="41" spans="1:94" x14ac:dyDescent="0.25">
      <c r="A41" s="104" t="s">
        <v>1227</v>
      </c>
      <c r="B41" s="105"/>
      <c r="C41" s="105" t="s">
        <v>320</v>
      </c>
      <c r="D41" s="105"/>
      <c r="E41" s="105" t="s">
        <v>396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 t="s">
        <v>887</v>
      </c>
      <c r="AG41" s="105"/>
      <c r="AH41" s="105"/>
      <c r="AI41" s="105"/>
      <c r="AJ41" s="105"/>
      <c r="AK41" s="105"/>
      <c r="AL41" s="105"/>
      <c r="AM41" s="105" t="s">
        <v>507</v>
      </c>
      <c r="AN41" s="105"/>
      <c r="AO41" s="105" t="s">
        <v>888</v>
      </c>
      <c r="AP41" s="105" t="s">
        <v>321</v>
      </c>
      <c r="AQ41" s="105"/>
      <c r="AR41" s="105" t="s">
        <v>889</v>
      </c>
      <c r="AS41" s="105"/>
      <c r="AT41" s="105"/>
      <c r="AU41" s="105"/>
      <c r="AV41" s="105"/>
      <c r="AW41" s="105"/>
      <c r="AX41" s="105" t="s">
        <v>890</v>
      </c>
      <c r="AY41" s="105" t="s">
        <v>393</v>
      </c>
      <c r="AZ41" s="105" t="s">
        <v>891</v>
      </c>
      <c r="BA41" s="105" t="s">
        <v>892</v>
      </c>
      <c r="BB41" s="105"/>
      <c r="BC41" s="105" t="s">
        <v>401</v>
      </c>
      <c r="BD41" s="105" t="s">
        <v>893</v>
      </c>
      <c r="BE41" s="105"/>
      <c r="BF41" s="105" t="s">
        <v>894</v>
      </c>
      <c r="BG41" s="105"/>
      <c r="BH41" s="172">
        <v>45132</v>
      </c>
      <c r="BI41" s="105" t="s">
        <v>895</v>
      </c>
      <c r="BJ41" s="105" t="s">
        <v>405</v>
      </c>
      <c r="BK41" s="105" t="s">
        <v>896</v>
      </c>
      <c r="BL41" s="105"/>
      <c r="BM41" s="105" t="s">
        <v>406</v>
      </c>
      <c r="BN41" s="105">
        <v>80</v>
      </c>
      <c r="BO41" s="105">
        <v>100</v>
      </c>
      <c r="BP41" s="105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5" t="s">
        <v>897</v>
      </c>
      <c r="CC41" s="105"/>
      <c r="CD41" s="105" t="s">
        <v>574</v>
      </c>
      <c r="CE41" s="105" t="s">
        <v>898</v>
      </c>
      <c r="CF41" s="105"/>
      <c r="CG41" s="106" t="s">
        <v>899</v>
      </c>
      <c r="CH41" s="106"/>
      <c r="CI41" s="106" t="s">
        <v>900</v>
      </c>
      <c r="CJ41" s="105" t="s">
        <v>116</v>
      </c>
      <c r="CK41" s="105" t="s">
        <v>516</v>
      </c>
      <c r="CL41" s="105"/>
      <c r="CM41" s="101"/>
      <c r="CN41" s="101"/>
      <c r="CO41" s="102"/>
      <c r="CP41" s="103">
        <f t="shared" si="0"/>
        <v>48111471</v>
      </c>
    </row>
    <row r="42" spans="1:94" x14ac:dyDescent="0.25">
      <c r="A42" s="104" t="s">
        <v>1228</v>
      </c>
      <c r="B42" s="105"/>
      <c r="C42" s="105" t="s">
        <v>320</v>
      </c>
      <c r="D42" s="105"/>
      <c r="E42" s="105" t="s">
        <v>354</v>
      </c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 t="s">
        <v>901</v>
      </c>
      <c r="AG42" s="105"/>
      <c r="AH42" s="105"/>
      <c r="AI42" s="105"/>
      <c r="AJ42" s="105"/>
      <c r="AK42" s="105"/>
      <c r="AL42" s="105"/>
      <c r="AM42" s="105" t="s">
        <v>507</v>
      </c>
      <c r="AN42" s="105"/>
      <c r="AO42" s="105" t="s">
        <v>902</v>
      </c>
      <c r="AP42" s="105" t="s">
        <v>321</v>
      </c>
      <c r="AQ42" s="105"/>
      <c r="AR42" s="105" t="s">
        <v>903</v>
      </c>
      <c r="AS42" s="105"/>
      <c r="AT42" s="105"/>
      <c r="AU42" s="105"/>
      <c r="AV42" s="105"/>
      <c r="AW42" s="105"/>
      <c r="AX42" s="105" t="s">
        <v>904</v>
      </c>
      <c r="AY42" s="105" t="s">
        <v>905</v>
      </c>
      <c r="AZ42" s="105" t="s">
        <v>906</v>
      </c>
      <c r="BA42" s="105" t="s">
        <v>907</v>
      </c>
      <c r="BB42" s="105"/>
      <c r="BC42" s="105" t="s">
        <v>401</v>
      </c>
      <c r="BD42" s="105" t="s">
        <v>908</v>
      </c>
      <c r="BE42" s="105"/>
      <c r="BF42" s="105" t="s">
        <v>909</v>
      </c>
      <c r="BG42" s="105"/>
      <c r="BH42" s="172">
        <v>43767</v>
      </c>
      <c r="BI42" s="105" t="s">
        <v>910</v>
      </c>
      <c r="BJ42" s="105" t="s">
        <v>743</v>
      </c>
      <c r="BK42" s="105" t="s">
        <v>911</v>
      </c>
      <c r="BL42" s="105"/>
      <c r="BM42" s="105" t="s">
        <v>406</v>
      </c>
      <c r="BN42" s="105">
        <v>80</v>
      </c>
      <c r="BO42" s="105">
        <v>1</v>
      </c>
      <c r="BP42" s="105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5" t="s">
        <v>637</v>
      </c>
      <c r="CC42" s="105"/>
      <c r="CD42" s="105"/>
      <c r="CE42" s="105" t="s">
        <v>393</v>
      </c>
      <c r="CF42" s="105"/>
      <c r="CG42" s="106" t="s">
        <v>912</v>
      </c>
      <c r="CH42" s="106"/>
      <c r="CI42" s="106" t="s">
        <v>913</v>
      </c>
      <c r="CJ42" s="105" t="s">
        <v>116</v>
      </c>
      <c r="CK42" s="105" t="s">
        <v>525</v>
      </c>
      <c r="CL42" s="105"/>
      <c r="CM42" s="101"/>
      <c r="CN42" s="101"/>
      <c r="CO42" s="102"/>
      <c r="CP42" s="103">
        <f t="shared" si="0"/>
        <v>120073008</v>
      </c>
    </row>
    <row r="43" spans="1:94" x14ac:dyDescent="0.25">
      <c r="A43" s="104" t="s">
        <v>1229</v>
      </c>
      <c r="B43" s="105"/>
      <c r="C43" s="105" t="s">
        <v>320</v>
      </c>
      <c r="D43" s="105"/>
      <c r="E43" s="105" t="s">
        <v>637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 t="s">
        <v>914</v>
      </c>
      <c r="AG43" s="105"/>
      <c r="AH43" s="105"/>
      <c r="AI43" s="105"/>
      <c r="AJ43" s="105"/>
      <c r="AK43" s="105"/>
      <c r="AL43" s="105"/>
      <c r="AM43" s="105" t="s">
        <v>507</v>
      </c>
      <c r="AN43" s="105"/>
      <c r="AO43" s="105" t="s">
        <v>915</v>
      </c>
      <c r="AP43" s="105" t="s">
        <v>321</v>
      </c>
      <c r="AQ43" s="105"/>
      <c r="AR43" s="105" t="s">
        <v>888</v>
      </c>
      <c r="AS43" s="105"/>
      <c r="AT43" s="105"/>
      <c r="AU43" s="105"/>
      <c r="AV43" s="105"/>
      <c r="AW43" s="105"/>
      <c r="AX43" s="105" t="s">
        <v>916</v>
      </c>
      <c r="AY43" s="105" t="s">
        <v>393</v>
      </c>
      <c r="AZ43" s="105" t="s">
        <v>917</v>
      </c>
      <c r="BA43" s="105" t="s">
        <v>918</v>
      </c>
      <c r="BB43" s="105"/>
      <c r="BC43" s="105" t="s">
        <v>401</v>
      </c>
      <c r="BD43" s="105" t="s">
        <v>919</v>
      </c>
      <c r="BE43" s="105"/>
      <c r="BF43" s="105" t="s">
        <v>920</v>
      </c>
      <c r="BG43" s="105"/>
      <c r="BH43" s="172">
        <v>44067</v>
      </c>
      <c r="BI43" s="105" t="s">
        <v>921</v>
      </c>
      <c r="BJ43" s="105" t="s">
        <v>405</v>
      </c>
      <c r="BK43" s="105" t="s">
        <v>922</v>
      </c>
      <c r="BL43" s="105"/>
      <c r="BM43" s="105" t="s">
        <v>406</v>
      </c>
      <c r="BN43" s="105">
        <v>1</v>
      </c>
      <c r="BO43" s="105">
        <v>1</v>
      </c>
      <c r="BP43" s="105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5" t="s">
        <v>923</v>
      </c>
      <c r="CC43" s="105"/>
      <c r="CD43" s="105" t="s">
        <v>574</v>
      </c>
      <c r="CE43" s="105" t="s">
        <v>924</v>
      </c>
      <c r="CF43" s="105"/>
      <c r="CG43" s="106" t="s">
        <v>925</v>
      </c>
      <c r="CH43" s="106"/>
      <c r="CI43" s="106" t="s">
        <v>926</v>
      </c>
      <c r="CJ43" s="105" t="s">
        <v>116</v>
      </c>
      <c r="CK43" s="105" t="s">
        <v>516</v>
      </c>
      <c r="CL43" s="105"/>
      <c r="CM43" s="101"/>
      <c r="CN43" s="101"/>
      <c r="CO43" s="102"/>
      <c r="CP43" s="103">
        <f t="shared" si="0"/>
        <v>42332727</v>
      </c>
    </row>
    <row r="44" spans="1:94" x14ac:dyDescent="0.25">
      <c r="A44" s="104" t="s">
        <v>1230</v>
      </c>
      <c r="B44" s="105"/>
      <c r="C44" s="105" t="s">
        <v>320</v>
      </c>
      <c r="D44" s="105"/>
      <c r="E44" s="105" t="s">
        <v>637</v>
      </c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 t="s">
        <v>927</v>
      </c>
      <c r="AG44" s="105"/>
      <c r="AH44" s="105"/>
      <c r="AI44" s="105"/>
      <c r="AJ44" s="105"/>
      <c r="AK44" s="105"/>
      <c r="AL44" s="105"/>
      <c r="AM44" s="105" t="s">
        <v>507</v>
      </c>
      <c r="AN44" s="105"/>
      <c r="AO44" s="105" t="s">
        <v>625</v>
      </c>
      <c r="AP44" s="105" t="s">
        <v>321</v>
      </c>
      <c r="AQ44" s="105"/>
      <c r="AR44" s="105" t="s">
        <v>692</v>
      </c>
      <c r="AS44" s="105"/>
      <c r="AT44" s="105"/>
      <c r="AU44" s="105"/>
      <c r="AV44" s="105"/>
      <c r="AW44" s="105"/>
      <c r="AX44" s="105" t="s">
        <v>928</v>
      </c>
      <c r="AY44" s="105" t="s">
        <v>393</v>
      </c>
      <c r="AZ44" s="105" t="s">
        <v>929</v>
      </c>
      <c r="BA44" s="105" t="s">
        <v>930</v>
      </c>
      <c r="BB44" s="105"/>
      <c r="BC44" s="105" t="s">
        <v>401</v>
      </c>
      <c r="BD44" s="105" t="s">
        <v>931</v>
      </c>
      <c r="BE44" s="105"/>
      <c r="BF44" s="105" t="s">
        <v>932</v>
      </c>
      <c r="BG44" s="105"/>
      <c r="BH44" s="172">
        <v>45306</v>
      </c>
      <c r="BI44" s="105" t="s">
        <v>933</v>
      </c>
      <c r="BJ44" s="105" t="s">
        <v>393</v>
      </c>
      <c r="BK44" s="105"/>
      <c r="BL44" s="105"/>
      <c r="BM44" s="105" t="s">
        <v>406</v>
      </c>
      <c r="BN44" s="105">
        <v>1</v>
      </c>
      <c r="BO44" s="105">
        <v>1</v>
      </c>
      <c r="BP44" s="105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5" t="s">
        <v>934</v>
      </c>
      <c r="CC44" s="105"/>
      <c r="CD44" s="105" t="s">
        <v>574</v>
      </c>
      <c r="CE44" s="105" t="s">
        <v>935</v>
      </c>
      <c r="CF44" s="105"/>
      <c r="CG44" s="106" t="s">
        <v>393</v>
      </c>
      <c r="CH44" s="106"/>
      <c r="CI44" s="106" t="s">
        <v>936</v>
      </c>
      <c r="CJ44" s="105" t="s">
        <v>116</v>
      </c>
      <c r="CK44" s="105" t="s">
        <v>525</v>
      </c>
      <c r="CL44" s="105"/>
      <c r="CM44" s="101"/>
      <c r="CN44" s="101"/>
      <c r="CO44" s="102"/>
      <c r="CP44" s="103">
        <f t="shared" si="0"/>
        <v>46161954</v>
      </c>
    </row>
    <row r="45" spans="1:94" x14ac:dyDescent="0.25">
      <c r="A45" s="104" t="s">
        <v>1231</v>
      </c>
      <c r="B45" s="105"/>
      <c r="C45" s="105" t="s">
        <v>320</v>
      </c>
      <c r="D45" s="105"/>
      <c r="E45" s="105" t="s">
        <v>937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 t="s">
        <v>938</v>
      </c>
      <c r="AG45" s="105"/>
      <c r="AH45" s="105"/>
      <c r="AI45" s="105"/>
      <c r="AJ45" s="105"/>
      <c r="AK45" s="105"/>
      <c r="AL45" s="105"/>
      <c r="AM45" s="105" t="s">
        <v>507</v>
      </c>
      <c r="AN45" s="105"/>
      <c r="AO45" s="105" t="s">
        <v>939</v>
      </c>
      <c r="AP45" s="105" t="s">
        <v>321</v>
      </c>
      <c r="AQ45" s="105"/>
      <c r="AR45" s="105" t="s">
        <v>940</v>
      </c>
      <c r="AS45" s="105"/>
      <c r="AT45" s="105"/>
      <c r="AU45" s="105"/>
      <c r="AV45" s="105"/>
      <c r="AW45" s="105"/>
      <c r="AX45" s="105" t="s">
        <v>941</v>
      </c>
      <c r="AY45" s="105" t="s">
        <v>393</v>
      </c>
      <c r="AZ45" s="105" t="s">
        <v>942</v>
      </c>
      <c r="BA45" s="105" t="s">
        <v>943</v>
      </c>
      <c r="BB45" s="105"/>
      <c r="BC45" s="105" t="s">
        <v>401</v>
      </c>
      <c r="BD45" s="105" t="s">
        <v>944</v>
      </c>
      <c r="BE45" s="105"/>
      <c r="BF45" s="105" t="s">
        <v>945</v>
      </c>
      <c r="BG45" s="105"/>
      <c r="BH45" s="172">
        <v>45546</v>
      </c>
      <c r="BI45" s="105"/>
      <c r="BJ45" s="105" t="s">
        <v>610</v>
      </c>
      <c r="BK45" s="105"/>
      <c r="BL45" s="105"/>
      <c r="BM45" s="105" t="s">
        <v>406</v>
      </c>
      <c r="BN45" s="105">
        <v>60</v>
      </c>
      <c r="BO45" s="105">
        <v>1</v>
      </c>
      <c r="BP45" s="105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5" t="s">
        <v>946</v>
      </c>
      <c r="CC45" s="105"/>
      <c r="CD45" s="105" t="s">
        <v>612</v>
      </c>
      <c r="CE45" s="105" t="s">
        <v>947</v>
      </c>
      <c r="CF45" s="105"/>
      <c r="CG45" s="106" t="s">
        <v>393</v>
      </c>
      <c r="CH45" s="106"/>
      <c r="CI45" s="106" t="s">
        <v>948</v>
      </c>
      <c r="CJ45" s="105" t="s">
        <v>116</v>
      </c>
      <c r="CK45" s="105" t="s">
        <v>525</v>
      </c>
      <c r="CL45" s="105"/>
      <c r="CM45" s="101"/>
      <c r="CN45" s="101"/>
      <c r="CO45" s="102"/>
      <c r="CP45" s="103">
        <f t="shared" si="0"/>
        <v>102070084</v>
      </c>
    </row>
    <row r="46" spans="1:94" x14ac:dyDescent="0.25">
      <c r="A46" s="104" t="s">
        <v>1232</v>
      </c>
      <c r="B46" s="105"/>
      <c r="C46" s="105" t="s">
        <v>320</v>
      </c>
      <c r="D46" s="105"/>
      <c r="E46" s="105" t="s">
        <v>548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 t="s">
        <v>949</v>
      </c>
      <c r="AG46" s="105"/>
      <c r="AH46" s="105"/>
      <c r="AI46" s="105"/>
      <c r="AJ46" s="105"/>
      <c r="AK46" s="105"/>
      <c r="AL46" s="105"/>
      <c r="AM46" s="105" t="s">
        <v>507</v>
      </c>
      <c r="AN46" s="105"/>
      <c r="AO46" s="105" t="s">
        <v>625</v>
      </c>
      <c r="AP46" s="105" t="s">
        <v>321</v>
      </c>
      <c r="AQ46" s="105"/>
      <c r="AR46" s="105" t="s">
        <v>692</v>
      </c>
      <c r="AS46" s="105"/>
      <c r="AT46" s="105"/>
      <c r="AU46" s="105"/>
      <c r="AV46" s="105"/>
      <c r="AW46" s="105"/>
      <c r="AX46" s="105" t="s">
        <v>950</v>
      </c>
      <c r="AY46" s="105" t="s">
        <v>393</v>
      </c>
      <c r="AZ46" s="105"/>
      <c r="BA46" s="105"/>
      <c r="BB46" s="105"/>
      <c r="BC46" s="105" t="s">
        <v>401</v>
      </c>
      <c r="BD46" s="105" t="s">
        <v>951</v>
      </c>
      <c r="BE46" s="105"/>
      <c r="BF46" s="105" t="s">
        <v>952</v>
      </c>
      <c r="BG46" s="105"/>
      <c r="BH46" s="172">
        <v>45105</v>
      </c>
      <c r="BI46" s="105" t="s">
        <v>953</v>
      </c>
      <c r="BJ46" s="105" t="s">
        <v>393</v>
      </c>
      <c r="BK46" s="105"/>
      <c r="BL46" s="105"/>
      <c r="BM46" s="105" t="s">
        <v>406</v>
      </c>
      <c r="BN46" s="105">
        <v>1</v>
      </c>
      <c r="BO46" s="105">
        <v>1</v>
      </c>
      <c r="BP46" s="105"/>
      <c r="BQ46" s="106"/>
      <c r="BR46" s="106"/>
      <c r="BS46" s="106"/>
      <c r="BT46" s="106"/>
      <c r="BU46" s="106"/>
      <c r="BV46" s="106"/>
      <c r="BW46" s="106"/>
      <c r="BX46" s="106"/>
      <c r="BY46" s="106"/>
      <c r="BZ46" s="106"/>
      <c r="CA46" s="106"/>
      <c r="CB46" s="105">
        <v>28</v>
      </c>
      <c r="CC46" s="105" t="s">
        <v>322</v>
      </c>
      <c r="CD46" s="105" t="s">
        <v>407</v>
      </c>
      <c r="CE46" s="105" t="s">
        <v>393</v>
      </c>
      <c r="CF46" s="105"/>
      <c r="CG46" s="106" t="s">
        <v>954</v>
      </c>
      <c r="CH46" s="106"/>
      <c r="CI46" s="106" t="s">
        <v>955</v>
      </c>
      <c r="CJ46" s="105" t="s">
        <v>116</v>
      </c>
      <c r="CK46" s="105" t="s">
        <v>525</v>
      </c>
      <c r="CL46" s="105" t="s">
        <v>636</v>
      </c>
      <c r="CM46" s="101"/>
      <c r="CN46" s="101"/>
      <c r="CO46" s="102"/>
      <c r="CP46" s="103">
        <f t="shared" si="0"/>
        <v>46493528</v>
      </c>
    </row>
    <row r="47" spans="1:94" x14ac:dyDescent="0.25">
      <c r="A47" s="104" t="s">
        <v>1233</v>
      </c>
      <c r="B47" s="105"/>
      <c r="C47" s="105" t="s">
        <v>320</v>
      </c>
      <c r="D47" s="105"/>
      <c r="E47" s="105" t="s">
        <v>836</v>
      </c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 t="s">
        <v>956</v>
      </c>
      <c r="AG47" s="105"/>
      <c r="AH47" s="105"/>
      <c r="AI47" s="105"/>
      <c r="AJ47" s="105"/>
      <c r="AK47" s="105"/>
      <c r="AL47" s="105"/>
      <c r="AM47" s="105" t="s">
        <v>398</v>
      </c>
      <c r="AN47" s="105"/>
      <c r="AO47" s="105" t="s">
        <v>957</v>
      </c>
      <c r="AP47" s="105" t="s">
        <v>321</v>
      </c>
      <c r="AQ47" s="105"/>
      <c r="AR47" s="105" t="s">
        <v>957</v>
      </c>
      <c r="AS47" s="105"/>
      <c r="AT47" s="105"/>
      <c r="AU47" s="105"/>
      <c r="AV47" s="105"/>
      <c r="AW47" s="105"/>
      <c r="AX47" s="105" t="s">
        <v>958</v>
      </c>
      <c r="AY47" s="105" t="s">
        <v>393</v>
      </c>
      <c r="AZ47" s="105"/>
      <c r="BA47" s="105"/>
      <c r="BB47" s="105"/>
      <c r="BC47" s="105" t="s">
        <v>401</v>
      </c>
      <c r="BD47" s="105" t="s">
        <v>959</v>
      </c>
      <c r="BE47" s="105"/>
      <c r="BF47" s="105" t="s">
        <v>960</v>
      </c>
      <c r="BG47" s="105"/>
      <c r="BH47" s="172">
        <v>43760</v>
      </c>
      <c r="BI47" s="105" t="s">
        <v>961</v>
      </c>
      <c r="BJ47" s="105" t="s">
        <v>743</v>
      </c>
      <c r="BK47" s="105" t="s">
        <v>962</v>
      </c>
      <c r="BL47" s="105"/>
      <c r="BM47" s="105"/>
      <c r="BN47" s="105">
        <v>80</v>
      </c>
      <c r="BO47" s="105">
        <v>1</v>
      </c>
      <c r="BP47" s="105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5" t="s">
        <v>676</v>
      </c>
      <c r="CC47" s="105"/>
      <c r="CD47" s="105" t="s">
        <v>612</v>
      </c>
      <c r="CE47" s="105" t="s">
        <v>393</v>
      </c>
      <c r="CF47" s="105"/>
      <c r="CG47" s="106" t="s">
        <v>963</v>
      </c>
      <c r="CH47" s="106"/>
      <c r="CI47" s="106" t="s">
        <v>964</v>
      </c>
      <c r="CJ47" s="105" t="s">
        <v>116</v>
      </c>
      <c r="CK47" s="105" t="s">
        <v>525</v>
      </c>
      <c r="CL47" s="105" t="s">
        <v>965</v>
      </c>
      <c r="CM47" s="101"/>
      <c r="CN47" s="101"/>
      <c r="CO47" s="102"/>
      <c r="CP47" s="103">
        <f t="shared" si="0"/>
        <v>1308160016</v>
      </c>
    </row>
    <row r="48" spans="1:94" x14ac:dyDescent="0.25">
      <c r="A48" s="104" t="s">
        <v>1234</v>
      </c>
      <c r="B48" s="105"/>
      <c r="C48" s="105" t="s">
        <v>320</v>
      </c>
      <c r="D48" s="105"/>
      <c r="E48" s="105" t="s">
        <v>866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 t="s">
        <v>966</v>
      </c>
      <c r="AG48" s="105"/>
      <c r="AH48" s="105"/>
      <c r="AI48" s="105"/>
      <c r="AJ48" s="105"/>
      <c r="AK48" s="105"/>
      <c r="AL48" s="105"/>
      <c r="AM48" s="105" t="s">
        <v>398</v>
      </c>
      <c r="AN48" s="105"/>
      <c r="AO48" s="105" t="s">
        <v>967</v>
      </c>
      <c r="AP48" s="105" t="s">
        <v>321</v>
      </c>
      <c r="AQ48" s="105"/>
      <c r="AR48" s="105" t="s">
        <v>967</v>
      </c>
      <c r="AS48" s="105"/>
      <c r="AT48" s="105"/>
      <c r="AU48" s="105"/>
      <c r="AV48" s="105"/>
      <c r="AW48" s="105"/>
      <c r="AX48" s="105" t="s">
        <v>968</v>
      </c>
      <c r="AY48" s="105" t="s">
        <v>393</v>
      </c>
      <c r="AZ48" s="105"/>
      <c r="BA48" s="105"/>
      <c r="BB48" s="105"/>
      <c r="BC48" s="105" t="s">
        <v>401</v>
      </c>
      <c r="BD48" s="105" t="s">
        <v>969</v>
      </c>
      <c r="BE48" s="105"/>
      <c r="BF48" s="105" t="s">
        <v>970</v>
      </c>
      <c r="BG48" s="105"/>
      <c r="BH48" s="172">
        <v>44047</v>
      </c>
      <c r="BI48" s="105" t="s">
        <v>971</v>
      </c>
      <c r="BJ48" s="105" t="s">
        <v>610</v>
      </c>
      <c r="BK48" s="105" t="s">
        <v>972</v>
      </c>
      <c r="BL48" s="105"/>
      <c r="BM48" s="105"/>
      <c r="BN48" s="105">
        <v>80</v>
      </c>
      <c r="BO48" s="105">
        <v>1</v>
      </c>
      <c r="BP48" s="105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5" t="s">
        <v>396</v>
      </c>
      <c r="CC48" s="105"/>
      <c r="CD48" s="105" t="s">
        <v>612</v>
      </c>
      <c r="CE48" s="105" t="s">
        <v>973</v>
      </c>
      <c r="CF48" s="105"/>
      <c r="CG48" s="106" t="s">
        <v>974</v>
      </c>
      <c r="CH48" s="106"/>
      <c r="CI48" s="106" t="s">
        <v>975</v>
      </c>
      <c r="CJ48" s="105" t="s">
        <v>116</v>
      </c>
      <c r="CK48" s="105" t="s">
        <v>516</v>
      </c>
      <c r="CL48" s="105" t="s">
        <v>965</v>
      </c>
      <c r="CM48" s="101"/>
      <c r="CN48" s="101"/>
      <c r="CO48" s="102"/>
      <c r="CP48" s="103">
        <f t="shared" si="0"/>
        <v>306086669</v>
      </c>
    </row>
    <row r="49" spans="1:94" x14ac:dyDescent="0.25">
      <c r="A49" s="104" t="s">
        <v>1235</v>
      </c>
      <c r="B49" s="105"/>
      <c r="C49" s="105" t="s">
        <v>320</v>
      </c>
      <c r="D49" s="105"/>
      <c r="E49" s="105" t="s">
        <v>875</v>
      </c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 t="s">
        <v>976</v>
      </c>
      <c r="AG49" s="105"/>
      <c r="AH49" s="105"/>
      <c r="AI49" s="105"/>
      <c r="AJ49" s="105"/>
      <c r="AK49" s="105"/>
      <c r="AL49" s="105"/>
      <c r="AM49" s="105" t="s">
        <v>398</v>
      </c>
      <c r="AN49" s="105"/>
      <c r="AO49" s="105" t="s">
        <v>977</v>
      </c>
      <c r="AP49" s="105" t="s">
        <v>321</v>
      </c>
      <c r="AQ49" s="105"/>
      <c r="AR49" s="105" t="s">
        <v>977</v>
      </c>
      <c r="AS49" s="105"/>
      <c r="AT49" s="105"/>
      <c r="AU49" s="105"/>
      <c r="AV49" s="105"/>
      <c r="AW49" s="105"/>
      <c r="AX49" s="105" t="s">
        <v>978</v>
      </c>
      <c r="AY49" s="105" t="s">
        <v>393</v>
      </c>
      <c r="AZ49" s="105"/>
      <c r="BA49" s="105"/>
      <c r="BB49" s="105"/>
      <c r="BC49" s="105" t="s">
        <v>401</v>
      </c>
      <c r="BD49" s="105" t="s">
        <v>979</v>
      </c>
      <c r="BE49" s="105"/>
      <c r="BF49" s="105" t="s">
        <v>980</v>
      </c>
      <c r="BG49" s="105"/>
      <c r="BH49" s="172">
        <v>43760</v>
      </c>
      <c r="BI49" s="105" t="s">
        <v>981</v>
      </c>
      <c r="BJ49" s="105" t="s">
        <v>743</v>
      </c>
      <c r="BK49" s="105" t="s">
        <v>982</v>
      </c>
      <c r="BL49" s="105"/>
      <c r="BM49" s="105"/>
      <c r="BN49" s="105">
        <v>80</v>
      </c>
      <c r="BO49" s="105">
        <v>1</v>
      </c>
      <c r="BP49" s="105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5" t="s">
        <v>396</v>
      </c>
      <c r="CC49" s="105"/>
      <c r="CD49" s="105" t="s">
        <v>612</v>
      </c>
      <c r="CE49" s="105" t="s">
        <v>393</v>
      </c>
      <c r="CF49" s="105"/>
      <c r="CG49" s="106" t="s">
        <v>983</v>
      </c>
      <c r="CH49" s="106"/>
      <c r="CI49" s="106" t="s">
        <v>984</v>
      </c>
      <c r="CJ49" s="105" t="s">
        <v>116</v>
      </c>
      <c r="CK49" s="105" t="s">
        <v>516</v>
      </c>
      <c r="CL49" s="105" t="s">
        <v>965</v>
      </c>
      <c r="CM49" s="101"/>
      <c r="CN49" s="101"/>
      <c r="CO49" s="102"/>
      <c r="CP49" s="103">
        <f t="shared" si="0"/>
        <v>306083969</v>
      </c>
    </row>
    <row r="50" spans="1:94" x14ac:dyDescent="0.25">
      <c r="A50" s="104" t="s">
        <v>1236</v>
      </c>
      <c r="B50" s="105"/>
      <c r="C50" s="105" t="s">
        <v>320</v>
      </c>
      <c r="D50" s="105"/>
      <c r="E50" s="105" t="s">
        <v>866</v>
      </c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 t="s">
        <v>985</v>
      </c>
      <c r="AG50" s="105"/>
      <c r="AH50" s="105"/>
      <c r="AI50" s="105"/>
      <c r="AJ50" s="105"/>
      <c r="AK50" s="105"/>
      <c r="AL50" s="105"/>
      <c r="AM50" s="105" t="s">
        <v>398</v>
      </c>
      <c r="AN50" s="105"/>
      <c r="AO50" s="105" t="s">
        <v>986</v>
      </c>
      <c r="AP50" s="105" t="s">
        <v>321</v>
      </c>
      <c r="AQ50" s="105"/>
      <c r="AR50" s="105" t="s">
        <v>986</v>
      </c>
      <c r="AS50" s="105"/>
      <c r="AT50" s="105"/>
      <c r="AU50" s="105"/>
      <c r="AV50" s="105"/>
      <c r="AW50" s="105"/>
      <c r="AX50" s="105" t="s">
        <v>987</v>
      </c>
      <c r="AY50" s="105" t="s">
        <v>393</v>
      </c>
      <c r="AZ50" s="105"/>
      <c r="BA50" s="105"/>
      <c r="BB50" s="105"/>
      <c r="BC50" s="105" t="s">
        <v>401</v>
      </c>
      <c r="BD50" s="105" t="s">
        <v>988</v>
      </c>
      <c r="BE50" s="105"/>
      <c r="BF50" s="105" t="s">
        <v>989</v>
      </c>
      <c r="BG50" s="105"/>
      <c r="BH50" s="172">
        <v>43761</v>
      </c>
      <c r="BI50" s="105" t="s">
        <v>971</v>
      </c>
      <c r="BJ50" s="105" t="s">
        <v>743</v>
      </c>
      <c r="BK50" s="105" t="s">
        <v>990</v>
      </c>
      <c r="BL50" s="105"/>
      <c r="BM50" s="105" t="s">
        <v>406</v>
      </c>
      <c r="BN50" s="105">
        <v>80</v>
      </c>
      <c r="BO50" s="105">
        <v>1</v>
      </c>
      <c r="BP50" s="105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5" t="s">
        <v>396</v>
      </c>
      <c r="CC50" s="105"/>
      <c r="CD50" s="105" t="s">
        <v>612</v>
      </c>
      <c r="CE50" s="105" t="s">
        <v>393</v>
      </c>
      <c r="CF50" s="105"/>
      <c r="CG50" s="106" t="s">
        <v>991</v>
      </c>
      <c r="CH50" s="106"/>
      <c r="CI50" s="106" t="s">
        <v>975</v>
      </c>
      <c r="CJ50" s="105" t="s">
        <v>116</v>
      </c>
      <c r="CK50" s="105" t="s">
        <v>516</v>
      </c>
      <c r="CL50" s="105" t="s">
        <v>965</v>
      </c>
      <c r="CM50" s="101"/>
      <c r="CN50" s="101"/>
      <c r="CO50" s="102"/>
      <c r="CP50" s="103">
        <f t="shared" si="0"/>
        <v>304084574</v>
      </c>
    </row>
    <row r="51" spans="1:94" x14ac:dyDescent="0.25">
      <c r="A51" s="104" t="s">
        <v>1237</v>
      </c>
      <c r="B51" s="105"/>
      <c r="C51" s="105" t="s">
        <v>320</v>
      </c>
      <c r="D51" s="105"/>
      <c r="E51" s="105" t="s">
        <v>562</v>
      </c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 t="s">
        <v>992</v>
      </c>
      <c r="AG51" s="105"/>
      <c r="AH51" s="105"/>
      <c r="AI51" s="105"/>
      <c r="AJ51" s="105"/>
      <c r="AK51" s="105"/>
      <c r="AL51" s="105"/>
      <c r="AM51" s="105" t="s">
        <v>507</v>
      </c>
      <c r="AN51" s="105"/>
      <c r="AO51" s="105" t="s">
        <v>993</v>
      </c>
      <c r="AP51" s="105" t="s">
        <v>321</v>
      </c>
      <c r="AQ51" s="105"/>
      <c r="AR51" s="105" t="s">
        <v>994</v>
      </c>
      <c r="AS51" s="105"/>
      <c r="AT51" s="105"/>
      <c r="AU51" s="105"/>
      <c r="AV51" s="105"/>
      <c r="AW51" s="105"/>
      <c r="AX51" s="105" t="s">
        <v>995</v>
      </c>
      <c r="AY51" s="105" t="s">
        <v>393</v>
      </c>
      <c r="AZ51" s="105"/>
      <c r="BA51" s="105"/>
      <c r="BB51" s="105"/>
      <c r="BC51" s="105" t="s">
        <v>401</v>
      </c>
      <c r="BD51" s="105" t="s">
        <v>996</v>
      </c>
      <c r="BE51" s="105"/>
      <c r="BF51" s="105" t="s">
        <v>997</v>
      </c>
      <c r="BG51" s="105"/>
      <c r="BH51" s="172">
        <v>45674</v>
      </c>
      <c r="BI51" s="105"/>
      <c r="BJ51" s="105" t="s">
        <v>393</v>
      </c>
      <c r="BK51" s="105"/>
      <c r="BL51" s="105"/>
      <c r="BM51" s="105" t="s">
        <v>406</v>
      </c>
      <c r="BN51" s="105">
        <v>1</v>
      </c>
      <c r="BO51" s="105">
        <v>1</v>
      </c>
      <c r="BP51" s="105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5">
        <v>8</v>
      </c>
      <c r="CC51" s="105" t="s">
        <v>322</v>
      </c>
      <c r="CD51" s="105" t="s">
        <v>574</v>
      </c>
      <c r="CE51" s="105" t="s">
        <v>998</v>
      </c>
      <c r="CF51" s="105"/>
      <c r="CG51" s="106" t="s">
        <v>393</v>
      </c>
      <c r="CH51" s="106" t="s">
        <v>393</v>
      </c>
      <c r="CI51" s="106"/>
      <c r="CJ51" s="105" t="s">
        <v>116</v>
      </c>
      <c r="CK51" s="105"/>
      <c r="CL51" s="105"/>
      <c r="CM51" s="101"/>
      <c r="CN51" s="101"/>
      <c r="CO51" s="102"/>
      <c r="CP51" s="103">
        <f t="shared" si="0"/>
        <v>2004240008</v>
      </c>
    </row>
    <row r="52" spans="1:94" x14ac:dyDescent="0.25">
      <c r="A52" s="104" t="s">
        <v>1238</v>
      </c>
      <c r="B52" s="105"/>
      <c r="C52" s="105" t="s">
        <v>320</v>
      </c>
      <c r="D52" s="105"/>
      <c r="E52" s="105" t="s">
        <v>676</v>
      </c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 t="s">
        <v>999</v>
      </c>
      <c r="AG52" s="105"/>
      <c r="AH52" s="105"/>
      <c r="AI52" s="105"/>
      <c r="AJ52" s="105"/>
      <c r="AK52" s="105"/>
      <c r="AL52" s="105"/>
      <c r="AM52" s="105" t="s">
        <v>507</v>
      </c>
      <c r="AN52" s="105"/>
      <c r="AO52" s="105" t="s">
        <v>1000</v>
      </c>
      <c r="AP52" s="105" t="s">
        <v>321</v>
      </c>
      <c r="AQ52" s="105"/>
      <c r="AR52" s="105" t="s">
        <v>1001</v>
      </c>
      <c r="AS52" s="105"/>
      <c r="AT52" s="105"/>
      <c r="AU52" s="105"/>
      <c r="AV52" s="105"/>
      <c r="AW52" s="105"/>
      <c r="AX52" s="105" t="s">
        <v>1002</v>
      </c>
      <c r="AY52" s="105" t="s">
        <v>393</v>
      </c>
      <c r="AZ52" s="105"/>
      <c r="BA52" s="105"/>
      <c r="BB52" s="105"/>
      <c r="BC52" s="105" t="s">
        <v>401</v>
      </c>
      <c r="BD52" s="105" t="s">
        <v>1003</v>
      </c>
      <c r="BE52" s="105"/>
      <c r="BF52" s="105" t="s">
        <v>1004</v>
      </c>
      <c r="BG52" s="105"/>
      <c r="BH52" s="172">
        <v>45601</v>
      </c>
      <c r="BI52" s="105"/>
      <c r="BJ52" s="105" t="s">
        <v>743</v>
      </c>
      <c r="BK52" s="105"/>
      <c r="BL52" s="105"/>
      <c r="BM52" s="105"/>
      <c r="BN52" s="105">
        <v>1</v>
      </c>
      <c r="BO52" s="105">
        <v>1</v>
      </c>
      <c r="BP52" s="105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5" t="s">
        <v>1005</v>
      </c>
      <c r="CC52" s="105"/>
      <c r="CD52" s="105"/>
      <c r="CE52" s="105" t="s">
        <v>1006</v>
      </c>
      <c r="CF52" s="105"/>
      <c r="CG52" s="106" t="s">
        <v>1007</v>
      </c>
      <c r="CH52" s="106" t="s">
        <v>393</v>
      </c>
      <c r="CI52" s="106"/>
      <c r="CJ52" s="105" t="s">
        <v>116</v>
      </c>
      <c r="CK52" s="105"/>
      <c r="CL52" s="105"/>
      <c r="CM52" s="101"/>
      <c r="CN52" s="101"/>
      <c r="CO52" s="102"/>
      <c r="CP52" s="103">
        <f t="shared" si="0"/>
        <v>818221207</v>
      </c>
    </row>
    <row r="53" spans="1:94" x14ac:dyDescent="0.25">
      <c r="A53" s="104" t="s">
        <v>1239</v>
      </c>
      <c r="B53" s="105" t="s">
        <v>1240</v>
      </c>
      <c r="C53" s="105" t="s">
        <v>1008</v>
      </c>
      <c r="D53" s="105"/>
      <c r="E53" s="105" t="s">
        <v>11</v>
      </c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 t="s">
        <v>1009</v>
      </c>
      <c r="AG53" s="105"/>
      <c r="AH53" s="105"/>
      <c r="AI53" s="105"/>
      <c r="AJ53" s="105"/>
      <c r="AK53" s="105"/>
      <c r="AL53" s="105"/>
      <c r="AM53" s="105" t="s">
        <v>507</v>
      </c>
      <c r="AN53" s="105"/>
      <c r="AO53" s="105" t="s">
        <v>1010</v>
      </c>
      <c r="AP53" s="105" t="s">
        <v>321</v>
      </c>
      <c r="AQ53" s="105"/>
      <c r="AR53" s="105" t="s">
        <v>1011</v>
      </c>
      <c r="AS53" s="105"/>
      <c r="AT53" s="105"/>
      <c r="AU53" s="105"/>
      <c r="AV53" s="105"/>
      <c r="AW53" s="105"/>
      <c r="AX53" s="105" t="s">
        <v>1012</v>
      </c>
      <c r="AY53" s="105" t="s">
        <v>393</v>
      </c>
      <c r="AZ53" s="105" t="s">
        <v>1013</v>
      </c>
      <c r="BA53" s="105" t="s">
        <v>1014</v>
      </c>
      <c r="BB53" s="105"/>
      <c r="BC53" s="105" t="s">
        <v>401</v>
      </c>
      <c r="BD53" s="105" t="s">
        <v>1015</v>
      </c>
      <c r="BE53" s="105"/>
      <c r="BF53" s="105" t="s">
        <v>1016</v>
      </c>
      <c r="BG53" s="105"/>
      <c r="BH53" s="172">
        <v>45702</v>
      </c>
      <c r="BI53" s="105"/>
      <c r="BJ53" s="105" t="s">
        <v>393</v>
      </c>
      <c r="BK53" s="105"/>
      <c r="BL53" s="105"/>
      <c r="BM53" s="105" t="s">
        <v>406</v>
      </c>
      <c r="BN53" s="105">
        <v>1</v>
      </c>
      <c r="BO53" s="105">
        <v>1</v>
      </c>
      <c r="BP53" s="105"/>
      <c r="BQ53" s="106"/>
      <c r="BR53" s="106"/>
      <c r="BS53" s="106"/>
      <c r="BT53" s="106"/>
      <c r="BU53" s="106"/>
      <c r="BV53" s="106"/>
      <c r="BW53" s="106"/>
      <c r="BX53" s="106"/>
      <c r="BY53" s="106"/>
      <c r="BZ53" s="106"/>
      <c r="CA53" s="106"/>
      <c r="CB53" s="105">
        <v>17</v>
      </c>
      <c r="CC53" s="105" t="s">
        <v>322</v>
      </c>
      <c r="CD53" s="105" t="s">
        <v>1017</v>
      </c>
      <c r="CE53" s="105" t="s">
        <v>1018</v>
      </c>
      <c r="CF53" s="105"/>
      <c r="CG53" s="106" t="s">
        <v>393</v>
      </c>
      <c r="CH53" s="106" t="s">
        <v>393</v>
      </c>
      <c r="CI53" s="106"/>
      <c r="CJ53" s="105" t="s">
        <v>1019</v>
      </c>
      <c r="CK53" s="105" t="s">
        <v>516</v>
      </c>
      <c r="CL53" s="105"/>
      <c r="CM53" s="101"/>
      <c r="CN53" s="101"/>
      <c r="CO53" s="102"/>
      <c r="CP53" s="103">
        <f t="shared" si="0"/>
        <v>650240000151</v>
      </c>
    </row>
    <row r="54" spans="1:94" x14ac:dyDescent="0.25">
      <c r="A54" s="104" t="s">
        <v>1241</v>
      </c>
      <c r="B54" s="105"/>
      <c r="C54" s="105" t="s">
        <v>320</v>
      </c>
      <c r="D54" s="105"/>
      <c r="E54" s="105" t="s">
        <v>637</v>
      </c>
      <c r="F54" s="105"/>
      <c r="G54" s="105" t="s">
        <v>1020</v>
      </c>
      <c r="H54" s="105" t="s">
        <v>222</v>
      </c>
      <c r="I54" s="105" t="s">
        <v>222</v>
      </c>
      <c r="J54" s="105"/>
      <c r="K54" s="105" t="s">
        <v>507</v>
      </c>
      <c r="L54" s="105"/>
      <c r="M54" s="105" t="s">
        <v>396</v>
      </c>
      <c r="N54" s="105"/>
      <c r="O54" s="105" t="s">
        <v>216</v>
      </c>
      <c r="P54" s="105"/>
      <c r="Q54" s="105" t="s">
        <v>678</v>
      </c>
      <c r="R54" s="105"/>
      <c r="S54" s="105" t="s">
        <v>1021</v>
      </c>
      <c r="T54" s="105" t="s">
        <v>321</v>
      </c>
      <c r="U54" s="105"/>
      <c r="V54" s="105" t="s">
        <v>1021</v>
      </c>
      <c r="W54" s="105"/>
      <c r="X54" s="105" t="s">
        <v>1022</v>
      </c>
      <c r="Y54" s="105"/>
      <c r="Z54" s="105" t="s">
        <v>507</v>
      </c>
      <c r="AA54" s="105" t="s">
        <v>1021</v>
      </c>
      <c r="AB54" s="105" t="s">
        <v>406</v>
      </c>
      <c r="AC54" s="105" t="s">
        <v>393</v>
      </c>
      <c r="AD54" s="105" t="s">
        <v>1023</v>
      </c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 t="s">
        <v>393</v>
      </c>
      <c r="AZ54" s="105" t="s">
        <v>1024</v>
      </c>
      <c r="BA54" s="105" t="s">
        <v>1025</v>
      </c>
      <c r="BB54" s="105"/>
      <c r="BC54" s="105" t="s">
        <v>511</v>
      </c>
      <c r="BD54" s="105" t="s">
        <v>1026</v>
      </c>
      <c r="BE54" s="105"/>
      <c r="BF54" s="105" t="s">
        <v>1027</v>
      </c>
      <c r="BG54" s="105"/>
      <c r="BH54" s="172">
        <v>45622</v>
      </c>
      <c r="BI54" s="105" t="s">
        <v>645</v>
      </c>
      <c r="BJ54" s="105" t="s">
        <v>743</v>
      </c>
      <c r="BK54" s="105" t="s">
        <v>1028</v>
      </c>
      <c r="BL54" s="105"/>
      <c r="BM54" s="105"/>
      <c r="BN54" s="105">
        <v>40</v>
      </c>
      <c r="BO54" s="105">
        <v>100</v>
      </c>
      <c r="BP54" s="105"/>
      <c r="BQ54" s="106" t="s">
        <v>1029</v>
      </c>
      <c r="BR54" s="106"/>
      <c r="BS54" s="106" t="s">
        <v>1030</v>
      </c>
      <c r="BT54" s="106"/>
      <c r="BU54" s="106" t="s">
        <v>1031</v>
      </c>
      <c r="BV54" s="106"/>
      <c r="BW54" s="106" t="s">
        <v>1032</v>
      </c>
      <c r="BX54" s="106"/>
      <c r="BY54" s="106" t="s">
        <v>1033</v>
      </c>
      <c r="BZ54" s="106"/>
      <c r="CA54" s="106" t="s">
        <v>1034</v>
      </c>
      <c r="CB54" s="105" t="s">
        <v>1035</v>
      </c>
      <c r="CC54" s="105"/>
      <c r="CD54" s="105" t="s">
        <v>612</v>
      </c>
      <c r="CE54" s="105" t="s">
        <v>1036</v>
      </c>
      <c r="CF54" s="105"/>
      <c r="CG54" s="106" t="s">
        <v>1037</v>
      </c>
      <c r="CH54" s="106" t="s">
        <v>393</v>
      </c>
      <c r="CI54" s="106"/>
      <c r="CJ54" s="105" t="s">
        <v>116</v>
      </c>
      <c r="CK54" s="105" t="s">
        <v>525</v>
      </c>
      <c r="CL54" s="105" t="s">
        <v>517</v>
      </c>
      <c r="CM54" s="101"/>
      <c r="CN54" s="101"/>
      <c r="CO54" s="102"/>
      <c r="CP54" s="103">
        <f t="shared" si="0"/>
        <v>801240117</v>
      </c>
    </row>
    <row r="55" spans="1:94" x14ac:dyDescent="0.25">
      <c r="A55" s="104" t="s">
        <v>1242</v>
      </c>
      <c r="B55" s="105"/>
      <c r="C55" s="105" t="s">
        <v>320</v>
      </c>
      <c r="D55" s="105"/>
      <c r="E55" s="105" t="s">
        <v>320</v>
      </c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 t="s">
        <v>1038</v>
      </c>
      <c r="AG55" s="105"/>
      <c r="AH55" s="105"/>
      <c r="AI55" s="105"/>
      <c r="AJ55" s="105"/>
      <c r="AK55" s="105"/>
      <c r="AL55" s="105"/>
      <c r="AM55" s="105" t="s">
        <v>507</v>
      </c>
      <c r="AN55" s="105"/>
      <c r="AO55" s="105" t="s">
        <v>1039</v>
      </c>
      <c r="AP55" s="105" t="s">
        <v>321</v>
      </c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 t="s">
        <v>401</v>
      </c>
      <c r="BD55" s="105" t="s">
        <v>1040</v>
      </c>
      <c r="BE55" s="105"/>
      <c r="BF55" s="105" t="s">
        <v>1041</v>
      </c>
      <c r="BG55" s="105"/>
      <c r="BH55" s="172">
        <v>44786</v>
      </c>
      <c r="BI55" s="105" t="s">
        <v>1042</v>
      </c>
      <c r="BJ55" s="105" t="s">
        <v>405</v>
      </c>
      <c r="BK55" s="105" t="s">
        <v>1043</v>
      </c>
      <c r="BL55" s="105"/>
      <c r="BM55" s="105" t="s">
        <v>406</v>
      </c>
      <c r="BN55" s="105">
        <v>1</v>
      </c>
      <c r="BO55" s="105">
        <v>1</v>
      </c>
      <c r="BP55" s="105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5">
        <v>579</v>
      </c>
      <c r="CC55" s="105" t="s">
        <v>322</v>
      </c>
      <c r="CD55" s="105" t="s">
        <v>1044</v>
      </c>
      <c r="CE55" s="105" t="s">
        <v>1045</v>
      </c>
      <c r="CF55" s="105"/>
      <c r="CG55" s="106" t="s">
        <v>393</v>
      </c>
      <c r="CH55" s="106"/>
      <c r="CI55" s="106" t="s">
        <v>1046</v>
      </c>
      <c r="CJ55" s="105" t="s">
        <v>116</v>
      </c>
      <c r="CK55" s="105" t="s">
        <v>603</v>
      </c>
      <c r="CL55" s="105"/>
      <c r="CM55" s="101"/>
      <c r="CN55" s="101"/>
      <c r="CO55" s="102"/>
      <c r="CP55" s="103">
        <f t="shared" si="0"/>
        <v>434030020579</v>
      </c>
    </row>
    <row r="56" spans="1:94" x14ac:dyDescent="0.25">
      <c r="A56" s="104" t="s">
        <v>1243</v>
      </c>
      <c r="B56" s="105"/>
      <c r="C56" s="105" t="s">
        <v>320</v>
      </c>
      <c r="D56" s="105"/>
      <c r="E56" s="105" t="s">
        <v>754</v>
      </c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 t="s">
        <v>1047</v>
      </c>
      <c r="AG56" s="105"/>
      <c r="AH56" s="105"/>
      <c r="AI56" s="105"/>
      <c r="AJ56" s="105"/>
      <c r="AK56" s="105"/>
      <c r="AL56" s="105"/>
      <c r="AM56" s="105" t="s">
        <v>507</v>
      </c>
      <c r="AN56" s="105"/>
      <c r="AO56" s="105" t="s">
        <v>854</v>
      </c>
      <c r="AP56" s="105" t="s">
        <v>1048</v>
      </c>
      <c r="AQ56" s="105"/>
      <c r="AR56" s="105"/>
      <c r="AS56" s="105"/>
      <c r="AT56" s="105"/>
      <c r="AU56" s="105"/>
      <c r="AV56" s="105"/>
      <c r="AW56" s="105"/>
      <c r="AX56" s="105"/>
      <c r="AY56" s="105"/>
      <c r="AZ56" s="105" t="s">
        <v>1049</v>
      </c>
      <c r="BA56" s="105" t="s">
        <v>1050</v>
      </c>
      <c r="BB56" s="105"/>
      <c r="BC56" s="105" t="s">
        <v>401</v>
      </c>
      <c r="BD56" s="105" t="s">
        <v>1051</v>
      </c>
      <c r="BE56" s="105"/>
      <c r="BF56" s="105" t="s">
        <v>1052</v>
      </c>
      <c r="BG56" s="105"/>
      <c r="BH56" s="172">
        <v>44701</v>
      </c>
      <c r="BI56" s="105" t="s">
        <v>1053</v>
      </c>
      <c r="BJ56" s="105" t="s">
        <v>743</v>
      </c>
      <c r="BK56" s="105" t="s">
        <v>1054</v>
      </c>
      <c r="BL56" s="105"/>
      <c r="BM56" s="105" t="s">
        <v>406</v>
      </c>
      <c r="BN56" s="105">
        <v>800</v>
      </c>
      <c r="BO56" s="105">
        <v>1</v>
      </c>
      <c r="BP56" s="105"/>
      <c r="BQ56" s="106" t="s">
        <v>1055</v>
      </c>
      <c r="BR56" s="106"/>
      <c r="BS56" s="106" t="s">
        <v>1056</v>
      </c>
      <c r="BT56" s="106"/>
      <c r="BU56" s="106" t="s">
        <v>1057</v>
      </c>
      <c r="BV56" s="106"/>
      <c r="BW56" s="106"/>
      <c r="BX56" s="106"/>
      <c r="BY56" s="106"/>
      <c r="BZ56" s="106"/>
      <c r="CA56" s="106"/>
      <c r="CB56" s="105" t="s">
        <v>1058</v>
      </c>
      <c r="CC56" s="105"/>
      <c r="CD56" s="105" t="s">
        <v>612</v>
      </c>
      <c r="CE56" s="105" t="s">
        <v>1059</v>
      </c>
      <c r="CF56" s="105"/>
      <c r="CG56" s="106" t="s">
        <v>1060</v>
      </c>
      <c r="CH56" s="106"/>
      <c r="CI56" s="106" t="s">
        <v>1061</v>
      </c>
      <c r="CJ56" s="105" t="s">
        <v>116</v>
      </c>
      <c r="CK56" s="105" t="s">
        <v>525</v>
      </c>
      <c r="CL56" s="105"/>
      <c r="CM56" s="101"/>
      <c r="CN56" s="101"/>
      <c r="CO56" s="102"/>
      <c r="CP56" s="103">
        <f t="shared" si="0"/>
        <v>819210395</v>
      </c>
    </row>
    <row r="57" spans="1:94" x14ac:dyDescent="0.25">
      <c r="A57" s="104" t="s">
        <v>1244</v>
      </c>
      <c r="B57" s="105"/>
      <c r="C57" s="105" t="s">
        <v>320</v>
      </c>
      <c r="D57" s="105"/>
      <c r="E57" s="105" t="s">
        <v>848</v>
      </c>
      <c r="F57" s="105"/>
      <c r="G57" s="105" t="s">
        <v>1062</v>
      </c>
      <c r="H57" s="105" t="s">
        <v>222</v>
      </c>
      <c r="I57" s="105" t="s">
        <v>222</v>
      </c>
      <c r="J57" s="105"/>
      <c r="K57" s="105" t="s">
        <v>507</v>
      </c>
      <c r="L57" s="105"/>
      <c r="M57" s="105" t="s">
        <v>396</v>
      </c>
      <c r="N57" s="105"/>
      <c r="O57" s="105" t="s">
        <v>216</v>
      </c>
      <c r="P57" s="105"/>
      <c r="Q57" s="105" t="s">
        <v>678</v>
      </c>
      <c r="R57" s="105"/>
      <c r="S57" s="105" t="s">
        <v>1063</v>
      </c>
      <c r="T57" s="105" t="s">
        <v>321</v>
      </c>
      <c r="U57" s="105"/>
      <c r="V57" s="105" t="s">
        <v>1063</v>
      </c>
      <c r="W57" s="105"/>
      <c r="X57" s="105" t="s">
        <v>1064</v>
      </c>
      <c r="Y57" s="105"/>
      <c r="Z57" s="105" t="s">
        <v>507</v>
      </c>
      <c r="AA57" s="105" t="s">
        <v>1063</v>
      </c>
      <c r="AB57" s="105" t="s">
        <v>637</v>
      </c>
      <c r="AC57" s="105" t="s">
        <v>393</v>
      </c>
      <c r="AD57" s="105" t="s">
        <v>1065</v>
      </c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 t="s">
        <v>393</v>
      </c>
      <c r="AZ57" s="105" t="s">
        <v>1066</v>
      </c>
      <c r="BA57" s="105" t="s">
        <v>1067</v>
      </c>
      <c r="BB57" s="105"/>
      <c r="BC57" s="105" t="s">
        <v>401</v>
      </c>
      <c r="BD57" s="105" t="s">
        <v>1068</v>
      </c>
      <c r="BE57" s="105"/>
      <c r="BF57" s="105" t="s">
        <v>1069</v>
      </c>
      <c r="BG57" s="105"/>
      <c r="BH57" s="172">
        <v>44924</v>
      </c>
      <c r="BI57" s="105" t="s">
        <v>645</v>
      </c>
      <c r="BJ57" s="105" t="s">
        <v>743</v>
      </c>
      <c r="BK57" s="105" t="s">
        <v>1028</v>
      </c>
      <c r="BL57" s="105"/>
      <c r="BM57" s="105" t="s">
        <v>406</v>
      </c>
      <c r="BN57" s="105">
        <v>100</v>
      </c>
      <c r="BO57" s="105">
        <v>200</v>
      </c>
      <c r="BP57" s="105"/>
      <c r="BQ57" s="106" t="s">
        <v>1070</v>
      </c>
      <c r="BR57" s="106"/>
      <c r="BS57" s="106"/>
      <c r="BT57" s="106"/>
      <c r="BU57" s="106"/>
      <c r="BV57" s="106"/>
      <c r="BW57" s="106" t="s">
        <v>1071</v>
      </c>
      <c r="BX57" s="106"/>
      <c r="BY57" s="106"/>
      <c r="BZ57" s="106"/>
      <c r="CA57" s="106"/>
      <c r="CB57" s="105" t="s">
        <v>396</v>
      </c>
      <c r="CC57" s="105"/>
      <c r="CD57" s="105" t="s">
        <v>612</v>
      </c>
      <c r="CE57" s="105" t="s">
        <v>1072</v>
      </c>
      <c r="CF57" s="105"/>
      <c r="CG57" s="106" t="s">
        <v>1073</v>
      </c>
      <c r="CH57" s="106"/>
      <c r="CI57" s="106" t="s">
        <v>1074</v>
      </c>
      <c r="CJ57" s="105" t="s">
        <v>116</v>
      </c>
      <c r="CK57" s="105" t="s">
        <v>525</v>
      </c>
      <c r="CL57" s="105"/>
      <c r="CM57" s="101"/>
      <c r="CN57" s="101"/>
      <c r="CO57" s="102"/>
      <c r="CP57" s="103">
        <f t="shared" si="0"/>
        <v>822220297</v>
      </c>
    </row>
    <row r="58" spans="1:94" x14ac:dyDescent="0.25">
      <c r="A58" s="104" t="s">
        <v>1245</v>
      </c>
      <c r="B58" s="105"/>
      <c r="C58" s="105" t="s">
        <v>320</v>
      </c>
      <c r="D58" s="105"/>
      <c r="E58" s="105" t="s">
        <v>848</v>
      </c>
      <c r="F58" s="105"/>
      <c r="G58" s="105" t="s">
        <v>1062</v>
      </c>
      <c r="H58" s="105" t="s">
        <v>222</v>
      </c>
      <c r="I58" s="105" t="s">
        <v>222</v>
      </c>
      <c r="J58" s="105"/>
      <c r="K58" s="105" t="s">
        <v>507</v>
      </c>
      <c r="L58" s="105"/>
      <c r="M58" s="105" t="s">
        <v>396</v>
      </c>
      <c r="N58" s="105"/>
      <c r="O58" s="105" t="s">
        <v>216</v>
      </c>
      <c r="P58" s="105"/>
      <c r="Q58" s="105" t="s">
        <v>507</v>
      </c>
      <c r="R58" s="105"/>
      <c r="S58" s="105" t="s">
        <v>1075</v>
      </c>
      <c r="T58" s="105" t="s">
        <v>321</v>
      </c>
      <c r="U58" s="105"/>
      <c r="V58" s="105" t="s">
        <v>1075</v>
      </c>
      <c r="W58" s="105"/>
      <c r="X58" s="105" t="s">
        <v>1076</v>
      </c>
      <c r="Y58" s="105"/>
      <c r="Z58" s="105" t="s">
        <v>507</v>
      </c>
      <c r="AA58" s="105" t="s">
        <v>1075</v>
      </c>
      <c r="AB58" s="105" t="s">
        <v>637</v>
      </c>
      <c r="AC58" s="105" t="s">
        <v>393</v>
      </c>
      <c r="AD58" s="105" t="s">
        <v>1065</v>
      </c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 t="s">
        <v>393</v>
      </c>
      <c r="AZ58" s="105" t="s">
        <v>1077</v>
      </c>
      <c r="BA58" s="105" t="s">
        <v>1067</v>
      </c>
      <c r="BB58" s="105"/>
      <c r="BC58" s="105" t="s">
        <v>401</v>
      </c>
      <c r="BD58" s="105" t="s">
        <v>1078</v>
      </c>
      <c r="BE58" s="105"/>
      <c r="BF58" s="105" t="s">
        <v>1079</v>
      </c>
      <c r="BG58" s="105"/>
      <c r="BH58" s="172">
        <v>44934</v>
      </c>
      <c r="BI58" s="105" t="s">
        <v>645</v>
      </c>
      <c r="BJ58" s="105" t="s">
        <v>743</v>
      </c>
      <c r="BK58" s="105" t="s">
        <v>1028</v>
      </c>
      <c r="BL58" s="105"/>
      <c r="BM58" s="105" t="s">
        <v>406</v>
      </c>
      <c r="BN58" s="105">
        <v>100</v>
      </c>
      <c r="BO58" s="105">
        <v>200</v>
      </c>
      <c r="BP58" s="105"/>
      <c r="BQ58" s="106" t="s">
        <v>1080</v>
      </c>
      <c r="BR58" s="106"/>
      <c r="BS58" s="106"/>
      <c r="BT58" s="106"/>
      <c r="BU58" s="106"/>
      <c r="BV58" s="106"/>
      <c r="BW58" s="106" t="s">
        <v>1081</v>
      </c>
      <c r="BX58" s="106"/>
      <c r="BY58" s="106"/>
      <c r="BZ58" s="106"/>
      <c r="CA58" s="106"/>
      <c r="CB58" s="105" t="s">
        <v>396</v>
      </c>
      <c r="CC58" s="105"/>
      <c r="CD58" s="105" t="s">
        <v>612</v>
      </c>
      <c r="CE58" s="105" t="s">
        <v>1082</v>
      </c>
      <c r="CF58" s="105"/>
      <c r="CG58" s="106" t="s">
        <v>1083</v>
      </c>
      <c r="CH58" s="106"/>
      <c r="CI58" s="106" t="s">
        <v>1074</v>
      </c>
      <c r="CJ58" s="105" t="s">
        <v>116</v>
      </c>
      <c r="CK58" s="105" t="s">
        <v>525</v>
      </c>
      <c r="CL58" s="105"/>
      <c r="CM58" s="101"/>
      <c r="CN58" s="101"/>
      <c r="CO58" s="102"/>
      <c r="CP58" s="103">
        <f t="shared" si="0"/>
        <v>822220406</v>
      </c>
    </row>
    <row r="59" spans="1:94" x14ac:dyDescent="0.25">
      <c r="A59" s="104" t="s">
        <v>1246</v>
      </c>
      <c r="B59" s="105"/>
      <c r="C59" s="105" t="s">
        <v>320</v>
      </c>
      <c r="D59" s="105"/>
      <c r="E59" s="105" t="s">
        <v>593</v>
      </c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 t="s">
        <v>1084</v>
      </c>
      <c r="AG59" s="105"/>
      <c r="AH59" s="105"/>
      <c r="AI59" s="105"/>
      <c r="AJ59" s="105"/>
      <c r="AK59" s="105"/>
      <c r="AL59" s="105"/>
      <c r="AM59" s="105" t="s">
        <v>507</v>
      </c>
      <c r="AN59" s="105"/>
      <c r="AO59" s="105" t="s">
        <v>1085</v>
      </c>
      <c r="AP59" s="105" t="s">
        <v>321</v>
      </c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 t="s">
        <v>401</v>
      </c>
      <c r="BD59" s="105" t="s">
        <v>1086</v>
      </c>
      <c r="BE59" s="105"/>
      <c r="BF59" s="105" t="s">
        <v>1087</v>
      </c>
      <c r="BG59" s="105"/>
      <c r="BH59" s="172">
        <v>44895</v>
      </c>
      <c r="BI59" s="105"/>
      <c r="BJ59" s="105" t="s">
        <v>405</v>
      </c>
      <c r="BK59" s="105"/>
      <c r="BL59" s="105" t="s">
        <v>396</v>
      </c>
      <c r="BM59" s="105"/>
      <c r="BN59" s="105">
        <v>10</v>
      </c>
      <c r="BO59" s="105">
        <v>1</v>
      </c>
      <c r="BP59" s="105"/>
      <c r="BQ59" s="106"/>
      <c r="BR59" s="106"/>
      <c r="BS59" s="106"/>
      <c r="BT59" s="106"/>
      <c r="BU59" s="106"/>
      <c r="BV59" s="106"/>
      <c r="BW59" s="106"/>
      <c r="BX59" s="106"/>
      <c r="BY59" s="106"/>
      <c r="BZ59" s="106"/>
      <c r="CA59" s="106"/>
      <c r="CB59" s="105" t="s">
        <v>1088</v>
      </c>
      <c r="CC59" s="105"/>
      <c r="CD59" s="105" t="s">
        <v>1089</v>
      </c>
      <c r="CE59" s="105" t="s">
        <v>393</v>
      </c>
      <c r="CF59" s="105"/>
      <c r="CG59" s="106" t="s">
        <v>1090</v>
      </c>
      <c r="CH59" s="106"/>
      <c r="CI59" s="106" t="s">
        <v>1091</v>
      </c>
      <c r="CJ59" s="105" t="s">
        <v>116</v>
      </c>
      <c r="CK59" s="105"/>
      <c r="CL59" s="105" t="s">
        <v>636</v>
      </c>
      <c r="CM59" s="101"/>
      <c r="CN59" s="101"/>
      <c r="CO59" s="102"/>
      <c r="CP59" s="103">
        <f t="shared" si="0"/>
        <v>45862474</v>
      </c>
    </row>
    <row r="60" spans="1:94" x14ac:dyDescent="0.25">
      <c r="A60" s="104" t="s">
        <v>1247</v>
      </c>
      <c r="B60" s="105"/>
      <c r="C60" s="105" t="s">
        <v>320</v>
      </c>
      <c r="D60" s="105"/>
      <c r="E60" s="105" t="s">
        <v>701</v>
      </c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 t="s">
        <v>1092</v>
      </c>
      <c r="AG60" s="105"/>
      <c r="AH60" s="105"/>
      <c r="AI60" s="105"/>
      <c r="AJ60" s="105"/>
      <c r="AK60" s="105"/>
      <c r="AL60" s="105"/>
      <c r="AM60" s="105" t="s">
        <v>507</v>
      </c>
      <c r="AN60" s="105"/>
      <c r="AO60" s="105" t="s">
        <v>689</v>
      </c>
      <c r="AP60" s="105" t="s">
        <v>321</v>
      </c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 t="s">
        <v>401</v>
      </c>
      <c r="BD60" s="105" t="s">
        <v>1093</v>
      </c>
      <c r="BE60" s="105"/>
      <c r="BF60" s="105" t="s">
        <v>1094</v>
      </c>
      <c r="BG60" s="105"/>
      <c r="BH60" s="172">
        <v>45505</v>
      </c>
      <c r="BI60" s="105"/>
      <c r="BJ60" s="105" t="s">
        <v>743</v>
      </c>
      <c r="BK60" s="105"/>
      <c r="BL60" s="105"/>
      <c r="BM60" s="105" t="s">
        <v>406</v>
      </c>
      <c r="BN60" s="105">
        <v>40</v>
      </c>
      <c r="BO60" s="105">
        <v>200</v>
      </c>
      <c r="BP60" s="105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5" t="s">
        <v>1095</v>
      </c>
      <c r="CC60" s="105"/>
      <c r="CD60" s="105" t="s">
        <v>612</v>
      </c>
      <c r="CE60" s="105" t="s">
        <v>1096</v>
      </c>
      <c r="CF60" s="105"/>
      <c r="CG60" s="106" t="s">
        <v>393</v>
      </c>
      <c r="CH60" s="106" t="s">
        <v>393</v>
      </c>
      <c r="CI60" s="106"/>
      <c r="CJ60" s="105" t="s">
        <v>116</v>
      </c>
      <c r="CK60" s="105" t="s">
        <v>525</v>
      </c>
      <c r="CL60" s="105"/>
      <c r="CM60" s="101"/>
      <c r="CN60" s="101"/>
      <c r="CO60" s="102"/>
      <c r="CP60" s="103">
        <f t="shared" si="0"/>
        <v>1117231248</v>
      </c>
    </row>
    <row r="61" spans="1:94" x14ac:dyDescent="0.25">
      <c r="A61" s="104" t="s">
        <v>1248</v>
      </c>
      <c r="B61" s="105"/>
      <c r="C61" s="105" t="s">
        <v>320</v>
      </c>
      <c r="D61" s="105"/>
      <c r="E61" s="105" t="s">
        <v>783</v>
      </c>
      <c r="F61" s="105"/>
      <c r="G61" s="105" t="s">
        <v>1097</v>
      </c>
      <c r="H61" s="105" t="s">
        <v>221</v>
      </c>
      <c r="I61" s="105" t="s">
        <v>221</v>
      </c>
      <c r="J61" s="105"/>
      <c r="K61" s="105" t="s">
        <v>507</v>
      </c>
      <c r="L61" s="105"/>
      <c r="M61" s="105" t="s">
        <v>396</v>
      </c>
      <c r="N61" s="105"/>
      <c r="O61" s="105" t="s">
        <v>216</v>
      </c>
      <c r="P61" s="105"/>
      <c r="Q61" s="105" t="s">
        <v>678</v>
      </c>
      <c r="R61" s="105"/>
      <c r="S61" s="105" t="s">
        <v>1098</v>
      </c>
      <c r="T61" s="105" t="s">
        <v>321</v>
      </c>
      <c r="U61" s="105"/>
      <c r="V61" s="105" t="s">
        <v>1098</v>
      </c>
      <c r="W61" s="105"/>
      <c r="X61" s="105" t="s">
        <v>1099</v>
      </c>
      <c r="Y61" s="105"/>
      <c r="Z61" s="105" t="s">
        <v>507</v>
      </c>
      <c r="AA61" s="105" t="s">
        <v>1098</v>
      </c>
      <c r="AB61" s="105" t="s">
        <v>396</v>
      </c>
      <c r="AC61" s="105" t="s">
        <v>393</v>
      </c>
      <c r="AD61" s="105" t="s">
        <v>1100</v>
      </c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 t="s">
        <v>393</v>
      </c>
      <c r="AZ61" s="105" t="s">
        <v>1101</v>
      </c>
      <c r="BA61" s="105" t="s">
        <v>1102</v>
      </c>
      <c r="BB61" s="105"/>
      <c r="BC61" s="105" t="s">
        <v>511</v>
      </c>
      <c r="BD61" s="105" t="s">
        <v>1103</v>
      </c>
      <c r="BE61" s="105"/>
      <c r="BF61" s="105" t="s">
        <v>1104</v>
      </c>
      <c r="BG61" s="105"/>
      <c r="BH61" s="172">
        <v>45585</v>
      </c>
      <c r="BI61" s="105" t="s">
        <v>645</v>
      </c>
      <c r="BJ61" s="105" t="s">
        <v>393</v>
      </c>
      <c r="BK61" s="105"/>
      <c r="BL61" s="105"/>
      <c r="BM61" s="105" t="s">
        <v>406</v>
      </c>
      <c r="BN61" s="105">
        <v>1</v>
      </c>
      <c r="BO61" s="105">
        <v>1</v>
      </c>
      <c r="BP61" s="105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5">
        <v>16</v>
      </c>
      <c r="CC61" s="105" t="s">
        <v>1105</v>
      </c>
      <c r="CD61" s="105" t="s">
        <v>1106</v>
      </c>
      <c r="CE61" s="105" t="s">
        <v>1107</v>
      </c>
      <c r="CF61" s="105"/>
      <c r="CG61" s="106" t="s">
        <v>1108</v>
      </c>
      <c r="CH61" s="106" t="s">
        <v>393</v>
      </c>
      <c r="CI61" s="106"/>
      <c r="CJ61" s="105" t="s">
        <v>116</v>
      </c>
      <c r="CK61" s="105" t="s">
        <v>525</v>
      </c>
      <c r="CL61" s="105" t="s">
        <v>517</v>
      </c>
      <c r="CM61" s="101"/>
      <c r="CN61" s="101"/>
      <c r="CO61" s="102"/>
      <c r="CP61" s="103">
        <f t="shared" si="0"/>
        <v>60000138</v>
      </c>
    </row>
    <row r="62" spans="1:94" x14ac:dyDescent="0.25">
      <c r="A62" s="104" t="s">
        <v>1249</v>
      </c>
      <c r="B62" s="105"/>
      <c r="C62" s="105" t="s">
        <v>320</v>
      </c>
      <c r="D62" s="105"/>
      <c r="E62" s="105" t="s">
        <v>799</v>
      </c>
      <c r="F62" s="105"/>
      <c r="G62" s="105" t="s">
        <v>1109</v>
      </c>
      <c r="H62" s="105" t="s">
        <v>221</v>
      </c>
      <c r="I62" s="105" t="s">
        <v>221</v>
      </c>
      <c r="J62" s="105"/>
      <c r="K62" s="105" t="s">
        <v>507</v>
      </c>
      <c r="L62" s="105"/>
      <c r="M62" s="105" t="s">
        <v>396</v>
      </c>
      <c r="N62" s="105"/>
      <c r="O62" s="105" t="s">
        <v>216</v>
      </c>
      <c r="P62" s="105"/>
      <c r="Q62" s="105" t="s">
        <v>678</v>
      </c>
      <c r="R62" s="105"/>
      <c r="S62" s="105" t="s">
        <v>1110</v>
      </c>
      <c r="T62" s="105" t="s">
        <v>321</v>
      </c>
      <c r="U62" s="105"/>
      <c r="V62" s="105" t="s">
        <v>1110</v>
      </c>
      <c r="W62" s="105"/>
      <c r="X62" s="105" t="s">
        <v>1111</v>
      </c>
      <c r="Y62" s="105"/>
      <c r="Z62" s="105" t="s">
        <v>507</v>
      </c>
      <c r="AA62" s="105" t="s">
        <v>1110</v>
      </c>
      <c r="AB62" s="105" t="s">
        <v>1112</v>
      </c>
      <c r="AC62" s="105" t="s">
        <v>393</v>
      </c>
      <c r="AD62" s="105" t="s">
        <v>1113</v>
      </c>
      <c r="AE62" s="105"/>
      <c r="AF62" s="105" t="s">
        <v>1113</v>
      </c>
      <c r="AG62" s="105"/>
      <c r="AH62" s="105" t="s">
        <v>507</v>
      </c>
      <c r="AI62" s="105"/>
      <c r="AJ62" s="105" t="s">
        <v>854</v>
      </c>
      <c r="AK62" s="105"/>
      <c r="AL62" s="105"/>
      <c r="AM62" s="105" t="s">
        <v>507</v>
      </c>
      <c r="AN62" s="105"/>
      <c r="AO62" s="105" t="s">
        <v>1114</v>
      </c>
      <c r="AP62" s="105" t="s">
        <v>1048</v>
      </c>
      <c r="AQ62" s="105"/>
      <c r="AR62" s="105"/>
      <c r="AS62" s="105"/>
      <c r="AT62" s="105"/>
      <c r="AU62" s="105"/>
      <c r="AV62" s="105"/>
      <c r="AW62" s="105"/>
      <c r="AX62" s="105"/>
      <c r="AY62" s="105"/>
      <c r="AZ62" s="105" t="s">
        <v>1115</v>
      </c>
      <c r="BA62" s="105" t="s">
        <v>1116</v>
      </c>
      <c r="BB62" s="105"/>
      <c r="BC62" s="105" t="s">
        <v>511</v>
      </c>
      <c r="BD62" s="105" t="s">
        <v>1117</v>
      </c>
      <c r="BE62" s="105"/>
      <c r="BF62" s="105" t="s">
        <v>1118</v>
      </c>
      <c r="BG62" s="105"/>
      <c r="BH62" s="172">
        <v>45139</v>
      </c>
      <c r="BI62" s="105" t="s">
        <v>645</v>
      </c>
      <c r="BJ62" s="105" t="s">
        <v>743</v>
      </c>
      <c r="BK62" s="105" t="s">
        <v>1028</v>
      </c>
      <c r="BL62" s="105"/>
      <c r="BM62" s="105" t="s">
        <v>406</v>
      </c>
      <c r="BN62" s="105">
        <v>160</v>
      </c>
      <c r="BO62" s="105">
        <v>1</v>
      </c>
      <c r="BP62" s="105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5"/>
      <c r="CC62" s="105"/>
      <c r="CD62" s="105"/>
      <c r="CE62" s="105" t="s">
        <v>1119</v>
      </c>
      <c r="CF62" s="105"/>
      <c r="CG62" s="106" t="s">
        <v>1120</v>
      </c>
      <c r="CH62" s="106" t="s">
        <v>393</v>
      </c>
      <c r="CI62" s="106"/>
      <c r="CJ62" s="105" t="s">
        <v>116</v>
      </c>
      <c r="CK62" s="105" t="s">
        <v>516</v>
      </c>
      <c r="CL62" s="105" t="s">
        <v>517</v>
      </c>
      <c r="CM62" s="101"/>
      <c r="CN62" s="101"/>
      <c r="CO62" s="102"/>
      <c r="CP62" s="103">
        <f t="shared" si="0"/>
        <v>50001188</v>
      </c>
    </row>
    <row r="63" spans="1:94" x14ac:dyDescent="0.25">
      <c r="A63" s="104" t="s">
        <v>1250</v>
      </c>
      <c r="B63" s="105"/>
      <c r="C63" s="105" t="s">
        <v>320</v>
      </c>
      <c r="D63" s="105"/>
      <c r="E63" s="105" t="s">
        <v>548</v>
      </c>
      <c r="F63" s="105"/>
      <c r="G63" s="105" t="s">
        <v>1121</v>
      </c>
      <c r="H63" s="105" t="s">
        <v>221</v>
      </c>
      <c r="I63" s="105" t="s">
        <v>221</v>
      </c>
      <c r="J63" s="105"/>
      <c r="K63" s="105" t="s">
        <v>507</v>
      </c>
      <c r="L63" s="105"/>
      <c r="M63" s="105" t="s">
        <v>396</v>
      </c>
      <c r="N63" s="105"/>
      <c r="O63" s="105" t="s">
        <v>216</v>
      </c>
      <c r="P63" s="105"/>
      <c r="Q63" s="105" t="s">
        <v>678</v>
      </c>
      <c r="R63" s="105"/>
      <c r="S63" s="105" t="s">
        <v>1122</v>
      </c>
      <c r="T63" s="105" t="s">
        <v>321</v>
      </c>
      <c r="U63" s="105"/>
      <c r="V63" s="105" t="s">
        <v>1123</v>
      </c>
      <c r="W63" s="105"/>
      <c r="X63" s="105" t="s">
        <v>1124</v>
      </c>
      <c r="Y63" s="105"/>
      <c r="Z63" s="105" t="s">
        <v>507</v>
      </c>
      <c r="AA63" s="105" t="s">
        <v>1125</v>
      </c>
      <c r="AB63" s="105" t="s">
        <v>1126</v>
      </c>
      <c r="AC63" s="105" t="s">
        <v>393</v>
      </c>
      <c r="AD63" s="105" t="s">
        <v>1123</v>
      </c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 t="s">
        <v>393</v>
      </c>
      <c r="AZ63" s="105"/>
      <c r="BA63" s="105"/>
      <c r="BB63" s="105"/>
      <c r="BC63" s="105" t="s">
        <v>401</v>
      </c>
      <c r="BD63" s="105" t="s">
        <v>1127</v>
      </c>
      <c r="BE63" s="105"/>
      <c r="BF63" s="105" t="s">
        <v>1128</v>
      </c>
      <c r="BG63" s="105"/>
      <c r="BH63" s="172">
        <v>45163</v>
      </c>
      <c r="BI63" s="105" t="s">
        <v>1129</v>
      </c>
      <c r="BJ63" s="105" t="s">
        <v>393</v>
      </c>
      <c r="BK63" s="105"/>
      <c r="BL63" s="105"/>
      <c r="BM63" s="105" t="s">
        <v>406</v>
      </c>
      <c r="BN63" s="105">
        <v>120</v>
      </c>
      <c r="BO63" s="105">
        <v>100</v>
      </c>
      <c r="BP63" s="105"/>
      <c r="BQ63" s="106" t="s">
        <v>1130</v>
      </c>
      <c r="BR63" s="106"/>
      <c r="BS63" s="106" t="s">
        <v>1131</v>
      </c>
      <c r="BT63" s="106"/>
      <c r="BU63" s="106" t="s">
        <v>1132</v>
      </c>
      <c r="BV63" s="106"/>
      <c r="BW63" s="106" t="s">
        <v>1133</v>
      </c>
      <c r="BX63" s="106"/>
      <c r="BY63" s="106"/>
      <c r="BZ63" s="106"/>
      <c r="CA63" s="106"/>
      <c r="CB63" s="105" t="s">
        <v>897</v>
      </c>
      <c r="CC63" s="105"/>
      <c r="CD63" s="105" t="s">
        <v>633</v>
      </c>
      <c r="CE63" s="105" t="s">
        <v>1134</v>
      </c>
      <c r="CF63" s="105"/>
      <c r="CG63" s="106" t="s">
        <v>393</v>
      </c>
      <c r="CH63" s="106"/>
      <c r="CI63" s="106" t="s">
        <v>1135</v>
      </c>
      <c r="CJ63" s="105" t="s">
        <v>116</v>
      </c>
      <c r="CK63" s="105" t="s">
        <v>525</v>
      </c>
      <c r="CL63" s="105"/>
      <c r="CM63" s="101"/>
      <c r="CN63" s="101"/>
      <c r="CO63" s="102"/>
      <c r="CP63" s="103">
        <f t="shared" si="0"/>
        <v>2009220105</v>
      </c>
    </row>
    <row r="64" spans="1:94" x14ac:dyDescent="0.25">
      <c r="A64" s="104" t="s">
        <v>1251</v>
      </c>
      <c r="B64" s="105"/>
      <c r="C64" s="105" t="s">
        <v>320</v>
      </c>
      <c r="D64" s="105"/>
      <c r="E64" s="105" t="s">
        <v>937</v>
      </c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 t="s">
        <v>1136</v>
      </c>
      <c r="AG64" s="105"/>
      <c r="AH64" s="105"/>
      <c r="AI64" s="105"/>
      <c r="AJ64" s="105"/>
      <c r="AK64" s="105"/>
      <c r="AL64" s="105"/>
      <c r="AM64" s="105" t="s">
        <v>398</v>
      </c>
      <c r="AN64" s="105"/>
      <c r="AO64" s="105" t="s">
        <v>1137</v>
      </c>
      <c r="AP64" s="105" t="s">
        <v>321</v>
      </c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 t="s">
        <v>511</v>
      </c>
      <c r="BD64" s="105" t="s">
        <v>1138</v>
      </c>
      <c r="BE64" s="105"/>
      <c r="BF64" s="105" t="s">
        <v>1139</v>
      </c>
      <c r="BG64" s="105"/>
      <c r="BH64" s="172">
        <v>43739</v>
      </c>
      <c r="BI64" s="105"/>
      <c r="BJ64" s="105" t="s">
        <v>610</v>
      </c>
      <c r="BK64" s="105"/>
      <c r="BL64" s="105"/>
      <c r="BM64" s="105" t="s">
        <v>406</v>
      </c>
      <c r="BN64" s="105">
        <v>80</v>
      </c>
      <c r="BO64" s="105">
        <v>1</v>
      </c>
      <c r="BP64" s="105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5" t="s">
        <v>676</v>
      </c>
      <c r="CC64" s="105"/>
      <c r="CD64" s="105"/>
      <c r="CE64" s="105" t="s">
        <v>393</v>
      </c>
      <c r="CF64" s="105"/>
      <c r="CG64" s="106" t="s">
        <v>1140</v>
      </c>
      <c r="CH64" s="106" t="s">
        <v>393</v>
      </c>
      <c r="CI64" s="106"/>
      <c r="CJ64" s="105" t="s">
        <v>116</v>
      </c>
      <c r="CK64" s="105" t="s">
        <v>516</v>
      </c>
      <c r="CL64" s="105" t="s">
        <v>517</v>
      </c>
      <c r="CM64" s="101"/>
      <c r="CN64" s="101"/>
      <c r="CO64" s="102"/>
      <c r="CP64" s="103">
        <f t="shared" si="0"/>
        <v>102074127</v>
      </c>
    </row>
    <row r="65" spans="1:94" x14ac:dyDescent="0.25">
      <c r="A65" s="104" t="s">
        <v>1252</v>
      </c>
      <c r="B65" s="105"/>
      <c r="C65" s="105" t="s">
        <v>320</v>
      </c>
      <c r="D65" s="105"/>
      <c r="E65" s="105" t="s">
        <v>676</v>
      </c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 t="s">
        <v>1141</v>
      </c>
      <c r="AG65" s="105"/>
      <c r="AH65" s="105"/>
      <c r="AI65" s="105"/>
      <c r="AJ65" s="105"/>
      <c r="AK65" s="105"/>
      <c r="AL65" s="105"/>
      <c r="AM65" s="105" t="s">
        <v>678</v>
      </c>
      <c r="AN65" s="105"/>
      <c r="AO65" s="105" t="s">
        <v>1142</v>
      </c>
      <c r="AP65" s="105" t="s">
        <v>321</v>
      </c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 t="s">
        <v>511</v>
      </c>
      <c r="BD65" s="105" t="s">
        <v>1143</v>
      </c>
      <c r="BE65" s="105"/>
      <c r="BF65" s="105" t="s">
        <v>1144</v>
      </c>
      <c r="BG65" s="105"/>
      <c r="BH65" s="172">
        <v>44191</v>
      </c>
      <c r="BI65" s="105"/>
      <c r="BJ65" s="105" t="s">
        <v>743</v>
      </c>
      <c r="BK65" s="105"/>
      <c r="BL65" s="105"/>
      <c r="BM65" s="105" t="s">
        <v>406</v>
      </c>
      <c r="BN65" s="105">
        <v>40</v>
      </c>
      <c r="BO65" s="105">
        <v>1</v>
      </c>
      <c r="BP65" s="105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5" t="s">
        <v>1145</v>
      </c>
      <c r="CC65" s="105"/>
      <c r="CD65" s="105"/>
      <c r="CE65" s="105" t="s">
        <v>1146</v>
      </c>
      <c r="CF65" s="105"/>
      <c r="CG65" s="106" t="s">
        <v>1147</v>
      </c>
      <c r="CH65" s="106" t="s">
        <v>393</v>
      </c>
      <c r="CI65" s="106"/>
      <c r="CJ65" s="105" t="s">
        <v>116</v>
      </c>
      <c r="CK65" s="105" t="s">
        <v>525</v>
      </c>
      <c r="CL65" s="105" t="s">
        <v>517</v>
      </c>
      <c r="CM65" s="101"/>
      <c r="CN65" s="101"/>
      <c r="CO65" s="102"/>
      <c r="CP65" s="103">
        <f t="shared" si="0"/>
        <v>818201051</v>
      </c>
    </row>
    <row r="66" spans="1:94" x14ac:dyDescent="0.25">
      <c r="A66" s="104" t="s">
        <v>1253</v>
      </c>
      <c r="B66" s="105"/>
      <c r="C66" s="105" t="s">
        <v>320</v>
      </c>
      <c r="D66" s="105"/>
      <c r="E66" s="105" t="s">
        <v>548</v>
      </c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 t="s">
        <v>1148</v>
      </c>
      <c r="AG66" s="105"/>
      <c r="AH66" s="105"/>
      <c r="AI66" s="105"/>
      <c r="AJ66" s="105"/>
      <c r="AK66" s="105"/>
      <c r="AL66" s="105"/>
      <c r="AM66" s="105" t="s">
        <v>507</v>
      </c>
      <c r="AN66" s="105"/>
      <c r="AO66" s="105" t="s">
        <v>854</v>
      </c>
      <c r="AP66" s="105" t="s">
        <v>321</v>
      </c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 t="s">
        <v>511</v>
      </c>
      <c r="BD66" s="105" t="s">
        <v>1149</v>
      </c>
      <c r="BE66" s="105"/>
      <c r="BF66" s="105" t="s">
        <v>1150</v>
      </c>
      <c r="BG66" s="105"/>
      <c r="BH66" s="172">
        <v>44076</v>
      </c>
      <c r="BI66" s="105"/>
      <c r="BJ66" s="105" t="s">
        <v>405</v>
      </c>
      <c r="BK66" s="105"/>
      <c r="BL66" s="105"/>
      <c r="BM66" s="105" t="s">
        <v>406</v>
      </c>
      <c r="BN66" s="105">
        <v>1</v>
      </c>
      <c r="BO66" s="105">
        <v>200</v>
      </c>
      <c r="BP66" s="105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5" t="s">
        <v>604</v>
      </c>
      <c r="CC66" s="105"/>
      <c r="CD66" s="105" t="s">
        <v>612</v>
      </c>
      <c r="CE66" s="105" t="s">
        <v>1151</v>
      </c>
      <c r="CF66" s="105"/>
      <c r="CG66" s="106" t="s">
        <v>393</v>
      </c>
      <c r="CH66" s="106" t="s">
        <v>393</v>
      </c>
      <c r="CI66" s="106"/>
      <c r="CJ66" s="105" t="s">
        <v>116</v>
      </c>
      <c r="CK66" s="105" t="s">
        <v>525</v>
      </c>
      <c r="CL66" s="105" t="s">
        <v>517</v>
      </c>
      <c r="CM66" s="101"/>
      <c r="CN66" s="101"/>
      <c r="CO66" s="102"/>
      <c r="CP66" s="103">
        <f t="shared" si="0"/>
        <v>806191204</v>
      </c>
    </row>
    <row r="67" spans="1:94" x14ac:dyDescent="0.25">
      <c r="A67" s="104" t="s">
        <v>1254</v>
      </c>
      <c r="B67" s="105"/>
      <c r="C67" s="105" t="s">
        <v>320</v>
      </c>
      <c r="D67" s="105"/>
      <c r="E67" s="105" t="s">
        <v>405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 t="s">
        <v>1152</v>
      </c>
      <c r="AG67" s="105"/>
      <c r="AH67" s="105"/>
      <c r="AI67" s="105"/>
      <c r="AJ67" s="105"/>
      <c r="AK67" s="105"/>
      <c r="AL67" s="105"/>
      <c r="AM67" s="105" t="s">
        <v>398</v>
      </c>
      <c r="AN67" s="105"/>
      <c r="AO67" s="105" t="s">
        <v>822</v>
      </c>
      <c r="AP67" s="105" t="s">
        <v>321</v>
      </c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 t="s">
        <v>401</v>
      </c>
      <c r="BD67" s="105" t="s">
        <v>1153</v>
      </c>
      <c r="BE67" s="105"/>
      <c r="BF67" s="105" t="s">
        <v>1154</v>
      </c>
      <c r="BG67" s="105"/>
      <c r="BH67" s="172">
        <v>44426</v>
      </c>
      <c r="BI67" s="105" t="s">
        <v>1155</v>
      </c>
      <c r="BJ67" s="105" t="s">
        <v>405</v>
      </c>
      <c r="BK67" s="105" t="s">
        <v>1156</v>
      </c>
      <c r="BL67" s="105"/>
      <c r="BM67" s="105" t="s">
        <v>406</v>
      </c>
      <c r="BN67" s="105">
        <v>1</v>
      </c>
      <c r="BO67" s="105">
        <v>1</v>
      </c>
      <c r="BP67" s="105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5" t="s">
        <v>1157</v>
      </c>
      <c r="CC67" s="105"/>
      <c r="CD67" s="105" t="s">
        <v>1158</v>
      </c>
      <c r="CE67" s="105" t="s">
        <v>1159</v>
      </c>
      <c r="CF67" s="105"/>
      <c r="CG67" s="106" t="s">
        <v>393</v>
      </c>
      <c r="CH67" s="106" t="s">
        <v>393</v>
      </c>
      <c r="CI67" s="106"/>
      <c r="CJ67" s="105" t="s">
        <v>116</v>
      </c>
      <c r="CK67" s="105" t="s">
        <v>525</v>
      </c>
      <c r="CL67" s="105" t="s">
        <v>636</v>
      </c>
      <c r="CM67" s="101"/>
      <c r="CN67" s="101"/>
      <c r="CO67" s="102"/>
      <c r="CP67" s="103">
        <f t="shared" si="0"/>
        <v>11696162653322</v>
      </c>
    </row>
    <row r="68" spans="1:94" x14ac:dyDescent="0.25">
      <c r="A68" s="104" t="s">
        <v>1255</v>
      </c>
      <c r="B68" s="105"/>
      <c r="C68" s="105" t="s">
        <v>320</v>
      </c>
      <c r="D68" s="105"/>
      <c r="E68" s="105" t="s">
        <v>406</v>
      </c>
      <c r="F68" s="105"/>
      <c r="G68" s="105" t="s">
        <v>1160</v>
      </c>
      <c r="H68" s="105" t="s">
        <v>221</v>
      </c>
      <c r="I68" s="105" t="s">
        <v>221</v>
      </c>
      <c r="J68" s="105"/>
      <c r="K68" s="105" t="s">
        <v>507</v>
      </c>
      <c r="L68" s="105"/>
      <c r="M68" s="105" t="s">
        <v>396</v>
      </c>
      <c r="N68" s="105"/>
      <c r="O68" s="105" t="s">
        <v>216</v>
      </c>
      <c r="P68" s="105"/>
      <c r="Q68" s="105" t="s">
        <v>678</v>
      </c>
      <c r="R68" s="105"/>
      <c r="S68" s="105" t="s">
        <v>1161</v>
      </c>
      <c r="T68" s="105" t="s">
        <v>321</v>
      </c>
      <c r="U68" s="105"/>
      <c r="V68" s="105" t="s">
        <v>1161</v>
      </c>
      <c r="W68" s="105"/>
      <c r="X68" s="105" t="s">
        <v>1162</v>
      </c>
      <c r="Y68" s="105"/>
      <c r="Z68" s="105" t="s">
        <v>507</v>
      </c>
      <c r="AA68" s="105" t="s">
        <v>1161</v>
      </c>
      <c r="AB68" s="105" t="s">
        <v>1163</v>
      </c>
      <c r="AC68" s="105" t="s">
        <v>393</v>
      </c>
      <c r="AD68" s="105" t="s">
        <v>1164</v>
      </c>
      <c r="AE68" s="105"/>
      <c r="AF68" s="105" t="s">
        <v>1165</v>
      </c>
      <c r="AG68" s="105"/>
      <c r="AH68" s="105" t="s">
        <v>507</v>
      </c>
      <c r="AI68" s="105"/>
      <c r="AJ68" s="105" t="s">
        <v>854</v>
      </c>
      <c r="AK68" s="105"/>
      <c r="AL68" s="105"/>
      <c r="AM68" s="105" t="s">
        <v>678</v>
      </c>
      <c r="AN68" s="105"/>
      <c r="AO68" s="105" t="s">
        <v>1166</v>
      </c>
      <c r="AP68" s="105" t="s">
        <v>321</v>
      </c>
      <c r="AQ68" s="105"/>
      <c r="AR68" s="105"/>
      <c r="AS68" s="105"/>
      <c r="AT68" s="105"/>
      <c r="AU68" s="105"/>
      <c r="AV68" s="105"/>
      <c r="AW68" s="105"/>
      <c r="AX68" s="105"/>
      <c r="AY68" s="105"/>
      <c r="AZ68" s="105" t="s">
        <v>1167</v>
      </c>
      <c r="BA68" s="105" t="s">
        <v>1168</v>
      </c>
      <c r="BB68" s="105"/>
      <c r="BC68" s="105" t="s">
        <v>511</v>
      </c>
      <c r="BD68" s="105" t="s">
        <v>1169</v>
      </c>
      <c r="BE68" s="105"/>
      <c r="BF68" s="105" t="s">
        <v>1170</v>
      </c>
      <c r="BG68" s="105" t="s">
        <v>1171</v>
      </c>
      <c r="BH68" s="172">
        <v>45708</v>
      </c>
      <c r="BI68" s="105" t="s">
        <v>1171</v>
      </c>
      <c r="BJ68" s="105" t="s">
        <v>393</v>
      </c>
      <c r="BK68" s="105"/>
      <c r="BL68" s="105"/>
      <c r="BM68" s="105" t="s">
        <v>406</v>
      </c>
      <c r="BN68" s="105">
        <v>80</v>
      </c>
      <c r="BO68" s="105">
        <v>1</v>
      </c>
      <c r="BP68" s="105"/>
      <c r="BQ68" s="106" t="s">
        <v>1172</v>
      </c>
      <c r="BR68" s="106"/>
      <c r="BS68" s="106" t="s">
        <v>1173</v>
      </c>
      <c r="BT68" s="106"/>
      <c r="BU68" s="106" t="s">
        <v>1174</v>
      </c>
      <c r="BV68" s="106"/>
      <c r="BW68" s="106"/>
      <c r="BX68" s="106"/>
      <c r="BY68" s="106"/>
      <c r="BZ68" s="106"/>
      <c r="CA68" s="106"/>
      <c r="CB68" s="105">
        <v>108</v>
      </c>
      <c r="CC68" s="105" t="s">
        <v>322</v>
      </c>
      <c r="CD68" s="105" t="s">
        <v>1017</v>
      </c>
      <c r="CE68" s="105" t="s">
        <v>1175</v>
      </c>
      <c r="CF68" s="105"/>
      <c r="CG68" s="106" t="s">
        <v>1176</v>
      </c>
      <c r="CH68" s="106" t="s">
        <v>393</v>
      </c>
      <c r="CI68" s="106"/>
      <c r="CJ68" s="105" t="s">
        <v>116</v>
      </c>
      <c r="CK68" s="105" t="s">
        <v>525</v>
      </c>
      <c r="CL68" s="105"/>
      <c r="CM68" s="101"/>
      <c r="CN68" s="101"/>
      <c r="CO68" s="102"/>
      <c r="CP68" s="103">
        <f t="shared" si="0"/>
        <v>80002648</v>
      </c>
    </row>
    <row r="69" spans="1:94" x14ac:dyDescent="0.25">
      <c r="A69" s="104" t="s">
        <v>1256</v>
      </c>
      <c r="B69" s="105"/>
      <c r="C69" s="105" t="s">
        <v>320</v>
      </c>
      <c r="D69" s="105"/>
      <c r="E69" s="105" t="s">
        <v>406</v>
      </c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 t="s">
        <v>1177</v>
      </c>
      <c r="AG69" s="105"/>
      <c r="AH69" s="105"/>
      <c r="AI69" s="105"/>
      <c r="AJ69" s="105"/>
      <c r="AK69" s="105"/>
      <c r="AL69" s="105"/>
      <c r="AM69" s="105" t="s">
        <v>507</v>
      </c>
      <c r="AN69" s="105"/>
      <c r="AO69" s="105" t="s">
        <v>1178</v>
      </c>
      <c r="AP69" s="105" t="s">
        <v>321</v>
      </c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 t="s">
        <v>401</v>
      </c>
      <c r="BD69" s="105" t="s">
        <v>1179</v>
      </c>
      <c r="BE69" s="105"/>
      <c r="BF69" s="105" t="s">
        <v>1180</v>
      </c>
      <c r="BG69" s="105"/>
      <c r="BH69" s="172">
        <v>44112</v>
      </c>
      <c r="BI69" s="105" t="s">
        <v>1181</v>
      </c>
      <c r="BJ69" s="105" t="s">
        <v>610</v>
      </c>
      <c r="BK69" s="105" t="s">
        <v>1182</v>
      </c>
      <c r="BL69" s="105"/>
      <c r="BM69" s="105" t="s">
        <v>406</v>
      </c>
      <c r="BN69" s="105">
        <v>1</v>
      </c>
      <c r="BO69" s="105">
        <v>1</v>
      </c>
      <c r="BP69" s="105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5" t="s">
        <v>1183</v>
      </c>
      <c r="CC69" s="105"/>
      <c r="CD69" s="105" t="s">
        <v>1158</v>
      </c>
      <c r="CE69" s="105" t="s">
        <v>1184</v>
      </c>
      <c r="CF69" s="105"/>
      <c r="CG69" s="106" t="s">
        <v>393</v>
      </c>
      <c r="CH69" s="106"/>
      <c r="CI69" s="106" t="s">
        <v>1185</v>
      </c>
      <c r="CJ69" s="105" t="s">
        <v>116</v>
      </c>
      <c r="CK69" s="105" t="s">
        <v>525</v>
      </c>
      <c r="CL69" s="105"/>
      <c r="CM69" s="101"/>
      <c r="CN69" s="101"/>
      <c r="CO69" s="102"/>
      <c r="CP69" s="103">
        <f>BF69*1</f>
        <v>9113151226274</v>
      </c>
    </row>
    <row r="70" spans="1:94" x14ac:dyDescent="0.25">
      <c r="A70" s="104" t="s">
        <v>1257</v>
      </c>
      <c r="B70" s="105"/>
      <c r="C70" s="105" t="s">
        <v>320</v>
      </c>
      <c r="D70" s="105"/>
      <c r="E70" s="105" t="s">
        <v>320</v>
      </c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 t="s">
        <v>1186</v>
      </c>
      <c r="AG70" s="105"/>
      <c r="AH70" s="105"/>
      <c r="AI70" s="105"/>
      <c r="AJ70" s="105"/>
      <c r="AK70" s="105"/>
      <c r="AL70" s="105"/>
      <c r="AM70" s="105" t="s">
        <v>507</v>
      </c>
      <c r="AN70" s="105"/>
      <c r="AO70" s="105" t="s">
        <v>1187</v>
      </c>
      <c r="AP70" s="105" t="s">
        <v>321</v>
      </c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 t="s">
        <v>401</v>
      </c>
      <c r="BD70" s="105" t="s">
        <v>1188</v>
      </c>
      <c r="BE70" s="105"/>
      <c r="BF70" s="105" t="s">
        <v>1189</v>
      </c>
      <c r="BG70" s="105"/>
      <c r="BH70" s="172">
        <v>44690</v>
      </c>
      <c r="BI70" s="105"/>
      <c r="BJ70" s="105" t="s">
        <v>405</v>
      </c>
      <c r="BK70" s="105"/>
      <c r="BL70" s="105"/>
      <c r="BM70" s="105" t="s">
        <v>406</v>
      </c>
      <c r="BN70" s="105">
        <v>1</v>
      </c>
      <c r="BO70" s="105">
        <v>1</v>
      </c>
      <c r="BP70" s="105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5"/>
      <c r="CC70" s="105"/>
      <c r="CD70" s="105"/>
      <c r="CE70" s="105" t="s">
        <v>393</v>
      </c>
      <c r="CF70" s="105"/>
      <c r="CG70" s="106" t="s">
        <v>1190</v>
      </c>
      <c r="CH70" s="106" t="s">
        <v>393</v>
      </c>
      <c r="CI70" s="106"/>
      <c r="CJ70" s="105" t="s">
        <v>116</v>
      </c>
      <c r="CK70" s="105"/>
      <c r="CL70" s="105"/>
      <c r="CM70" s="101"/>
      <c r="CN70" s="101"/>
      <c r="CO70" s="102"/>
      <c r="CP70" s="103">
        <f>BF70*1</f>
        <v>12741173552096</v>
      </c>
    </row>
  </sheetData>
  <autoFilter ref="A3:CP70"/>
  <dataValidations count="5">
    <dataValidation type="list" allowBlank="1" showInputMessage="1" showErrorMessage="1" sqref="U1:U2 AL1:AL2 AQ1:AQ2 AP1:AP3 AK1:AK3 T1:T3 N1:N4 AP4:AQ4 AK4:AL4 T4:U4 T71:U1048576 N71:N1048576 AP71:AQ1048576 AK71:AL1048576">
      <formula1>#REF!</formula1>
    </dataValidation>
    <dataValidation type="list" allowBlank="1" showInputMessage="1" sqref="L1:L2 R1:R2 AI1:AI2 AN1:AN2 P1:P2 J1:J2 H1:I3 O1:O3 K1:K3 Q1:Q3 AH1:AH3 AM1:AM3 BM3:BM4 BD4:BE4 H4:L4 O4:R4 Z1:Z4 AH4:AI4 AM4:AN4 AM71:AN1048576 BM71:BM1048576 BD71:BE1048576 H71:L1048576 O71:R1048576 Z71:Z1048576 AH71:AI1048576">
      <formula1>#REF!</formula1>
    </dataValidation>
    <dataValidation showInputMessage="1" sqref="BD3"/>
    <dataValidation type="list" allowBlank="1" showInputMessage="1" sqref="BM5:BM70 AH5:AI70 Z5:Z70 AM5:AN70 O5:R70 H5:L70 BD5:BE70">
      <formula1>#REF!</formula1>
    </dataValidation>
    <dataValidation type="list" allowBlank="1" showInputMessage="1" showErrorMessage="1" sqref="N5:N70 T5:U70 AK5:AL70 AP5:AQ70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7"/>
  </sheetPr>
  <dimension ref="A1:N18"/>
  <sheetViews>
    <sheetView topLeftCell="D1" zoomScaleNormal="100" workbookViewId="0">
      <pane ySplit="2" topLeftCell="A3" activePane="bottomLeft" state="frozen"/>
      <selection activeCell="O9" sqref="O9"/>
      <selection pane="bottomLeft" activeCell="O20" sqref="O20"/>
    </sheetView>
  </sheetViews>
  <sheetFormatPr defaultRowHeight="15" x14ac:dyDescent="0.25"/>
  <cols>
    <col min="1" max="1" width="7.28515625" style="124" customWidth="1"/>
    <col min="2" max="2" width="25.85546875" style="128" customWidth="1"/>
    <col min="3" max="3" width="42.28515625" style="124" customWidth="1"/>
    <col min="4" max="4" width="7.42578125" style="124" customWidth="1"/>
    <col min="5" max="5" width="21.42578125" style="123" customWidth="1"/>
    <col min="6" max="6" width="12.140625" style="124" customWidth="1"/>
    <col min="7" max="7" width="14" style="124" customWidth="1"/>
    <col min="8" max="9" width="18" style="124" customWidth="1"/>
    <col min="10" max="10" width="12.7109375" style="124" customWidth="1"/>
    <col min="11" max="11" width="16.5703125" style="124" customWidth="1"/>
    <col min="12" max="12" width="11" style="124" customWidth="1"/>
    <col min="13" max="13" width="16.7109375" style="124" customWidth="1"/>
    <col min="14" max="14" width="15.5703125" style="164" customWidth="1"/>
    <col min="15" max="15" width="16.5703125" style="124" customWidth="1"/>
    <col min="16" max="17" width="9.140625" style="124"/>
    <col min="18" max="18" width="12.7109375" style="124" customWidth="1"/>
    <col min="19" max="19" width="12.5703125" style="124" customWidth="1"/>
    <col min="20" max="20" width="13" style="124" customWidth="1"/>
    <col min="21" max="21" width="12.85546875" style="124" customWidth="1"/>
    <col min="22" max="22" width="12.5703125" style="124" customWidth="1"/>
    <col min="23" max="16384" width="9.140625" style="124"/>
  </cols>
  <sheetData>
    <row r="1" spans="1:14" s="115" customFormat="1" ht="15" customHeight="1" x14ac:dyDescent="0.25">
      <c r="A1" s="108" t="s">
        <v>272</v>
      </c>
      <c r="B1" s="109" t="s">
        <v>323</v>
      </c>
      <c r="C1" s="110" t="s">
        <v>186</v>
      </c>
      <c r="D1" s="111"/>
      <c r="E1" s="112"/>
      <c r="F1" s="111"/>
      <c r="G1" s="111"/>
      <c r="H1" s="111"/>
      <c r="I1" s="113"/>
      <c r="J1" s="110" t="s">
        <v>324</v>
      </c>
      <c r="K1" s="111"/>
      <c r="L1" s="111"/>
      <c r="M1" s="114"/>
      <c r="N1" s="162"/>
    </row>
    <row r="2" spans="1:14" s="115" customFormat="1" ht="30" x14ac:dyDescent="0.25">
      <c r="A2" s="109"/>
      <c r="B2" s="116"/>
      <c r="C2" s="117" t="s">
        <v>325</v>
      </c>
      <c r="D2" s="118" t="s">
        <v>285</v>
      </c>
      <c r="E2" s="119" t="s">
        <v>300</v>
      </c>
      <c r="F2" s="117" t="s">
        <v>301</v>
      </c>
      <c r="G2" s="117" t="s">
        <v>134</v>
      </c>
      <c r="H2" s="117" t="s">
        <v>302</v>
      </c>
      <c r="I2" s="117" t="s">
        <v>306</v>
      </c>
      <c r="J2" s="117" t="s">
        <v>315</v>
      </c>
      <c r="K2" s="117" t="s">
        <v>316</v>
      </c>
      <c r="L2" s="117" t="s">
        <v>317</v>
      </c>
      <c r="M2" s="117" t="s">
        <v>318</v>
      </c>
      <c r="N2" s="162"/>
    </row>
    <row r="3" spans="1:14" x14ac:dyDescent="0.25">
      <c r="A3" s="120" t="s">
        <v>410</v>
      </c>
      <c r="B3" s="121"/>
      <c r="C3" s="122" t="s">
        <v>411</v>
      </c>
      <c r="D3" s="122"/>
      <c r="E3" s="122" t="s">
        <v>412</v>
      </c>
      <c r="F3" s="122"/>
      <c r="G3" s="122"/>
      <c r="H3" s="122"/>
      <c r="I3" s="122"/>
      <c r="J3" s="122"/>
      <c r="K3" s="122"/>
      <c r="L3" s="122"/>
      <c r="M3" s="122" t="s">
        <v>413</v>
      </c>
      <c r="N3" s="163" t="e">
        <f t="shared" ref="N3:N18" si="0">E3*1</f>
        <v>#VALUE!</v>
      </c>
    </row>
    <row r="4" spans="1:14" x14ac:dyDescent="0.25">
      <c r="A4" s="125" t="s">
        <v>414</v>
      </c>
      <c r="B4" s="126"/>
      <c r="C4" s="127" t="s">
        <v>415</v>
      </c>
      <c r="D4" s="127"/>
      <c r="E4" s="127" t="s">
        <v>416</v>
      </c>
      <c r="F4" s="127"/>
      <c r="G4" s="127"/>
      <c r="H4" s="127"/>
      <c r="I4" s="127"/>
      <c r="J4" s="127"/>
      <c r="K4" s="127"/>
      <c r="L4" s="127"/>
      <c r="M4" s="127" t="s">
        <v>393</v>
      </c>
      <c r="N4" s="163" t="e">
        <f t="shared" si="0"/>
        <v>#VALUE!</v>
      </c>
    </row>
    <row r="5" spans="1:14" x14ac:dyDescent="0.25">
      <c r="A5" s="125" t="s">
        <v>417</v>
      </c>
      <c r="B5" s="126"/>
      <c r="C5" s="127" t="s">
        <v>418</v>
      </c>
      <c r="D5" s="127"/>
      <c r="E5" s="127" t="s">
        <v>419</v>
      </c>
      <c r="F5" s="127"/>
      <c r="G5" s="127"/>
      <c r="H5" s="127"/>
      <c r="I5" s="127"/>
      <c r="J5" s="127"/>
      <c r="K5" s="127"/>
      <c r="L5" s="127"/>
      <c r="M5" s="127" t="s">
        <v>420</v>
      </c>
      <c r="N5" s="163">
        <f t="shared" si="0"/>
        <v>24898</v>
      </c>
    </row>
    <row r="6" spans="1:14" x14ac:dyDescent="0.25">
      <c r="A6" s="125" t="s">
        <v>426</v>
      </c>
      <c r="B6" s="126" t="s">
        <v>427</v>
      </c>
      <c r="C6" s="127" t="s">
        <v>428</v>
      </c>
      <c r="D6" s="127"/>
      <c r="E6" s="127" t="s">
        <v>429</v>
      </c>
      <c r="F6" s="127" t="s">
        <v>430</v>
      </c>
      <c r="G6" s="127" t="s">
        <v>431</v>
      </c>
      <c r="H6" s="127" t="s">
        <v>430</v>
      </c>
      <c r="I6" s="127" t="s">
        <v>406</v>
      </c>
      <c r="J6" s="127"/>
      <c r="K6" s="127"/>
      <c r="L6" s="127" t="s">
        <v>432</v>
      </c>
      <c r="M6" s="127" t="s">
        <v>433</v>
      </c>
      <c r="N6" s="163" t="e">
        <f t="shared" si="0"/>
        <v>#VALUE!</v>
      </c>
    </row>
    <row r="7" spans="1:14" x14ac:dyDescent="0.25">
      <c r="A7" s="125" t="s">
        <v>434</v>
      </c>
      <c r="B7" s="126" t="s">
        <v>435</v>
      </c>
      <c r="C7" s="127" t="s">
        <v>436</v>
      </c>
      <c r="D7" s="127"/>
      <c r="E7" s="127" t="s">
        <v>437</v>
      </c>
      <c r="F7" s="127"/>
      <c r="G7" s="127"/>
      <c r="H7" s="127"/>
      <c r="I7" s="127" t="s">
        <v>406</v>
      </c>
      <c r="J7" s="127"/>
      <c r="K7" s="127"/>
      <c r="L7" s="127" t="s">
        <v>432</v>
      </c>
      <c r="M7" s="127" t="s">
        <v>438</v>
      </c>
      <c r="N7" s="163" t="e">
        <f t="shared" si="0"/>
        <v>#VALUE!</v>
      </c>
    </row>
    <row r="8" spans="1:14" x14ac:dyDescent="0.25">
      <c r="A8" s="125" t="s">
        <v>439</v>
      </c>
      <c r="B8" s="126"/>
      <c r="C8" s="127" t="s">
        <v>440</v>
      </c>
      <c r="D8" s="127"/>
      <c r="E8" s="127" t="s">
        <v>441</v>
      </c>
      <c r="F8" s="127" t="s">
        <v>442</v>
      </c>
      <c r="G8" s="127" t="s">
        <v>442</v>
      </c>
      <c r="H8" s="127" t="s">
        <v>442</v>
      </c>
      <c r="I8" s="127" t="s">
        <v>406</v>
      </c>
      <c r="J8" s="127" t="s">
        <v>396</v>
      </c>
      <c r="K8" s="127" t="s">
        <v>443</v>
      </c>
      <c r="L8" s="127" t="s">
        <v>443</v>
      </c>
      <c r="M8" s="127" t="s">
        <v>444</v>
      </c>
      <c r="N8" s="163">
        <f t="shared" si="0"/>
        <v>1915948</v>
      </c>
    </row>
    <row r="9" spans="1:14" x14ac:dyDescent="0.25">
      <c r="A9" s="125" t="s">
        <v>445</v>
      </c>
      <c r="B9" s="126" t="s">
        <v>446</v>
      </c>
      <c r="C9" s="127" t="s">
        <v>447</v>
      </c>
      <c r="D9" s="127"/>
      <c r="E9" s="127" t="s">
        <v>448</v>
      </c>
      <c r="F9" s="127"/>
      <c r="G9" s="127" t="s">
        <v>449</v>
      </c>
      <c r="H9" s="127"/>
      <c r="I9" s="127" t="s">
        <v>406</v>
      </c>
      <c r="J9" s="127"/>
      <c r="K9" s="127" t="s">
        <v>450</v>
      </c>
      <c r="L9" s="127"/>
      <c r="M9" s="127" t="s">
        <v>451</v>
      </c>
      <c r="N9" s="163">
        <f t="shared" si="0"/>
        <v>12060</v>
      </c>
    </row>
    <row r="10" spans="1:14" x14ac:dyDescent="0.25">
      <c r="A10" s="125" t="s">
        <v>452</v>
      </c>
      <c r="B10" s="126" t="s">
        <v>453</v>
      </c>
      <c r="C10" s="127" t="s">
        <v>454</v>
      </c>
      <c r="D10" s="127"/>
      <c r="E10" s="127" t="s">
        <v>455</v>
      </c>
      <c r="F10" s="127"/>
      <c r="G10" s="127"/>
      <c r="H10" s="127"/>
      <c r="I10" s="127" t="s">
        <v>406</v>
      </c>
      <c r="J10" s="127"/>
      <c r="K10" s="127"/>
      <c r="L10" s="127" t="s">
        <v>456</v>
      </c>
      <c r="M10" s="127" t="s">
        <v>457</v>
      </c>
      <c r="N10" s="163">
        <f t="shared" si="0"/>
        <v>26327</v>
      </c>
    </row>
    <row r="11" spans="1:14" x14ac:dyDescent="0.25">
      <c r="A11" s="125" t="s">
        <v>462</v>
      </c>
      <c r="B11" s="126" t="s">
        <v>463</v>
      </c>
      <c r="C11" s="127" t="s">
        <v>464</v>
      </c>
      <c r="D11" s="127"/>
      <c r="E11" s="127" t="s">
        <v>465</v>
      </c>
      <c r="F11" s="127"/>
      <c r="G11" s="127" t="s">
        <v>423</v>
      </c>
      <c r="H11" s="127"/>
      <c r="I11" s="127" t="s">
        <v>406</v>
      </c>
      <c r="J11" s="127"/>
      <c r="K11" s="127" t="s">
        <v>466</v>
      </c>
      <c r="L11" s="127" t="s">
        <v>466</v>
      </c>
      <c r="M11" s="127" t="s">
        <v>467</v>
      </c>
      <c r="N11" s="163">
        <f t="shared" si="0"/>
        <v>200000960506</v>
      </c>
    </row>
    <row r="12" spans="1:14" x14ac:dyDescent="0.25">
      <c r="A12" s="125" t="s">
        <v>468</v>
      </c>
      <c r="B12" s="126" t="s">
        <v>469</v>
      </c>
      <c r="C12" s="127" t="s">
        <v>470</v>
      </c>
      <c r="D12" s="127"/>
      <c r="E12" s="127" t="s">
        <v>471</v>
      </c>
      <c r="F12" s="127"/>
      <c r="G12" s="127" t="s">
        <v>472</v>
      </c>
      <c r="H12" s="127"/>
      <c r="I12" s="127" t="s">
        <v>406</v>
      </c>
      <c r="J12" s="127"/>
      <c r="K12" s="127"/>
      <c r="L12" s="127"/>
      <c r="M12" s="127" t="s">
        <v>473</v>
      </c>
      <c r="N12" s="163">
        <f t="shared" si="0"/>
        <v>200000388638</v>
      </c>
    </row>
    <row r="13" spans="1:14" x14ac:dyDescent="0.25">
      <c r="A13" s="125" t="s">
        <v>474</v>
      </c>
      <c r="B13" s="126" t="s">
        <v>475</v>
      </c>
      <c r="C13" s="127" t="s">
        <v>476</v>
      </c>
      <c r="D13" s="127"/>
      <c r="E13" s="127" t="s">
        <v>477</v>
      </c>
      <c r="F13" s="127"/>
      <c r="G13" s="127" t="s">
        <v>422</v>
      </c>
      <c r="H13" s="127"/>
      <c r="I13" s="127" t="s">
        <v>406</v>
      </c>
      <c r="J13" s="127"/>
      <c r="K13" s="127" t="s">
        <v>466</v>
      </c>
      <c r="L13" s="127" t="s">
        <v>466</v>
      </c>
      <c r="M13" s="127" t="s">
        <v>478</v>
      </c>
      <c r="N13" s="163">
        <f t="shared" si="0"/>
        <v>200000391621</v>
      </c>
    </row>
    <row r="14" spans="1:14" x14ac:dyDescent="0.25">
      <c r="A14" s="125" t="s">
        <v>479</v>
      </c>
      <c r="B14" s="126"/>
      <c r="C14" s="127" t="s">
        <v>326</v>
      </c>
      <c r="D14" s="127"/>
      <c r="E14" s="127" t="s">
        <v>480</v>
      </c>
      <c r="F14" s="127"/>
      <c r="G14" s="127" t="s">
        <v>421</v>
      </c>
      <c r="H14" s="127"/>
      <c r="I14" s="127" t="s">
        <v>406</v>
      </c>
      <c r="J14" s="127"/>
      <c r="K14" s="127"/>
      <c r="L14" s="127"/>
      <c r="M14" s="127" t="s">
        <v>481</v>
      </c>
      <c r="N14" s="163">
        <f t="shared" si="0"/>
        <v>352224459823647</v>
      </c>
    </row>
    <row r="15" spans="1:14" x14ac:dyDescent="0.25">
      <c r="A15" s="125" t="s">
        <v>482</v>
      </c>
      <c r="B15" s="126"/>
      <c r="C15" s="127" t="s">
        <v>483</v>
      </c>
      <c r="D15" s="127"/>
      <c r="E15" s="127" t="s">
        <v>484</v>
      </c>
      <c r="F15" s="127"/>
      <c r="G15" s="127" t="s">
        <v>425</v>
      </c>
      <c r="H15" s="127"/>
      <c r="I15" s="127" t="s">
        <v>406</v>
      </c>
      <c r="J15" s="127"/>
      <c r="K15" s="127"/>
      <c r="L15" s="127"/>
      <c r="M15" s="127" t="s">
        <v>485</v>
      </c>
      <c r="N15" s="163">
        <f t="shared" si="0"/>
        <v>200404001205</v>
      </c>
    </row>
    <row r="16" spans="1:14" x14ac:dyDescent="0.25">
      <c r="A16" s="125" t="s">
        <v>486</v>
      </c>
      <c r="B16" s="126" t="s">
        <v>460</v>
      </c>
      <c r="C16" s="127" t="s">
        <v>487</v>
      </c>
      <c r="D16" s="127"/>
      <c r="E16" s="127" t="s">
        <v>488</v>
      </c>
      <c r="F16" s="127" t="s">
        <v>458</v>
      </c>
      <c r="G16" s="127" t="s">
        <v>459</v>
      </c>
      <c r="H16" s="127"/>
      <c r="I16" s="127" t="s">
        <v>406</v>
      </c>
      <c r="J16" s="127"/>
      <c r="K16" s="127"/>
      <c r="L16" s="127"/>
      <c r="M16" s="127" t="s">
        <v>461</v>
      </c>
      <c r="N16" s="163">
        <f t="shared" si="0"/>
        <v>247225040500000</v>
      </c>
    </row>
    <row r="17" spans="1:14" x14ac:dyDescent="0.25">
      <c r="A17" s="125" t="s">
        <v>489</v>
      </c>
      <c r="B17" s="126" t="s">
        <v>490</v>
      </c>
      <c r="C17" s="127" t="s">
        <v>491</v>
      </c>
      <c r="D17" s="127"/>
      <c r="E17" s="127" t="s">
        <v>492</v>
      </c>
      <c r="F17" s="127"/>
      <c r="G17" s="127" t="s">
        <v>493</v>
      </c>
      <c r="H17" s="127"/>
      <c r="I17" s="127" t="s">
        <v>406</v>
      </c>
      <c r="J17" s="127"/>
      <c r="K17" s="127"/>
      <c r="L17" s="127" t="s">
        <v>424</v>
      </c>
      <c r="M17" s="127" t="s">
        <v>494</v>
      </c>
      <c r="N17" s="163">
        <f t="shared" si="0"/>
        <v>2400011928</v>
      </c>
    </row>
    <row r="18" spans="1:14" x14ac:dyDescent="0.25">
      <c r="A18" s="125" t="s">
        <v>495</v>
      </c>
      <c r="B18" s="126" t="s">
        <v>496</v>
      </c>
      <c r="C18" s="127" t="s">
        <v>497</v>
      </c>
      <c r="D18" s="127"/>
      <c r="E18" s="127" t="s">
        <v>498</v>
      </c>
      <c r="F18" s="127"/>
      <c r="G18" s="127" t="s">
        <v>499</v>
      </c>
      <c r="H18" s="127"/>
      <c r="I18" s="127" t="s">
        <v>406</v>
      </c>
      <c r="J18" s="127"/>
      <c r="K18" s="127"/>
      <c r="L18" s="127" t="s">
        <v>500</v>
      </c>
      <c r="M18" s="127" t="s">
        <v>501</v>
      </c>
      <c r="N18" s="163">
        <f t="shared" si="0"/>
        <v>112302002863</v>
      </c>
    </row>
  </sheetData>
  <autoFilter ref="A2:M18"/>
  <dataValidations count="2">
    <dataValidation type="list" allowBlank="1" showInputMessage="1" sqref="I19:I1048576 C19:D1048576 I1:I18 C3:D18">
      <formula1>#REF!</formula1>
    </dataValidation>
    <dataValidation showInputMessage="1" sqref="C1:H1 C2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8"/>
  </sheetPr>
  <dimension ref="A1:H2"/>
  <sheetViews>
    <sheetView workbookViewId="0">
      <pane ySplit="1" topLeftCell="A2" activePane="bottomLeft" state="frozen"/>
      <selection activeCell="O9" sqref="O9"/>
      <selection pane="bottomLeft" activeCell="I4" sqref="I4"/>
    </sheetView>
  </sheetViews>
  <sheetFormatPr defaultRowHeight="15" x14ac:dyDescent="0.25"/>
  <cols>
    <col min="1" max="1" width="3.28515625" style="131" bestFit="1" customWidth="1"/>
    <col min="2" max="2" width="21.42578125" style="132" bestFit="1" customWidth="1"/>
    <col min="3" max="3" width="27.7109375" style="132" bestFit="1" customWidth="1"/>
    <col min="4" max="4" width="24.85546875" style="132" bestFit="1" customWidth="1"/>
    <col min="5" max="5" width="13.85546875" style="132" bestFit="1" customWidth="1"/>
    <col min="6" max="6" width="8.85546875" style="131" bestFit="1" customWidth="1"/>
    <col min="7" max="7" width="26.140625" style="131" bestFit="1" customWidth="1"/>
    <col min="8" max="8" width="43" style="131" bestFit="1" customWidth="1"/>
    <col min="9" max="16384" width="9.140625" style="131"/>
  </cols>
  <sheetData>
    <row r="1" spans="1:8" ht="30.75" customHeight="1" x14ac:dyDescent="0.25">
      <c r="A1" s="131" t="s">
        <v>1261</v>
      </c>
      <c r="B1" s="129" t="s">
        <v>128</v>
      </c>
      <c r="C1" s="130" t="s">
        <v>327</v>
      </c>
      <c r="D1" s="130" t="s">
        <v>328</v>
      </c>
      <c r="E1" s="129" t="s">
        <v>329</v>
      </c>
      <c r="F1" s="130" t="s">
        <v>1262</v>
      </c>
      <c r="G1" s="129" t="s">
        <v>1263</v>
      </c>
      <c r="H1" s="129" t="s">
        <v>1264</v>
      </c>
    </row>
    <row r="2" spans="1:8" x14ac:dyDescent="0.25">
      <c r="A2" s="120" t="s">
        <v>396</v>
      </c>
      <c r="B2" s="122" t="s">
        <v>503</v>
      </c>
      <c r="C2" s="122" t="s">
        <v>504</v>
      </c>
      <c r="D2" s="122" t="s">
        <v>392</v>
      </c>
      <c r="E2" s="122" t="s">
        <v>505</v>
      </c>
      <c r="F2" s="122" t="s">
        <v>1258</v>
      </c>
      <c r="G2" s="122" t="s">
        <v>1259</v>
      </c>
      <c r="H2" s="122" t="s">
        <v>1260</v>
      </c>
    </row>
  </sheetData>
  <autoFilter ref="B1:E2"/>
  <conditionalFormatting sqref="B1">
    <cfRule type="duplicateValues" dxfId="3" priority="12"/>
  </conditionalFormatting>
  <conditionalFormatting sqref="B2">
    <cfRule type="duplicateValues" dxfId="2" priority="19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C000"/>
  </sheetPr>
  <dimension ref="A1:C3"/>
  <sheetViews>
    <sheetView workbookViewId="0">
      <pane ySplit="1" topLeftCell="A2" activePane="bottomLeft" state="frozen"/>
      <selection activeCell="O9" sqref="O9"/>
      <selection pane="bottomLeft" activeCell="D5" sqref="D5"/>
    </sheetView>
  </sheetViews>
  <sheetFormatPr defaultRowHeight="15" x14ac:dyDescent="0.25"/>
  <cols>
    <col min="1" max="1" width="22" style="131" bestFit="1" customWidth="1"/>
    <col min="2" max="2" width="16.5703125" style="131" customWidth="1"/>
    <col min="3" max="16384" width="9.140625" style="131"/>
  </cols>
  <sheetData>
    <row r="1" spans="1:3" ht="30" x14ac:dyDescent="0.25">
      <c r="A1" s="131" t="s">
        <v>300</v>
      </c>
      <c r="B1" s="131" t="s">
        <v>330</v>
      </c>
      <c r="C1" s="131" t="s">
        <v>331</v>
      </c>
    </row>
    <row r="2" spans="1:3" x14ac:dyDescent="0.25">
      <c r="A2" s="133" t="s">
        <v>332</v>
      </c>
      <c r="B2" s="134">
        <v>16</v>
      </c>
      <c r="C2" s="131">
        <f>A2*1</f>
        <v>18100109</v>
      </c>
    </row>
    <row r="3" spans="1:3" x14ac:dyDescent="0.25">
      <c r="A3" s="133" t="s">
        <v>333</v>
      </c>
      <c r="B3" s="134">
        <v>1</v>
      </c>
      <c r="C3" s="131">
        <f>A3*1</f>
        <v>18300064</v>
      </c>
    </row>
  </sheetData>
  <autoFilter ref="A1:B1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8"/>
  </sheetPr>
  <dimension ref="A1:A6"/>
  <sheetViews>
    <sheetView workbookViewId="0">
      <selection activeCell="B8" sqref="B8"/>
    </sheetView>
  </sheetViews>
  <sheetFormatPr defaultRowHeight="15" x14ac:dyDescent="0.25"/>
  <cols>
    <col min="1" max="1" width="16.140625" style="168" bestFit="1" customWidth="1"/>
  </cols>
  <sheetData>
    <row r="1" spans="1:1" x14ac:dyDescent="0.25">
      <c r="A1" s="169" t="s">
        <v>502</v>
      </c>
    </row>
    <row r="2" spans="1:1" x14ac:dyDescent="0.25">
      <c r="A2" s="169">
        <v>43768020</v>
      </c>
    </row>
    <row r="3" spans="1:1" x14ac:dyDescent="0.25">
      <c r="A3" s="169">
        <v>44392653</v>
      </c>
    </row>
    <row r="4" spans="1:1" x14ac:dyDescent="0.25">
      <c r="A4" s="169">
        <v>44629446</v>
      </c>
    </row>
    <row r="5" spans="1:1" x14ac:dyDescent="0.25">
      <c r="A5" s="169">
        <v>45862415</v>
      </c>
    </row>
    <row r="6" spans="1:1" x14ac:dyDescent="0.25">
      <c r="A6" s="169">
        <v>43382096</v>
      </c>
    </row>
  </sheetData>
  <autoFilter ref="A1:A5"/>
  <conditionalFormatting sqref="A2:A6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13</vt:i4>
      </vt:variant>
    </vt:vector>
  </HeadingPairs>
  <TitlesOfParts>
    <vt:vector size="20" baseType="lpstr">
      <vt:lpstr>Импорт ПС</vt:lpstr>
      <vt:lpstr>Справочники</vt:lpstr>
      <vt:lpstr>ТУ</vt:lpstr>
      <vt:lpstr>УСПД</vt:lpstr>
      <vt:lpstr>Tel</vt:lpstr>
      <vt:lpstr>Adr</vt:lpstr>
      <vt:lpstr>естьАЦ</vt:lpstr>
      <vt:lpstr>DLMS</vt:lpstr>
      <vt:lpstr>NAPR</vt:lpstr>
      <vt:lpstr>код</vt:lpstr>
      <vt:lpstr>кодDLMS</vt:lpstr>
      <vt:lpstr>КодПУ</vt:lpstr>
      <vt:lpstr>кодУСПД</vt:lpstr>
      <vt:lpstr>КТН1</vt:lpstr>
      <vt:lpstr>КТН2</vt:lpstr>
      <vt:lpstr>ПЭС</vt:lpstr>
      <vt:lpstr>РЭС</vt:lpstr>
      <vt:lpstr>ТипПУ</vt:lpstr>
      <vt:lpstr>ТипЭУ</vt:lpstr>
      <vt:lpstr>УСПД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Нерюпов Денис Хонгорович</cp:lastModifiedBy>
  <cp:lastPrinted>2023-04-25T10:42:34Z</cp:lastPrinted>
  <dcterms:created xsi:type="dcterms:W3CDTF">2022-07-03T10:44:01Z</dcterms:created>
  <dcterms:modified xsi:type="dcterms:W3CDTF">2025-06-17T11:07:48Z</dcterms:modified>
</cp:coreProperties>
</file>