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DANIEL\Documents\Personal\Convocatorias\Escollera\tesis\Repositorio Alianza Escollera\Análisis energético_ Baterias-Panel solar\"/>
    </mc:Choice>
  </mc:AlternateContent>
  <xr:revisionPtr revIDLastSave="0" documentId="13_ncr:1_{B519662E-A38A-4A9F-B490-CAD06FE2CADE}" xr6:coauthVersionLast="47" xr6:coauthVersionMax="47" xr10:uidLastSave="{00000000-0000-0000-0000-000000000000}"/>
  <bookViews>
    <workbookView xWindow="-120" yWindow="-120" windowWidth="20730" windowHeight="11160" tabRatio="667" activeTab="4" xr2:uid="{00000000-000D-0000-FFFF-FFFF00000000}"/>
  </bookViews>
  <sheets>
    <sheet name="Cálculos baterías" sheetId="1" r:id="rId1"/>
    <sheet name="Consumo diario por boya" sheetId="2" r:id="rId2"/>
    <sheet name="Luz Escollera solsticios" sheetId="4" r:id="rId3"/>
    <sheet name="Cálculos panel solar" sheetId="3" r:id="rId4"/>
    <sheet name="Hora Solar Pico" sheetId="5" r:id="rId5"/>
  </sheets>
  <externalReferences>
    <externalReference r:id="rId6"/>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5" i="5" l="1"/>
  <c r="C9" i="5" l="1"/>
  <c r="C7" i="5"/>
  <c r="M5" i="1"/>
  <c r="M6" i="1"/>
  <c r="M7" i="1"/>
  <c r="M8" i="1"/>
  <c r="M9" i="1"/>
  <c r="M10" i="1"/>
  <c r="M11" i="1"/>
  <c r="M12" i="1"/>
  <c r="M13" i="1"/>
  <c r="M14" i="1"/>
  <c r="M15" i="1"/>
  <c r="M16" i="1"/>
  <c r="M4" i="1"/>
  <c r="L5" i="1"/>
  <c r="L6" i="1"/>
  <c r="L7" i="1"/>
  <c r="L8" i="1"/>
  <c r="L9" i="1"/>
  <c r="L10" i="1"/>
  <c r="L11" i="1"/>
  <c r="L12" i="1"/>
  <c r="L13" i="1"/>
  <c r="L14" i="1"/>
  <c r="L15" i="1"/>
  <c r="L16" i="1"/>
  <c r="L4" i="1"/>
  <c r="C3" i="5"/>
  <c r="C1" i="5"/>
  <c r="C34" i="4"/>
  <c r="D34" i="4"/>
  <c r="E34" i="4"/>
  <c r="B34" i="4"/>
  <c r="E6" i="3"/>
  <c r="B5" i="3" s="1"/>
  <c r="C2" i="5" s="1"/>
  <c r="D5" i="5" s="1"/>
  <c r="E9" i="3"/>
  <c r="D9" i="5" l="1"/>
  <c r="D7" i="5"/>
  <c r="H8" i="4"/>
  <c r="H9" i="4"/>
  <c r="H10" i="4"/>
  <c r="H11" i="4"/>
  <c r="H12" i="4"/>
  <c r="H13" i="4"/>
  <c r="H14" i="4"/>
  <c r="H15" i="4"/>
  <c r="H16" i="4"/>
  <c r="H17" i="4"/>
  <c r="H18" i="4"/>
  <c r="H19" i="4"/>
  <c r="H20" i="4"/>
  <c r="H21" i="4"/>
  <c r="H22" i="4"/>
  <c r="H23" i="4"/>
  <c r="H24" i="4"/>
  <c r="H25" i="4"/>
  <c r="H26" i="4"/>
  <c r="H27" i="4"/>
  <c r="H28" i="4"/>
  <c r="H29" i="4"/>
  <c r="H30" i="4"/>
  <c r="H31" i="4"/>
  <c r="H32" i="4"/>
  <c r="H33" i="4"/>
  <c r="H7" i="4"/>
  <c r="F33" i="4"/>
  <c r="G33" i="4" s="1"/>
  <c r="F32" i="4"/>
  <c r="G32" i="4" s="1"/>
  <c r="F31" i="4"/>
  <c r="G31" i="4" s="1"/>
  <c r="F30" i="4"/>
  <c r="G30" i="4" s="1"/>
  <c r="F29" i="4"/>
  <c r="G29" i="4" s="1"/>
  <c r="F28" i="4"/>
  <c r="G28" i="4" s="1"/>
  <c r="F27" i="4"/>
  <c r="G27" i="4" s="1"/>
  <c r="F26" i="4"/>
  <c r="G26" i="4" s="1"/>
  <c r="F25" i="4"/>
  <c r="G25" i="4" s="1"/>
  <c r="F24" i="4"/>
  <c r="G24" i="4" s="1"/>
  <c r="F23" i="4"/>
  <c r="G23" i="4" s="1"/>
  <c r="F22" i="4"/>
  <c r="G22" i="4" s="1"/>
  <c r="F21" i="4"/>
  <c r="G21" i="4" s="1"/>
  <c r="F20" i="4"/>
  <c r="G20" i="4" s="1"/>
  <c r="F19" i="4"/>
  <c r="G19" i="4" s="1"/>
  <c r="F18" i="4"/>
  <c r="G18" i="4" s="1"/>
  <c r="F17" i="4"/>
  <c r="G17" i="4" s="1"/>
  <c r="F16" i="4"/>
  <c r="G16" i="4" s="1"/>
  <c r="F15" i="4"/>
  <c r="G15" i="4" s="1"/>
  <c r="F14" i="4"/>
  <c r="G14" i="4" s="1"/>
  <c r="F13" i="4"/>
  <c r="G13" i="4" s="1"/>
  <c r="F12" i="4"/>
  <c r="G12" i="4" s="1"/>
  <c r="F11" i="4"/>
  <c r="G11" i="4" s="1"/>
  <c r="F10" i="4"/>
  <c r="G10" i="4" s="1"/>
  <c r="F9" i="4"/>
  <c r="G9" i="4" s="1"/>
  <c r="F8" i="4"/>
  <c r="G8" i="4" s="1"/>
  <c r="F7" i="4"/>
  <c r="G7" i="4" s="1"/>
  <c r="E5" i="3"/>
  <c r="B6" i="3"/>
  <c r="B3" i="3"/>
  <c r="B2" i="3"/>
  <c r="F12" i="2"/>
  <c r="F11" i="2"/>
  <c r="F8" i="2"/>
  <c r="F3" i="2"/>
  <c r="F4" i="2"/>
  <c r="F5" i="2"/>
  <c r="F6" i="2"/>
  <c r="F7" i="2"/>
  <c r="F2" i="2"/>
  <c r="E8" i="2"/>
  <c r="E3" i="2"/>
  <c r="E4" i="2"/>
  <c r="E5" i="2"/>
  <c r="E6" i="2"/>
  <c r="E7" i="2"/>
  <c r="E2" i="2"/>
  <c r="H13" i="1"/>
  <c r="H10" i="1"/>
  <c r="H3" i="1"/>
  <c r="B3" i="1" s="1"/>
  <c r="C4" i="5" s="1"/>
  <c r="P3" i="5" s="1"/>
  <c r="P4" i="5" s="1"/>
  <c r="P5" i="5" s="1"/>
  <c r="P6" i="5" s="1"/>
  <c r="P7" i="5" s="1"/>
  <c r="P8" i="5" s="1"/>
  <c r="P9" i="5" s="1"/>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H7" i="1"/>
  <c r="H8" i="1"/>
  <c r="H9" i="1"/>
  <c r="H11" i="1"/>
  <c r="H12" i="1"/>
  <c r="H6" i="1"/>
  <c r="F12" i="1"/>
  <c r="F11" i="1"/>
  <c r="P33" i="5" l="1"/>
  <c r="P34" i="5" s="1"/>
  <c r="P35" i="5" s="1"/>
  <c r="P36" i="5" s="1"/>
  <c r="P37" i="5" s="1"/>
  <c r="P38" i="5" s="1"/>
  <c r="P39" i="5" s="1"/>
  <c r="P40" i="5" s="1"/>
  <c r="P41" i="5" s="1"/>
  <c r="P42" i="5" s="1"/>
  <c r="P43" i="5" s="1"/>
  <c r="P44" i="5" s="1"/>
  <c r="P45" i="5" s="1"/>
  <c r="P46" i="5" s="1"/>
  <c r="P47" i="5" s="1"/>
  <c r="P48" i="5" s="1"/>
  <c r="P49" i="5" s="1"/>
  <c r="P50" i="5" s="1"/>
  <c r="Q3" i="5" s="1"/>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K3" i="5"/>
  <c r="K4" i="5" s="1"/>
  <c r="K5" i="5" s="1"/>
  <c r="K6" i="5" s="1"/>
  <c r="K7" i="5" s="1"/>
  <c r="K8" i="5" s="1"/>
  <c r="K9" i="5" s="1"/>
  <c r="K10" i="5" s="1"/>
  <c r="K11" i="5" s="1"/>
  <c r="K12" i="5" s="1"/>
  <c r="K13" i="5" s="1"/>
  <c r="K14" i="5" s="1"/>
  <c r="K15" i="5" s="1"/>
  <c r="K16" i="5" s="1"/>
  <c r="K17" i="5" s="1"/>
  <c r="K18" i="5" s="1"/>
  <c r="K19" i="5" s="1"/>
  <c r="F3" i="5"/>
  <c r="F4" i="5" s="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G3" i="5" s="1"/>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H3" i="5" s="1"/>
  <c r="H34" i="4"/>
  <c r="J33" i="4" s="1"/>
  <c r="G34" i="4"/>
  <c r="J32" i="4" s="1"/>
  <c r="B4" i="1"/>
  <c r="B5" i="1"/>
  <c r="K20" i="5" l="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L3" i="5" s="1"/>
  <c r="L4" i="5" s="1"/>
  <c r="L5" i="5" s="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M3" i="5" s="1"/>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Q35" i="5"/>
  <c r="Q36" i="5" s="1"/>
  <c r="Q37" i="5" s="1"/>
  <c r="Q38" i="5" s="1"/>
  <c r="Q39" i="5" s="1"/>
  <c r="Q40" i="5" s="1"/>
  <c r="Q41" i="5" s="1"/>
  <c r="Q42" i="5" s="1"/>
  <c r="Q43" i="5" s="1"/>
  <c r="Q44" i="5" s="1"/>
  <c r="Q45" i="5" s="1"/>
  <c r="Q46" i="5" s="1"/>
  <c r="Q47" i="5" s="1"/>
  <c r="Q48" i="5" s="1"/>
  <c r="Q49" i="5" s="1"/>
  <c r="Q50" i="5" s="1"/>
  <c r="R3" i="5" s="1"/>
  <c r="R4" i="5" s="1"/>
  <c r="R5" i="5" s="1"/>
  <c r="R6" i="5" s="1"/>
  <c r="R7" i="5" s="1"/>
  <c r="R8" i="5" s="1"/>
  <c r="R9" i="5" s="1"/>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H4" i="5"/>
  <c r="R35" i="5" l="1"/>
  <c r="R36" i="5" s="1"/>
  <c r="R37" i="5" s="1"/>
  <c r="R38" i="5" s="1"/>
  <c r="R39" i="5" s="1"/>
  <c r="R40" i="5" s="1"/>
  <c r="R41" i="5" s="1"/>
  <c r="R42" i="5" s="1"/>
  <c r="R43" i="5" s="1"/>
  <c r="R44" i="5" s="1"/>
  <c r="R45" i="5" s="1"/>
  <c r="R46" i="5" s="1"/>
  <c r="R47" i="5" s="1"/>
  <c r="R48" i="5" s="1"/>
  <c r="R49" i="5" s="1"/>
  <c r="R50" i="5" s="1"/>
  <c r="M34" i="5"/>
  <c r="M35" i="5" s="1"/>
  <c r="M36" i="5" s="1"/>
  <c r="M37" i="5" s="1"/>
  <c r="M38" i="5" s="1"/>
  <c r="M39" i="5" s="1"/>
  <c r="M40" i="5" s="1"/>
  <c r="M41" i="5" s="1"/>
  <c r="M42" i="5" s="1"/>
  <c r="M43" i="5" s="1"/>
  <c r="M44" i="5" s="1"/>
  <c r="M45" i="5" s="1"/>
  <c r="M46" i="5" s="1"/>
  <c r="M47" i="5" s="1"/>
  <c r="M48" i="5" s="1"/>
  <c r="M49" i="5" s="1"/>
  <c r="M50" i="5" s="1"/>
  <c r="H5" i="5"/>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alcChain>
</file>

<file path=xl/sharedStrings.xml><?xml version="1.0" encoding="utf-8"?>
<sst xmlns="http://schemas.openxmlformats.org/spreadsheetml/2006/main" count="87" uniqueCount="67">
  <si>
    <t>Potencia batería[Wh]</t>
  </si>
  <si>
    <t>Horas de autonomía</t>
  </si>
  <si>
    <r>
      <t>P</t>
    </r>
    <r>
      <rPr>
        <vertAlign val="subscript"/>
        <sz val="11"/>
        <color theme="1"/>
        <rFont val="Calibri"/>
        <family val="2"/>
        <scheme val="minor"/>
      </rPr>
      <t>bateria</t>
    </r>
  </si>
  <si>
    <r>
      <t>P</t>
    </r>
    <r>
      <rPr>
        <vertAlign val="subscript"/>
        <sz val="11"/>
        <color theme="1"/>
        <rFont val="Calibri"/>
        <family val="2"/>
        <scheme val="minor"/>
      </rPr>
      <t>W520</t>
    </r>
  </si>
  <si>
    <r>
      <t>P</t>
    </r>
    <r>
      <rPr>
        <vertAlign val="subscript"/>
        <sz val="11"/>
        <color theme="1"/>
        <rFont val="Calibri"/>
        <family val="2"/>
        <scheme val="minor"/>
      </rPr>
      <t>W504</t>
    </r>
  </si>
  <si>
    <r>
      <t>P</t>
    </r>
    <r>
      <rPr>
        <vertAlign val="subscript"/>
        <sz val="11"/>
        <color theme="1"/>
        <rFont val="Calibri"/>
        <family val="2"/>
        <scheme val="minor"/>
      </rPr>
      <t>ttgo</t>
    </r>
  </si>
  <si>
    <r>
      <t>P</t>
    </r>
    <r>
      <rPr>
        <vertAlign val="subscript"/>
        <sz val="11"/>
        <color theme="1"/>
        <rFont val="Calibri"/>
        <family val="2"/>
        <scheme val="minor"/>
      </rPr>
      <t>max485</t>
    </r>
  </si>
  <si>
    <r>
      <t>P</t>
    </r>
    <r>
      <rPr>
        <vertAlign val="subscript"/>
        <sz val="11"/>
        <color theme="1"/>
        <rFont val="Calibri"/>
        <family val="2"/>
        <scheme val="minor"/>
      </rPr>
      <t>7805</t>
    </r>
  </si>
  <si>
    <r>
      <t>P</t>
    </r>
    <r>
      <rPr>
        <vertAlign val="subscript"/>
        <sz val="11"/>
        <color theme="1"/>
        <rFont val="Calibri"/>
        <family val="2"/>
        <scheme val="minor"/>
      </rPr>
      <t>7812</t>
    </r>
  </si>
  <si>
    <t>voltaje[V]</t>
  </si>
  <si>
    <t>corriente[Ah]</t>
  </si>
  <si>
    <t>corriente[A]</t>
  </si>
  <si>
    <t>potencia[Wh]</t>
  </si>
  <si>
    <t>TOTAL</t>
  </si>
  <si>
    <t>Potencia consumida[W]</t>
  </si>
  <si>
    <t>Cantidad</t>
  </si>
  <si>
    <t>W520</t>
  </si>
  <si>
    <t>W504</t>
  </si>
  <si>
    <t>Lora32 ttgo</t>
  </si>
  <si>
    <t>MAX485</t>
  </si>
  <si>
    <t>LM7805</t>
  </si>
  <si>
    <t>Potencia de trabajo[W]</t>
  </si>
  <si>
    <t>LM7812</t>
  </si>
  <si>
    <t>Horas de uso diario</t>
  </si>
  <si>
    <t>Consumo diario[Wh/dia]</t>
  </si>
  <si>
    <t>Consumo por hora[Wh]</t>
  </si>
  <si>
    <t>Consumo diario boya</t>
  </si>
  <si>
    <t>Consumo por hora boya</t>
  </si>
  <si>
    <t>hora solar pico</t>
  </si>
  <si>
    <t>Irradiancia de prueba[KW/m^2]</t>
  </si>
  <si>
    <t>orientar el panel solar hacia el sur</t>
  </si>
  <si>
    <t>Intensidad de luz en superficie La Escollera en dias cercanos a los Solsticios fin 2020 a 2021</t>
  </si>
  <si>
    <t>Sensor ubicado junto al muelle, y en la tarde le da sombra de la caseta o del manglar</t>
  </si>
  <si>
    <t>Primer día completo luego de limpieza de sensores.</t>
  </si>
  <si>
    <t xml:space="preserve">Intensidad lumínica en Lux, medida con registrador electrónico Luz/temperatura HOBO Pendant® 64K </t>
  </si>
  <si>
    <t>Hora</t>
  </si>
  <si>
    <t>Promedio</t>
  </si>
  <si>
    <t>Irradiación</t>
  </si>
  <si>
    <t>HSP</t>
  </si>
  <si>
    <t>EN MARZO Y EN JUNIO QUE EL SOL DA AL NORTE EL TECHO DE LA CASETA HACE SOMBRA A PARTIR DE LAS 10:30-11:00 AM</t>
  </si>
  <si>
    <t>MENOR EN SEPTIEMBRE Y DICIEMBRE, QUE EL SOL ESTÁ TIRADO AL SUR; AUNQUE EL MANGLAR LE DA SOMBRA EN LA TARDE</t>
  </si>
  <si>
    <t>SUGIERO TOMAR LA MITAD DE LA MAÑANA COMO REPRESENTATIVA DE TODO EL DÍA SI LA BOYA ESTÁ EN LA MITAD DE LA LAGUNA</t>
  </si>
  <si>
    <t>IGNORAR LOS PICOS HACIA ABAJO, QUE PUEDEN SER NUBES…???</t>
  </si>
  <si>
    <t>minimo</t>
  </si>
  <si>
    <t>Irradiación mínima La Escollera
[KWh/m^2/día]</t>
  </si>
  <si>
    <t>Consumo diario boya[KWh]</t>
  </si>
  <si>
    <t>Hora solar mínima[h]</t>
  </si>
  <si>
    <t>Potencia fotovoltaica[KW]</t>
  </si>
  <si>
    <t>Elección de panel[KWh]</t>
  </si>
  <si>
    <t>Potencia panel solar[KW]</t>
  </si>
  <si>
    <t>Voltaje</t>
  </si>
  <si>
    <t>corriente</t>
  </si>
  <si>
    <t>potencia consumida</t>
  </si>
  <si>
    <t>horas</t>
  </si>
  <si>
    <t>potencia[W]</t>
  </si>
  <si>
    <t>Valor incial batería[Wh]</t>
  </si>
  <si>
    <t>Energía de batería</t>
  </si>
  <si>
    <t>dia 1</t>
  </si>
  <si>
    <t>dia 2</t>
  </si>
  <si>
    <t>dia 3</t>
  </si>
  <si>
    <t>potencia entregada por panel
 solar en la hora solar mínima</t>
  </si>
  <si>
    <t>Consumo por hora boya[KW]</t>
  </si>
  <si>
    <t>potencia entregada por panel
 solar en la hora solar mínima para el doble de tiempo</t>
  </si>
  <si>
    <t>potencia entregada por panel
 solar en la hora solar mínima para el triple de tiempo</t>
  </si>
  <si>
    <t>Irradiancia [W/m2]</t>
  </si>
  <si>
    <t>Irradiancia mínima [W/m2]</t>
  </si>
  <si>
    <t>Irradiación promedio Santa Marta
[KWh/m^2/día]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</si>
</sst>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ss;@"/>
    <numFmt numFmtId="165" formatCode="0.0"/>
    <numFmt numFmtId="166" formatCode="[$-F400]h:mm:ss\ AM/PM"/>
  </numFmts>
  <fonts count="8" x14ac:knownFonts="1">
    <font>
      <sz val="11"/>
      <color theme="1"/>
      <name val="Calibri"/>
      <family val="2"/>
      <scheme val="minor"/>
    </font>
    <font>
      <b/>
      <sz val="11"/>
      <color theme="1"/>
      <name val="Calibri"/>
      <family val="2"/>
      <scheme val="minor"/>
    </font>
    <font>
      <vertAlign val="subscript"/>
      <sz val="11"/>
      <color theme="1"/>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b/>
      <sz val="12"/>
      <color rgb="FFFF0000"/>
      <name val="Calibri"/>
      <family val="2"/>
      <scheme val="minor"/>
    </font>
    <font>
      <sz val="10"/>
      <color theme="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theme="7"/>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rgb="FFFF0000"/>
        <bgColor indexed="64"/>
      </patternFill>
    </fill>
  </fills>
  <borders count="1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5" borderId="0" xfId="0" applyFill="1"/>
    <xf numFmtId="164" fontId="0" fillId="0" borderId="0" xfId="0" applyNumberFormat="1"/>
    <xf numFmtId="164" fontId="1" fillId="0" borderId="0" xfId="0" applyNumberFormat="1" applyFont="1" applyAlignment="1">
      <alignment horizontal="center"/>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1" xfId="0" applyFont="1" applyBorder="1"/>
    <xf numFmtId="0" fontId="0" fillId="0" borderId="2" xfId="0" applyBorder="1"/>
    <xf numFmtId="165" fontId="0" fillId="0" borderId="2" xfId="0" applyNumberFormat="1" applyBorder="1"/>
    <xf numFmtId="0" fontId="3" fillId="0" borderId="0" xfId="0" applyFont="1" applyAlignment="1">
      <alignment horizontal="center" wrapText="1"/>
    </xf>
    <xf numFmtId="0" fontId="0" fillId="0" borderId="3" xfId="0" applyBorder="1"/>
    <xf numFmtId="0" fontId="0" fillId="0" borderId="4" xfId="0" applyBorder="1"/>
    <xf numFmtId="0" fontId="1" fillId="0" borderId="3" xfId="0" applyFont="1" applyBorder="1" applyAlignment="1">
      <alignment horizontal="center"/>
    </xf>
    <xf numFmtId="166" fontId="0" fillId="0" borderId="0" xfId="0" applyNumberFormat="1"/>
    <xf numFmtId="2" fontId="0" fillId="0" borderId="0" xfId="0" applyNumberFormat="1"/>
    <xf numFmtId="0" fontId="0" fillId="0" borderId="7" xfId="0" applyBorder="1"/>
    <xf numFmtId="0" fontId="0" fillId="0" borderId="8" xfId="0" applyBorder="1"/>
    <xf numFmtId="0" fontId="0" fillId="0" borderId="9" xfId="0" applyBorder="1"/>
    <xf numFmtId="165" fontId="0" fillId="0" borderId="0" xfId="0" applyNumberFormat="1"/>
    <xf numFmtId="0" fontId="1" fillId="6" borderId="0" xfId="0" applyFont="1" applyFill="1"/>
    <xf numFmtId="164" fontId="1" fillId="0" borderId="11" xfId="0" applyNumberFormat="1" applyFont="1" applyBorder="1" applyAlignment="1">
      <alignment horizontal="center"/>
    </xf>
    <xf numFmtId="0" fontId="0" fillId="0" borderId="14" xfId="0" applyBorder="1"/>
    <xf numFmtId="165" fontId="0" fillId="0" borderId="14" xfId="0" applyNumberFormat="1" applyBorder="1"/>
    <xf numFmtId="0" fontId="0" fillId="0" borderId="5" xfId="0" applyBorder="1"/>
    <xf numFmtId="0" fontId="0" fillId="0" borderId="10" xfId="0" applyBorder="1"/>
    <xf numFmtId="0" fontId="0" fillId="0" borderId="6" xfId="0" applyBorder="1"/>
    <xf numFmtId="2" fontId="0" fillId="0" borderId="7" xfId="0" applyNumberFormat="1" applyBorder="1"/>
    <xf numFmtId="2" fontId="0" fillId="0" borderId="9" xfId="0" applyNumberFormat="1" applyBorder="1"/>
    <xf numFmtId="2" fontId="0" fillId="0" borderId="0" xfId="0" applyNumberFormat="1" applyBorder="1"/>
    <xf numFmtId="2" fontId="0" fillId="0" borderId="16" xfId="0" applyNumberFormat="1" applyBorder="1"/>
    <xf numFmtId="166" fontId="0" fillId="0" borderId="0" xfId="0" applyNumberFormat="1" applyBorder="1"/>
    <xf numFmtId="2" fontId="0" fillId="0" borderId="8" xfId="0" applyNumberFormat="1" applyBorder="1"/>
    <xf numFmtId="166" fontId="0" fillId="0" borderId="5" xfId="0" applyNumberFormat="1" applyBorder="1"/>
    <xf numFmtId="2" fontId="0" fillId="0" borderId="5" xfId="0" applyNumberFormat="1" applyBorder="1"/>
    <xf numFmtId="2" fontId="0" fillId="0" borderId="10" xfId="0" applyNumberFormat="1" applyBorder="1"/>
    <xf numFmtId="2" fontId="0" fillId="0" borderId="6" xfId="0" applyNumberFormat="1" applyBorder="1"/>
    <xf numFmtId="166" fontId="0" fillId="0" borderId="7" xfId="0" applyNumberFormat="1" applyBorder="1"/>
    <xf numFmtId="166" fontId="0" fillId="0" borderId="9" xfId="0" applyNumberFormat="1" applyBorder="1"/>
    <xf numFmtId="166" fontId="0" fillId="3" borderId="7" xfId="0" applyNumberFormat="1" applyFill="1" applyBorder="1"/>
    <xf numFmtId="166" fontId="0" fillId="8" borderId="7" xfId="0" applyNumberFormat="1" applyFill="1" applyBorder="1"/>
    <xf numFmtId="166" fontId="0" fillId="9" borderId="7" xfId="0" applyNumberFormat="1" applyFill="1" applyBorder="1"/>
    <xf numFmtId="166" fontId="0" fillId="0" borderId="7" xfId="0" applyNumberFormat="1" applyFill="1" applyBorder="1"/>
    <xf numFmtId="0" fontId="0" fillId="0" borderId="7" xfId="0" applyBorder="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6" fillId="0" borderId="1" xfId="0" applyFont="1" applyBorder="1" applyAlignment="1">
      <alignment horizontal="center"/>
    </xf>
    <xf numFmtId="0" fontId="6" fillId="0" borderId="13" xfId="0" applyFont="1" applyBorder="1" applyAlignment="1">
      <alignment horizontal="center"/>
    </xf>
    <xf numFmtId="0" fontId="6" fillId="0" borderId="2" xfId="0" applyFont="1" applyBorder="1" applyAlignment="1">
      <alignment horizontal="center"/>
    </xf>
    <xf numFmtId="14" fontId="1" fillId="0" borderId="1" xfId="0" applyNumberFormat="1" applyFont="1" applyBorder="1" applyAlignment="1">
      <alignment horizontal="center"/>
    </xf>
    <xf numFmtId="14" fontId="1" fillId="0" borderId="13" xfId="0" applyNumberFormat="1" applyFont="1" applyBorder="1" applyAlignment="1">
      <alignment horizontal="center"/>
    </xf>
    <xf numFmtId="14" fontId="1" fillId="0" borderId="2" xfId="0" applyNumberFormat="1" applyFont="1" applyBorder="1" applyAlignment="1">
      <alignment horizontal="center"/>
    </xf>
    <xf numFmtId="0" fontId="5" fillId="8" borderId="5" xfId="0" applyFont="1" applyFill="1" applyBorder="1" applyAlignment="1">
      <alignment horizontal="center" wrapText="1"/>
    </xf>
    <xf numFmtId="0" fontId="5" fillId="8" borderId="10" xfId="0" applyFont="1" applyFill="1" applyBorder="1" applyAlignment="1">
      <alignment horizontal="center"/>
    </xf>
    <xf numFmtId="0" fontId="5" fillId="8" borderId="9" xfId="0" applyFont="1" applyFill="1" applyBorder="1" applyAlignment="1">
      <alignment horizontal="center"/>
    </xf>
    <xf numFmtId="0" fontId="5" fillId="8" borderId="16" xfId="0" applyFont="1" applyFill="1" applyBorder="1" applyAlignment="1">
      <alignment horizontal="center"/>
    </xf>
    <xf numFmtId="0" fontId="0" fillId="8" borderId="6" xfId="0" applyFill="1" applyBorder="1" applyAlignment="1">
      <alignment horizontal="right" vertical="center"/>
    </xf>
    <xf numFmtId="0" fontId="0" fillId="8" borderId="4" xfId="0" applyFill="1" applyBorder="1" applyAlignment="1">
      <alignment horizontal="right" vertical="center"/>
    </xf>
    <xf numFmtId="165" fontId="0" fillId="0" borderId="12" xfId="0" applyNumberFormat="1" applyBorder="1" applyAlignment="1">
      <alignment horizontal="center"/>
    </xf>
    <xf numFmtId="0" fontId="0" fillId="0" borderId="12" xfId="0" applyBorder="1" applyAlignment="1">
      <alignment horizontal="center"/>
    </xf>
    <xf numFmtId="0" fontId="5" fillId="9" borderId="5" xfId="0" applyFont="1" applyFill="1" applyBorder="1" applyAlignment="1">
      <alignment horizontal="center" wrapText="1"/>
    </xf>
    <xf numFmtId="0" fontId="5" fillId="9" borderId="10" xfId="0" applyFont="1" applyFill="1" applyBorder="1" applyAlignment="1">
      <alignment horizontal="center"/>
    </xf>
    <xf numFmtId="0" fontId="5" fillId="9" borderId="9" xfId="0" applyFont="1" applyFill="1" applyBorder="1" applyAlignment="1">
      <alignment horizontal="center"/>
    </xf>
    <xf numFmtId="0" fontId="5" fillId="9" borderId="16" xfId="0" applyFont="1" applyFill="1"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13" xfId="0" applyFont="1" applyBorder="1" applyAlignment="1">
      <alignment horizontal="center"/>
    </xf>
    <xf numFmtId="0" fontId="1" fillId="7" borderId="1" xfId="0" applyFont="1" applyFill="1" applyBorder="1" applyAlignment="1">
      <alignment horizontal="center"/>
    </xf>
    <xf numFmtId="0" fontId="1" fillId="7" borderId="13" xfId="0" applyFont="1" applyFill="1" applyBorder="1" applyAlignment="1">
      <alignment horizontal="center"/>
    </xf>
    <xf numFmtId="0" fontId="1" fillId="0" borderId="15" xfId="0" applyFont="1" applyBorder="1" applyAlignment="1">
      <alignment horizontal="center"/>
    </xf>
    <xf numFmtId="0" fontId="0" fillId="3" borderId="5" xfId="0" applyFill="1" applyBorder="1" applyAlignment="1">
      <alignment horizontal="center" wrapText="1"/>
    </xf>
    <xf numFmtId="0" fontId="0" fillId="3" borderId="10" xfId="0" applyFill="1" applyBorder="1" applyAlignment="1">
      <alignment horizontal="center"/>
    </xf>
    <xf numFmtId="0" fontId="0" fillId="3" borderId="9" xfId="0" applyFill="1" applyBorder="1" applyAlignment="1">
      <alignment horizontal="center"/>
    </xf>
    <xf numFmtId="0" fontId="0" fillId="3" borderId="16" xfId="0" applyFill="1" applyBorder="1" applyAlignment="1">
      <alignment horizontal="center"/>
    </xf>
    <xf numFmtId="0" fontId="0" fillId="3" borderId="6" xfId="0" applyFill="1" applyBorder="1" applyAlignment="1">
      <alignment horizontal="right" vertical="center"/>
    </xf>
    <xf numFmtId="0" fontId="0" fillId="3" borderId="4" xfId="0" applyFill="1" applyBorder="1" applyAlignment="1">
      <alignment horizontal="right" vertical="center"/>
    </xf>
    <xf numFmtId="0" fontId="0" fillId="0" borderId="17" xfId="0" applyBorder="1"/>
    <xf numFmtId="0" fontId="4" fillId="0" borderId="17" xfId="0" applyFont="1" applyBorder="1"/>
    <xf numFmtId="0" fontId="7" fillId="0" borderId="5" xfId="0" applyFont="1" applyBorder="1" applyAlignment="1">
      <alignment horizontal="center" wrapText="1"/>
    </xf>
    <xf numFmtId="0" fontId="0" fillId="10" borderId="5" xfId="0" applyFill="1" applyBorder="1" applyAlignment="1">
      <alignment horizontal="center" wrapText="1"/>
    </xf>
    <xf numFmtId="165" fontId="0" fillId="10" borderId="6" xfId="0" applyNumberFormat="1" applyFill="1" applyBorder="1" applyAlignment="1">
      <alignment horizontal="center" vertical="center"/>
    </xf>
    <xf numFmtId="0" fontId="0" fillId="10" borderId="7" xfId="0" applyFill="1" applyBorder="1" applyAlignment="1">
      <alignment horizontal="center"/>
    </xf>
    <xf numFmtId="165" fontId="0" fillId="10" borderId="8" xfId="0" applyNumberFormat="1" applyFill="1" applyBorder="1" applyAlignment="1">
      <alignment horizontal="center" vertical="center"/>
    </xf>
    <xf numFmtId="0" fontId="0" fillId="11" borderId="0" xfId="0" applyFill="1"/>
    <xf numFmtId="0" fontId="7" fillId="0" borderId="0" xfId="0" applyFont="1"/>
    <xf numFmtId="0" fontId="0" fillId="9" borderId="6" xfId="0" applyFill="1" applyBorder="1" applyAlignment="1">
      <alignment horizontal="center"/>
    </xf>
    <xf numFmtId="0" fontId="0" fillId="9" borderId="4" xfId="0" applyFill="1" applyBorder="1" applyAlignment="1">
      <alignment horizontal="center"/>
    </xf>
    <xf numFmtId="0" fontId="0" fillId="11" borderId="17" xfId="0" applyFill="1" applyBorder="1"/>
    <xf numFmtId="0" fontId="0" fillId="0" borderId="17" xfId="0" applyFill="1" applyBorder="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CO">
                <a:solidFill>
                  <a:sysClr val="windowText" lastClr="000000"/>
                </a:solidFill>
              </a:rPr>
              <a:t>Luz en los solsticios - Laguna La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strRef>
              <c:f>'Luz Escollera solsticios'!$B$6</c:f>
              <c:strCache>
                <c:ptCount val="1"/>
                <c:pt idx="0">
                  <c:v>18/12/2020</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[1]Hoja1!$B$7:$B$33</c:f>
              <c:numCache>
                <c:formatCode>General</c:formatCode>
                <c:ptCount val="27"/>
                <c:pt idx="0">
                  <c:v>10.8</c:v>
                </c:pt>
                <c:pt idx="1">
                  <c:v>64.600000000000009</c:v>
                </c:pt>
                <c:pt idx="2">
                  <c:v>430.6</c:v>
                </c:pt>
                <c:pt idx="3">
                  <c:v>1001</c:v>
                </c:pt>
                <c:pt idx="4">
                  <c:v>2411.1</c:v>
                </c:pt>
                <c:pt idx="5">
                  <c:v>17222.3</c:v>
                </c:pt>
                <c:pt idx="6">
                  <c:v>41333.600000000006</c:v>
                </c:pt>
                <c:pt idx="7">
                  <c:v>38578</c:v>
                </c:pt>
                <c:pt idx="8">
                  <c:v>57867</c:v>
                </c:pt>
                <c:pt idx="9">
                  <c:v>68889.3</c:v>
                </c:pt>
                <c:pt idx="10">
                  <c:v>74400.5</c:v>
                </c:pt>
                <c:pt idx="11">
                  <c:v>99200.700000000012</c:v>
                </c:pt>
                <c:pt idx="12">
                  <c:v>88178.400000000009</c:v>
                </c:pt>
                <c:pt idx="13">
                  <c:v>99200.700000000012</c:v>
                </c:pt>
                <c:pt idx="14">
                  <c:v>99200.700000000012</c:v>
                </c:pt>
                <c:pt idx="15">
                  <c:v>66133.8</c:v>
                </c:pt>
                <c:pt idx="16">
                  <c:v>4133.4000000000005</c:v>
                </c:pt>
                <c:pt idx="17">
                  <c:v>2497.2000000000003</c:v>
                </c:pt>
                <c:pt idx="18">
                  <c:v>2152.8000000000002</c:v>
                </c:pt>
                <c:pt idx="19">
                  <c:v>1636.1000000000001</c:v>
                </c:pt>
                <c:pt idx="20">
                  <c:v>1550</c:v>
                </c:pt>
                <c:pt idx="21">
                  <c:v>2152.8000000000002</c:v>
                </c:pt>
                <c:pt idx="22">
                  <c:v>2066.7000000000003</c:v>
                </c:pt>
                <c:pt idx="23">
                  <c:v>764.2</c:v>
                </c:pt>
                <c:pt idx="24">
                  <c:v>236.8</c:v>
                </c:pt>
                <c:pt idx="25">
                  <c:v>21.5</c:v>
                </c:pt>
                <c:pt idx="26">
                  <c:v>21.5</c:v>
                </c:pt>
              </c:numCache>
            </c:numRef>
          </c:val>
          <c:smooth val="0"/>
          <c:extLst>
            <c:ext xmlns:c16="http://schemas.microsoft.com/office/drawing/2014/chart" uri="{C3380CC4-5D6E-409C-BE32-E72D297353CC}">
              <c16:uniqueId val="{00000000-834E-429E-8AD9-0CE7D41391C6}"/>
            </c:ext>
          </c:extLst>
        </c:ser>
        <c:ser>
          <c:idx val="1"/>
          <c:order val="1"/>
          <c:tx>
            <c:strRef>
              <c:f>'Luz Escollera solsticios'!$C$6</c:f>
              <c:strCache>
                <c:ptCount val="1"/>
                <c:pt idx="0">
                  <c:v>26/03/2021</c:v>
                </c:pt>
              </c:strCache>
            </c:strRef>
          </c:tx>
          <c:spPr>
            <a:ln w="28575" cap="rnd">
              <a:solidFill>
                <a:schemeClr val="accent2"/>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[1]Hoja1!$C$7:$C$33</c:f>
              <c:numCache>
                <c:formatCode>General</c:formatCode>
                <c:ptCount val="27"/>
                <c:pt idx="0">
                  <c:v>21.5</c:v>
                </c:pt>
                <c:pt idx="1">
                  <c:v>301.40000000000003</c:v>
                </c:pt>
                <c:pt idx="2">
                  <c:v>1324</c:v>
                </c:pt>
                <c:pt idx="3">
                  <c:v>12400.1</c:v>
                </c:pt>
                <c:pt idx="4">
                  <c:v>22044.600000000002</c:v>
                </c:pt>
                <c:pt idx="5">
                  <c:v>27555.7</c:v>
                </c:pt>
                <c:pt idx="6">
                  <c:v>37200.200000000004</c:v>
                </c:pt>
                <c:pt idx="7">
                  <c:v>44089.200000000004</c:v>
                </c:pt>
                <c:pt idx="8">
                  <c:v>52355.9</c:v>
                </c:pt>
                <c:pt idx="9">
                  <c:v>66133.8</c:v>
                </c:pt>
                <c:pt idx="10">
                  <c:v>85422.8</c:v>
                </c:pt>
                <c:pt idx="11">
                  <c:v>7233.4000000000005</c:v>
                </c:pt>
                <c:pt idx="12">
                  <c:v>5511.1</c:v>
                </c:pt>
                <c:pt idx="13">
                  <c:v>4994.5</c:v>
                </c:pt>
                <c:pt idx="14">
                  <c:v>4650</c:v>
                </c:pt>
                <c:pt idx="15">
                  <c:v>3961.1000000000004</c:v>
                </c:pt>
                <c:pt idx="16">
                  <c:v>3272.2000000000003</c:v>
                </c:pt>
                <c:pt idx="17">
                  <c:v>2927.8</c:v>
                </c:pt>
                <c:pt idx="18">
                  <c:v>2411.1</c:v>
                </c:pt>
                <c:pt idx="19">
                  <c:v>2152.8000000000002</c:v>
                </c:pt>
                <c:pt idx="20">
                  <c:v>2411.1</c:v>
                </c:pt>
                <c:pt idx="21">
                  <c:v>2066.7000000000003</c:v>
                </c:pt>
                <c:pt idx="22">
                  <c:v>1808.3000000000002</c:v>
                </c:pt>
                <c:pt idx="23">
                  <c:v>1550</c:v>
                </c:pt>
                <c:pt idx="24">
                  <c:v>1033.3</c:v>
                </c:pt>
                <c:pt idx="25">
                  <c:v>290.60000000000002</c:v>
                </c:pt>
                <c:pt idx="26">
                  <c:v>21.5</c:v>
                </c:pt>
              </c:numCache>
            </c:numRef>
          </c:val>
          <c:smooth val="0"/>
          <c:extLst>
            <c:ext xmlns:c16="http://schemas.microsoft.com/office/drawing/2014/chart" uri="{C3380CC4-5D6E-409C-BE32-E72D297353CC}">
              <c16:uniqueId val="{00000001-834E-429E-8AD9-0CE7D41391C6}"/>
            </c:ext>
          </c:extLst>
        </c:ser>
        <c:ser>
          <c:idx val="2"/>
          <c:order val="2"/>
          <c:tx>
            <c:strRef>
              <c:f>'Luz Escollera solsticios'!$D$6</c:f>
              <c:strCache>
                <c:ptCount val="1"/>
                <c:pt idx="0">
                  <c:v>13/06/2021</c:v>
                </c:pt>
              </c:strCache>
            </c:strRef>
          </c:tx>
          <c:spPr>
            <a:ln w="28575" cap="rnd">
              <a:solidFill>
                <a:schemeClr val="accent3"/>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[1]Hoja1!$D$7:$D$33</c:f>
              <c:numCache>
                <c:formatCode>General</c:formatCode>
                <c:ptCount val="27"/>
                <c:pt idx="0">
                  <c:v>96.9</c:v>
                </c:pt>
                <c:pt idx="1">
                  <c:v>1980.6000000000001</c:v>
                </c:pt>
                <c:pt idx="2">
                  <c:v>4477.8</c:v>
                </c:pt>
                <c:pt idx="3">
                  <c:v>19289</c:v>
                </c:pt>
                <c:pt idx="4">
                  <c:v>33066.9</c:v>
                </c:pt>
                <c:pt idx="5">
                  <c:v>46844.800000000003</c:v>
                </c:pt>
                <c:pt idx="6">
                  <c:v>55111.5</c:v>
                </c:pt>
                <c:pt idx="7">
                  <c:v>19977.900000000001</c:v>
                </c:pt>
                <c:pt idx="8">
                  <c:v>77156.100000000006</c:v>
                </c:pt>
                <c:pt idx="9">
                  <c:v>82667.200000000012</c:v>
                </c:pt>
                <c:pt idx="10">
                  <c:v>85422.8</c:v>
                </c:pt>
                <c:pt idx="11">
                  <c:v>82667.200000000012</c:v>
                </c:pt>
                <c:pt idx="12">
                  <c:v>10333.400000000001</c:v>
                </c:pt>
                <c:pt idx="13">
                  <c:v>6544.5</c:v>
                </c:pt>
                <c:pt idx="14">
                  <c:v>5166.7000000000007</c:v>
                </c:pt>
                <c:pt idx="15">
                  <c:v>5166.7000000000007</c:v>
                </c:pt>
                <c:pt idx="16">
                  <c:v>5511.1</c:v>
                </c:pt>
                <c:pt idx="17">
                  <c:v>13777.900000000001</c:v>
                </c:pt>
                <c:pt idx="18">
                  <c:v>15844.5</c:v>
                </c:pt>
                <c:pt idx="19">
                  <c:v>8266.7000000000007</c:v>
                </c:pt>
                <c:pt idx="20">
                  <c:v>2927.8</c:v>
                </c:pt>
                <c:pt idx="21">
                  <c:v>2669.5</c:v>
                </c:pt>
                <c:pt idx="22">
                  <c:v>6544.5</c:v>
                </c:pt>
                <c:pt idx="23">
                  <c:v>5511.1</c:v>
                </c:pt>
                <c:pt idx="24">
                  <c:v>2755.6000000000004</c:v>
                </c:pt>
                <c:pt idx="25">
                  <c:v>1108.7</c:v>
                </c:pt>
                <c:pt idx="26">
                  <c:v>21.5</c:v>
                </c:pt>
              </c:numCache>
            </c:numRef>
          </c:val>
          <c:smooth val="0"/>
          <c:extLst>
            <c:ext xmlns:c16="http://schemas.microsoft.com/office/drawing/2014/chart" uri="{C3380CC4-5D6E-409C-BE32-E72D297353CC}">
              <c16:uniqueId val="{00000002-834E-429E-8AD9-0CE7D41391C6}"/>
            </c:ext>
          </c:extLst>
        </c:ser>
        <c:ser>
          <c:idx val="3"/>
          <c:order val="3"/>
          <c:tx>
            <c:strRef>
              <c:f>'Luz Escollera solsticios'!$E$6</c:f>
              <c:strCache>
                <c:ptCount val="1"/>
                <c:pt idx="0">
                  <c:v>25/09/2021</c:v>
                </c:pt>
              </c:strCache>
            </c:strRef>
          </c:tx>
          <c:spPr>
            <a:ln w="28575" cap="rnd">
              <a:solidFill>
                <a:schemeClr val="accent4"/>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[1]Hoja1!$E$7:$E$33</c:f>
              <c:numCache>
                <c:formatCode>General</c:formatCode>
                <c:ptCount val="27"/>
                <c:pt idx="0">
                  <c:v>0</c:v>
                </c:pt>
                <c:pt idx="1">
                  <c:v>1141</c:v>
                </c:pt>
                <c:pt idx="2">
                  <c:v>3272.2000000000003</c:v>
                </c:pt>
                <c:pt idx="3">
                  <c:v>20666.800000000003</c:v>
                </c:pt>
                <c:pt idx="4">
                  <c:v>35822.5</c:v>
                </c:pt>
                <c:pt idx="5">
                  <c:v>49600.3</c:v>
                </c:pt>
                <c:pt idx="6">
                  <c:v>66133.8</c:v>
                </c:pt>
                <c:pt idx="7">
                  <c:v>79911.600000000006</c:v>
                </c:pt>
                <c:pt idx="8">
                  <c:v>93689.5</c:v>
                </c:pt>
                <c:pt idx="9">
                  <c:v>115734.1</c:v>
                </c:pt>
                <c:pt idx="10">
                  <c:v>115734.1</c:v>
                </c:pt>
                <c:pt idx="11">
                  <c:v>121245.20000000001</c:v>
                </c:pt>
                <c:pt idx="12">
                  <c:v>115734.1</c:v>
                </c:pt>
                <c:pt idx="13">
                  <c:v>8266.7000000000007</c:v>
                </c:pt>
                <c:pt idx="14">
                  <c:v>6544.5</c:v>
                </c:pt>
                <c:pt idx="15">
                  <c:v>5511.1</c:v>
                </c:pt>
                <c:pt idx="16">
                  <c:v>13777.900000000001</c:v>
                </c:pt>
                <c:pt idx="17">
                  <c:v>9644.5</c:v>
                </c:pt>
                <c:pt idx="18">
                  <c:v>2066.7000000000003</c:v>
                </c:pt>
                <c:pt idx="19">
                  <c:v>3616.7000000000003</c:v>
                </c:pt>
                <c:pt idx="20">
                  <c:v>1722.2</c:v>
                </c:pt>
                <c:pt idx="21">
                  <c:v>1463.9</c:v>
                </c:pt>
                <c:pt idx="22">
                  <c:v>1334.7</c:v>
                </c:pt>
                <c:pt idx="23">
                  <c:v>721.2</c:v>
                </c:pt>
                <c:pt idx="24">
                  <c:v>322.90000000000003</c:v>
                </c:pt>
                <c:pt idx="25">
                  <c:v>0</c:v>
                </c:pt>
                <c:pt idx="26">
                  <c:v>0</c:v>
                </c:pt>
              </c:numCache>
            </c:numRef>
          </c:val>
          <c:smooth val="0"/>
          <c:extLst>
            <c:ext xmlns:c16="http://schemas.microsoft.com/office/drawing/2014/chart" uri="{C3380CC4-5D6E-409C-BE32-E72D297353CC}">
              <c16:uniqueId val="{00000003-834E-429E-8AD9-0CE7D41391C6}"/>
            </c:ext>
          </c:extLst>
        </c:ser>
        <c:ser>
          <c:idx val="4"/>
          <c:order val="4"/>
          <c:tx>
            <c:strRef>
              <c:f>[1]Hoja1!$F$6</c:f>
              <c:strCache>
                <c:ptCount val="1"/>
                <c:pt idx="0">
                  <c:v>Promedio</c:v>
                </c:pt>
              </c:strCache>
            </c:strRef>
          </c:tx>
          <c:spPr>
            <a:ln w="28575" cap="rnd">
              <a:solidFill>
                <a:schemeClr val="accent5"/>
              </a:solidFill>
              <a:round/>
            </a:ln>
            <a:effectLst/>
          </c:spPr>
          <c:marker>
            <c:symbol val="none"/>
          </c:marker>
          <c:val>
            <c:numRef>
              <c:f>[1]Hoja1!$F$7:$F$33</c:f>
              <c:numCache>
                <c:formatCode>General</c:formatCode>
                <c:ptCount val="27"/>
                <c:pt idx="0">
                  <c:v>32.299999999999997</c:v>
                </c:pt>
                <c:pt idx="1">
                  <c:v>871.90000000000009</c:v>
                </c:pt>
                <c:pt idx="2">
                  <c:v>2376.15</c:v>
                </c:pt>
                <c:pt idx="3">
                  <c:v>13339.225</c:v>
                </c:pt>
                <c:pt idx="4">
                  <c:v>23336.275000000001</c:v>
                </c:pt>
                <c:pt idx="5">
                  <c:v>35305.775000000001</c:v>
                </c:pt>
                <c:pt idx="6">
                  <c:v>49944.775000000009</c:v>
                </c:pt>
                <c:pt idx="7">
                  <c:v>45639.175000000003</c:v>
                </c:pt>
                <c:pt idx="8">
                  <c:v>70267.125</c:v>
                </c:pt>
                <c:pt idx="9">
                  <c:v>83356.100000000006</c:v>
                </c:pt>
                <c:pt idx="10">
                  <c:v>90245.049999999988</c:v>
                </c:pt>
                <c:pt idx="11">
                  <c:v>77586.625</c:v>
                </c:pt>
                <c:pt idx="12">
                  <c:v>54939.250000000007</c:v>
                </c:pt>
                <c:pt idx="13">
                  <c:v>29751.600000000002</c:v>
                </c:pt>
                <c:pt idx="14">
                  <c:v>28890.475000000002</c:v>
                </c:pt>
                <c:pt idx="15">
                  <c:v>20193.175000000003</c:v>
                </c:pt>
                <c:pt idx="16">
                  <c:v>6673.6500000000005</c:v>
                </c:pt>
                <c:pt idx="17">
                  <c:v>7211.85</c:v>
                </c:pt>
                <c:pt idx="18">
                  <c:v>5618.7750000000005</c:v>
                </c:pt>
                <c:pt idx="19">
                  <c:v>3918.0750000000007</c:v>
                </c:pt>
                <c:pt idx="20">
                  <c:v>2152.7750000000001</c:v>
                </c:pt>
                <c:pt idx="21">
                  <c:v>2088.2249999999999</c:v>
                </c:pt>
                <c:pt idx="22">
                  <c:v>2938.55</c:v>
                </c:pt>
                <c:pt idx="23">
                  <c:v>2136.625</c:v>
                </c:pt>
                <c:pt idx="24">
                  <c:v>1087.1500000000001</c:v>
                </c:pt>
                <c:pt idx="25">
                  <c:v>355.20000000000005</c:v>
                </c:pt>
                <c:pt idx="26">
                  <c:v>16.125</c:v>
                </c:pt>
              </c:numCache>
            </c:numRef>
          </c:val>
          <c:smooth val="0"/>
          <c:extLst>
            <c:ext xmlns:c16="http://schemas.microsoft.com/office/drawing/2014/chart" uri="{C3380CC4-5D6E-409C-BE32-E72D297353CC}">
              <c16:uniqueId val="{00000004-834E-429E-8AD9-0CE7D41391C6}"/>
            </c:ext>
          </c:extLst>
        </c:ser>
        <c:dLbls>
          <c:showLegendKey val="0"/>
          <c:showVal val="0"/>
          <c:showCatName val="0"/>
          <c:showSerName val="0"/>
          <c:showPercent val="0"/>
          <c:showBubbleSize val="0"/>
        </c:dLbls>
        <c:smooth val="0"/>
        <c:axId val="416502552"/>
        <c:axId val="416499808"/>
      </c:lineChart>
      <c:catAx>
        <c:axId val="41650255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Hora del día</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F400]h:mm:ss\ AM/PM"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499808"/>
        <c:crosses val="autoZero"/>
        <c:auto val="0"/>
        <c:lblAlgn val="ctr"/>
        <c:lblOffset val="100"/>
        <c:tickLblSkip val="1"/>
        <c:noMultiLvlLbl val="0"/>
      </c:catAx>
      <c:valAx>
        <c:axId val="4164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Intensidad lumínica</a:t>
                </a:r>
                <a:r>
                  <a:rPr lang="en-US" sz="1200" b="1" baseline="0">
                    <a:solidFill>
                      <a:sysClr val="windowText" lastClr="000000"/>
                    </a:solidFill>
                  </a:rPr>
                  <a:t> </a:t>
                </a:r>
                <a:r>
                  <a:rPr lang="en-US" sz="1200" b="1">
                    <a:solidFill>
                      <a:sysClr val="windowText" lastClr="000000"/>
                    </a:solidFill>
                  </a:rPr>
                  <a:t>(Lux)</a:t>
                </a:r>
              </a:p>
            </c:rich>
          </c:tx>
          <c:layout>
            <c:manualLayout>
              <c:xMode val="edge"/>
              <c:yMode val="edge"/>
              <c:x val="2.6268656716417909E-2"/>
              <c:y val="0.1274868273044816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0" sourceLinked="0"/>
        <c:majorTickMark val="out"/>
        <c:minorTickMark val="in"/>
        <c:tickLblPos val="nextTo"/>
        <c:spPr>
          <a:noFill/>
          <a:ln w="12700">
            <a:solidFill>
              <a:schemeClr val="tx1"/>
            </a:solid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502552"/>
        <c:crosses val="autoZero"/>
        <c:crossBetween val="midCat"/>
      </c:valAx>
      <c:spPr>
        <a:noFill/>
        <a:ln>
          <a:noFill/>
        </a:ln>
        <a:effectLst/>
      </c:spPr>
    </c:plotArea>
    <c:legend>
      <c:legendPos val="b"/>
      <c:overlay val="0"/>
      <c:spPr>
        <a:noFill/>
        <a:ln>
          <a:solidFill>
            <a:schemeClr val="bg1"/>
          </a:solid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Promedio irradiancia -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'Luz Escollera solsticios'!$G$6</c:f>
              <c:strCache>
                <c:ptCount val="1"/>
                <c:pt idx="0">
                  <c:v>Irradiancia [W/m2]</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[1]Hoja1!$G$7:$G$33</c:f>
              <c:numCache>
                <c:formatCode>General</c:formatCode>
                <c:ptCount val="27"/>
                <c:pt idx="0">
                  <c:v>0.26916666666666667</c:v>
                </c:pt>
                <c:pt idx="1">
                  <c:v>7.265833333333334</c:v>
                </c:pt>
                <c:pt idx="2">
                  <c:v>19.80125</c:v>
                </c:pt>
                <c:pt idx="3">
                  <c:v>111.16020833333333</c:v>
                </c:pt>
                <c:pt idx="4">
                  <c:v>194.46895833333335</c:v>
                </c:pt>
                <c:pt idx="5">
                  <c:v>294.21479166666666</c:v>
                </c:pt>
                <c:pt idx="6">
                  <c:v>416.20645833333339</c:v>
                </c:pt>
                <c:pt idx="7">
                  <c:v>380.32645833333333</c:v>
                </c:pt>
                <c:pt idx="8">
                  <c:v>585.55937500000005</c:v>
                </c:pt>
                <c:pt idx="9">
                  <c:v>694.63416666666672</c:v>
                </c:pt>
                <c:pt idx="10">
                  <c:v>752.04208333333327</c:v>
                </c:pt>
                <c:pt idx="11">
                  <c:v>646.55520833333333</c:v>
                </c:pt>
                <c:pt idx="12">
                  <c:v>457.82708333333341</c:v>
                </c:pt>
                <c:pt idx="13">
                  <c:v>247.93</c:v>
                </c:pt>
                <c:pt idx="14">
                  <c:v>240.75395833333334</c:v>
                </c:pt>
                <c:pt idx="15">
                  <c:v>168.27645833333335</c:v>
                </c:pt>
                <c:pt idx="16">
                  <c:v>55.613750000000003</c:v>
                </c:pt>
                <c:pt idx="17">
                  <c:v>60.098750000000003</c:v>
                </c:pt>
                <c:pt idx="18">
                  <c:v>46.823125000000005</c:v>
                </c:pt>
                <c:pt idx="19">
                  <c:v>32.650625000000005</c:v>
                </c:pt>
                <c:pt idx="20">
                  <c:v>17.939791666666668</c:v>
                </c:pt>
                <c:pt idx="21">
                  <c:v>17.401875</c:v>
                </c:pt>
                <c:pt idx="22">
                  <c:v>24.487916666666667</c:v>
                </c:pt>
                <c:pt idx="23">
                  <c:v>17.805208333333333</c:v>
                </c:pt>
                <c:pt idx="24">
                  <c:v>9.0595833333333342</c:v>
                </c:pt>
                <c:pt idx="25">
                  <c:v>2.9600000000000004</c:v>
                </c:pt>
                <c:pt idx="26">
                  <c:v>0.13437499999999999</c:v>
                </c:pt>
              </c:numCache>
            </c:numRef>
          </c:val>
          <c:smooth val="0"/>
          <c:extLst>
            <c:ext xmlns:c16="http://schemas.microsoft.com/office/drawing/2014/chart" uri="{C3380CC4-5D6E-409C-BE32-E72D297353CC}">
              <c16:uniqueId val="{00000000-CE5E-4F7B-89C1-09E0299F8579}"/>
            </c:ext>
          </c:extLst>
        </c:ser>
        <c:ser>
          <c:idx val="1"/>
          <c:order val="1"/>
          <c:tx>
            <c:strRef>
              <c:f>'Luz Escollera solsticios'!$H$6</c:f>
              <c:strCache>
                <c:ptCount val="1"/>
                <c:pt idx="0">
                  <c:v>Irradiancia mínima [W/m2]</c:v>
                </c:pt>
              </c:strCache>
            </c:strRef>
          </c:tx>
          <c:spPr>
            <a:ln w="28575" cap="rnd">
              <a:solidFill>
                <a:schemeClr val="accent2"/>
              </a:solidFill>
              <a:round/>
            </a:ln>
            <a:effectLst/>
          </c:spPr>
          <c:marker>
            <c:symbol val="none"/>
          </c:marker>
          <c:val>
            <c:numRef>
              <c:f>'Luz Escollera solsticios'!$H$7:$H$33</c:f>
              <c:numCache>
                <c:formatCode>0.00</c:formatCode>
                <c:ptCount val="27"/>
                <c:pt idx="0">
                  <c:v>0.17916666666666667</c:v>
                </c:pt>
                <c:pt idx="1">
                  <c:v>2.5116666666666672</c:v>
                </c:pt>
                <c:pt idx="2">
                  <c:v>11.033333333333333</c:v>
                </c:pt>
                <c:pt idx="3">
                  <c:v>103.33416666666668</c:v>
                </c:pt>
                <c:pt idx="4">
                  <c:v>183.70500000000001</c:v>
                </c:pt>
                <c:pt idx="5">
                  <c:v>229.63083333333333</c:v>
                </c:pt>
                <c:pt idx="6">
                  <c:v>310.00166666666672</c:v>
                </c:pt>
                <c:pt idx="7">
                  <c:v>367.41</c:v>
                </c:pt>
                <c:pt idx="8">
                  <c:v>436.29916666666668</c:v>
                </c:pt>
                <c:pt idx="9">
                  <c:v>551.11500000000001</c:v>
                </c:pt>
                <c:pt idx="10">
                  <c:v>711.85666666666668</c:v>
                </c:pt>
                <c:pt idx="11">
                  <c:v>60.278333333333336</c:v>
                </c:pt>
                <c:pt idx="12">
                  <c:v>45.925833333333337</c:v>
                </c:pt>
                <c:pt idx="13">
                  <c:v>41.62083333333333</c:v>
                </c:pt>
                <c:pt idx="14">
                  <c:v>38.75</c:v>
                </c:pt>
                <c:pt idx="15">
                  <c:v>33.009166666666673</c:v>
                </c:pt>
                <c:pt idx="16">
                  <c:v>27.268333333333334</c:v>
                </c:pt>
                <c:pt idx="17">
                  <c:v>24.398333333333333</c:v>
                </c:pt>
                <c:pt idx="18">
                  <c:v>20.092499999999998</c:v>
                </c:pt>
                <c:pt idx="19">
                  <c:v>17.940000000000001</c:v>
                </c:pt>
                <c:pt idx="20">
                  <c:v>20.092499999999998</c:v>
                </c:pt>
                <c:pt idx="21">
                  <c:v>17.222500000000004</c:v>
                </c:pt>
                <c:pt idx="22">
                  <c:v>15.069166666666668</c:v>
                </c:pt>
                <c:pt idx="23">
                  <c:v>12.916666666666666</c:v>
                </c:pt>
                <c:pt idx="24">
                  <c:v>8.6108333333333338</c:v>
                </c:pt>
                <c:pt idx="25">
                  <c:v>2.4216666666666669</c:v>
                </c:pt>
                <c:pt idx="26">
                  <c:v>0.17916666666666667</c:v>
                </c:pt>
              </c:numCache>
            </c:numRef>
          </c:val>
          <c:smooth val="0"/>
          <c:extLst>
            <c:ext xmlns:c16="http://schemas.microsoft.com/office/drawing/2014/chart" uri="{C3380CC4-5D6E-409C-BE32-E72D297353CC}">
              <c16:uniqueId val="{00000001-2789-49BC-B2F5-BE6421E506FA}"/>
            </c:ext>
          </c:extLst>
        </c:ser>
        <c:dLbls>
          <c:showLegendKey val="0"/>
          <c:showVal val="0"/>
          <c:showCatName val="0"/>
          <c:showSerName val="0"/>
          <c:showPercent val="0"/>
          <c:showBubbleSize val="0"/>
        </c:dLbls>
        <c:smooth val="0"/>
        <c:axId val="957309520"/>
        <c:axId val="957312432"/>
      </c:lineChart>
      <c:catAx>
        <c:axId val="95730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sz="1100" b="1"/>
                  <a:t>Hora del 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F400]h:mm:ss\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12432"/>
        <c:crosses val="autoZero"/>
        <c:auto val="1"/>
        <c:lblAlgn val="ctr"/>
        <c:lblOffset val="100"/>
        <c:noMultiLvlLbl val="0"/>
      </c:catAx>
      <c:valAx>
        <c:axId val="9573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rPr>
                  <a:t>Irradiancia</a:t>
                </a:r>
                <a:br>
                  <a:rPr lang="en-US" sz="1200" b="1" i="0" baseline="0">
                    <a:effectLst/>
                  </a:rPr>
                </a:br>
                <a:r>
                  <a:rPr lang="en-US" sz="1200" b="1" i="0" baseline="0">
                    <a:effectLst/>
                  </a:rPr>
                  <a:t>[W/m2)</a:t>
                </a:r>
                <a:endParaRPr lang="es-CO" sz="700" b="1">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09520"/>
        <c:crosses val="autoZero"/>
        <c:crossBetween val="between"/>
      </c:valAx>
      <c:spPr>
        <a:noFill/>
        <a:ln>
          <a:noFill/>
        </a:ln>
        <a:effectLst/>
      </c:spPr>
    </c:plotArea>
    <c:legend>
      <c:legendPos val="b"/>
      <c:layout>
        <c:manualLayout>
          <c:xMode val="edge"/>
          <c:yMode val="edge"/>
          <c:x val="0.19975735946675735"/>
          <c:y val="0.85123865404418053"/>
          <c:w val="0.69161237938782827"/>
          <c:h val="0.12672278228710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139943</xdr:rowOff>
    </xdr:from>
    <xdr:to>
      <xdr:col>1</xdr:col>
      <xdr:colOff>554949</xdr:colOff>
      <xdr:row>7</xdr:row>
      <xdr:rowOff>217608</xdr:rowOff>
    </xdr:to>
    <xdr:pic>
      <xdr:nvPicPr>
        <xdr:cNvPr id="2" name="Imagen 1">
          <a:extLst>
            <a:ext uri="{FF2B5EF4-FFF2-40B4-BE49-F238E27FC236}">
              <a16:creationId xmlns:a16="http://schemas.microsoft.com/office/drawing/2014/main" id="{DD121A09-F411-43FB-92D8-DF4B5FFC423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00" b="31000"/>
        <a:stretch/>
      </xdr:blipFill>
      <xdr:spPr bwMode="auto">
        <a:xfrm>
          <a:off x="0" y="1129078"/>
          <a:ext cx="2152218" cy="531934"/>
        </a:xfrm>
        <a:prstGeom prst="rect">
          <a:avLst/>
        </a:prstGeom>
        <a:noFill/>
        <a:ln>
          <a:noFill/>
        </a:ln>
      </xdr:spPr>
    </xdr:pic>
    <xdr:clientData/>
  </xdr:twoCellAnchor>
  <xdr:twoCellAnchor>
    <xdr:from>
      <xdr:col>13</xdr:col>
      <xdr:colOff>152400</xdr:colOff>
      <xdr:row>3</xdr:row>
      <xdr:rowOff>0</xdr:rowOff>
    </xdr:from>
    <xdr:to>
      <xdr:col>18</xdr:col>
      <xdr:colOff>85725</xdr:colOff>
      <xdr:row>17</xdr:row>
      <xdr:rowOff>171450</xdr:rowOff>
    </xdr:to>
    <xdr:sp macro="" textlink="">
      <xdr:nvSpPr>
        <xdr:cNvPr id="3" name="CuadroTexto 2">
          <a:extLst>
            <a:ext uri="{FF2B5EF4-FFF2-40B4-BE49-F238E27FC236}">
              <a16:creationId xmlns:a16="http://schemas.microsoft.com/office/drawing/2014/main" id="{3A6E258A-AB05-414E-BDF0-5645378124DC}"/>
            </a:ext>
          </a:extLst>
        </xdr:cNvPr>
        <xdr:cNvSpPr txBox="1"/>
      </xdr:nvSpPr>
      <xdr:spPr>
        <a:xfrm>
          <a:off x="9963150" y="609600"/>
          <a:ext cx="2981325"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Explicación</a:t>
          </a:r>
        </a:p>
        <a:p>
          <a:r>
            <a:rPr lang="es-CO" sz="1100"/>
            <a:t>En esta pestaña</a:t>
          </a:r>
          <a:r>
            <a:rPr lang="es-CO" sz="1100" baseline="0"/>
            <a:t> se tiene el consumo de potencia de cada componente (naranja) junto con la potencia de la batería en watt-hora (verde). Con estos datos se calculan las horas de autonomía(amarillo) de acuerdo a la ecuación (división entre la potencia de la batería y la potencia de los componentes). También se tiene una tabla a la derecha en la que se ve la variación de horas de autonomía de acuerdo a la variación en la capacidad de la batería, el voltaje se asume constante (estos no números no se usan para ningún otro cálculo, solo se menciona que el valor de </a:t>
          </a:r>
          <a:r>
            <a:rPr lang="es-CO" sz="1100" u="sng" baseline="0">
              <a:solidFill>
                <a:srgbClr val="FF0000"/>
              </a:solidFill>
              <a:effectLst/>
              <a:latin typeface="+mn-lt"/>
              <a:ea typeface="+mn-ea"/>
              <a:cs typeface="+mn-cs"/>
            </a:rPr>
            <a:t>7Ah</a:t>
          </a:r>
          <a:r>
            <a:rPr lang="es-CO" sz="1100" baseline="0"/>
            <a:t> es el mínimo para que funcionen los escenarios en la pestaña 'Hora Solar Pico', menos de est provoca que </a:t>
          </a:r>
          <a:endParaRPr lang="es-CO" sz="1100"/>
        </a:p>
      </xdr:txBody>
    </xdr:sp>
    <xdr:clientData/>
  </xdr:twoCellAnchor>
  <xdr:twoCellAnchor>
    <xdr:from>
      <xdr:col>0</xdr:col>
      <xdr:colOff>19050</xdr:colOff>
      <xdr:row>8</xdr:row>
      <xdr:rowOff>0</xdr:rowOff>
    </xdr:from>
    <xdr:to>
      <xdr:col>3</xdr:col>
      <xdr:colOff>590550</xdr:colOff>
      <xdr:row>22</xdr:row>
      <xdr:rowOff>66675</xdr:rowOff>
    </xdr:to>
    <xdr:sp macro="" textlink="">
      <xdr:nvSpPr>
        <xdr:cNvPr id="4" name="CuadroTexto 3">
          <a:extLst>
            <a:ext uri="{FF2B5EF4-FFF2-40B4-BE49-F238E27FC236}">
              <a16:creationId xmlns:a16="http://schemas.microsoft.com/office/drawing/2014/main" id="{A40CC126-526C-41CB-8711-BF6D0EE686B7}"/>
            </a:ext>
          </a:extLst>
        </xdr:cNvPr>
        <xdr:cNvSpPr txBox="1"/>
      </xdr:nvSpPr>
      <xdr:spPr>
        <a:xfrm>
          <a:off x="19050" y="1676400"/>
          <a:ext cx="3371850"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Instrucciones</a:t>
          </a:r>
          <a:endParaRPr lang="es-CO">
            <a:effectLst/>
          </a:endParaRPr>
        </a:p>
        <a:p>
          <a:r>
            <a:rPr lang="es-CO" sz="1100"/>
            <a:t>Para usar el siguiente excel se debe tener en cuenta:</a:t>
          </a:r>
        </a:p>
        <a:p>
          <a:r>
            <a:rPr lang="es-CO" sz="1100"/>
            <a:t>está diseñado para que</a:t>
          </a:r>
          <a:r>
            <a:rPr lang="es-CO" sz="1100" baseline="0"/>
            <a:t> se cambien solo los valores de la batería (color verde en esta pestaña), el resto se deben considerar como constantes, también se considera posible variar la potencia del panel solar si se desea.</a:t>
          </a:r>
        </a:p>
        <a:p>
          <a:r>
            <a:rPr lang="es-CO" sz="1100" baseline="0"/>
            <a:t>Cada pestaña tiene una breve explicación de su funcióny el propósito general es verificar si un sistema con los valores de la batería y del panel solar  que se escojan puede proveer autonomía, esta verificación se realiza en la última pestaña 'Hora Solar Pico' donde se muestra la carga de la batería a través del tiempo.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8</xdr:row>
      <xdr:rowOff>42333</xdr:rowOff>
    </xdr:from>
    <xdr:to>
      <xdr:col>3</xdr:col>
      <xdr:colOff>1200690</xdr:colOff>
      <xdr:row>28</xdr:row>
      <xdr:rowOff>118047</xdr:rowOff>
    </xdr:to>
    <xdr:pic>
      <xdr:nvPicPr>
        <xdr:cNvPr id="3" name="Imagen 2">
          <a:extLst>
            <a:ext uri="{FF2B5EF4-FFF2-40B4-BE49-F238E27FC236}">
              <a16:creationId xmlns:a16="http://schemas.microsoft.com/office/drawing/2014/main" id="{E1FEBE75-7F09-4D48-904D-0406C4658C6A}"/>
            </a:ext>
          </a:extLst>
        </xdr:cNvPr>
        <xdr:cNvPicPr>
          <a:picLocks noChangeAspect="1"/>
        </xdr:cNvPicPr>
      </xdr:nvPicPr>
      <xdr:blipFill>
        <a:blip xmlns:r="http://schemas.openxmlformats.org/officeDocument/2006/relationships" r:embed="rId1"/>
        <a:stretch>
          <a:fillRect/>
        </a:stretch>
      </xdr:blipFill>
      <xdr:spPr>
        <a:xfrm>
          <a:off x="95250" y="1820333"/>
          <a:ext cx="4142857" cy="3885714"/>
        </a:xfrm>
        <a:prstGeom prst="rect">
          <a:avLst/>
        </a:prstGeom>
      </xdr:spPr>
    </xdr:pic>
    <xdr:clientData/>
  </xdr:twoCellAnchor>
  <xdr:twoCellAnchor>
    <xdr:from>
      <xdr:col>6</xdr:col>
      <xdr:colOff>508000</xdr:colOff>
      <xdr:row>0</xdr:row>
      <xdr:rowOff>169332</xdr:rowOff>
    </xdr:from>
    <xdr:to>
      <xdr:col>12</xdr:col>
      <xdr:colOff>539750</xdr:colOff>
      <xdr:row>6</xdr:row>
      <xdr:rowOff>74082</xdr:rowOff>
    </xdr:to>
    <xdr:sp macro="" textlink="">
      <xdr:nvSpPr>
        <xdr:cNvPr id="2" name="CuadroTexto 1">
          <a:extLst>
            <a:ext uri="{FF2B5EF4-FFF2-40B4-BE49-F238E27FC236}">
              <a16:creationId xmlns:a16="http://schemas.microsoft.com/office/drawing/2014/main" id="{EF21F4C9-2D10-494D-A448-B378C6669A4E}"/>
            </a:ext>
          </a:extLst>
        </xdr:cNvPr>
        <xdr:cNvSpPr txBox="1"/>
      </xdr:nvSpPr>
      <xdr:spPr>
        <a:xfrm>
          <a:off x="8138583" y="169332"/>
          <a:ext cx="5259917" cy="12594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sz="1200"/>
        </a:p>
        <a:p>
          <a:pPr algn="l"/>
          <a:r>
            <a:rPr lang="es-CO" sz="1200"/>
            <a:t>En esta pesataña se tienen los valores de consumo diario de la boya</a:t>
          </a:r>
          <a:r>
            <a:rPr lang="es-CO" sz="1200" baseline="0"/>
            <a:t> basados en la información sobre consumo de potencia o basado en datos del datasheet, se tiene el consumo de las 24 horas del día y el consumo por hora para obtener los datos de consumo diario (24h) de la boya y el consumo por hora.</a:t>
          </a:r>
          <a:endParaRPr lang="es-CO"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257175</xdr:colOff>
      <xdr:row>4</xdr:row>
      <xdr:rowOff>161925</xdr:rowOff>
    </xdr:from>
    <xdr:to>
      <xdr:col>16</xdr:col>
      <xdr:colOff>120649</xdr:colOff>
      <xdr:row>19</xdr:row>
      <xdr:rowOff>161924</xdr:rowOff>
    </xdr:to>
    <xdr:graphicFrame macro="">
      <xdr:nvGraphicFramePr>
        <xdr:cNvPr id="2" name="Gráfico 1">
          <a:extLst>
            <a:ext uri="{FF2B5EF4-FFF2-40B4-BE49-F238E27FC236}">
              <a16:creationId xmlns:a16="http://schemas.microsoft.com/office/drawing/2014/main" id="{0333BF0B-9408-4CDE-9331-8A14323FA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40</xdr:row>
      <xdr:rowOff>57150</xdr:rowOff>
    </xdr:from>
    <xdr:to>
      <xdr:col>12</xdr:col>
      <xdr:colOff>513716</xdr:colOff>
      <xdr:row>53</xdr:row>
      <xdr:rowOff>133350</xdr:rowOff>
    </xdr:to>
    <xdr:pic>
      <xdr:nvPicPr>
        <xdr:cNvPr id="3" name="Imagen 2">
          <a:extLst>
            <a:ext uri="{FF2B5EF4-FFF2-40B4-BE49-F238E27FC236}">
              <a16:creationId xmlns:a16="http://schemas.microsoft.com/office/drawing/2014/main" id="{F73ECF2B-5B98-44C7-ADFF-E98A9DB25057}"/>
            </a:ext>
          </a:extLst>
        </xdr:cNvPr>
        <xdr:cNvPicPr>
          <a:picLocks noChangeAspect="1"/>
        </xdr:cNvPicPr>
      </xdr:nvPicPr>
      <xdr:blipFill>
        <a:blip xmlns:r="http://schemas.openxmlformats.org/officeDocument/2006/relationships" r:embed="rId2"/>
        <a:stretch>
          <a:fillRect/>
        </a:stretch>
      </xdr:blipFill>
      <xdr:spPr>
        <a:xfrm>
          <a:off x="104775" y="7886700"/>
          <a:ext cx="9657716" cy="2552700"/>
        </a:xfrm>
        <a:prstGeom prst="rect">
          <a:avLst/>
        </a:prstGeom>
      </xdr:spPr>
    </xdr:pic>
    <xdr:clientData/>
  </xdr:twoCellAnchor>
  <xdr:twoCellAnchor>
    <xdr:from>
      <xdr:col>10</xdr:col>
      <xdr:colOff>19050</xdr:colOff>
      <xdr:row>19</xdr:row>
      <xdr:rowOff>71437</xdr:rowOff>
    </xdr:from>
    <xdr:to>
      <xdr:col>16</xdr:col>
      <xdr:colOff>742950</xdr:colOff>
      <xdr:row>32</xdr:row>
      <xdr:rowOff>161925</xdr:rowOff>
    </xdr:to>
    <xdr:graphicFrame macro="">
      <xdr:nvGraphicFramePr>
        <xdr:cNvPr id="4" name="Gráfico 3">
          <a:extLst>
            <a:ext uri="{FF2B5EF4-FFF2-40B4-BE49-F238E27FC236}">
              <a16:creationId xmlns:a16="http://schemas.microsoft.com/office/drawing/2014/main" id="{B7214714-EB9C-415C-B3A3-171CE0BC9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714375</xdr:colOff>
      <xdr:row>0</xdr:row>
      <xdr:rowOff>0</xdr:rowOff>
    </xdr:from>
    <xdr:to>
      <xdr:col>16</xdr:col>
      <xdr:colOff>190500</xdr:colOff>
      <xdr:row>5</xdr:row>
      <xdr:rowOff>9525</xdr:rowOff>
    </xdr:to>
    <xdr:sp macro="" textlink="">
      <xdr:nvSpPr>
        <xdr:cNvPr id="5" name="CuadroTexto 4">
          <a:extLst>
            <a:ext uri="{FF2B5EF4-FFF2-40B4-BE49-F238E27FC236}">
              <a16:creationId xmlns:a16="http://schemas.microsoft.com/office/drawing/2014/main" id="{803177F9-D587-45D2-A186-1CE04A59519F}"/>
            </a:ext>
          </a:extLst>
        </xdr:cNvPr>
        <xdr:cNvSpPr txBox="1"/>
      </xdr:nvSpPr>
      <xdr:spPr>
        <a:xfrm>
          <a:off x="5391150" y="0"/>
          <a:ext cx="7096125" cy="962025"/>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ven los datos (dados por Sven) de la intensidad lumínica en La Escollera en distintas épocas del año, estos datos se transforman de lux a irradiancia de acuerdo a la equivalencia que se encuentra más abajo(también hay un paper anexado en la carpeta). Se calculan valores promedios y valores mínimo, el valor mínimo se usa en adelante para el cálculo del panel solar. Hay que considerar la información que brinda Sven respecto de las sombras (amarillo)</a:t>
          </a:r>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323849</xdr:colOff>
      <xdr:row>1</xdr:row>
      <xdr:rowOff>72066</xdr:rowOff>
    </xdr:from>
    <xdr:to>
      <xdr:col>10</xdr:col>
      <xdr:colOff>164279</xdr:colOff>
      <xdr:row>7</xdr:row>
      <xdr:rowOff>47625</xdr:rowOff>
    </xdr:to>
    <xdr:pic>
      <xdr:nvPicPr>
        <xdr:cNvPr id="2" name="Imagen 1">
          <a:extLst>
            <a:ext uri="{FF2B5EF4-FFF2-40B4-BE49-F238E27FC236}">
              <a16:creationId xmlns:a16="http://schemas.microsoft.com/office/drawing/2014/main" id="{E5366428-451B-4297-BE4F-9FEA9FFB107C}"/>
            </a:ext>
          </a:extLst>
        </xdr:cNvPr>
        <xdr:cNvPicPr>
          <a:picLocks noChangeAspect="1"/>
        </xdr:cNvPicPr>
      </xdr:nvPicPr>
      <xdr:blipFill>
        <a:blip xmlns:r="http://schemas.openxmlformats.org/officeDocument/2006/relationships" r:embed="rId1"/>
        <a:stretch>
          <a:fillRect/>
        </a:stretch>
      </xdr:blipFill>
      <xdr:spPr>
        <a:xfrm>
          <a:off x="6343649" y="281616"/>
          <a:ext cx="3650430" cy="1128084"/>
        </a:xfrm>
        <a:prstGeom prst="rect">
          <a:avLst/>
        </a:prstGeom>
      </xdr:spPr>
    </xdr:pic>
    <xdr:clientData/>
  </xdr:twoCellAnchor>
  <xdr:twoCellAnchor editAs="oneCell">
    <xdr:from>
      <xdr:col>8</xdr:col>
      <xdr:colOff>482628</xdr:colOff>
      <xdr:row>7</xdr:row>
      <xdr:rowOff>93385</xdr:rowOff>
    </xdr:from>
    <xdr:to>
      <xdr:col>12</xdr:col>
      <xdr:colOff>380295</xdr:colOff>
      <xdr:row>18</xdr:row>
      <xdr:rowOff>142876</xdr:rowOff>
    </xdr:to>
    <xdr:pic>
      <xdr:nvPicPr>
        <xdr:cNvPr id="3" name="Imagen 2">
          <a:extLst>
            <a:ext uri="{FF2B5EF4-FFF2-40B4-BE49-F238E27FC236}">
              <a16:creationId xmlns:a16="http://schemas.microsoft.com/office/drawing/2014/main" id="{70F53B6C-DEC9-43D2-B88A-A7783D15929E}"/>
            </a:ext>
          </a:extLst>
        </xdr:cNvPr>
        <xdr:cNvPicPr>
          <a:picLocks noChangeAspect="1"/>
        </xdr:cNvPicPr>
      </xdr:nvPicPr>
      <xdr:blipFill>
        <a:blip xmlns:r="http://schemas.openxmlformats.org/officeDocument/2006/relationships" r:embed="rId2"/>
        <a:stretch>
          <a:fillRect/>
        </a:stretch>
      </xdr:blipFill>
      <xdr:spPr>
        <a:xfrm>
          <a:off x="8788428" y="1455460"/>
          <a:ext cx="2945667" cy="2154516"/>
        </a:xfrm>
        <a:prstGeom prst="rect">
          <a:avLst/>
        </a:prstGeom>
      </xdr:spPr>
    </xdr:pic>
    <xdr:clientData/>
  </xdr:twoCellAnchor>
  <xdr:twoCellAnchor editAs="oneCell">
    <xdr:from>
      <xdr:col>2</xdr:col>
      <xdr:colOff>714375</xdr:colOff>
      <xdr:row>10</xdr:row>
      <xdr:rowOff>1054</xdr:rowOff>
    </xdr:from>
    <xdr:to>
      <xdr:col>8</xdr:col>
      <xdr:colOff>219075</xdr:colOff>
      <xdr:row>21</xdr:row>
      <xdr:rowOff>118637</xdr:rowOff>
    </xdr:to>
    <xdr:pic>
      <xdr:nvPicPr>
        <xdr:cNvPr id="5" name="Imagen 4">
          <a:extLst>
            <a:ext uri="{FF2B5EF4-FFF2-40B4-BE49-F238E27FC236}">
              <a16:creationId xmlns:a16="http://schemas.microsoft.com/office/drawing/2014/main" id="{8397559F-3788-43BF-860C-B3174F7876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95650" y="1934629"/>
          <a:ext cx="5229225" cy="2213083"/>
        </a:xfrm>
        <a:prstGeom prst="rect">
          <a:avLst/>
        </a:prstGeom>
      </xdr:spPr>
    </xdr:pic>
    <xdr:clientData/>
  </xdr:twoCellAnchor>
  <xdr:twoCellAnchor>
    <xdr:from>
      <xdr:col>0</xdr:col>
      <xdr:colOff>47625</xdr:colOff>
      <xdr:row>8</xdr:row>
      <xdr:rowOff>95249</xdr:rowOff>
    </xdr:from>
    <xdr:to>
      <xdr:col>2</xdr:col>
      <xdr:colOff>666750</xdr:colOff>
      <xdr:row>22</xdr:row>
      <xdr:rowOff>190499</xdr:rowOff>
    </xdr:to>
    <xdr:sp macro="" textlink="">
      <xdr:nvSpPr>
        <xdr:cNvPr id="7" name="CuadroTexto 6">
          <a:extLst>
            <a:ext uri="{FF2B5EF4-FFF2-40B4-BE49-F238E27FC236}">
              <a16:creationId xmlns:a16="http://schemas.microsoft.com/office/drawing/2014/main" id="{5494BD93-55FD-44CE-9489-E4846F4F6472}"/>
            </a:ext>
          </a:extLst>
        </xdr:cNvPr>
        <xdr:cNvSpPr txBox="1"/>
      </xdr:nvSpPr>
      <xdr:spPr>
        <a:xfrm>
          <a:off x="47625" y="1647824"/>
          <a:ext cx="32004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Se calcula la potencia fotovoltaica</a:t>
          </a:r>
          <a:r>
            <a:rPr lang="es-CO" sz="1100" baseline="0"/>
            <a:t> necesaria para el panel solar basado en el consumo diario de la boya (azul) y la irradiación mínima (verde) obtenida de los cálculos de luz en 'Luz Escollera solsticios'. </a:t>
          </a:r>
        </a:p>
        <a:p>
          <a:r>
            <a:rPr lang="es-CO" sz="1100" baseline="0"/>
            <a:t>Finalmente se elige un valor tentativo de panel solar(rojo) buscando valores de mercado.</a:t>
          </a:r>
        </a:p>
        <a:p>
          <a:endParaRPr lang="es-CO" sz="1100" baseline="0"/>
        </a:p>
        <a:p>
          <a:r>
            <a:rPr lang="es-CO" sz="1100" baseline="0"/>
            <a:t>Se añade información sobre la orientación del panel y sobre la irradiación en Santa Marta que se encuentra en la página del IDEAM, aunque también hay otros recursos (anexados en la carpeta) que concuerdan con el valor del IDEAM. Como se ve el mínimo es bastante menor al promedio de 5,5</a:t>
          </a:r>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10</xdr:row>
      <xdr:rowOff>38100</xdr:rowOff>
    </xdr:from>
    <xdr:to>
      <xdr:col>3</xdr:col>
      <xdr:colOff>857250</xdr:colOff>
      <xdr:row>25</xdr:row>
      <xdr:rowOff>76200</xdr:rowOff>
    </xdr:to>
    <xdr:sp macro="" textlink="">
      <xdr:nvSpPr>
        <xdr:cNvPr id="2" name="CuadroTexto 1">
          <a:extLst>
            <a:ext uri="{FF2B5EF4-FFF2-40B4-BE49-F238E27FC236}">
              <a16:creationId xmlns:a16="http://schemas.microsoft.com/office/drawing/2014/main" id="{6695A6F2-7EF5-40C2-9965-1015FDF67696}"/>
            </a:ext>
          </a:extLst>
        </xdr:cNvPr>
        <xdr:cNvSpPr txBox="1"/>
      </xdr:nvSpPr>
      <xdr:spPr>
        <a:xfrm>
          <a:off x="38100" y="2124075"/>
          <a:ext cx="3324225"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modela el comportamiento de la batería para 3 días en 3 escenarios distintos </a:t>
          </a:r>
          <a:r>
            <a:rPr lang="es-CO" sz="1100" baseline="0">
              <a:solidFill>
                <a:schemeClr val="dk1"/>
              </a:solidFill>
              <a:effectLst/>
              <a:latin typeface="+mn-lt"/>
              <a:ea typeface="+mn-ea"/>
              <a:cs typeface="+mn-cs"/>
            </a:rPr>
            <a:t>de distribución solar</a:t>
          </a:r>
          <a:r>
            <a:rPr lang="es-CO" sz="1100" baseline="0"/>
            <a:t>, en cada cuadro se ve el valor de puntual de potencia que le queda a la batería, si está en color rojo significa que se descargó.</a:t>
          </a:r>
        </a:p>
        <a:p>
          <a:r>
            <a:rPr lang="es-CO" sz="1100" b="1" baseline="0"/>
            <a:t>Escenarios</a:t>
          </a:r>
          <a:r>
            <a:rPr lang="es-CO" sz="1100" baseline="0"/>
            <a:t>: en el primero(verde) se asume que toda la potencia entregada por el panel solar ocurre entre las 10 a.m. y la 1:30 p.m. aproximandose a las 3,3 horas solares mínimas que se asumían. Este escenario solo funciona con una batería de </a:t>
          </a:r>
          <a:r>
            <a:rPr lang="es-CO" sz="1100" u="sng" baseline="0">
              <a:solidFill>
                <a:srgbClr val="FF0000"/>
              </a:solidFill>
            </a:rPr>
            <a:t>7Ah</a:t>
          </a:r>
          <a:r>
            <a:rPr lang="es-CO" sz="1100" baseline="0"/>
            <a:t> o más sin importar el valor del panel solar como se mencionó en la pestaña 'Cálculos baterías'.</a:t>
          </a:r>
        </a:p>
        <a:p>
          <a:r>
            <a:rPr lang="es-CO" sz="1100" baseline="0"/>
            <a:t>Para el escenario azul se asume el doble de tiempo (de 8:30 a.m. a 3 p.m.) con la mitad de poder entregado por el panel. Para el último caso (naranja) se asume el tríple de tiempo y un tercio de la potencia.</a:t>
          </a:r>
          <a:endParaRPr lang="es-CO"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os%20de%20luz%20para%20p&#225;neles%20solares/Luz%20Escollera%20solsticios%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B6">
            <v>44183</v>
          </cell>
          <cell r="F6" t="str">
            <v>Promedio</v>
          </cell>
          <cell r="G6" t="str">
            <v>Irradiancia
[W/m2)</v>
          </cell>
        </row>
        <row r="7">
          <cell r="A7">
            <v>44183.229166666664</v>
          </cell>
          <cell r="B7">
            <v>10.8</v>
          </cell>
          <cell r="C7">
            <v>21.5</v>
          </cell>
          <cell r="D7">
            <v>96.9</v>
          </cell>
          <cell r="E7">
            <v>0</v>
          </cell>
          <cell r="F7">
            <v>32.299999999999997</v>
          </cell>
          <cell r="G7">
            <v>0.26916666666666667</v>
          </cell>
        </row>
        <row r="8">
          <cell r="A8">
            <v>44183.25</v>
          </cell>
          <cell r="B8">
            <v>64.600000000000009</v>
          </cell>
          <cell r="C8">
            <v>301.40000000000003</v>
          </cell>
          <cell r="D8">
            <v>1980.6000000000001</v>
          </cell>
          <cell r="E8">
            <v>1141</v>
          </cell>
          <cell r="F8">
            <v>871.90000000000009</v>
          </cell>
          <cell r="G8">
            <v>7.265833333333334</v>
          </cell>
        </row>
        <row r="9">
          <cell r="A9">
            <v>44183.270833333336</v>
          </cell>
          <cell r="B9">
            <v>430.6</v>
          </cell>
          <cell r="C9">
            <v>1324</v>
          </cell>
          <cell r="D9">
            <v>4477.8</v>
          </cell>
          <cell r="E9">
            <v>3272.2000000000003</v>
          </cell>
          <cell r="F9">
            <v>2376.15</v>
          </cell>
          <cell r="G9">
            <v>19.80125</v>
          </cell>
        </row>
        <row r="10">
          <cell r="A10">
            <v>44183.291666666664</v>
          </cell>
          <cell r="B10">
            <v>1001</v>
          </cell>
          <cell r="C10">
            <v>12400.1</v>
          </cell>
          <cell r="D10">
            <v>19289</v>
          </cell>
          <cell r="E10">
            <v>20666.800000000003</v>
          </cell>
          <cell r="F10">
            <v>13339.225</v>
          </cell>
          <cell r="G10">
            <v>111.16020833333333</v>
          </cell>
        </row>
        <row r="11">
          <cell r="A11">
            <v>44183.3125</v>
          </cell>
          <cell r="B11">
            <v>2411.1</v>
          </cell>
          <cell r="C11">
            <v>22044.600000000002</v>
          </cell>
          <cell r="D11">
            <v>33066.9</v>
          </cell>
          <cell r="E11">
            <v>35822.5</v>
          </cell>
          <cell r="F11">
            <v>23336.275000000001</v>
          </cell>
          <cell r="G11">
            <v>194.46895833333335</v>
          </cell>
        </row>
        <row r="12">
          <cell r="A12">
            <v>44183.333333333336</v>
          </cell>
          <cell r="B12">
            <v>17222.3</v>
          </cell>
          <cell r="C12">
            <v>27555.7</v>
          </cell>
          <cell r="D12">
            <v>46844.800000000003</v>
          </cell>
          <cell r="E12">
            <v>49600.3</v>
          </cell>
          <cell r="F12">
            <v>35305.775000000001</v>
          </cell>
          <cell r="G12">
            <v>294.21479166666666</v>
          </cell>
        </row>
        <row r="13">
          <cell r="A13">
            <v>44183.354166666664</v>
          </cell>
          <cell r="B13">
            <v>41333.600000000006</v>
          </cell>
          <cell r="C13">
            <v>37200.200000000004</v>
          </cell>
          <cell r="D13">
            <v>55111.5</v>
          </cell>
          <cell r="E13">
            <v>66133.8</v>
          </cell>
          <cell r="F13">
            <v>49944.775000000009</v>
          </cell>
          <cell r="G13">
            <v>416.20645833333339</v>
          </cell>
        </row>
        <row r="14">
          <cell r="A14">
            <v>44183.375</v>
          </cell>
          <cell r="B14">
            <v>38578</v>
          </cell>
          <cell r="C14">
            <v>44089.200000000004</v>
          </cell>
          <cell r="D14">
            <v>19977.900000000001</v>
          </cell>
          <cell r="E14">
            <v>79911.600000000006</v>
          </cell>
          <cell r="F14">
            <v>45639.175000000003</v>
          </cell>
          <cell r="G14">
            <v>380.32645833333333</v>
          </cell>
        </row>
        <row r="15">
          <cell r="A15">
            <v>44183.395833333336</v>
          </cell>
          <cell r="B15">
            <v>57867</v>
          </cell>
          <cell r="C15">
            <v>52355.9</v>
          </cell>
          <cell r="D15">
            <v>77156.100000000006</v>
          </cell>
          <cell r="E15">
            <v>93689.5</v>
          </cell>
          <cell r="F15">
            <v>70267.125</v>
          </cell>
          <cell r="G15">
            <v>585.55937500000005</v>
          </cell>
        </row>
        <row r="16">
          <cell r="A16">
            <v>44183.416666666664</v>
          </cell>
          <cell r="B16">
            <v>68889.3</v>
          </cell>
          <cell r="C16">
            <v>66133.8</v>
          </cell>
          <cell r="D16">
            <v>82667.200000000012</v>
          </cell>
          <cell r="E16">
            <v>115734.1</v>
          </cell>
          <cell r="F16">
            <v>83356.100000000006</v>
          </cell>
          <cell r="G16">
            <v>694.63416666666672</v>
          </cell>
        </row>
        <row r="17">
          <cell r="A17">
            <v>44183.4375</v>
          </cell>
          <cell r="B17">
            <v>74400.5</v>
          </cell>
          <cell r="C17">
            <v>85422.8</v>
          </cell>
          <cell r="D17">
            <v>85422.8</v>
          </cell>
          <cell r="E17">
            <v>115734.1</v>
          </cell>
          <cell r="F17">
            <v>90245.049999999988</v>
          </cell>
          <cell r="G17">
            <v>752.04208333333327</v>
          </cell>
        </row>
        <row r="18">
          <cell r="A18">
            <v>44183.458333333336</v>
          </cell>
          <cell r="B18">
            <v>99200.700000000012</v>
          </cell>
          <cell r="C18">
            <v>7233.4000000000005</v>
          </cell>
          <cell r="D18">
            <v>82667.200000000012</v>
          </cell>
          <cell r="E18">
            <v>121245.20000000001</v>
          </cell>
          <cell r="F18">
            <v>77586.625</v>
          </cell>
          <cell r="G18">
            <v>646.55520833333333</v>
          </cell>
        </row>
        <row r="19">
          <cell r="A19">
            <v>44183.479166666664</v>
          </cell>
          <cell r="B19">
            <v>88178.400000000009</v>
          </cell>
          <cell r="C19">
            <v>5511.1</v>
          </cell>
          <cell r="D19">
            <v>10333.400000000001</v>
          </cell>
          <cell r="E19">
            <v>115734.1</v>
          </cell>
          <cell r="F19">
            <v>54939.250000000007</v>
          </cell>
          <cell r="G19">
            <v>457.82708333333341</v>
          </cell>
        </row>
        <row r="20">
          <cell r="A20">
            <v>44183.5</v>
          </cell>
          <cell r="B20">
            <v>99200.700000000012</v>
          </cell>
          <cell r="C20">
            <v>4994.5</v>
          </cell>
          <cell r="D20">
            <v>6544.5</v>
          </cell>
          <cell r="E20">
            <v>8266.7000000000007</v>
          </cell>
          <cell r="F20">
            <v>29751.600000000002</v>
          </cell>
          <cell r="G20">
            <v>247.93</v>
          </cell>
        </row>
        <row r="21">
          <cell r="A21">
            <v>44183.520833333336</v>
          </cell>
          <cell r="B21">
            <v>99200.700000000012</v>
          </cell>
          <cell r="C21">
            <v>4650</v>
          </cell>
          <cell r="D21">
            <v>5166.7000000000007</v>
          </cell>
          <cell r="E21">
            <v>6544.5</v>
          </cell>
          <cell r="F21">
            <v>28890.475000000002</v>
          </cell>
          <cell r="G21">
            <v>240.75395833333334</v>
          </cell>
        </row>
        <row r="22">
          <cell r="A22">
            <v>44183.541666666664</v>
          </cell>
          <cell r="B22">
            <v>66133.8</v>
          </cell>
          <cell r="C22">
            <v>3961.1000000000004</v>
          </cell>
          <cell r="D22">
            <v>5166.7000000000007</v>
          </cell>
          <cell r="E22">
            <v>5511.1</v>
          </cell>
          <cell r="F22">
            <v>20193.175000000003</v>
          </cell>
          <cell r="G22">
            <v>168.27645833333335</v>
          </cell>
        </row>
        <row r="23">
          <cell r="A23">
            <v>44183.5625</v>
          </cell>
          <cell r="B23">
            <v>4133.4000000000005</v>
          </cell>
          <cell r="C23">
            <v>3272.2000000000003</v>
          </cell>
          <cell r="D23">
            <v>5511.1</v>
          </cell>
          <cell r="E23">
            <v>13777.900000000001</v>
          </cell>
          <cell r="F23">
            <v>6673.6500000000005</v>
          </cell>
          <cell r="G23">
            <v>55.613750000000003</v>
          </cell>
        </row>
        <row r="24">
          <cell r="A24">
            <v>44183.583333333336</v>
          </cell>
          <cell r="B24">
            <v>2497.2000000000003</v>
          </cell>
          <cell r="C24">
            <v>2927.8</v>
          </cell>
          <cell r="D24">
            <v>13777.900000000001</v>
          </cell>
          <cell r="E24">
            <v>9644.5</v>
          </cell>
          <cell r="F24">
            <v>7211.85</v>
          </cell>
          <cell r="G24">
            <v>60.098750000000003</v>
          </cell>
        </row>
        <row r="25">
          <cell r="A25">
            <v>44183.604166666664</v>
          </cell>
          <cell r="B25">
            <v>2152.8000000000002</v>
          </cell>
          <cell r="C25">
            <v>2411.1</v>
          </cell>
          <cell r="D25">
            <v>15844.5</v>
          </cell>
          <cell r="E25">
            <v>2066.7000000000003</v>
          </cell>
          <cell r="F25">
            <v>5618.7750000000005</v>
          </cell>
          <cell r="G25">
            <v>46.823125000000005</v>
          </cell>
        </row>
        <row r="26">
          <cell r="A26">
            <v>44183.625</v>
          </cell>
          <cell r="B26">
            <v>1636.1000000000001</v>
          </cell>
          <cell r="C26">
            <v>2152.8000000000002</v>
          </cell>
          <cell r="D26">
            <v>8266.7000000000007</v>
          </cell>
          <cell r="E26">
            <v>3616.7000000000003</v>
          </cell>
          <cell r="F26">
            <v>3918.0750000000007</v>
          </cell>
          <cell r="G26">
            <v>32.650625000000005</v>
          </cell>
        </row>
        <row r="27">
          <cell r="A27">
            <v>44183.645833333336</v>
          </cell>
          <cell r="B27">
            <v>1550</v>
          </cell>
          <cell r="C27">
            <v>2411.1</v>
          </cell>
          <cell r="D27">
            <v>2927.8</v>
          </cell>
          <cell r="E27">
            <v>1722.2</v>
          </cell>
          <cell r="F27">
            <v>2152.7750000000001</v>
          </cell>
          <cell r="G27">
            <v>17.939791666666668</v>
          </cell>
        </row>
        <row r="28">
          <cell r="A28">
            <v>44183.666666666664</v>
          </cell>
          <cell r="B28">
            <v>2152.8000000000002</v>
          </cell>
          <cell r="C28">
            <v>2066.7000000000003</v>
          </cell>
          <cell r="D28">
            <v>2669.5</v>
          </cell>
          <cell r="E28">
            <v>1463.9</v>
          </cell>
          <cell r="F28">
            <v>2088.2249999999999</v>
          </cell>
          <cell r="G28">
            <v>17.401875</v>
          </cell>
        </row>
        <row r="29">
          <cell r="A29">
            <v>44183.6875</v>
          </cell>
          <cell r="B29">
            <v>2066.7000000000003</v>
          </cell>
          <cell r="C29">
            <v>1808.3000000000002</v>
          </cell>
          <cell r="D29">
            <v>6544.5</v>
          </cell>
          <cell r="E29">
            <v>1334.7</v>
          </cell>
          <cell r="F29">
            <v>2938.55</v>
          </cell>
          <cell r="G29">
            <v>24.487916666666667</v>
          </cell>
        </row>
        <row r="30">
          <cell r="A30">
            <v>44183.708333333336</v>
          </cell>
          <cell r="B30">
            <v>764.2</v>
          </cell>
          <cell r="C30">
            <v>1550</v>
          </cell>
          <cell r="D30">
            <v>5511.1</v>
          </cell>
          <cell r="E30">
            <v>721.2</v>
          </cell>
          <cell r="F30">
            <v>2136.625</v>
          </cell>
          <cell r="G30">
            <v>17.805208333333333</v>
          </cell>
        </row>
        <row r="31">
          <cell r="A31">
            <v>44183.729166666664</v>
          </cell>
          <cell r="B31">
            <v>236.8</v>
          </cell>
          <cell r="C31">
            <v>1033.3</v>
          </cell>
          <cell r="D31">
            <v>2755.6000000000004</v>
          </cell>
          <cell r="E31">
            <v>322.90000000000003</v>
          </cell>
          <cell r="F31">
            <v>1087.1500000000001</v>
          </cell>
          <cell r="G31">
            <v>9.0595833333333342</v>
          </cell>
        </row>
        <row r="32">
          <cell r="A32">
            <v>44183.75</v>
          </cell>
          <cell r="B32">
            <v>21.5</v>
          </cell>
          <cell r="C32">
            <v>290.60000000000002</v>
          </cell>
          <cell r="D32">
            <v>1108.7</v>
          </cell>
          <cell r="E32">
            <v>0</v>
          </cell>
          <cell r="F32">
            <v>355.20000000000005</v>
          </cell>
          <cell r="G32">
            <v>2.9600000000000004</v>
          </cell>
        </row>
        <row r="33">
          <cell r="A33">
            <v>44183.770833333336</v>
          </cell>
          <cell r="B33">
            <v>21.5</v>
          </cell>
          <cell r="C33">
            <v>21.5</v>
          </cell>
          <cell r="D33">
            <v>21.5</v>
          </cell>
          <cell r="E33">
            <v>0</v>
          </cell>
          <cell r="F33">
            <v>16.125</v>
          </cell>
          <cell r="G33">
            <v>0.13437499999999999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16"/>
  <sheetViews>
    <sheetView zoomScaleNormal="100" workbookViewId="0">
      <selection activeCell="G17" sqref="G17"/>
    </sheetView>
  </sheetViews>
  <sheetFormatPr baseColWidth="10" defaultColWidth="9.140625" defaultRowHeight="15" x14ac:dyDescent="0.25"/>
  <cols>
    <col min="1" max="1" width="24" customWidth="1"/>
    <col min="2" max="2" width="8.85546875" customWidth="1"/>
    <col min="7" max="7" width="12.28515625" customWidth="1"/>
    <col min="8" max="8" width="13.5703125" customWidth="1"/>
    <col min="12" max="12" width="15.28515625" customWidth="1"/>
  </cols>
  <sheetData>
    <row r="2" spans="1:13" x14ac:dyDescent="0.25">
      <c r="E2" s="2"/>
      <c r="F2" s="2" t="s">
        <v>9</v>
      </c>
      <c r="G2" s="2" t="s">
        <v>10</v>
      </c>
      <c r="H2" s="2" t="s">
        <v>12</v>
      </c>
    </row>
    <row r="3" spans="1:13" ht="18" x14ac:dyDescent="0.35">
      <c r="A3" s="2" t="s">
        <v>0</v>
      </c>
      <c r="B3" s="2">
        <f>H3</f>
        <v>103.60000000000001</v>
      </c>
      <c r="E3" s="2" t="s">
        <v>2</v>
      </c>
      <c r="F3" s="2">
        <v>14.8</v>
      </c>
      <c r="G3" s="2">
        <v>7</v>
      </c>
      <c r="H3" s="2">
        <f>F3*G3</f>
        <v>103.60000000000001</v>
      </c>
      <c r="J3" s="81" t="s">
        <v>50</v>
      </c>
      <c r="K3" s="81" t="s">
        <v>51</v>
      </c>
      <c r="L3" s="82" t="s">
        <v>52</v>
      </c>
      <c r="M3" s="81" t="s">
        <v>53</v>
      </c>
    </row>
    <row r="4" spans="1:13" x14ac:dyDescent="0.25">
      <c r="A4" s="3" t="s">
        <v>14</v>
      </c>
      <c r="B4" s="3">
        <f>H13</f>
        <v>1.3324</v>
      </c>
      <c r="J4" s="81">
        <v>12</v>
      </c>
      <c r="K4" s="81">
        <v>0</v>
      </c>
      <c r="L4" s="81">
        <f>$B$4</f>
        <v>1.3324</v>
      </c>
      <c r="M4" s="81">
        <f>(J4*K4)/L4</f>
        <v>0</v>
      </c>
    </row>
    <row r="5" spans="1:13" x14ac:dyDescent="0.25">
      <c r="A5" s="25" t="s">
        <v>1</v>
      </c>
      <c r="B5" s="25">
        <f>B3/B4</f>
        <v>77.754428099669767</v>
      </c>
      <c r="E5" s="1"/>
      <c r="F5" s="1" t="s">
        <v>9</v>
      </c>
      <c r="G5" s="1" t="s">
        <v>11</v>
      </c>
      <c r="H5" s="1" t="s">
        <v>54</v>
      </c>
      <c r="J5" s="81">
        <v>12</v>
      </c>
      <c r="K5" s="81">
        <v>1</v>
      </c>
      <c r="L5" s="81">
        <f t="shared" ref="L5:L16" si="0">$B$4</f>
        <v>1.3324</v>
      </c>
      <c r="M5" s="81">
        <f t="shared" ref="M5:M16" si="1">(J5*K5)/L5</f>
        <v>9.006304413089163</v>
      </c>
    </row>
    <row r="6" spans="1:13" ht="18" x14ac:dyDescent="0.35">
      <c r="E6" s="1" t="s">
        <v>3</v>
      </c>
      <c r="F6" s="1">
        <v>12</v>
      </c>
      <c r="G6" s="1">
        <v>0.05</v>
      </c>
      <c r="H6" s="1">
        <f>F6*G6</f>
        <v>0.60000000000000009</v>
      </c>
      <c r="J6" s="81">
        <v>12</v>
      </c>
      <c r="K6" s="81">
        <v>2</v>
      </c>
      <c r="L6" s="81">
        <f t="shared" si="0"/>
        <v>1.3324</v>
      </c>
      <c r="M6" s="81">
        <f t="shared" si="1"/>
        <v>18.012608826178326</v>
      </c>
    </row>
    <row r="7" spans="1:13" ht="18" x14ac:dyDescent="0.35">
      <c r="E7" s="1" t="s">
        <v>4</v>
      </c>
      <c r="F7" s="1">
        <v>12</v>
      </c>
      <c r="G7" s="1">
        <v>0.05</v>
      </c>
      <c r="H7" s="1">
        <f t="shared" ref="H7:H9" si="2">F7*G7</f>
        <v>0.60000000000000009</v>
      </c>
      <c r="J7" s="81">
        <v>12</v>
      </c>
      <c r="K7" s="81">
        <v>3</v>
      </c>
      <c r="L7" s="81">
        <f t="shared" si="0"/>
        <v>1.3324</v>
      </c>
      <c r="M7" s="81">
        <f t="shared" si="1"/>
        <v>27.018913239267487</v>
      </c>
    </row>
    <row r="8" spans="1:13" ht="18" x14ac:dyDescent="0.35">
      <c r="E8" s="1" t="s">
        <v>5</v>
      </c>
      <c r="F8" s="1">
        <v>5</v>
      </c>
      <c r="G8" s="1">
        <v>1.4E-2</v>
      </c>
      <c r="H8" s="1">
        <f t="shared" si="2"/>
        <v>7.0000000000000007E-2</v>
      </c>
      <c r="J8" s="81">
        <v>12</v>
      </c>
      <c r="K8" s="81">
        <v>4</v>
      </c>
      <c r="L8" s="81">
        <f t="shared" si="0"/>
        <v>1.3324</v>
      </c>
      <c r="M8" s="81">
        <f t="shared" si="1"/>
        <v>36.025217652356652</v>
      </c>
    </row>
    <row r="9" spans="1:13" ht="18" x14ac:dyDescent="0.35">
      <c r="E9" s="1" t="s">
        <v>6</v>
      </c>
      <c r="F9" s="1">
        <v>5</v>
      </c>
      <c r="G9" s="1">
        <v>5.0000000000000001E-4</v>
      </c>
      <c r="H9" s="1">
        <f t="shared" si="2"/>
        <v>2.5000000000000001E-3</v>
      </c>
      <c r="J9" s="81">
        <v>12</v>
      </c>
      <c r="K9" s="81">
        <v>5</v>
      </c>
      <c r="L9" s="81">
        <f t="shared" si="0"/>
        <v>1.3324</v>
      </c>
      <c r="M9" s="81">
        <f t="shared" si="1"/>
        <v>45.031522065445813</v>
      </c>
    </row>
    <row r="10" spans="1:13" ht="18" x14ac:dyDescent="0.35">
      <c r="E10" s="1" t="s">
        <v>6</v>
      </c>
      <c r="F10" s="1">
        <v>5</v>
      </c>
      <c r="G10" s="1">
        <v>5.0000000000000001E-4</v>
      </c>
      <c r="H10" s="1">
        <f t="shared" ref="H10" si="3">F10*G10</f>
        <v>2.5000000000000001E-3</v>
      </c>
      <c r="J10" s="81">
        <v>12</v>
      </c>
      <c r="K10" s="81">
        <v>6</v>
      </c>
      <c r="L10" s="81">
        <f t="shared" si="0"/>
        <v>1.3324</v>
      </c>
      <c r="M10" s="81">
        <f t="shared" si="1"/>
        <v>54.037826478534974</v>
      </c>
    </row>
    <row r="11" spans="1:13" ht="18" x14ac:dyDescent="0.35">
      <c r="E11" s="1" t="s">
        <v>7</v>
      </c>
      <c r="F11" s="1">
        <f>12-5</f>
        <v>7</v>
      </c>
      <c r="G11" s="1">
        <v>5.0000000000000001E-3</v>
      </c>
      <c r="H11" s="1">
        <f>F11*G11</f>
        <v>3.5000000000000003E-2</v>
      </c>
      <c r="J11" s="92">
        <v>12</v>
      </c>
      <c r="K11" s="92">
        <v>7</v>
      </c>
      <c r="L11" s="92">
        <f t="shared" si="0"/>
        <v>1.3324</v>
      </c>
      <c r="M11" s="92">
        <f t="shared" si="1"/>
        <v>63.044130891624135</v>
      </c>
    </row>
    <row r="12" spans="1:13" ht="18" x14ac:dyDescent="0.35">
      <c r="E12" s="1" t="s">
        <v>8</v>
      </c>
      <c r="F12" s="1">
        <f>14.8-12</f>
        <v>2.8000000000000007</v>
      </c>
      <c r="G12" s="1">
        <v>8.0000000000000002E-3</v>
      </c>
      <c r="H12" s="1">
        <f>F12*G12</f>
        <v>2.2400000000000007E-2</v>
      </c>
      <c r="J12" s="93">
        <v>12</v>
      </c>
      <c r="K12" s="93">
        <v>8</v>
      </c>
      <c r="L12" s="93">
        <f t="shared" si="0"/>
        <v>1.3324</v>
      </c>
      <c r="M12" s="93">
        <f t="shared" si="1"/>
        <v>72.050435304713304</v>
      </c>
    </row>
    <row r="13" spans="1:13" x14ac:dyDescent="0.25">
      <c r="E13" s="1" t="s">
        <v>13</v>
      </c>
      <c r="F13" s="1"/>
      <c r="G13" s="1"/>
      <c r="H13" s="1">
        <f>SUM(H6:H12)</f>
        <v>1.3324</v>
      </c>
      <c r="J13" s="81">
        <v>12</v>
      </c>
      <c r="K13" s="81">
        <v>9</v>
      </c>
      <c r="L13" s="81">
        <f t="shared" si="0"/>
        <v>1.3324</v>
      </c>
      <c r="M13" s="81">
        <f t="shared" si="1"/>
        <v>81.056739717802458</v>
      </c>
    </row>
    <row r="14" spans="1:13" x14ac:dyDescent="0.25">
      <c r="J14" s="81">
        <v>12</v>
      </c>
      <c r="K14" s="81">
        <v>10</v>
      </c>
      <c r="L14" s="81">
        <f t="shared" si="0"/>
        <v>1.3324</v>
      </c>
      <c r="M14" s="81">
        <f t="shared" si="1"/>
        <v>90.063044130891626</v>
      </c>
    </row>
    <row r="15" spans="1:13" x14ac:dyDescent="0.25">
      <c r="J15" s="81">
        <v>12</v>
      </c>
      <c r="K15" s="81">
        <v>11</v>
      </c>
      <c r="L15" s="81">
        <f t="shared" si="0"/>
        <v>1.3324</v>
      </c>
      <c r="M15" s="81">
        <f t="shared" si="1"/>
        <v>99.06934854398078</v>
      </c>
    </row>
    <row r="16" spans="1:13" x14ac:dyDescent="0.25">
      <c r="J16" s="81">
        <v>12</v>
      </c>
      <c r="K16" s="81">
        <v>12</v>
      </c>
      <c r="L16" s="81">
        <f t="shared" si="0"/>
        <v>1.3324</v>
      </c>
      <c r="M16" s="81">
        <f t="shared" si="1"/>
        <v>108.07565295706995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5281-9702-46CB-9E50-B1711894D123}">
  <dimension ref="A1:F12"/>
  <sheetViews>
    <sheetView zoomScale="90" zoomScaleNormal="90" workbookViewId="0">
      <selection activeCell="I10" sqref="I10"/>
    </sheetView>
  </sheetViews>
  <sheetFormatPr baseColWidth="10" defaultRowHeight="15" x14ac:dyDescent="0.25"/>
  <cols>
    <col min="3" max="3" width="22.7109375" customWidth="1"/>
    <col min="4" max="4" width="22.140625" customWidth="1"/>
    <col min="5" max="5" width="24.42578125" customWidth="1"/>
    <col min="6" max="6" width="22.28515625" customWidth="1"/>
    <col min="7" max="7" width="21.28515625" customWidth="1"/>
  </cols>
  <sheetData>
    <row r="1" spans="1:6" x14ac:dyDescent="0.25">
      <c r="A1" s="1"/>
      <c r="B1" s="1" t="s">
        <v>15</v>
      </c>
      <c r="C1" s="1" t="s">
        <v>21</v>
      </c>
      <c r="D1" s="1" t="s">
        <v>23</v>
      </c>
      <c r="E1" s="1" t="s">
        <v>24</v>
      </c>
      <c r="F1" s="1" t="s">
        <v>25</v>
      </c>
    </row>
    <row r="2" spans="1:6" ht="18" x14ac:dyDescent="0.35">
      <c r="A2" s="1" t="s">
        <v>16</v>
      </c>
      <c r="B2" s="5">
        <v>1</v>
      </c>
      <c r="C2" s="5">
        <v>1</v>
      </c>
      <c r="D2" s="5">
        <v>24</v>
      </c>
      <c r="E2" s="5">
        <f>B2*C2*D2</f>
        <v>24</v>
      </c>
      <c r="F2" s="5">
        <f>B2*C2</f>
        <v>1</v>
      </c>
    </row>
    <row r="3" spans="1:6" ht="18" x14ac:dyDescent="0.35">
      <c r="A3" s="1" t="s">
        <v>17</v>
      </c>
      <c r="B3" s="5">
        <v>1</v>
      </c>
      <c r="C3" s="5">
        <v>1</v>
      </c>
      <c r="D3" s="5">
        <v>24</v>
      </c>
      <c r="E3" s="5">
        <f t="shared" ref="E3:E7" si="0">B3*C3*D3</f>
        <v>24</v>
      </c>
      <c r="F3" s="5">
        <f t="shared" ref="F3:F7" si="1">B3*C3</f>
        <v>1</v>
      </c>
    </row>
    <row r="4" spans="1:6" ht="18" x14ac:dyDescent="0.35">
      <c r="A4" s="1" t="s">
        <v>18</v>
      </c>
      <c r="B4" s="5">
        <v>1</v>
      </c>
      <c r="C4" s="5">
        <v>1</v>
      </c>
      <c r="D4" s="5">
        <v>24</v>
      </c>
      <c r="E4" s="5">
        <f t="shared" si="0"/>
        <v>24</v>
      </c>
      <c r="F4" s="5">
        <f t="shared" si="1"/>
        <v>1</v>
      </c>
    </row>
    <row r="5" spans="1:6" ht="18" x14ac:dyDescent="0.35">
      <c r="A5" s="1" t="s">
        <v>19</v>
      </c>
      <c r="B5" s="5">
        <v>2</v>
      </c>
      <c r="C5" s="5">
        <v>0.83</v>
      </c>
      <c r="D5" s="5">
        <v>24</v>
      </c>
      <c r="E5" s="5">
        <f t="shared" si="0"/>
        <v>39.839999999999996</v>
      </c>
      <c r="F5" s="5">
        <f t="shared" si="1"/>
        <v>1.66</v>
      </c>
    </row>
    <row r="6" spans="1:6" ht="18" x14ac:dyDescent="0.35">
      <c r="A6" s="1" t="s">
        <v>20</v>
      </c>
      <c r="B6" s="5">
        <v>1</v>
      </c>
      <c r="C6" s="5">
        <v>3.5000000000000003E-2</v>
      </c>
      <c r="D6" s="5">
        <v>24</v>
      </c>
      <c r="E6" s="5">
        <f t="shared" si="0"/>
        <v>0.84000000000000008</v>
      </c>
      <c r="F6" s="5">
        <f t="shared" si="1"/>
        <v>3.5000000000000003E-2</v>
      </c>
    </row>
    <row r="7" spans="1:6" ht="18" x14ac:dyDescent="0.35">
      <c r="A7" s="1" t="s">
        <v>22</v>
      </c>
      <c r="B7" s="5">
        <v>1</v>
      </c>
      <c r="C7" s="5">
        <v>2.24E-2</v>
      </c>
      <c r="D7" s="5">
        <v>24</v>
      </c>
      <c r="E7" s="5">
        <f t="shared" si="0"/>
        <v>0.53759999999999997</v>
      </c>
      <c r="F7" s="5">
        <f t="shared" si="1"/>
        <v>2.24E-2</v>
      </c>
    </row>
    <row r="8" spans="1:6" x14ac:dyDescent="0.25">
      <c r="A8" s="6" t="s">
        <v>13</v>
      </c>
      <c r="B8" s="6"/>
      <c r="C8" s="6"/>
      <c r="D8" s="6"/>
      <c r="E8" s="6">
        <f>SUM(E2:E7)</f>
        <v>113.2176</v>
      </c>
      <c r="F8" s="6">
        <f>SUM(F2:F7)</f>
        <v>4.7174000000000005</v>
      </c>
    </row>
    <row r="11" spans="1:6" x14ac:dyDescent="0.25">
      <c r="E11" s="4" t="s">
        <v>26</v>
      </c>
      <c r="F11" s="4">
        <f>E8</f>
        <v>113.2176</v>
      </c>
    </row>
    <row r="12" spans="1:6" x14ac:dyDescent="0.25">
      <c r="E12" s="4" t="s">
        <v>27</v>
      </c>
      <c r="F12" s="4">
        <f>F8</f>
        <v>4.7174000000000005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0482-0F7C-4BC8-B452-6ECB9F6F8502}">
  <dimension ref="A1:P57"/>
  <sheetViews>
    <sheetView workbookViewId="0">
      <selection activeCell="I9" sqref="I9"/>
    </sheetView>
  </sheetViews>
  <sheetFormatPr baseColWidth="10" defaultRowHeight="15" x14ac:dyDescent="0.25"/>
  <cols>
    <col min="1" max="1" width="13" bestFit="1" customWidth="1"/>
  </cols>
  <sheetData>
    <row r="1" spans="1:16" x14ac:dyDescent="0.25">
      <c r="A1" s="7" t="s">
        <v>31</v>
      </c>
    </row>
    <row r="2" spans="1:16" x14ac:dyDescent="0.25">
      <c r="A2" s="7" t="s">
        <v>32</v>
      </c>
    </row>
    <row r="3" spans="1:16" x14ac:dyDescent="0.25">
      <c r="A3" s="7" t="s">
        <v>33</v>
      </c>
    </row>
    <row r="4" spans="1:16" x14ac:dyDescent="0.25">
      <c r="A4" s="7"/>
    </row>
    <row r="5" spans="1:16" x14ac:dyDescent="0.25">
      <c r="A5" s="89" t="s">
        <v>34</v>
      </c>
      <c r="B5" s="89"/>
      <c r="C5" s="89"/>
      <c r="D5" s="89"/>
      <c r="E5" s="89"/>
      <c r="F5" s="89"/>
      <c r="G5" s="89"/>
      <c r="H5" s="89"/>
    </row>
    <row r="6" spans="1:16" ht="36.75" x14ac:dyDescent="0.25">
      <c r="A6" s="8" t="s">
        <v>35</v>
      </c>
      <c r="B6" s="9">
        <v>44183</v>
      </c>
      <c r="C6" s="9">
        <v>44281</v>
      </c>
      <c r="D6" s="9">
        <v>44360</v>
      </c>
      <c r="E6" s="9">
        <v>44464</v>
      </c>
      <c r="F6" s="10" t="s">
        <v>36</v>
      </c>
      <c r="G6" s="11" t="s">
        <v>64</v>
      </c>
      <c r="H6" s="15" t="s">
        <v>65</v>
      </c>
      <c r="I6" s="10"/>
      <c r="J6" s="10"/>
      <c r="K6" s="10"/>
      <c r="L6" s="10"/>
      <c r="M6" s="10"/>
      <c r="N6" s="10"/>
      <c r="O6" s="10"/>
      <c r="P6" s="10"/>
    </row>
    <row r="7" spans="1:16" x14ac:dyDescent="0.25">
      <c r="A7" s="19">
        <v>44183.229166666664</v>
      </c>
      <c r="B7" s="20">
        <v>10.8</v>
      </c>
      <c r="C7" s="20">
        <v>21.5</v>
      </c>
      <c r="D7" s="20">
        <v>96.9</v>
      </c>
      <c r="E7" s="20">
        <v>0</v>
      </c>
      <c r="F7" s="20">
        <f>AVERAGE(B7:E7)</f>
        <v>32.299999999999997</v>
      </c>
      <c r="G7" s="20">
        <f>F7/120</f>
        <v>0.26916666666666667</v>
      </c>
      <c r="H7" s="20">
        <f>C7/120</f>
        <v>0.17916666666666667</v>
      </c>
    </row>
    <row r="8" spans="1:16" x14ac:dyDescent="0.25">
      <c r="A8" s="19">
        <v>44183.25</v>
      </c>
      <c r="B8" s="20">
        <v>64.600000000000009</v>
      </c>
      <c r="C8" s="20">
        <v>301.40000000000003</v>
      </c>
      <c r="D8" s="20">
        <v>1980.6000000000001</v>
      </c>
      <c r="E8" s="20">
        <v>1141</v>
      </c>
      <c r="F8" s="20">
        <f t="shared" ref="F8:F33" si="0">AVERAGE(B8:E8)</f>
        <v>871.90000000000009</v>
      </c>
      <c r="G8" s="20">
        <f t="shared" ref="G8:G33" si="1">F8/120</f>
        <v>7.265833333333334</v>
      </c>
      <c r="H8" s="20">
        <f t="shared" ref="H8:H33" si="2">C8/120</f>
        <v>2.5116666666666672</v>
      </c>
    </row>
    <row r="9" spans="1:16" x14ac:dyDescent="0.25">
      <c r="A9" s="19">
        <v>44183.270833333336</v>
      </c>
      <c r="B9" s="20">
        <v>430.6</v>
      </c>
      <c r="C9" s="20">
        <v>1324</v>
      </c>
      <c r="D9" s="20">
        <v>4477.8</v>
      </c>
      <c r="E9" s="20">
        <v>3272.2000000000003</v>
      </c>
      <c r="F9" s="20">
        <f t="shared" si="0"/>
        <v>2376.15</v>
      </c>
      <c r="G9" s="20">
        <f t="shared" si="1"/>
        <v>19.80125</v>
      </c>
      <c r="H9" s="20">
        <f t="shared" si="2"/>
        <v>11.033333333333333</v>
      </c>
    </row>
    <row r="10" spans="1:16" x14ac:dyDescent="0.25">
      <c r="A10" s="19">
        <v>44183.291666666664</v>
      </c>
      <c r="B10" s="20">
        <v>1001</v>
      </c>
      <c r="C10" s="20">
        <v>12400.1</v>
      </c>
      <c r="D10" s="20">
        <v>19289</v>
      </c>
      <c r="E10" s="20">
        <v>20666.800000000003</v>
      </c>
      <c r="F10" s="20">
        <f t="shared" si="0"/>
        <v>13339.225</v>
      </c>
      <c r="G10" s="20">
        <f t="shared" si="1"/>
        <v>111.16020833333333</v>
      </c>
      <c r="H10" s="20">
        <f t="shared" si="2"/>
        <v>103.33416666666668</v>
      </c>
    </row>
    <row r="11" spans="1:16" x14ac:dyDescent="0.25">
      <c r="A11" s="19">
        <v>44183.3125</v>
      </c>
      <c r="B11" s="20">
        <v>2411.1</v>
      </c>
      <c r="C11" s="20">
        <v>22044.600000000002</v>
      </c>
      <c r="D11" s="20">
        <v>33066.9</v>
      </c>
      <c r="E11" s="20">
        <v>35822.5</v>
      </c>
      <c r="F11" s="20">
        <f t="shared" si="0"/>
        <v>23336.275000000001</v>
      </c>
      <c r="G11" s="20">
        <f t="shared" si="1"/>
        <v>194.46895833333335</v>
      </c>
      <c r="H11" s="20">
        <f t="shared" si="2"/>
        <v>183.70500000000001</v>
      </c>
    </row>
    <row r="12" spans="1:16" x14ac:dyDescent="0.25">
      <c r="A12" s="19">
        <v>44183.333333333336</v>
      </c>
      <c r="B12" s="20">
        <v>17222.3</v>
      </c>
      <c r="C12" s="20">
        <v>27555.7</v>
      </c>
      <c r="D12" s="20">
        <v>46844.800000000003</v>
      </c>
      <c r="E12" s="20">
        <v>49600.3</v>
      </c>
      <c r="F12" s="20">
        <f t="shared" si="0"/>
        <v>35305.775000000001</v>
      </c>
      <c r="G12" s="20">
        <f t="shared" si="1"/>
        <v>294.21479166666666</v>
      </c>
      <c r="H12" s="20">
        <f t="shared" si="2"/>
        <v>229.63083333333333</v>
      </c>
    </row>
    <row r="13" spans="1:16" x14ac:dyDescent="0.25">
      <c r="A13" s="19">
        <v>44183.354166666664</v>
      </c>
      <c r="B13" s="20">
        <v>41333.600000000006</v>
      </c>
      <c r="C13" s="20">
        <v>37200.200000000004</v>
      </c>
      <c r="D13" s="20">
        <v>55111.5</v>
      </c>
      <c r="E13" s="20">
        <v>66133.8</v>
      </c>
      <c r="F13" s="20">
        <f t="shared" si="0"/>
        <v>49944.775000000009</v>
      </c>
      <c r="G13" s="20">
        <f t="shared" si="1"/>
        <v>416.20645833333339</v>
      </c>
      <c r="H13" s="20">
        <f t="shared" si="2"/>
        <v>310.00166666666672</v>
      </c>
    </row>
    <row r="14" spans="1:16" x14ac:dyDescent="0.25">
      <c r="A14" s="19">
        <v>44183.375</v>
      </c>
      <c r="B14" s="20">
        <v>38578</v>
      </c>
      <c r="C14" s="20">
        <v>44089.200000000004</v>
      </c>
      <c r="D14" s="20">
        <v>19977.900000000001</v>
      </c>
      <c r="E14" s="20">
        <v>79911.600000000006</v>
      </c>
      <c r="F14" s="20">
        <f t="shared" si="0"/>
        <v>45639.175000000003</v>
      </c>
      <c r="G14" s="20">
        <f t="shared" si="1"/>
        <v>380.32645833333333</v>
      </c>
      <c r="H14" s="20">
        <f t="shared" si="2"/>
        <v>367.41</v>
      </c>
    </row>
    <row r="15" spans="1:16" x14ac:dyDescent="0.25">
      <c r="A15" s="19">
        <v>44183.395833333336</v>
      </c>
      <c r="B15" s="20">
        <v>57867</v>
      </c>
      <c r="C15" s="20">
        <v>52355.9</v>
      </c>
      <c r="D15" s="20">
        <v>77156.100000000006</v>
      </c>
      <c r="E15" s="20">
        <v>93689.5</v>
      </c>
      <c r="F15" s="20">
        <f t="shared" si="0"/>
        <v>70267.125</v>
      </c>
      <c r="G15" s="20">
        <f t="shared" si="1"/>
        <v>585.55937500000005</v>
      </c>
      <c r="H15" s="20">
        <f t="shared" si="2"/>
        <v>436.29916666666668</v>
      </c>
    </row>
    <row r="16" spans="1:16" x14ac:dyDescent="0.25">
      <c r="A16" s="19">
        <v>44183.416666666664</v>
      </c>
      <c r="B16" s="20">
        <v>68889.3</v>
      </c>
      <c r="C16" s="20">
        <v>66133.8</v>
      </c>
      <c r="D16" s="20">
        <v>82667.200000000012</v>
      </c>
      <c r="E16" s="20">
        <v>115734.1</v>
      </c>
      <c r="F16" s="20">
        <f t="shared" si="0"/>
        <v>83356.100000000006</v>
      </c>
      <c r="G16" s="20">
        <f t="shared" si="1"/>
        <v>694.63416666666672</v>
      </c>
      <c r="H16" s="20">
        <f t="shared" si="2"/>
        <v>551.11500000000001</v>
      </c>
    </row>
    <row r="17" spans="1:10" x14ac:dyDescent="0.25">
      <c r="A17" s="19">
        <v>44183.4375</v>
      </c>
      <c r="B17" s="20">
        <v>74400.5</v>
      </c>
      <c r="C17" s="20">
        <v>85422.8</v>
      </c>
      <c r="D17" s="20">
        <v>85422.8</v>
      </c>
      <c r="E17" s="20">
        <v>115734.1</v>
      </c>
      <c r="F17" s="20">
        <f t="shared" si="0"/>
        <v>90245.049999999988</v>
      </c>
      <c r="G17" s="20">
        <f t="shared" si="1"/>
        <v>752.04208333333327</v>
      </c>
      <c r="H17" s="20">
        <f t="shared" si="2"/>
        <v>711.85666666666668</v>
      </c>
    </row>
    <row r="18" spans="1:10" x14ac:dyDescent="0.25">
      <c r="A18" s="19">
        <v>44183.458333333336</v>
      </c>
      <c r="B18" s="20">
        <v>99200.700000000012</v>
      </c>
      <c r="C18" s="20">
        <v>7233.4000000000005</v>
      </c>
      <c r="D18" s="20">
        <v>82667.200000000012</v>
      </c>
      <c r="E18" s="20">
        <v>121245.20000000001</v>
      </c>
      <c r="F18" s="20">
        <f t="shared" si="0"/>
        <v>77586.625</v>
      </c>
      <c r="G18" s="20">
        <f t="shared" si="1"/>
        <v>646.55520833333333</v>
      </c>
      <c r="H18" s="20">
        <f t="shared" si="2"/>
        <v>60.278333333333336</v>
      </c>
    </row>
    <row r="19" spans="1:10" x14ac:dyDescent="0.25">
      <c r="A19" s="19">
        <v>44183.479166666664</v>
      </c>
      <c r="B19" s="20">
        <v>88178.400000000009</v>
      </c>
      <c r="C19" s="20">
        <v>5511.1</v>
      </c>
      <c r="D19" s="20">
        <v>10333.400000000001</v>
      </c>
      <c r="E19" s="20">
        <v>115734.1</v>
      </c>
      <c r="F19" s="20">
        <f t="shared" si="0"/>
        <v>54939.250000000007</v>
      </c>
      <c r="G19" s="20">
        <f t="shared" si="1"/>
        <v>457.82708333333341</v>
      </c>
      <c r="H19" s="20">
        <f t="shared" si="2"/>
        <v>45.925833333333337</v>
      </c>
    </row>
    <row r="20" spans="1:10" x14ac:dyDescent="0.25">
      <c r="A20" s="19">
        <v>44183.5</v>
      </c>
      <c r="B20" s="20">
        <v>99200.700000000012</v>
      </c>
      <c r="C20" s="20">
        <v>4994.5</v>
      </c>
      <c r="D20" s="20">
        <v>6544.5</v>
      </c>
      <c r="E20" s="20">
        <v>8266.7000000000007</v>
      </c>
      <c r="F20" s="20">
        <f t="shared" si="0"/>
        <v>29751.600000000002</v>
      </c>
      <c r="G20" s="20">
        <f t="shared" si="1"/>
        <v>247.93</v>
      </c>
      <c r="H20" s="20">
        <f t="shared" si="2"/>
        <v>41.62083333333333</v>
      </c>
    </row>
    <row r="21" spans="1:10" x14ac:dyDescent="0.25">
      <c r="A21" s="19">
        <v>44183.520833333336</v>
      </c>
      <c r="B21" s="20">
        <v>99200.700000000012</v>
      </c>
      <c r="C21" s="20">
        <v>4650</v>
      </c>
      <c r="D21" s="20">
        <v>5166.7000000000007</v>
      </c>
      <c r="E21" s="20">
        <v>6544.5</v>
      </c>
      <c r="F21" s="20">
        <f t="shared" si="0"/>
        <v>28890.475000000002</v>
      </c>
      <c r="G21" s="20">
        <f t="shared" si="1"/>
        <v>240.75395833333334</v>
      </c>
      <c r="H21" s="20">
        <f t="shared" si="2"/>
        <v>38.75</v>
      </c>
    </row>
    <row r="22" spans="1:10" x14ac:dyDescent="0.25">
      <c r="A22" s="19">
        <v>44183.541666666664</v>
      </c>
      <c r="B22" s="20">
        <v>66133.8</v>
      </c>
      <c r="C22" s="20">
        <v>3961.1000000000004</v>
      </c>
      <c r="D22" s="20">
        <v>5166.7000000000007</v>
      </c>
      <c r="E22" s="20">
        <v>5511.1</v>
      </c>
      <c r="F22" s="20">
        <f t="shared" si="0"/>
        <v>20193.175000000003</v>
      </c>
      <c r="G22" s="20">
        <f t="shared" si="1"/>
        <v>168.27645833333335</v>
      </c>
      <c r="H22" s="20">
        <f t="shared" si="2"/>
        <v>33.009166666666673</v>
      </c>
    </row>
    <row r="23" spans="1:10" x14ac:dyDescent="0.25">
      <c r="A23" s="19">
        <v>44183.5625</v>
      </c>
      <c r="B23" s="20">
        <v>4133.4000000000005</v>
      </c>
      <c r="C23" s="20">
        <v>3272.2000000000003</v>
      </c>
      <c r="D23" s="20">
        <v>5511.1</v>
      </c>
      <c r="E23" s="20">
        <v>13777.900000000001</v>
      </c>
      <c r="F23" s="20">
        <f t="shared" si="0"/>
        <v>6673.6500000000005</v>
      </c>
      <c r="G23" s="20">
        <f t="shared" si="1"/>
        <v>55.613750000000003</v>
      </c>
      <c r="H23" s="20">
        <f t="shared" si="2"/>
        <v>27.268333333333334</v>
      </c>
    </row>
    <row r="24" spans="1:10" x14ac:dyDescent="0.25">
      <c r="A24" s="19">
        <v>44183.583333333336</v>
      </c>
      <c r="B24" s="20">
        <v>2497.2000000000003</v>
      </c>
      <c r="C24" s="20">
        <v>2927.8</v>
      </c>
      <c r="D24" s="20">
        <v>13777.900000000001</v>
      </c>
      <c r="E24" s="20">
        <v>9644.5</v>
      </c>
      <c r="F24" s="20">
        <f t="shared" si="0"/>
        <v>7211.85</v>
      </c>
      <c r="G24" s="20">
        <f t="shared" si="1"/>
        <v>60.098750000000003</v>
      </c>
      <c r="H24" s="20">
        <f t="shared" si="2"/>
        <v>24.398333333333333</v>
      </c>
    </row>
    <row r="25" spans="1:10" x14ac:dyDescent="0.25">
      <c r="A25" s="19">
        <v>44183.604166666664</v>
      </c>
      <c r="B25" s="20">
        <v>2152.8000000000002</v>
      </c>
      <c r="C25" s="20">
        <v>2411.1</v>
      </c>
      <c r="D25" s="20">
        <v>15844.5</v>
      </c>
      <c r="E25" s="20">
        <v>2066.7000000000003</v>
      </c>
      <c r="F25" s="20">
        <f t="shared" si="0"/>
        <v>5618.7750000000005</v>
      </c>
      <c r="G25" s="20">
        <f t="shared" si="1"/>
        <v>46.823125000000005</v>
      </c>
      <c r="H25" s="20">
        <f t="shared" si="2"/>
        <v>20.092499999999998</v>
      </c>
    </row>
    <row r="26" spans="1:10" x14ac:dyDescent="0.25">
      <c r="A26" s="19">
        <v>44183.625</v>
      </c>
      <c r="B26" s="20">
        <v>1636.1000000000001</v>
      </c>
      <c r="C26" s="20">
        <v>2152.8000000000002</v>
      </c>
      <c r="D26" s="20">
        <v>8266.7000000000007</v>
      </c>
      <c r="E26" s="20">
        <v>3616.7000000000003</v>
      </c>
      <c r="F26" s="20">
        <f t="shared" si="0"/>
        <v>3918.0750000000007</v>
      </c>
      <c r="G26" s="20">
        <f t="shared" si="1"/>
        <v>32.650625000000005</v>
      </c>
      <c r="H26" s="20">
        <f t="shared" si="2"/>
        <v>17.940000000000001</v>
      </c>
    </row>
    <row r="27" spans="1:10" x14ac:dyDescent="0.25">
      <c r="A27" s="19">
        <v>44183.645833333336</v>
      </c>
      <c r="B27" s="20">
        <v>1550</v>
      </c>
      <c r="C27" s="20">
        <v>2411.1</v>
      </c>
      <c r="D27" s="20">
        <v>2927.8</v>
      </c>
      <c r="E27" s="20">
        <v>1722.2</v>
      </c>
      <c r="F27" s="20">
        <f t="shared" si="0"/>
        <v>2152.7750000000001</v>
      </c>
      <c r="G27" s="20">
        <f t="shared" si="1"/>
        <v>17.939791666666668</v>
      </c>
      <c r="H27" s="20">
        <f t="shared" si="2"/>
        <v>20.092499999999998</v>
      </c>
    </row>
    <row r="28" spans="1:10" x14ac:dyDescent="0.25">
      <c r="A28" s="19">
        <v>44183.666666666664</v>
      </c>
      <c r="B28" s="20">
        <v>2152.8000000000002</v>
      </c>
      <c r="C28" s="20">
        <v>2066.7000000000003</v>
      </c>
      <c r="D28" s="20">
        <v>2669.5</v>
      </c>
      <c r="E28" s="20">
        <v>1463.9</v>
      </c>
      <c r="F28" s="20">
        <f t="shared" si="0"/>
        <v>2088.2249999999999</v>
      </c>
      <c r="G28" s="20">
        <f t="shared" si="1"/>
        <v>17.401875</v>
      </c>
      <c r="H28" s="20">
        <f t="shared" si="2"/>
        <v>17.222500000000004</v>
      </c>
    </row>
    <row r="29" spans="1:10" x14ac:dyDescent="0.25">
      <c r="A29" s="19">
        <v>44183.6875</v>
      </c>
      <c r="B29" s="20">
        <v>2066.7000000000003</v>
      </c>
      <c r="C29" s="20">
        <v>1808.3000000000002</v>
      </c>
      <c r="D29" s="20">
        <v>6544.5</v>
      </c>
      <c r="E29" s="20">
        <v>1334.7</v>
      </c>
      <c r="F29" s="20">
        <f t="shared" si="0"/>
        <v>2938.55</v>
      </c>
      <c r="G29" s="20">
        <f t="shared" si="1"/>
        <v>24.487916666666667</v>
      </c>
      <c r="H29" s="20">
        <f t="shared" si="2"/>
        <v>15.069166666666668</v>
      </c>
    </row>
    <row r="30" spans="1:10" ht="15.75" thickBot="1" x14ac:dyDescent="0.3">
      <c r="A30" s="19">
        <v>44183.708333333336</v>
      </c>
      <c r="B30" s="20">
        <v>764.2</v>
      </c>
      <c r="C30" s="20">
        <v>1550</v>
      </c>
      <c r="D30" s="20">
        <v>5511.1</v>
      </c>
      <c r="E30" s="20">
        <v>721.2</v>
      </c>
      <c r="F30" s="20">
        <f t="shared" si="0"/>
        <v>2136.625</v>
      </c>
      <c r="G30" s="20">
        <f t="shared" si="1"/>
        <v>17.805208333333333</v>
      </c>
      <c r="H30" s="20">
        <f t="shared" si="2"/>
        <v>12.916666666666666</v>
      </c>
    </row>
    <row r="31" spans="1:10" ht="15.75" thickBot="1" x14ac:dyDescent="0.3">
      <c r="A31" s="19">
        <v>44183.729166666664</v>
      </c>
      <c r="B31" s="20">
        <v>236.8</v>
      </c>
      <c r="C31" s="20">
        <v>1033.3</v>
      </c>
      <c r="D31" s="20">
        <v>2755.6000000000004</v>
      </c>
      <c r="E31" s="20">
        <v>322.90000000000003</v>
      </c>
      <c r="F31" s="20">
        <f t="shared" si="0"/>
        <v>1087.1500000000001</v>
      </c>
      <c r="G31" s="20">
        <f t="shared" si="1"/>
        <v>9.0595833333333342</v>
      </c>
      <c r="H31" s="20">
        <f t="shared" si="2"/>
        <v>8.6108333333333338</v>
      </c>
      <c r="I31" s="18" t="s">
        <v>38</v>
      </c>
    </row>
    <row r="32" spans="1:10" ht="15.75" thickBot="1" x14ac:dyDescent="0.3">
      <c r="A32" s="19">
        <v>44183.75</v>
      </c>
      <c r="B32" s="20">
        <v>21.5</v>
      </c>
      <c r="C32" s="20">
        <v>290.60000000000002</v>
      </c>
      <c r="D32" s="20">
        <v>1108.7</v>
      </c>
      <c r="E32" s="20">
        <v>0</v>
      </c>
      <c r="F32" s="20">
        <f t="shared" si="0"/>
        <v>355.20000000000005</v>
      </c>
      <c r="G32" s="20">
        <f t="shared" si="1"/>
        <v>2.9600000000000004</v>
      </c>
      <c r="H32" s="20">
        <f t="shared" si="2"/>
        <v>2.4216666666666669</v>
      </c>
      <c r="I32" s="16" t="s">
        <v>36</v>
      </c>
      <c r="J32" s="14">
        <f>G34/1000</f>
        <v>5.5022664583333354</v>
      </c>
    </row>
    <row r="33" spans="1:16" ht="15.75" thickBot="1" x14ac:dyDescent="0.3">
      <c r="A33" s="19">
        <v>44183.770833333336</v>
      </c>
      <c r="B33" s="20">
        <v>21.5</v>
      </c>
      <c r="C33" s="20">
        <v>21.5</v>
      </c>
      <c r="D33" s="20">
        <v>21.5</v>
      </c>
      <c r="E33" s="20">
        <v>0</v>
      </c>
      <c r="F33" s="20">
        <f t="shared" si="0"/>
        <v>16.125</v>
      </c>
      <c r="G33" s="20">
        <f t="shared" si="1"/>
        <v>0.13437499999999999</v>
      </c>
      <c r="H33" s="20">
        <f t="shared" si="2"/>
        <v>0.17916666666666667</v>
      </c>
      <c r="I33" s="16" t="s">
        <v>43</v>
      </c>
      <c r="J33" s="17">
        <f>H34/1000</f>
        <v>3.2928725000000005</v>
      </c>
    </row>
    <row r="34" spans="1:16" ht="15.75" thickBot="1" x14ac:dyDescent="0.3">
      <c r="A34" s="7" t="s">
        <v>36</v>
      </c>
      <c r="B34" s="20">
        <f>AVERAGE(B7:B33)</f>
        <v>28568.744444444448</v>
      </c>
      <c r="C34" s="20">
        <f t="shared" ref="C34:E34" si="3">AVERAGE(C7:C33)</f>
        <v>14634.988888888885</v>
      </c>
      <c r="D34" s="20">
        <f t="shared" si="3"/>
        <v>22255.885185185183</v>
      </c>
      <c r="E34" s="20">
        <f t="shared" si="3"/>
        <v>32358.451851851845</v>
      </c>
      <c r="F34" s="12" t="s">
        <v>37</v>
      </c>
      <c r="G34" s="16">
        <f>SUM(G7:G33)</f>
        <v>5502.2664583333353</v>
      </c>
      <c r="H34" s="13">
        <f>SUM(H7:H33)</f>
        <v>3292.8725000000004</v>
      </c>
    </row>
    <row r="35" spans="1:16" x14ac:dyDescent="0.25">
      <c r="A35" s="7"/>
      <c r="G35" s="5" t="s">
        <v>39</v>
      </c>
      <c r="H35" s="5"/>
      <c r="I35" s="5"/>
      <c r="J35" s="5"/>
      <c r="K35" s="5"/>
      <c r="L35" s="5"/>
      <c r="M35" s="5"/>
      <c r="N35" s="5"/>
      <c r="O35" s="5"/>
      <c r="P35" s="5"/>
    </row>
    <row r="36" spans="1:16" x14ac:dyDescent="0.25">
      <c r="A36" s="7"/>
      <c r="G36" s="5" t="s">
        <v>40</v>
      </c>
      <c r="H36" s="5"/>
      <c r="I36" s="5"/>
      <c r="J36" s="5"/>
      <c r="K36" s="5"/>
      <c r="L36" s="5"/>
      <c r="M36" s="5"/>
      <c r="N36" s="5"/>
      <c r="O36" s="5"/>
      <c r="P36" s="5"/>
    </row>
    <row r="37" spans="1:16" x14ac:dyDescent="0.25">
      <c r="A37" s="7"/>
      <c r="G37" s="5"/>
      <c r="H37" s="5"/>
      <c r="I37" s="5"/>
      <c r="J37" s="5"/>
      <c r="K37" s="5"/>
      <c r="L37" s="5"/>
      <c r="M37" s="5"/>
      <c r="N37" s="5"/>
      <c r="O37" s="5"/>
      <c r="P37" s="5"/>
    </row>
    <row r="38" spans="1:16" x14ac:dyDescent="0.25">
      <c r="A38" s="7"/>
      <c r="G38" s="5" t="s">
        <v>41</v>
      </c>
      <c r="H38" s="5"/>
      <c r="I38" s="5"/>
      <c r="J38" s="5"/>
      <c r="K38" s="5"/>
      <c r="L38" s="5"/>
      <c r="M38" s="5"/>
      <c r="N38" s="5"/>
      <c r="O38" s="5"/>
      <c r="P38" s="5"/>
    </row>
    <row r="39" spans="1:16" x14ac:dyDescent="0.25">
      <c r="A39" s="7"/>
      <c r="G39" s="5" t="s">
        <v>42</v>
      </c>
      <c r="H39" s="5"/>
      <c r="I39" s="5"/>
      <c r="J39" s="5"/>
      <c r="K39" s="5"/>
      <c r="L39" s="5"/>
      <c r="M39" s="5"/>
      <c r="N39" s="5"/>
      <c r="O39" s="5"/>
      <c r="P39" s="5"/>
    </row>
    <row r="40" spans="1:16" x14ac:dyDescent="0.25">
      <c r="A40" s="7"/>
    </row>
    <row r="41" spans="1:16" x14ac:dyDescent="0.25">
      <c r="A41" s="7"/>
    </row>
    <row r="42" spans="1:16" x14ac:dyDescent="0.25">
      <c r="A42" s="7"/>
    </row>
    <row r="43" spans="1:16" x14ac:dyDescent="0.25">
      <c r="A43" s="7"/>
    </row>
    <row r="44" spans="1:16" x14ac:dyDescent="0.25">
      <c r="A44" s="7"/>
    </row>
    <row r="45" spans="1:16" x14ac:dyDescent="0.25">
      <c r="A45" s="7"/>
    </row>
    <row r="46" spans="1:16" x14ac:dyDescent="0.25">
      <c r="A46" s="7"/>
    </row>
    <row r="47" spans="1:16" x14ac:dyDescent="0.25">
      <c r="A47" s="7"/>
    </row>
    <row r="48" spans="1:16"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9845-BAD6-4AEF-84C8-7942150E7258}">
  <dimension ref="A1:I9"/>
  <sheetViews>
    <sheetView workbookViewId="0">
      <selection activeCell="B9" sqref="B9"/>
    </sheetView>
  </sheetViews>
  <sheetFormatPr baseColWidth="10" defaultRowHeight="15" x14ac:dyDescent="0.25"/>
  <cols>
    <col min="1" max="1" width="27.28515625" customWidth="1"/>
    <col min="4" max="4" width="28.7109375" customWidth="1"/>
  </cols>
  <sheetData>
    <row r="1" spans="1:9" ht="16.5" thickBot="1" x14ac:dyDescent="0.3">
      <c r="G1" s="51" t="s">
        <v>30</v>
      </c>
      <c r="H1" s="52"/>
      <c r="I1" s="53"/>
    </row>
    <row r="2" spans="1:9" x14ac:dyDescent="0.25">
      <c r="A2" s="4" t="s">
        <v>45</v>
      </c>
      <c r="B2" s="4">
        <f>'Consumo diario por boya'!F11</f>
        <v>113.2176</v>
      </c>
      <c r="D2" s="83" t="s">
        <v>66</v>
      </c>
      <c r="E2" s="49">
        <v>5.5</v>
      </c>
    </row>
    <row r="3" spans="1:9" x14ac:dyDescent="0.25">
      <c r="A3" s="4" t="s">
        <v>61</v>
      </c>
      <c r="B3" s="4">
        <f>'Consumo diario por boya'!F12</f>
        <v>4.7174000000000005</v>
      </c>
      <c r="D3" s="48"/>
      <c r="E3" s="50"/>
    </row>
    <row r="4" spans="1:9" x14ac:dyDescent="0.25">
      <c r="D4" s="21" t="s">
        <v>29</v>
      </c>
      <c r="E4" s="22">
        <v>1</v>
      </c>
    </row>
    <row r="5" spans="1:9" ht="15.75" thickBot="1" x14ac:dyDescent="0.3">
      <c r="A5" t="s">
        <v>46</v>
      </c>
      <c r="B5" s="24">
        <f>E6</f>
        <v>3.2928725000000005</v>
      </c>
      <c r="D5" s="23" t="s">
        <v>28</v>
      </c>
      <c r="E5" s="17">
        <f>E2/E4</f>
        <v>5.5</v>
      </c>
    </row>
    <row r="6" spans="1:9" x14ac:dyDescent="0.25">
      <c r="A6" s="5" t="s">
        <v>47</v>
      </c>
      <c r="B6" s="5">
        <f>B2/B5</f>
        <v>34.382624896651777</v>
      </c>
      <c r="D6" s="84" t="s">
        <v>44</v>
      </c>
      <c r="E6" s="85">
        <f>'Luz Escollera solsticios'!J33</f>
        <v>3.2928725000000005</v>
      </c>
    </row>
    <row r="7" spans="1:9" x14ac:dyDescent="0.25">
      <c r="D7" s="86"/>
      <c r="E7" s="87"/>
    </row>
    <row r="8" spans="1:9" x14ac:dyDescent="0.25">
      <c r="A8" s="88" t="s">
        <v>48</v>
      </c>
      <c r="B8" s="88">
        <v>40</v>
      </c>
      <c r="D8" s="21" t="s">
        <v>29</v>
      </c>
      <c r="E8" s="22">
        <v>1</v>
      </c>
    </row>
    <row r="9" spans="1:9" ht="15.75" thickBot="1" x14ac:dyDescent="0.3">
      <c r="D9" s="23" t="s">
        <v>28</v>
      </c>
      <c r="E9" s="17">
        <f>E6/E8</f>
        <v>3.2928725000000005</v>
      </c>
    </row>
  </sheetData>
  <mergeCells count="5">
    <mergeCell ref="D2:D3"/>
    <mergeCell ref="E2:E3"/>
    <mergeCell ref="D6:D7"/>
    <mergeCell ref="E6:E7"/>
    <mergeCell ref="G1:I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4400-1580-40EE-8795-5A39146493FB}">
  <dimension ref="A1:R51"/>
  <sheetViews>
    <sheetView tabSelected="1" topLeftCell="A10" workbookViewId="0">
      <selection activeCell="D4" sqref="D4"/>
    </sheetView>
  </sheetViews>
  <sheetFormatPr baseColWidth="10" defaultRowHeight="15" x14ac:dyDescent="0.25"/>
  <cols>
    <col min="1" max="1" width="12.42578125" customWidth="1"/>
    <col min="2" max="2" width="15.7109375" customWidth="1"/>
    <col min="3" max="3" width="9.42578125" customWidth="1"/>
    <col min="4" max="4" width="14" customWidth="1"/>
    <col min="5" max="5" width="13.28515625" customWidth="1"/>
    <col min="6" max="6" width="8.85546875" customWidth="1"/>
    <col min="7" max="7" width="9.7109375" customWidth="1"/>
    <col min="8" max="8" width="9.28515625" customWidth="1"/>
    <col min="9" max="9" width="2.140625" customWidth="1"/>
    <col min="10" max="10" width="13.5703125" customWidth="1"/>
    <col min="11" max="11" width="8.140625" customWidth="1"/>
    <col min="12" max="12" width="7.5703125" customWidth="1"/>
    <col min="13" max="13" width="9.28515625" customWidth="1"/>
    <col min="14" max="14" width="5.140625" customWidth="1"/>
    <col min="15" max="15" width="14" customWidth="1"/>
  </cols>
  <sheetData>
    <row r="1" spans="1:18" ht="15.75" thickBot="1" x14ac:dyDescent="0.3">
      <c r="A1" s="70" t="s">
        <v>49</v>
      </c>
      <c r="B1" s="71"/>
      <c r="C1" s="27">
        <f>'Cálculos panel solar'!B8</f>
        <v>40</v>
      </c>
      <c r="F1" s="54" t="s">
        <v>56</v>
      </c>
      <c r="G1" s="55"/>
      <c r="H1" s="56"/>
      <c r="K1" s="54" t="s">
        <v>56</v>
      </c>
      <c r="L1" s="55"/>
      <c r="M1" s="56"/>
      <c r="P1" s="54" t="s">
        <v>56</v>
      </c>
      <c r="Q1" s="55"/>
      <c r="R1" s="56"/>
    </row>
    <row r="2" spans="1:18" ht="15.75" thickBot="1" x14ac:dyDescent="0.3">
      <c r="A2" s="70" t="s">
        <v>46</v>
      </c>
      <c r="B2" s="71"/>
      <c r="C2" s="28">
        <f>'Cálculos panel solar'!B5</f>
        <v>3.2928725000000005</v>
      </c>
      <c r="E2" s="26" t="s">
        <v>35</v>
      </c>
      <c r="F2" s="29" t="s">
        <v>57</v>
      </c>
      <c r="G2" s="30" t="s">
        <v>58</v>
      </c>
      <c r="H2" s="31" t="s">
        <v>59</v>
      </c>
      <c r="J2" s="26" t="s">
        <v>35</v>
      </c>
      <c r="K2" s="29" t="s">
        <v>57</v>
      </c>
      <c r="L2" s="30" t="s">
        <v>58</v>
      </c>
      <c r="M2" s="31" t="s">
        <v>59</v>
      </c>
      <c r="O2" s="26" t="s">
        <v>35</v>
      </c>
      <c r="P2" s="29" t="s">
        <v>57</v>
      </c>
      <c r="Q2" s="30" t="s">
        <v>58</v>
      </c>
      <c r="R2" s="31" t="s">
        <v>59</v>
      </c>
    </row>
    <row r="3" spans="1:18" ht="15.75" thickBot="1" x14ac:dyDescent="0.3">
      <c r="A3" s="72" t="s">
        <v>61</v>
      </c>
      <c r="B3" s="73"/>
      <c r="C3" s="27">
        <f>'Cálculos panel solar'!B3</f>
        <v>4.7174000000000005</v>
      </c>
      <c r="E3" s="38">
        <v>44183</v>
      </c>
      <c r="F3" s="39">
        <f>$C$4</f>
        <v>103.60000000000001</v>
      </c>
      <c r="G3" s="40">
        <f>F50-$C$3/2</f>
        <v>54.067300000000031</v>
      </c>
      <c r="H3" s="41">
        <f>G50-$C$3/2</f>
        <v>54.067300000000031</v>
      </c>
      <c r="J3" s="38">
        <v>44183</v>
      </c>
      <c r="K3" s="39">
        <f>$C$4</f>
        <v>103.60000000000001</v>
      </c>
      <c r="L3" s="40">
        <f>K50-$C$3/2</f>
        <v>61.143400000000028</v>
      </c>
      <c r="M3" s="41">
        <f>L50-$C$3/2</f>
        <v>61.143400000000028</v>
      </c>
      <c r="O3" s="38">
        <v>44183</v>
      </c>
      <c r="P3" s="39">
        <f>$C$4</f>
        <v>103.60000000000001</v>
      </c>
      <c r="Q3" s="40">
        <f>P50-$C$3/2</f>
        <v>63.502100000000027</v>
      </c>
      <c r="R3" s="41">
        <f>Q50-$C$3/2</f>
        <v>63.502100000000027</v>
      </c>
    </row>
    <row r="4" spans="1:18" ht="15.75" thickBot="1" x14ac:dyDescent="0.3">
      <c r="A4" s="70" t="s">
        <v>55</v>
      </c>
      <c r="B4" s="74"/>
      <c r="C4" s="27">
        <f>'Cálculos baterías'!B3</f>
        <v>103.60000000000001</v>
      </c>
      <c r="E4" s="42">
        <v>44183.020833333336</v>
      </c>
      <c r="F4" s="32">
        <f>F3-$C$3/2</f>
        <v>101.24130000000001</v>
      </c>
      <c r="G4" s="34">
        <f>G3-$C$3/2</f>
        <v>51.708600000000033</v>
      </c>
      <c r="H4" s="22">
        <f>H3-$C$3/2</f>
        <v>51.708600000000033</v>
      </c>
      <c r="J4" s="42">
        <v>44183.020833333336</v>
      </c>
      <c r="K4" s="32">
        <f>K3-$C$3/2</f>
        <v>101.24130000000001</v>
      </c>
      <c r="L4" s="34">
        <f>L3-$C$3/2</f>
        <v>58.784700000000029</v>
      </c>
      <c r="M4" s="22">
        <f>M3-$C$3/2</f>
        <v>58.784700000000029</v>
      </c>
      <c r="O4" s="42">
        <v>44183.020833333336</v>
      </c>
      <c r="P4" s="32">
        <f>P3-$C$3/2</f>
        <v>101.24130000000001</v>
      </c>
      <c r="Q4" s="34">
        <f>Q3-$C$3/2</f>
        <v>61.143400000000028</v>
      </c>
      <c r="R4" s="22">
        <f>R3-$C$3/2</f>
        <v>61.143400000000028</v>
      </c>
    </row>
    <row r="5" spans="1:18" x14ac:dyDescent="0.25">
      <c r="A5" s="75" t="s">
        <v>60</v>
      </c>
      <c r="B5" s="76"/>
      <c r="C5" s="79">
        <f>'Cálculos panel solar'!B8</f>
        <v>40</v>
      </c>
      <c r="D5" s="63">
        <f>C2</f>
        <v>3.2928725000000005</v>
      </c>
      <c r="E5" s="42">
        <v>44183.041666666664</v>
      </c>
      <c r="F5" s="32">
        <f t="shared" ref="F5:F50" si="0">F4-$C$3/2</f>
        <v>98.882600000000011</v>
      </c>
      <c r="G5" s="34">
        <f t="shared" ref="G5:G50" si="1">G4-$C$3/2</f>
        <v>49.349900000000034</v>
      </c>
      <c r="H5" s="22">
        <f t="shared" ref="H5:H50" si="2">H4-$C$3/2</f>
        <v>49.349900000000034</v>
      </c>
      <c r="J5" s="42">
        <v>44183.041666666664</v>
      </c>
      <c r="K5" s="32">
        <f t="shared" ref="K5:K19" si="3">K4-$C$3/2</f>
        <v>98.882600000000011</v>
      </c>
      <c r="L5" s="34">
        <f t="shared" ref="L5:L19" si="4">L4-$C$3/2</f>
        <v>56.42600000000003</v>
      </c>
      <c r="M5" s="22">
        <f t="shared" ref="M5:M19" si="5">M4-$C$3/2</f>
        <v>56.42600000000003</v>
      </c>
      <c r="O5" s="42">
        <v>44183.041666666664</v>
      </c>
      <c r="P5" s="32">
        <f t="shared" ref="P5:P15" si="6">P4-$C$3/2</f>
        <v>98.882600000000011</v>
      </c>
      <c r="Q5" s="34">
        <f t="shared" ref="Q5:Q16" si="7">Q4-$C$3/2</f>
        <v>58.784700000000029</v>
      </c>
      <c r="R5" s="22">
        <f t="shared" ref="R5:R16" si="8">R4-$C$3/2</f>
        <v>58.784700000000029</v>
      </c>
    </row>
    <row r="6" spans="1:18" ht="15.75" thickBot="1" x14ac:dyDescent="0.3">
      <c r="A6" s="77"/>
      <c r="B6" s="78"/>
      <c r="C6" s="80"/>
      <c r="D6" s="64"/>
      <c r="E6" s="42">
        <v>44183.0625</v>
      </c>
      <c r="F6" s="32">
        <f t="shared" si="0"/>
        <v>96.523900000000012</v>
      </c>
      <c r="G6" s="34">
        <f t="shared" si="1"/>
        <v>46.991200000000035</v>
      </c>
      <c r="H6" s="22">
        <f t="shared" si="2"/>
        <v>46.991200000000035</v>
      </c>
      <c r="J6" s="42">
        <v>44183.0625</v>
      </c>
      <c r="K6" s="32">
        <f t="shared" si="3"/>
        <v>96.523900000000012</v>
      </c>
      <c r="L6" s="34">
        <f t="shared" si="4"/>
        <v>54.067300000000031</v>
      </c>
      <c r="M6" s="22">
        <f t="shared" si="5"/>
        <v>54.067300000000031</v>
      </c>
      <c r="O6" s="42">
        <v>44183.0625</v>
      </c>
      <c r="P6" s="32">
        <f t="shared" si="6"/>
        <v>96.523900000000012</v>
      </c>
      <c r="Q6" s="34">
        <f t="shared" si="7"/>
        <v>56.42600000000003</v>
      </c>
      <c r="R6" s="22">
        <f t="shared" si="8"/>
        <v>56.42600000000003</v>
      </c>
    </row>
    <row r="7" spans="1:18" x14ac:dyDescent="0.25">
      <c r="A7" s="57" t="s">
        <v>62</v>
      </c>
      <c r="B7" s="58"/>
      <c r="C7" s="61">
        <f>C5/2</f>
        <v>20</v>
      </c>
      <c r="D7" s="64">
        <f>D5*2</f>
        <v>6.5857450000000011</v>
      </c>
      <c r="E7" s="42">
        <v>44183.083333333336</v>
      </c>
      <c r="F7" s="32">
        <f t="shared" si="0"/>
        <v>94.165200000000013</v>
      </c>
      <c r="G7" s="34">
        <f t="shared" si="1"/>
        <v>44.632500000000036</v>
      </c>
      <c r="H7" s="22">
        <f t="shared" si="2"/>
        <v>44.632500000000036</v>
      </c>
      <c r="J7" s="42">
        <v>44183.083333333336</v>
      </c>
      <c r="K7" s="32">
        <f t="shared" si="3"/>
        <v>94.165200000000013</v>
      </c>
      <c r="L7" s="34">
        <f t="shared" si="4"/>
        <v>51.708600000000033</v>
      </c>
      <c r="M7" s="22">
        <f t="shared" si="5"/>
        <v>51.708600000000033</v>
      </c>
      <c r="O7" s="42">
        <v>44183.083333333336</v>
      </c>
      <c r="P7" s="32">
        <f t="shared" si="6"/>
        <v>94.165200000000013</v>
      </c>
      <c r="Q7" s="34">
        <f t="shared" si="7"/>
        <v>54.067300000000031</v>
      </c>
      <c r="R7" s="22">
        <f t="shared" si="8"/>
        <v>54.067300000000031</v>
      </c>
    </row>
    <row r="8" spans="1:18" ht="18.75" customHeight="1" thickBot="1" x14ac:dyDescent="0.3">
      <c r="A8" s="59"/>
      <c r="B8" s="60"/>
      <c r="C8" s="62"/>
      <c r="D8" s="64"/>
      <c r="E8" s="42">
        <v>44183.104166666664</v>
      </c>
      <c r="F8" s="32">
        <f t="shared" si="0"/>
        <v>91.806500000000014</v>
      </c>
      <c r="G8" s="34">
        <f t="shared" si="1"/>
        <v>42.273800000000037</v>
      </c>
      <c r="H8" s="22">
        <f t="shared" si="2"/>
        <v>42.273800000000037</v>
      </c>
      <c r="J8" s="42">
        <v>44183.104166666664</v>
      </c>
      <c r="K8" s="32">
        <f t="shared" si="3"/>
        <v>91.806500000000014</v>
      </c>
      <c r="L8" s="34">
        <f t="shared" si="4"/>
        <v>49.349900000000034</v>
      </c>
      <c r="M8" s="22">
        <f t="shared" si="5"/>
        <v>49.349900000000034</v>
      </c>
      <c r="O8" s="42">
        <v>44183.104166666664</v>
      </c>
      <c r="P8" s="32">
        <f t="shared" si="6"/>
        <v>91.806500000000014</v>
      </c>
      <c r="Q8" s="34">
        <f t="shared" si="7"/>
        <v>51.708600000000033</v>
      </c>
      <c r="R8" s="22">
        <f t="shared" si="8"/>
        <v>51.708600000000033</v>
      </c>
    </row>
    <row r="9" spans="1:18" x14ac:dyDescent="0.25">
      <c r="A9" s="65" t="s">
        <v>63</v>
      </c>
      <c r="B9" s="66"/>
      <c r="C9" s="90">
        <f>C5/3</f>
        <v>13.333333333333334</v>
      </c>
      <c r="D9" s="69">
        <f>D5*3</f>
        <v>9.8786175000000007</v>
      </c>
      <c r="E9" s="42">
        <v>44183.125</v>
      </c>
      <c r="F9" s="32">
        <f t="shared" si="0"/>
        <v>89.447800000000015</v>
      </c>
      <c r="G9" s="34">
        <f t="shared" si="1"/>
        <v>39.915100000000038</v>
      </c>
      <c r="H9" s="22">
        <f t="shared" si="2"/>
        <v>39.915100000000038</v>
      </c>
      <c r="J9" s="42">
        <v>44183.125</v>
      </c>
      <c r="K9" s="32">
        <f t="shared" si="3"/>
        <v>89.447800000000015</v>
      </c>
      <c r="L9" s="34">
        <f t="shared" si="4"/>
        <v>46.991200000000035</v>
      </c>
      <c r="M9" s="22">
        <f t="shared" si="5"/>
        <v>46.991200000000035</v>
      </c>
      <c r="O9" s="42">
        <v>44183.125</v>
      </c>
      <c r="P9" s="32">
        <f t="shared" si="6"/>
        <v>89.447800000000015</v>
      </c>
      <c r="Q9" s="34">
        <f t="shared" si="7"/>
        <v>49.349900000000034</v>
      </c>
      <c r="R9" s="22">
        <f t="shared" si="8"/>
        <v>49.349900000000034</v>
      </c>
    </row>
    <row r="10" spans="1:18" ht="21.75" customHeight="1" thickBot="1" x14ac:dyDescent="0.3">
      <c r="A10" s="67"/>
      <c r="B10" s="68"/>
      <c r="C10" s="91"/>
      <c r="D10" s="69"/>
      <c r="E10" s="42">
        <v>44183.145833333336</v>
      </c>
      <c r="F10" s="32">
        <f t="shared" si="0"/>
        <v>87.089100000000016</v>
      </c>
      <c r="G10" s="34">
        <f t="shared" si="1"/>
        <v>37.556400000000039</v>
      </c>
      <c r="H10" s="22">
        <f t="shared" si="2"/>
        <v>37.556400000000039</v>
      </c>
      <c r="J10" s="42">
        <v>44183.145833333336</v>
      </c>
      <c r="K10" s="32">
        <f t="shared" si="3"/>
        <v>87.089100000000016</v>
      </c>
      <c r="L10" s="34">
        <f t="shared" si="4"/>
        <v>44.632500000000036</v>
      </c>
      <c r="M10" s="22">
        <f t="shared" si="5"/>
        <v>44.632500000000036</v>
      </c>
      <c r="O10" s="42">
        <v>44183.145833333336</v>
      </c>
      <c r="P10" s="32">
        <f t="shared" si="6"/>
        <v>87.089100000000016</v>
      </c>
      <c r="Q10" s="34">
        <f t="shared" si="7"/>
        <v>46.991200000000035</v>
      </c>
      <c r="R10" s="22">
        <f t="shared" si="8"/>
        <v>46.991200000000035</v>
      </c>
    </row>
    <row r="11" spans="1:18" x14ac:dyDescent="0.25">
      <c r="E11" s="42">
        <v>44183.166666666664</v>
      </c>
      <c r="F11" s="32">
        <f t="shared" si="0"/>
        <v>84.730400000000017</v>
      </c>
      <c r="G11" s="34">
        <f t="shared" si="1"/>
        <v>35.19770000000004</v>
      </c>
      <c r="H11" s="22">
        <f t="shared" si="2"/>
        <v>35.19770000000004</v>
      </c>
      <c r="J11" s="42">
        <v>44183.166666666664</v>
      </c>
      <c r="K11" s="32">
        <f t="shared" si="3"/>
        <v>84.730400000000017</v>
      </c>
      <c r="L11" s="34">
        <f t="shared" si="4"/>
        <v>42.273800000000037</v>
      </c>
      <c r="M11" s="22">
        <f t="shared" si="5"/>
        <v>42.273800000000037</v>
      </c>
      <c r="O11" s="42">
        <v>44183.166666666664</v>
      </c>
      <c r="P11" s="32">
        <f t="shared" si="6"/>
        <v>84.730400000000017</v>
      </c>
      <c r="Q11" s="34">
        <f t="shared" si="7"/>
        <v>44.632500000000036</v>
      </c>
      <c r="R11" s="22">
        <f t="shared" si="8"/>
        <v>44.632500000000036</v>
      </c>
    </row>
    <row r="12" spans="1:18" x14ac:dyDescent="0.25">
      <c r="E12" s="42">
        <v>44183.1875</v>
      </c>
      <c r="F12" s="32">
        <f t="shared" si="0"/>
        <v>82.371700000000018</v>
      </c>
      <c r="G12" s="34">
        <f t="shared" si="1"/>
        <v>32.839000000000041</v>
      </c>
      <c r="H12" s="22">
        <f t="shared" si="2"/>
        <v>32.839000000000041</v>
      </c>
      <c r="J12" s="42">
        <v>44183.1875</v>
      </c>
      <c r="K12" s="32">
        <f t="shared" si="3"/>
        <v>82.371700000000018</v>
      </c>
      <c r="L12" s="34">
        <f t="shared" si="4"/>
        <v>39.915100000000038</v>
      </c>
      <c r="M12" s="22">
        <f t="shared" si="5"/>
        <v>39.915100000000038</v>
      </c>
      <c r="O12" s="42">
        <v>44183.1875</v>
      </c>
      <c r="P12" s="32">
        <f t="shared" si="6"/>
        <v>82.371700000000018</v>
      </c>
      <c r="Q12" s="34">
        <f t="shared" si="7"/>
        <v>42.273800000000037</v>
      </c>
      <c r="R12" s="22">
        <f t="shared" si="8"/>
        <v>42.273800000000037</v>
      </c>
    </row>
    <row r="13" spans="1:18" x14ac:dyDescent="0.25">
      <c r="E13" s="42">
        <v>44183.208333333336</v>
      </c>
      <c r="F13" s="32">
        <f t="shared" si="0"/>
        <v>80.013000000000019</v>
      </c>
      <c r="G13" s="34">
        <f t="shared" si="1"/>
        <v>30.480300000000042</v>
      </c>
      <c r="H13" s="22">
        <f t="shared" si="2"/>
        <v>30.480300000000042</v>
      </c>
      <c r="J13" s="42">
        <v>44183.208333333336</v>
      </c>
      <c r="K13" s="32">
        <f t="shared" si="3"/>
        <v>80.013000000000019</v>
      </c>
      <c r="L13" s="34">
        <f t="shared" si="4"/>
        <v>37.556400000000039</v>
      </c>
      <c r="M13" s="22">
        <f t="shared" si="5"/>
        <v>37.556400000000039</v>
      </c>
      <c r="O13" s="42">
        <v>44183.208333333336</v>
      </c>
      <c r="P13" s="32">
        <f t="shared" si="6"/>
        <v>80.013000000000019</v>
      </c>
      <c r="Q13" s="34">
        <f t="shared" si="7"/>
        <v>39.915100000000038</v>
      </c>
      <c r="R13" s="22">
        <f t="shared" si="8"/>
        <v>39.915100000000038</v>
      </c>
    </row>
    <row r="14" spans="1:18" x14ac:dyDescent="0.25">
      <c r="E14" s="42">
        <v>44183.229166666664</v>
      </c>
      <c r="F14" s="32">
        <f t="shared" si="0"/>
        <v>77.654300000000021</v>
      </c>
      <c r="G14" s="34">
        <f t="shared" si="1"/>
        <v>28.121600000000043</v>
      </c>
      <c r="H14" s="22">
        <f t="shared" si="2"/>
        <v>28.121600000000043</v>
      </c>
      <c r="J14" s="42">
        <v>44183.229166666664</v>
      </c>
      <c r="K14" s="32">
        <f t="shared" si="3"/>
        <v>77.654300000000021</v>
      </c>
      <c r="L14" s="34">
        <f t="shared" si="4"/>
        <v>35.19770000000004</v>
      </c>
      <c r="M14" s="22">
        <f t="shared" si="5"/>
        <v>35.19770000000004</v>
      </c>
      <c r="O14" s="42">
        <v>44183.229166666664</v>
      </c>
      <c r="P14" s="32">
        <f t="shared" si="6"/>
        <v>77.654300000000021</v>
      </c>
      <c r="Q14" s="34">
        <f t="shared" si="7"/>
        <v>37.556400000000039</v>
      </c>
      <c r="R14" s="22">
        <f t="shared" si="8"/>
        <v>37.556400000000039</v>
      </c>
    </row>
    <row r="15" spans="1:18" x14ac:dyDescent="0.25">
      <c r="E15" s="42">
        <v>44183.25</v>
      </c>
      <c r="F15" s="32">
        <f t="shared" si="0"/>
        <v>75.295600000000022</v>
      </c>
      <c r="G15" s="34">
        <f t="shared" si="1"/>
        <v>25.762900000000045</v>
      </c>
      <c r="H15" s="22">
        <f t="shared" si="2"/>
        <v>25.762900000000045</v>
      </c>
      <c r="J15" s="42">
        <v>44183.25</v>
      </c>
      <c r="K15" s="32">
        <f t="shared" si="3"/>
        <v>75.295600000000022</v>
      </c>
      <c r="L15" s="34">
        <f t="shared" si="4"/>
        <v>32.839000000000041</v>
      </c>
      <c r="M15" s="22">
        <f t="shared" si="5"/>
        <v>32.839000000000041</v>
      </c>
      <c r="O15" s="42">
        <v>44183.25</v>
      </c>
      <c r="P15" s="32">
        <f t="shared" si="6"/>
        <v>75.295600000000022</v>
      </c>
      <c r="Q15" s="34">
        <f t="shared" si="7"/>
        <v>35.19770000000004</v>
      </c>
      <c r="R15" s="22">
        <f t="shared" si="8"/>
        <v>35.19770000000004</v>
      </c>
    </row>
    <row r="16" spans="1:18" x14ac:dyDescent="0.25">
      <c r="E16" s="42">
        <v>44183.270833333336</v>
      </c>
      <c r="F16" s="32">
        <f t="shared" si="0"/>
        <v>72.936900000000023</v>
      </c>
      <c r="G16" s="34">
        <f t="shared" si="1"/>
        <v>23.404200000000046</v>
      </c>
      <c r="H16" s="22">
        <f t="shared" si="2"/>
        <v>23.404200000000046</v>
      </c>
      <c r="J16" s="42">
        <v>44183.270833333336</v>
      </c>
      <c r="K16" s="32">
        <f t="shared" si="3"/>
        <v>72.936900000000023</v>
      </c>
      <c r="L16" s="34">
        <f t="shared" si="4"/>
        <v>30.480300000000042</v>
      </c>
      <c r="M16" s="22">
        <f t="shared" si="5"/>
        <v>30.480300000000042</v>
      </c>
      <c r="O16" s="46">
        <v>44183.270833333336</v>
      </c>
      <c r="P16" s="32">
        <f>IF((P15-$C$3/2 + $C$9)&gt;$C$4,$C$4,(P15-$C$3/2 + $C$9))</f>
        <v>86.270233333333351</v>
      </c>
      <c r="Q16" s="34">
        <f t="shared" si="7"/>
        <v>32.839000000000041</v>
      </c>
      <c r="R16" s="22">
        <f t="shared" si="8"/>
        <v>32.839000000000041</v>
      </c>
    </row>
    <row r="17" spans="5:18" x14ac:dyDescent="0.25">
      <c r="E17" s="42">
        <v>44183.291666666664</v>
      </c>
      <c r="F17" s="32">
        <f t="shared" si="0"/>
        <v>70.578200000000024</v>
      </c>
      <c r="G17" s="34">
        <f t="shared" si="1"/>
        <v>21.045500000000047</v>
      </c>
      <c r="H17" s="22">
        <f t="shared" si="2"/>
        <v>21.045500000000047</v>
      </c>
      <c r="J17" s="42">
        <v>44183.291666666664</v>
      </c>
      <c r="K17" s="32">
        <f t="shared" si="3"/>
        <v>70.578200000000024</v>
      </c>
      <c r="L17" s="34">
        <f t="shared" si="4"/>
        <v>28.121600000000043</v>
      </c>
      <c r="M17" s="22">
        <f t="shared" si="5"/>
        <v>28.121600000000043</v>
      </c>
      <c r="O17" s="46">
        <v>44183.291666666664</v>
      </c>
      <c r="P17" s="32">
        <f>IF((P16-$C$3/2 + $C$9)&gt;$C$4,$C$4,(P16-$C$3/2 + $C$9))</f>
        <v>97.244866666666681</v>
      </c>
      <c r="Q17" s="34">
        <f>IF((Q16-$C$3/2 + $C$9)&gt;$C$4,$C$4,(Q16-$C$3/2 + $C$9))</f>
        <v>43.813633333333378</v>
      </c>
      <c r="R17" s="37">
        <f>IF((R16-$C$3/2 + $C$9)&gt;$C$4,$C$4,(R16-$C$3/2 + $C$9))</f>
        <v>43.813633333333378</v>
      </c>
    </row>
    <row r="18" spans="5:18" x14ac:dyDescent="0.25">
      <c r="E18" s="42">
        <v>44183.3125</v>
      </c>
      <c r="F18" s="32">
        <f t="shared" si="0"/>
        <v>68.219500000000025</v>
      </c>
      <c r="G18" s="34">
        <f t="shared" si="1"/>
        <v>18.686800000000048</v>
      </c>
      <c r="H18" s="22">
        <f t="shared" si="2"/>
        <v>18.686800000000048</v>
      </c>
      <c r="J18" s="42">
        <v>44183.3125</v>
      </c>
      <c r="K18" s="32">
        <f t="shared" si="3"/>
        <v>68.219500000000025</v>
      </c>
      <c r="L18" s="34">
        <f t="shared" si="4"/>
        <v>25.762900000000045</v>
      </c>
      <c r="M18" s="22">
        <f t="shared" si="5"/>
        <v>25.762900000000045</v>
      </c>
      <c r="O18" s="46">
        <v>44183.3125</v>
      </c>
      <c r="P18" s="32">
        <f t="shared" ref="P18:P34" si="9">IF((P17-$C$3/2 + $C$9)&gt;$C$4,$C$4,(P17-$C$3/2 + $C$9))</f>
        <v>103.60000000000001</v>
      </c>
      <c r="Q18" s="34">
        <f t="shared" ref="Q18:Q34" si="10">IF((Q17-$C$3/2 + $C$9)&gt;$C$4,$C$4,(Q17-$C$3/2 + $C$9))</f>
        <v>54.788266666666715</v>
      </c>
      <c r="R18" s="37">
        <f t="shared" ref="R18:R34" si="11">IF((R17-$C$3/2 + $C$9)&gt;$C$4,$C$4,(R17-$C$3/2 + $C$9))</f>
        <v>54.788266666666715</v>
      </c>
    </row>
    <row r="19" spans="5:18" x14ac:dyDescent="0.25">
      <c r="E19" s="42">
        <v>44183.333333333336</v>
      </c>
      <c r="F19" s="32">
        <f t="shared" si="0"/>
        <v>65.860800000000026</v>
      </c>
      <c r="G19" s="34">
        <f t="shared" si="1"/>
        <v>16.328100000000049</v>
      </c>
      <c r="H19" s="22">
        <f t="shared" si="2"/>
        <v>16.328100000000049</v>
      </c>
      <c r="J19" s="42">
        <v>44183.333333333336</v>
      </c>
      <c r="K19" s="32">
        <f t="shared" si="3"/>
        <v>65.860800000000026</v>
      </c>
      <c r="L19" s="34">
        <f t="shared" si="4"/>
        <v>23.404200000000046</v>
      </c>
      <c r="M19" s="22">
        <f t="shared" si="5"/>
        <v>23.404200000000046</v>
      </c>
      <c r="O19" s="46">
        <v>44183.333333333336</v>
      </c>
      <c r="P19" s="32">
        <f t="shared" si="9"/>
        <v>103.60000000000001</v>
      </c>
      <c r="Q19" s="34">
        <f t="shared" si="10"/>
        <v>65.762900000000045</v>
      </c>
      <c r="R19" s="37">
        <f t="shared" si="11"/>
        <v>65.762900000000045</v>
      </c>
    </row>
    <row r="20" spans="5:18" x14ac:dyDescent="0.25">
      <c r="E20" s="42">
        <v>44183.354166666664</v>
      </c>
      <c r="F20" s="32">
        <f t="shared" si="0"/>
        <v>63.502100000000027</v>
      </c>
      <c r="G20" s="34">
        <f t="shared" si="1"/>
        <v>13.969400000000048</v>
      </c>
      <c r="H20" s="22">
        <f t="shared" si="2"/>
        <v>13.969400000000048</v>
      </c>
      <c r="J20" s="45">
        <v>44183.354166666664</v>
      </c>
      <c r="K20" s="32">
        <f>IF((K19-$C$7/2 + $C$5)&gt;$C$4,$C$4,(K19-$C$3/2 + $C$7))</f>
        <v>83.502100000000027</v>
      </c>
      <c r="L20" s="34">
        <f>IF((L19-$C$7/2 + $C$5)&gt;$C$4,$C$4,(L19-$C$3/2 + $C$7))</f>
        <v>41.045500000000047</v>
      </c>
      <c r="M20" s="37">
        <f>IF((M19-$C$7/2 + $C$5)&gt;$C$4,$C$4,(M19-$C$3/2 + $C$7))</f>
        <v>41.045500000000047</v>
      </c>
      <c r="O20" s="46">
        <v>44183.354166666664</v>
      </c>
      <c r="P20" s="32">
        <f t="shared" si="9"/>
        <v>103.60000000000001</v>
      </c>
      <c r="Q20" s="34">
        <f t="shared" si="10"/>
        <v>76.737533333333374</v>
      </c>
      <c r="R20" s="37">
        <f t="shared" si="11"/>
        <v>76.737533333333374</v>
      </c>
    </row>
    <row r="21" spans="5:18" x14ac:dyDescent="0.25">
      <c r="E21" s="42">
        <v>44183.375</v>
      </c>
      <c r="F21" s="32">
        <f t="shared" si="0"/>
        <v>61.143400000000028</v>
      </c>
      <c r="G21" s="34">
        <f t="shared" si="1"/>
        <v>11.610700000000048</v>
      </c>
      <c r="H21" s="22">
        <f t="shared" si="2"/>
        <v>11.610700000000048</v>
      </c>
      <c r="J21" s="45">
        <v>44183.375</v>
      </c>
      <c r="K21" s="32">
        <f t="shared" ref="K21:K33" si="12">IF((K20-$C$7/2 + $C$5)&gt;$C$4,$C$4,(K20-$C$3/2 + $C$7))</f>
        <v>103.60000000000001</v>
      </c>
      <c r="L21" s="34">
        <f t="shared" ref="L21:L33" si="13">IF((L20-$C$7/2 + $C$5)&gt;$C$4,$C$4,(L20-$C$3/2 + $C$7))</f>
        <v>58.686800000000048</v>
      </c>
      <c r="M21" s="37">
        <f t="shared" ref="M21:M33" si="14">IF((M20-$C$7/2 + $C$5)&gt;$C$4,$C$4,(M20-$C$3/2 + $C$7))</f>
        <v>58.686800000000048</v>
      </c>
      <c r="O21" s="46">
        <v>44183.375</v>
      </c>
      <c r="P21" s="32">
        <f t="shared" si="9"/>
        <v>103.60000000000001</v>
      </c>
      <c r="Q21" s="34">
        <f t="shared" si="10"/>
        <v>87.712166666666704</v>
      </c>
      <c r="R21" s="37">
        <f t="shared" si="11"/>
        <v>87.712166666666704</v>
      </c>
    </row>
    <row r="22" spans="5:18" x14ac:dyDescent="0.25">
      <c r="E22" s="42">
        <v>44183.395833333336</v>
      </c>
      <c r="F22" s="32">
        <f t="shared" si="0"/>
        <v>58.784700000000029</v>
      </c>
      <c r="G22" s="34">
        <f t="shared" si="1"/>
        <v>9.2520000000000469</v>
      </c>
      <c r="H22" s="22">
        <f t="shared" si="2"/>
        <v>9.2520000000000469</v>
      </c>
      <c r="J22" s="45">
        <v>44183.395833333336</v>
      </c>
      <c r="K22" s="32">
        <f t="shared" si="12"/>
        <v>103.60000000000001</v>
      </c>
      <c r="L22" s="34">
        <f t="shared" si="13"/>
        <v>76.328100000000049</v>
      </c>
      <c r="M22" s="37">
        <f t="shared" si="14"/>
        <v>76.328100000000049</v>
      </c>
      <c r="O22" s="46">
        <v>44183.395833333336</v>
      </c>
      <c r="P22" s="32">
        <f t="shared" si="9"/>
        <v>103.60000000000001</v>
      </c>
      <c r="Q22" s="34">
        <f t="shared" si="10"/>
        <v>98.686800000000034</v>
      </c>
      <c r="R22" s="37">
        <f t="shared" si="11"/>
        <v>98.686800000000034</v>
      </c>
    </row>
    <row r="23" spans="5:18" x14ac:dyDescent="0.25">
      <c r="E23" s="44">
        <v>44183.416666666664</v>
      </c>
      <c r="F23" s="32">
        <f>IF((F22-$C$3/2 + $C$5)&gt;$C$4,$C$4,(F22-$C$3/2 + $C$5))</f>
        <v>96.42600000000003</v>
      </c>
      <c r="G23" s="34">
        <f>IF((G22-$C$3/2 + $C$5)&gt;$C$4,$C$4,(G22-$C$3/2 + $C$5))</f>
        <v>46.893300000000046</v>
      </c>
      <c r="H23" s="37">
        <f>IF((H22-$C$3/2 + $C$5)&gt;$C$4,$C$4,(H22-$C$3/2 + $C$5))</f>
        <v>46.893300000000046</v>
      </c>
      <c r="J23" s="45">
        <v>44183.416666666664</v>
      </c>
      <c r="K23" s="32">
        <f t="shared" si="12"/>
        <v>103.60000000000001</v>
      </c>
      <c r="L23" s="34">
        <f t="shared" si="13"/>
        <v>103.60000000000001</v>
      </c>
      <c r="M23" s="37">
        <f t="shared" si="14"/>
        <v>103.60000000000001</v>
      </c>
      <c r="O23" s="46">
        <v>44183.416666666664</v>
      </c>
      <c r="P23" s="32">
        <f t="shared" si="9"/>
        <v>103.60000000000001</v>
      </c>
      <c r="Q23" s="34">
        <f t="shared" si="10"/>
        <v>103.60000000000001</v>
      </c>
      <c r="R23" s="37">
        <f t="shared" si="11"/>
        <v>103.60000000000001</v>
      </c>
    </row>
    <row r="24" spans="5:18" x14ac:dyDescent="0.25">
      <c r="E24" s="44">
        <v>44183.4375</v>
      </c>
      <c r="F24" s="32">
        <f t="shared" ref="F24:F30" si="15">IF((F23-$C$3/2 + $C$5)&gt;$C$4,$C$4,(F23-$C$3/2 + $C$5))</f>
        <v>103.60000000000001</v>
      </c>
      <c r="G24" s="34">
        <f t="shared" ref="G24:G30" si="16">IF((G23-$C$3/2 + $C$5)&gt;$C$4,$C$4,(G23-$C$3/2 + $C$5))</f>
        <v>84.53460000000004</v>
      </c>
      <c r="H24" s="37">
        <f t="shared" ref="H24:H30" si="17">IF((H23-$C$3/2 + $C$5)&gt;$C$4,$C$4,(H23-$C$3/2 + $C$5))</f>
        <v>84.53460000000004</v>
      </c>
      <c r="J24" s="45">
        <v>44183.4375</v>
      </c>
      <c r="K24" s="32">
        <f t="shared" si="12"/>
        <v>103.60000000000001</v>
      </c>
      <c r="L24" s="34">
        <f t="shared" si="13"/>
        <v>103.60000000000001</v>
      </c>
      <c r="M24" s="37">
        <f t="shared" si="14"/>
        <v>103.60000000000001</v>
      </c>
      <c r="O24" s="46">
        <v>44183.4375</v>
      </c>
      <c r="P24" s="32">
        <f t="shared" si="9"/>
        <v>103.60000000000001</v>
      </c>
      <c r="Q24" s="34">
        <f t="shared" si="10"/>
        <v>103.60000000000001</v>
      </c>
      <c r="R24" s="37">
        <f t="shared" si="11"/>
        <v>103.60000000000001</v>
      </c>
    </row>
    <row r="25" spans="5:18" x14ac:dyDescent="0.25">
      <c r="E25" s="44">
        <v>44183.458333333336</v>
      </c>
      <c r="F25" s="32">
        <f t="shared" si="15"/>
        <v>103.60000000000001</v>
      </c>
      <c r="G25" s="34">
        <f t="shared" si="16"/>
        <v>103.60000000000001</v>
      </c>
      <c r="H25" s="37">
        <f t="shared" si="17"/>
        <v>103.60000000000001</v>
      </c>
      <c r="J25" s="45">
        <v>44183.458333333336</v>
      </c>
      <c r="K25" s="32">
        <f t="shared" si="12"/>
        <v>103.60000000000001</v>
      </c>
      <c r="L25" s="34">
        <f t="shared" si="13"/>
        <v>103.60000000000001</v>
      </c>
      <c r="M25" s="37">
        <f t="shared" si="14"/>
        <v>103.60000000000001</v>
      </c>
      <c r="O25" s="46">
        <v>44183.458333333336</v>
      </c>
      <c r="P25" s="32">
        <f t="shared" si="9"/>
        <v>103.60000000000001</v>
      </c>
      <c r="Q25" s="34">
        <f t="shared" si="10"/>
        <v>103.60000000000001</v>
      </c>
      <c r="R25" s="37">
        <f t="shared" si="11"/>
        <v>103.60000000000001</v>
      </c>
    </row>
    <row r="26" spans="5:18" x14ac:dyDescent="0.25">
      <c r="E26" s="44">
        <v>44183.479166666664</v>
      </c>
      <c r="F26" s="32">
        <f t="shared" si="15"/>
        <v>103.60000000000001</v>
      </c>
      <c r="G26" s="34">
        <f t="shared" si="16"/>
        <v>103.60000000000001</v>
      </c>
      <c r="H26" s="37">
        <f t="shared" si="17"/>
        <v>103.60000000000001</v>
      </c>
      <c r="J26" s="45">
        <v>44183.479166666664</v>
      </c>
      <c r="K26" s="32">
        <f t="shared" si="12"/>
        <v>103.60000000000001</v>
      </c>
      <c r="L26" s="34">
        <f t="shared" si="13"/>
        <v>103.60000000000001</v>
      </c>
      <c r="M26" s="37">
        <f t="shared" si="14"/>
        <v>103.60000000000001</v>
      </c>
      <c r="O26" s="46">
        <v>44183.479166666664</v>
      </c>
      <c r="P26" s="32">
        <f t="shared" si="9"/>
        <v>103.60000000000001</v>
      </c>
      <c r="Q26" s="34">
        <f t="shared" si="10"/>
        <v>103.60000000000001</v>
      </c>
      <c r="R26" s="37">
        <f t="shared" si="11"/>
        <v>103.60000000000001</v>
      </c>
    </row>
    <row r="27" spans="5:18" x14ac:dyDescent="0.25">
      <c r="E27" s="44">
        <v>44183.5</v>
      </c>
      <c r="F27" s="32">
        <f t="shared" si="15"/>
        <v>103.60000000000001</v>
      </c>
      <c r="G27" s="34">
        <f t="shared" si="16"/>
        <v>103.60000000000001</v>
      </c>
      <c r="H27" s="37">
        <f t="shared" si="17"/>
        <v>103.60000000000001</v>
      </c>
      <c r="J27" s="45">
        <v>44183.5</v>
      </c>
      <c r="K27" s="32">
        <f t="shared" si="12"/>
        <v>103.60000000000001</v>
      </c>
      <c r="L27" s="34">
        <f t="shared" si="13"/>
        <v>103.60000000000001</v>
      </c>
      <c r="M27" s="37">
        <f t="shared" si="14"/>
        <v>103.60000000000001</v>
      </c>
      <c r="O27" s="46">
        <v>44183.5</v>
      </c>
      <c r="P27" s="32">
        <f t="shared" si="9"/>
        <v>103.60000000000001</v>
      </c>
      <c r="Q27" s="34">
        <f t="shared" si="10"/>
        <v>103.60000000000001</v>
      </c>
      <c r="R27" s="37">
        <f t="shared" si="11"/>
        <v>103.60000000000001</v>
      </c>
    </row>
    <row r="28" spans="5:18" x14ac:dyDescent="0.25">
      <c r="E28" s="44">
        <v>44183.520833333336</v>
      </c>
      <c r="F28" s="32">
        <f t="shared" si="15"/>
        <v>103.60000000000001</v>
      </c>
      <c r="G28" s="34">
        <f t="shared" si="16"/>
        <v>103.60000000000001</v>
      </c>
      <c r="H28" s="37">
        <f t="shared" si="17"/>
        <v>103.60000000000001</v>
      </c>
      <c r="J28" s="45">
        <v>44183.520833333336</v>
      </c>
      <c r="K28" s="32">
        <f t="shared" si="12"/>
        <v>103.60000000000001</v>
      </c>
      <c r="L28" s="34">
        <f t="shared" si="13"/>
        <v>103.60000000000001</v>
      </c>
      <c r="M28" s="37">
        <f t="shared" si="14"/>
        <v>103.60000000000001</v>
      </c>
      <c r="O28" s="46">
        <v>44183.520833333336</v>
      </c>
      <c r="P28" s="32">
        <f t="shared" si="9"/>
        <v>103.60000000000001</v>
      </c>
      <c r="Q28" s="34">
        <f t="shared" si="10"/>
        <v>103.60000000000001</v>
      </c>
      <c r="R28" s="37">
        <f t="shared" si="11"/>
        <v>103.60000000000001</v>
      </c>
    </row>
    <row r="29" spans="5:18" x14ac:dyDescent="0.25">
      <c r="E29" s="44">
        <v>44183.541666666664</v>
      </c>
      <c r="F29" s="32">
        <f t="shared" si="15"/>
        <v>103.60000000000001</v>
      </c>
      <c r="G29" s="34">
        <f t="shared" si="16"/>
        <v>103.60000000000001</v>
      </c>
      <c r="H29" s="37">
        <f t="shared" si="17"/>
        <v>103.60000000000001</v>
      </c>
      <c r="J29" s="45">
        <v>44183.541666666664</v>
      </c>
      <c r="K29" s="32">
        <f t="shared" si="12"/>
        <v>103.60000000000001</v>
      </c>
      <c r="L29" s="34">
        <f t="shared" si="13"/>
        <v>103.60000000000001</v>
      </c>
      <c r="M29" s="37">
        <f t="shared" si="14"/>
        <v>103.60000000000001</v>
      </c>
      <c r="O29" s="46">
        <v>44183.541666666664</v>
      </c>
      <c r="P29" s="32">
        <f t="shared" si="9"/>
        <v>103.60000000000001</v>
      </c>
      <c r="Q29" s="34">
        <f t="shared" si="10"/>
        <v>103.60000000000001</v>
      </c>
      <c r="R29" s="37">
        <f t="shared" si="11"/>
        <v>103.60000000000001</v>
      </c>
    </row>
    <row r="30" spans="5:18" x14ac:dyDescent="0.25">
      <c r="E30" s="44">
        <v>44183.5625</v>
      </c>
      <c r="F30" s="32">
        <f t="shared" si="15"/>
        <v>103.60000000000001</v>
      </c>
      <c r="G30" s="34">
        <f t="shared" si="16"/>
        <v>103.60000000000001</v>
      </c>
      <c r="H30" s="37">
        <f t="shared" si="17"/>
        <v>103.60000000000001</v>
      </c>
      <c r="J30" s="45">
        <v>44183.5625</v>
      </c>
      <c r="K30" s="32">
        <f t="shared" si="12"/>
        <v>103.60000000000001</v>
      </c>
      <c r="L30" s="34">
        <f t="shared" si="13"/>
        <v>103.60000000000001</v>
      </c>
      <c r="M30" s="37">
        <f t="shared" si="14"/>
        <v>103.60000000000001</v>
      </c>
      <c r="O30" s="46">
        <v>44183.5625</v>
      </c>
      <c r="P30" s="32">
        <f t="shared" si="9"/>
        <v>103.60000000000001</v>
      </c>
      <c r="Q30" s="34">
        <f t="shared" si="10"/>
        <v>103.60000000000001</v>
      </c>
      <c r="R30" s="37">
        <f t="shared" si="11"/>
        <v>103.60000000000001</v>
      </c>
    </row>
    <row r="31" spans="5:18" x14ac:dyDescent="0.25">
      <c r="E31" s="42">
        <v>44183.583333333336</v>
      </c>
      <c r="F31" s="32">
        <f t="shared" si="0"/>
        <v>101.24130000000001</v>
      </c>
      <c r="G31" s="34">
        <f t="shared" si="1"/>
        <v>101.24130000000001</v>
      </c>
      <c r="H31" s="22">
        <f t="shared" si="2"/>
        <v>101.24130000000001</v>
      </c>
      <c r="J31" s="45">
        <v>44183.583333333336</v>
      </c>
      <c r="K31" s="32">
        <f t="shared" si="12"/>
        <v>103.60000000000001</v>
      </c>
      <c r="L31" s="34">
        <f t="shared" si="13"/>
        <v>103.60000000000001</v>
      </c>
      <c r="M31" s="37">
        <f t="shared" si="14"/>
        <v>103.60000000000001</v>
      </c>
      <c r="O31" s="46">
        <v>44183.583333333336</v>
      </c>
      <c r="P31" s="32">
        <f t="shared" si="9"/>
        <v>103.60000000000001</v>
      </c>
      <c r="Q31" s="34">
        <f t="shared" si="10"/>
        <v>103.60000000000001</v>
      </c>
      <c r="R31" s="37">
        <f t="shared" si="11"/>
        <v>103.60000000000001</v>
      </c>
    </row>
    <row r="32" spans="5:18" x14ac:dyDescent="0.25">
      <c r="E32" s="42">
        <v>44183.604166666664</v>
      </c>
      <c r="F32" s="32">
        <f t="shared" si="0"/>
        <v>98.882600000000011</v>
      </c>
      <c r="G32" s="34">
        <f t="shared" si="1"/>
        <v>98.882600000000011</v>
      </c>
      <c r="H32" s="22">
        <f t="shared" si="2"/>
        <v>98.882600000000011</v>
      </c>
      <c r="J32" s="45">
        <v>44183.604166666664</v>
      </c>
      <c r="K32" s="32">
        <f t="shared" si="12"/>
        <v>103.60000000000001</v>
      </c>
      <c r="L32" s="34">
        <f t="shared" si="13"/>
        <v>103.60000000000001</v>
      </c>
      <c r="M32" s="37">
        <f t="shared" si="14"/>
        <v>103.60000000000001</v>
      </c>
      <c r="O32" s="46">
        <v>44183.604166666664</v>
      </c>
      <c r="P32" s="32">
        <f t="shared" si="9"/>
        <v>103.60000000000001</v>
      </c>
      <c r="Q32" s="34">
        <f t="shared" si="10"/>
        <v>103.60000000000001</v>
      </c>
      <c r="R32" s="37">
        <f t="shared" si="11"/>
        <v>103.60000000000001</v>
      </c>
    </row>
    <row r="33" spans="5:18" x14ac:dyDescent="0.25">
      <c r="E33" s="42">
        <v>44183.625</v>
      </c>
      <c r="F33" s="32">
        <f t="shared" si="0"/>
        <v>96.523900000000012</v>
      </c>
      <c r="G33" s="34">
        <f t="shared" si="1"/>
        <v>96.523900000000012</v>
      </c>
      <c r="H33" s="22">
        <f t="shared" si="2"/>
        <v>96.523900000000012</v>
      </c>
      <c r="J33" s="45">
        <v>44183.625</v>
      </c>
      <c r="K33" s="32">
        <f t="shared" si="12"/>
        <v>103.60000000000001</v>
      </c>
      <c r="L33" s="34">
        <f t="shared" si="13"/>
        <v>103.60000000000001</v>
      </c>
      <c r="M33" s="37">
        <f t="shared" si="14"/>
        <v>103.60000000000001</v>
      </c>
      <c r="O33" s="46">
        <v>44183.625</v>
      </c>
      <c r="P33" s="32">
        <f t="shared" si="9"/>
        <v>103.60000000000001</v>
      </c>
      <c r="Q33" s="34">
        <f t="shared" si="10"/>
        <v>103.60000000000001</v>
      </c>
      <c r="R33" s="37">
        <f t="shared" si="11"/>
        <v>103.60000000000001</v>
      </c>
    </row>
    <row r="34" spans="5:18" x14ac:dyDescent="0.25">
      <c r="E34" s="42">
        <v>44183.645833333336</v>
      </c>
      <c r="F34" s="32">
        <f t="shared" si="0"/>
        <v>94.165200000000013</v>
      </c>
      <c r="G34" s="34">
        <f t="shared" si="1"/>
        <v>94.165200000000013</v>
      </c>
      <c r="H34" s="22">
        <f t="shared" si="2"/>
        <v>94.165200000000013</v>
      </c>
      <c r="J34" s="42">
        <v>44183.645833333336</v>
      </c>
      <c r="K34" s="32">
        <f t="shared" ref="K34:K50" si="18">K33-$C$3/2</f>
        <v>101.24130000000001</v>
      </c>
      <c r="L34" s="34">
        <f t="shared" ref="L34:L50" si="19">L33-$C$3/2</f>
        <v>101.24130000000001</v>
      </c>
      <c r="M34" s="22">
        <f t="shared" ref="M34:M50" si="20">M33-$C$3/2</f>
        <v>101.24130000000001</v>
      </c>
      <c r="O34" s="46">
        <v>44183.645833333336</v>
      </c>
      <c r="P34" s="32">
        <f t="shared" si="9"/>
        <v>103.60000000000001</v>
      </c>
      <c r="Q34" s="34">
        <f t="shared" si="10"/>
        <v>103.60000000000001</v>
      </c>
      <c r="R34" s="37">
        <f t="shared" si="11"/>
        <v>103.60000000000001</v>
      </c>
    </row>
    <row r="35" spans="5:18" x14ac:dyDescent="0.25">
      <c r="E35" s="42">
        <v>44183.666666666664</v>
      </c>
      <c r="F35" s="32">
        <f t="shared" si="0"/>
        <v>91.806500000000014</v>
      </c>
      <c r="G35" s="34">
        <f t="shared" si="1"/>
        <v>91.806500000000014</v>
      </c>
      <c r="H35" s="22">
        <f t="shared" si="2"/>
        <v>91.806500000000014</v>
      </c>
      <c r="J35" s="42">
        <v>44183.666666666664</v>
      </c>
      <c r="K35" s="32">
        <f t="shared" si="18"/>
        <v>98.882600000000011</v>
      </c>
      <c r="L35" s="34">
        <f t="shared" si="19"/>
        <v>98.882600000000011</v>
      </c>
      <c r="M35" s="22">
        <f t="shared" si="20"/>
        <v>98.882600000000011</v>
      </c>
      <c r="O35" s="47">
        <v>44183.666666666664</v>
      </c>
      <c r="P35" s="32">
        <f t="shared" ref="P35:P50" si="21">P34-$C$3/2</f>
        <v>101.24130000000001</v>
      </c>
      <c r="Q35" s="34">
        <f t="shared" ref="Q35:Q50" si="22">Q34-$C$3/2</f>
        <v>101.24130000000001</v>
      </c>
      <c r="R35" s="22">
        <f t="shared" ref="R35:R50" si="23">R34-$C$3/2</f>
        <v>101.24130000000001</v>
      </c>
    </row>
    <row r="36" spans="5:18" x14ac:dyDescent="0.25">
      <c r="E36" s="42">
        <v>44183.6875</v>
      </c>
      <c r="F36" s="32">
        <f t="shared" si="0"/>
        <v>89.447800000000015</v>
      </c>
      <c r="G36" s="34">
        <f t="shared" si="1"/>
        <v>89.447800000000015</v>
      </c>
      <c r="H36" s="22">
        <f t="shared" si="2"/>
        <v>89.447800000000015</v>
      </c>
      <c r="J36" s="42">
        <v>44183.6875</v>
      </c>
      <c r="K36" s="32">
        <f t="shared" si="18"/>
        <v>96.523900000000012</v>
      </c>
      <c r="L36" s="34">
        <f t="shared" si="19"/>
        <v>96.523900000000012</v>
      </c>
      <c r="M36" s="22">
        <f t="shared" si="20"/>
        <v>96.523900000000012</v>
      </c>
      <c r="O36" s="47">
        <v>44183.6875</v>
      </c>
      <c r="P36" s="32">
        <f t="shared" si="21"/>
        <v>98.882600000000011</v>
      </c>
      <c r="Q36" s="34">
        <f t="shared" si="22"/>
        <v>98.882600000000011</v>
      </c>
      <c r="R36" s="22">
        <f t="shared" si="23"/>
        <v>98.882600000000011</v>
      </c>
    </row>
    <row r="37" spans="5:18" x14ac:dyDescent="0.25">
      <c r="E37" s="42">
        <v>44183.708333333336</v>
      </c>
      <c r="F37" s="32">
        <f t="shared" si="0"/>
        <v>87.089100000000016</v>
      </c>
      <c r="G37" s="34">
        <f t="shared" si="1"/>
        <v>87.089100000000016</v>
      </c>
      <c r="H37" s="22">
        <f t="shared" si="2"/>
        <v>87.089100000000016</v>
      </c>
      <c r="J37" s="42">
        <v>44183.708333333336</v>
      </c>
      <c r="K37" s="32">
        <f t="shared" si="18"/>
        <v>94.165200000000013</v>
      </c>
      <c r="L37" s="34">
        <f t="shared" si="19"/>
        <v>94.165200000000013</v>
      </c>
      <c r="M37" s="22">
        <f t="shared" si="20"/>
        <v>94.165200000000013</v>
      </c>
      <c r="O37" s="47">
        <v>44183.708333333336</v>
      </c>
      <c r="P37" s="32">
        <f t="shared" si="21"/>
        <v>96.523900000000012</v>
      </c>
      <c r="Q37" s="34">
        <f t="shared" si="22"/>
        <v>96.523900000000012</v>
      </c>
      <c r="R37" s="22">
        <f t="shared" si="23"/>
        <v>96.523900000000012</v>
      </c>
    </row>
    <row r="38" spans="5:18" x14ac:dyDescent="0.25">
      <c r="E38" s="42">
        <v>44183.729166666664</v>
      </c>
      <c r="F38" s="32">
        <f t="shared" si="0"/>
        <v>84.730400000000017</v>
      </c>
      <c r="G38" s="34">
        <f t="shared" si="1"/>
        <v>84.730400000000017</v>
      </c>
      <c r="H38" s="22">
        <f t="shared" si="2"/>
        <v>84.730400000000017</v>
      </c>
      <c r="J38" s="42">
        <v>44183.729166666664</v>
      </c>
      <c r="K38" s="32">
        <f t="shared" si="18"/>
        <v>91.806500000000014</v>
      </c>
      <c r="L38" s="34">
        <f t="shared" si="19"/>
        <v>91.806500000000014</v>
      </c>
      <c r="M38" s="22">
        <f t="shared" si="20"/>
        <v>91.806500000000014</v>
      </c>
      <c r="O38" s="42">
        <v>44183.729166666664</v>
      </c>
      <c r="P38" s="32">
        <f t="shared" si="21"/>
        <v>94.165200000000013</v>
      </c>
      <c r="Q38" s="34">
        <f t="shared" si="22"/>
        <v>94.165200000000013</v>
      </c>
      <c r="R38" s="22">
        <f t="shared" si="23"/>
        <v>94.165200000000013</v>
      </c>
    </row>
    <row r="39" spans="5:18" x14ac:dyDescent="0.25">
      <c r="E39" s="42">
        <v>44183.75</v>
      </c>
      <c r="F39" s="32">
        <f t="shared" si="0"/>
        <v>82.371700000000018</v>
      </c>
      <c r="G39" s="34">
        <f t="shared" si="1"/>
        <v>82.371700000000018</v>
      </c>
      <c r="H39" s="22">
        <f t="shared" si="2"/>
        <v>82.371700000000018</v>
      </c>
      <c r="J39" s="42">
        <v>44183.75</v>
      </c>
      <c r="K39" s="32">
        <f t="shared" si="18"/>
        <v>89.447800000000015</v>
      </c>
      <c r="L39" s="34">
        <f t="shared" si="19"/>
        <v>89.447800000000015</v>
      </c>
      <c r="M39" s="22">
        <f t="shared" si="20"/>
        <v>89.447800000000015</v>
      </c>
      <c r="O39" s="42">
        <v>44183.75</v>
      </c>
      <c r="P39" s="32">
        <f t="shared" si="21"/>
        <v>91.806500000000014</v>
      </c>
      <c r="Q39" s="34">
        <f t="shared" si="22"/>
        <v>91.806500000000014</v>
      </c>
      <c r="R39" s="22">
        <f t="shared" si="23"/>
        <v>91.806500000000014</v>
      </c>
    </row>
    <row r="40" spans="5:18" x14ac:dyDescent="0.25">
      <c r="E40" s="42">
        <v>44183.770833333336</v>
      </c>
      <c r="F40" s="32">
        <f t="shared" si="0"/>
        <v>80.013000000000019</v>
      </c>
      <c r="G40" s="34">
        <f t="shared" si="1"/>
        <v>80.013000000000019</v>
      </c>
      <c r="H40" s="22">
        <f t="shared" si="2"/>
        <v>80.013000000000019</v>
      </c>
      <c r="J40" s="42">
        <v>44183.770833333336</v>
      </c>
      <c r="K40" s="32">
        <f t="shared" si="18"/>
        <v>87.089100000000016</v>
      </c>
      <c r="L40" s="34">
        <f t="shared" si="19"/>
        <v>87.089100000000016</v>
      </c>
      <c r="M40" s="22">
        <f t="shared" si="20"/>
        <v>87.089100000000016</v>
      </c>
      <c r="O40" s="42">
        <v>44183.770833333336</v>
      </c>
      <c r="P40" s="32">
        <f t="shared" si="21"/>
        <v>89.447800000000015</v>
      </c>
      <c r="Q40" s="34">
        <f t="shared" si="22"/>
        <v>89.447800000000015</v>
      </c>
      <c r="R40" s="22">
        <f t="shared" si="23"/>
        <v>89.447800000000015</v>
      </c>
    </row>
    <row r="41" spans="5:18" x14ac:dyDescent="0.25">
      <c r="E41" s="42">
        <v>44183.791666666664</v>
      </c>
      <c r="F41" s="32">
        <f t="shared" si="0"/>
        <v>77.654300000000021</v>
      </c>
      <c r="G41" s="34">
        <f t="shared" si="1"/>
        <v>77.654300000000021</v>
      </c>
      <c r="H41" s="22">
        <f t="shared" si="2"/>
        <v>77.654300000000021</v>
      </c>
      <c r="J41" s="42">
        <v>44183.791666666664</v>
      </c>
      <c r="K41" s="32">
        <f t="shared" si="18"/>
        <v>84.730400000000017</v>
      </c>
      <c r="L41" s="34">
        <f t="shared" si="19"/>
        <v>84.730400000000017</v>
      </c>
      <c r="M41" s="22">
        <f t="shared" si="20"/>
        <v>84.730400000000017</v>
      </c>
      <c r="O41" s="42">
        <v>44183.791666666664</v>
      </c>
      <c r="P41" s="32">
        <f t="shared" si="21"/>
        <v>87.089100000000016</v>
      </c>
      <c r="Q41" s="34">
        <f t="shared" si="22"/>
        <v>87.089100000000016</v>
      </c>
      <c r="R41" s="22">
        <f t="shared" si="23"/>
        <v>87.089100000000016</v>
      </c>
    </row>
    <row r="42" spans="5:18" x14ac:dyDescent="0.25">
      <c r="E42" s="42">
        <v>44183.8125</v>
      </c>
      <c r="F42" s="32">
        <f t="shared" si="0"/>
        <v>75.295600000000022</v>
      </c>
      <c r="G42" s="34">
        <f t="shared" si="1"/>
        <v>75.295600000000022</v>
      </c>
      <c r="H42" s="22">
        <f t="shared" si="2"/>
        <v>75.295600000000022</v>
      </c>
      <c r="J42" s="42">
        <v>44183.8125</v>
      </c>
      <c r="K42" s="32">
        <f t="shared" si="18"/>
        <v>82.371700000000018</v>
      </c>
      <c r="L42" s="34">
        <f t="shared" si="19"/>
        <v>82.371700000000018</v>
      </c>
      <c r="M42" s="22">
        <f t="shared" si="20"/>
        <v>82.371700000000018</v>
      </c>
      <c r="O42" s="42">
        <v>44183.8125</v>
      </c>
      <c r="P42" s="32">
        <f t="shared" si="21"/>
        <v>84.730400000000017</v>
      </c>
      <c r="Q42" s="34">
        <f t="shared" si="22"/>
        <v>84.730400000000017</v>
      </c>
      <c r="R42" s="22">
        <f t="shared" si="23"/>
        <v>84.730400000000017</v>
      </c>
    </row>
    <row r="43" spans="5:18" x14ac:dyDescent="0.25">
      <c r="E43" s="42">
        <v>44183.833333333336</v>
      </c>
      <c r="F43" s="32">
        <f t="shared" si="0"/>
        <v>72.936900000000023</v>
      </c>
      <c r="G43" s="34">
        <f t="shared" si="1"/>
        <v>72.936900000000023</v>
      </c>
      <c r="H43" s="22">
        <f t="shared" si="2"/>
        <v>72.936900000000023</v>
      </c>
      <c r="J43" s="42">
        <v>44183.833333333336</v>
      </c>
      <c r="K43" s="32">
        <f t="shared" si="18"/>
        <v>80.013000000000019</v>
      </c>
      <c r="L43" s="34">
        <f t="shared" si="19"/>
        <v>80.013000000000019</v>
      </c>
      <c r="M43" s="22">
        <f t="shared" si="20"/>
        <v>80.013000000000019</v>
      </c>
      <c r="O43" s="42">
        <v>44183.833333333336</v>
      </c>
      <c r="P43" s="32">
        <f t="shared" si="21"/>
        <v>82.371700000000018</v>
      </c>
      <c r="Q43" s="34">
        <f t="shared" si="22"/>
        <v>82.371700000000018</v>
      </c>
      <c r="R43" s="22">
        <f t="shared" si="23"/>
        <v>82.371700000000018</v>
      </c>
    </row>
    <row r="44" spans="5:18" x14ac:dyDescent="0.25">
      <c r="E44" s="42">
        <v>44183.854166666664</v>
      </c>
      <c r="F44" s="32">
        <f t="shared" si="0"/>
        <v>70.578200000000024</v>
      </c>
      <c r="G44" s="34">
        <f t="shared" si="1"/>
        <v>70.578200000000024</v>
      </c>
      <c r="H44" s="22">
        <f t="shared" si="2"/>
        <v>70.578200000000024</v>
      </c>
      <c r="J44" s="42">
        <v>44183.854166666664</v>
      </c>
      <c r="K44" s="32">
        <f t="shared" si="18"/>
        <v>77.654300000000021</v>
      </c>
      <c r="L44" s="34">
        <f t="shared" si="19"/>
        <v>77.654300000000021</v>
      </c>
      <c r="M44" s="22">
        <f t="shared" si="20"/>
        <v>77.654300000000021</v>
      </c>
      <c r="O44" s="42">
        <v>44183.854166666664</v>
      </c>
      <c r="P44" s="32">
        <f t="shared" si="21"/>
        <v>80.013000000000019</v>
      </c>
      <c r="Q44" s="34">
        <f t="shared" si="22"/>
        <v>80.013000000000019</v>
      </c>
      <c r="R44" s="22">
        <f t="shared" si="23"/>
        <v>80.013000000000019</v>
      </c>
    </row>
    <row r="45" spans="5:18" x14ac:dyDescent="0.25">
      <c r="E45" s="42">
        <v>44183.875</v>
      </c>
      <c r="F45" s="32">
        <f t="shared" si="0"/>
        <v>68.219500000000025</v>
      </c>
      <c r="G45" s="34">
        <f t="shared" si="1"/>
        <v>68.219500000000025</v>
      </c>
      <c r="H45" s="22">
        <f t="shared" si="2"/>
        <v>68.219500000000025</v>
      </c>
      <c r="J45" s="42">
        <v>44183.875</v>
      </c>
      <c r="K45" s="32">
        <f t="shared" si="18"/>
        <v>75.295600000000022</v>
      </c>
      <c r="L45" s="34">
        <f t="shared" si="19"/>
        <v>75.295600000000022</v>
      </c>
      <c r="M45" s="22">
        <f t="shared" si="20"/>
        <v>75.295600000000022</v>
      </c>
      <c r="O45" s="42">
        <v>44183.875</v>
      </c>
      <c r="P45" s="32">
        <f t="shared" si="21"/>
        <v>77.654300000000021</v>
      </c>
      <c r="Q45" s="34">
        <f t="shared" si="22"/>
        <v>77.654300000000021</v>
      </c>
      <c r="R45" s="22">
        <f t="shared" si="23"/>
        <v>77.654300000000021</v>
      </c>
    </row>
    <row r="46" spans="5:18" x14ac:dyDescent="0.25">
      <c r="E46" s="42">
        <v>44183.895833333336</v>
      </c>
      <c r="F46" s="32">
        <f t="shared" si="0"/>
        <v>65.860800000000026</v>
      </c>
      <c r="G46" s="34">
        <f t="shared" si="1"/>
        <v>65.860800000000026</v>
      </c>
      <c r="H46" s="22">
        <f t="shared" si="2"/>
        <v>65.860800000000026</v>
      </c>
      <c r="J46" s="42">
        <v>44183.895833333336</v>
      </c>
      <c r="K46" s="32">
        <f t="shared" si="18"/>
        <v>72.936900000000023</v>
      </c>
      <c r="L46" s="34">
        <f t="shared" si="19"/>
        <v>72.936900000000023</v>
      </c>
      <c r="M46" s="22">
        <f t="shared" si="20"/>
        <v>72.936900000000023</v>
      </c>
      <c r="O46" s="42">
        <v>44183.895833333336</v>
      </c>
      <c r="P46" s="32">
        <f t="shared" si="21"/>
        <v>75.295600000000022</v>
      </c>
      <c r="Q46" s="34">
        <f t="shared" si="22"/>
        <v>75.295600000000022</v>
      </c>
      <c r="R46" s="22">
        <f t="shared" si="23"/>
        <v>75.295600000000022</v>
      </c>
    </row>
    <row r="47" spans="5:18" x14ac:dyDescent="0.25">
      <c r="E47" s="42">
        <v>44183.916666666664</v>
      </c>
      <c r="F47" s="32">
        <f t="shared" si="0"/>
        <v>63.502100000000027</v>
      </c>
      <c r="G47" s="34">
        <f t="shared" si="1"/>
        <v>63.502100000000027</v>
      </c>
      <c r="H47" s="22">
        <f t="shared" si="2"/>
        <v>63.502100000000027</v>
      </c>
      <c r="J47" s="42">
        <v>44183.916666666664</v>
      </c>
      <c r="K47" s="32">
        <f t="shared" si="18"/>
        <v>70.578200000000024</v>
      </c>
      <c r="L47" s="34">
        <f t="shared" si="19"/>
        <v>70.578200000000024</v>
      </c>
      <c r="M47" s="22">
        <f t="shared" si="20"/>
        <v>70.578200000000024</v>
      </c>
      <c r="O47" s="42">
        <v>44183.916666666664</v>
      </c>
      <c r="P47" s="32">
        <f t="shared" si="21"/>
        <v>72.936900000000023</v>
      </c>
      <c r="Q47" s="34">
        <f t="shared" si="22"/>
        <v>72.936900000000023</v>
      </c>
      <c r="R47" s="22">
        <f t="shared" si="23"/>
        <v>72.936900000000023</v>
      </c>
    </row>
    <row r="48" spans="5:18" x14ac:dyDescent="0.25">
      <c r="E48" s="42">
        <v>44183.9375</v>
      </c>
      <c r="F48" s="32">
        <f t="shared" si="0"/>
        <v>61.143400000000028</v>
      </c>
      <c r="G48" s="34">
        <f t="shared" si="1"/>
        <v>61.143400000000028</v>
      </c>
      <c r="H48" s="22">
        <f t="shared" si="2"/>
        <v>61.143400000000028</v>
      </c>
      <c r="J48" s="42">
        <v>44183.9375</v>
      </c>
      <c r="K48" s="32">
        <f t="shared" si="18"/>
        <v>68.219500000000025</v>
      </c>
      <c r="L48" s="34">
        <f t="shared" si="19"/>
        <v>68.219500000000025</v>
      </c>
      <c r="M48" s="22">
        <f t="shared" si="20"/>
        <v>68.219500000000025</v>
      </c>
      <c r="O48" s="42">
        <v>44183.9375</v>
      </c>
      <c r="P48" s="32">
        <f t="shared" si="21"/>
        <v>70.578200000000024</v>
      </c>
      <c r="Q48" s="34">
        <f t="shared" si="22"/>
        <v>70.578200000000024</v>
      </c>
      <c r="R48" s="22">
        <f t="shared" si="23"/>
        <v>70.578200000000024</v>
      </c>
    </row>
    <row r="49" spans="5:18" x14ac:dyDescent="0.25">
      <c r="E49" s="42">
        <v>44183.958333333336</v>
      </c>
      <c r="F49" s="32">
        <f t="shared" si="0"/>
        <v>58.784700000000029</v>
      </c>
      <c r="G49" s="34">
        <f t="shared" si="1"/>
        <v>58.784700000000029</v>
      </c>
      <c r="H49" s="22">
        <f t="shared" si="2"/>
        <v>58.784700000000029</v>
      </c>
      <c r="J49" s="42">
        <v>44183.958333333336</v>
      </c>
      <c r="K49" s="32">
        <f t="shared" si="18"/>
        <v>65.860800000000026</v>
      </c>
      <c r="L49" s="34">
        <f t="shared" si="19"/>
        <v>65.860800000000026</v>
      </c>
      <c r="M49" s="22">
        <f t="shared" si="20"/>
        <v>65.860800000000026</v>
      </c>
      <c r="O49" s="42">
        <v>44183.958333333336</v>
      </c>
      <c r="P49" s="32">
        <f t="shared" si="21"/>
        <v>68.219500000000025</v>
      </c>
      <c r="Q49" s="34">
        <f t="shared" si="22"/>
        <v>68.219500000000025</v>
      </c>
      <c r="R49" s="22">
        <f t="shared" si="23"/>
        <v>68.219500000000025</v>
      </c>
    </row>
    <row r="50" spans="5:18" ht="15.75" thickBot="1" x14ac:dyDescent="0.3">
      <c r="E50" s="43">
        <v>44183.979166666664</v>
      </c>
      <c r="F50" s="33">
        <f t="shared" si="0"/>
        <v>56.42600000000003</v>
      </c>
      <c r="G50" s="35">
        <f t="shared" si="1"/>
        <v>56.42600000000003</v>
      </c>
      <c r="H50" s="17">
        <f t="shared" si="2"/>
        <v>56.42600000000003</v>
      </c>
      <c r="J50" s="43">
        <v>44183.979166666664</v>
      </c>
      <c r="K50" s="33">
        <f t="shared" si="18"/>
        <v>63.502100000000027</v>
      </c>
      <c r="L50" s="35">
        <f t="shared" si="19"/>
        <v>63.502100000000027</v>
      </c>
      <c r="M50" s="17">
        <f t="shared" si="20"/>
        <v>63.502100000000027</v>
      </c>
      <c r="O50" s="43">
        <v>44183.979166666664</v>
      </c>
      <c r="P50" s="33">
        <f t="shared" si="21"/>
        <v>65.860800000000026</v>
      </c>
      <c r="Q50" s="35">
        <f t="shared" si="22"/>
        <v>65.860800000000026</v>
      </c>
      <c r="R50" s="17">
        <f t="shared" si="23"/>
        <v>65.860800000000026</v>
      </c>
    </row>
    <row r="51" spans="5:18" x14ac:dyDescent="0.25">
      <c r="E51" s="36"/>
    </row>
  </sheetData>
  <mergeCells count="16">
    <mergeCell ref="A9:B10"/>
    <mergeCell ref="C9:C10"/>
    <mergeCell ref="D9:D10"/>
    <mergeCell ref="A1:B1"/>
    <mergeCell ref="A2:B2"/>
    <mergeCell ref="A3:B3"/>
    <mergeCell ref="A4:B4"/>
    <mergeCell ref="A5:B6"/>
    <mergeCell ref="C5:C6"/>
    <mergeCell ref="P1:R1"/>
    <mergeCell ref="K1:M1"/>
    <mergeCell ref="A7:B8"/>
    <mergeCell ref="C7:C8"/>
    <mergeCell ref="D5:D6"/>
    <mergeCell ref="D7:D8"/>
    <mergeCell ref="F1:H1"/>
  </mergeCells>
  <conditionalFormatting sqref="F3:H50">
    <cfRule type="cellIs" dxfId="2" priority="5" operator="lessThan">
      <formula>0</formula>
    </cfRule>
  </conditionalFormatting>
  <conditionalFormatting sqref="K3:M50">
    <cfRule type="cellIs" dxfId="1" priority="2" operator="lessThan">
      <formula>0</formula>
    </cfRule>
  </conditionalFormatting>
  <conditionalFormatting sqref="P3:R50">
    <cfRule type="cellIs" dxfId="0" priority="1" operator="lessThan">
      <formula>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Cálculos baterías</vt:lpstr>
      <vt:lpstr>Consumo diario por boya</vt:lpstr>
      <vt:lpstr>Luz Escollera solsticios</vt:lpstr>
      <vt:lpstr>Cálculos panel solar</vt:lpstr>
      <vt:lpstr>Hora Solar Pico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2015-06-05T18:19:34Z</dcterms:created>
  <dcterms:modified xsi:type="dcterms:W3CDTF">2022-02-24T21:18:02Z</dcterms:modified>
</cp:coreProperties>
</file>