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Verruco\tables\"/>
    </mc:Choice>
  </mc:AlternateContent>
  <bookViews>
    <workbookView xWindow="0" yWindow="0" windowWidth="15912" windowHeight="9024" xr2:uid="{5719020E-8D84-4918-B813-23F3064BD852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6" i="1"/>
  <c r="M36" i="1"/>
  <c r="L36" i="1"/>
  <c r="K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2" i="1"/>
  <c r="M32" i="1"/>
  <c r="L32" i="1"/>
  <c r="K32" i="1"/>
  <c r="J32" i="1"/>
  <c r="I32" i="1"/>
  <c r="N30" i="1"/>
  <c r="M30" i="1"/>
  <c r="L30" i="1"/>
  <c r="K30" i="1"/>
  <c r="J30" i="1"/>
  <c r="I30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4" i="1"/>
  <c r="M24" i="1"/>
  <c r="L24" i="1"/>
  <c r="K24" i="1"/>
  <c r="I24" i="1"/>
  <c r="N22" i="1"/>
  <c r="M22" i="1"/>
  <c r="L22" i="1"/>
  <c r="K22" i="1"/>
  <c r="J22" i="1"/>
  <c r="I22" i="1"/>
  <c r="G18" i="1"/>
  <c r="G16" i="1"/>
  <c r="G14" i="1"/>
  <c r="G12" i="1"/>
</calcChain>
</file>

<file path=xl/sharedStrings.xml><?xml version="1.0" encoding="utf-8"?>
<sst xmlns="http://schemas.openxmlformats.org/spreadsheetml/2006/main" count="131" uniqueCount="60">
  <si>
    <t>Station</t>
  </si>
  <si>
    <t>GPS coordinates north</t>
  </si>
  <si>
    <t>GPS coordinates west</t>
  </si>
  <si>
    <t>Depth</t>
  </si>
  <si>
    <t>Sample Size</t>
  </si>
  <si>
    <t>Sample Depth (m)</t>
  </si>
  <si>
    <t>Temperature ( C )</t>
  </si>
  <si>
    <t>DO (mg/L)</t>
  </si>
  <si>
    <t>Chl (ug/L)</t>
  </si>
  <si>
    <t>TP (ug/L)</t>
  </si>
  <si>
    <t>PP (ug/L)</t>
  </si>
  <si>
    <t>TDP (ug/L)</t>
  </si>
  <si>
    <t>POC (mg/L)</t>
  </si>
  <si>
    <t>PON (mg/L)</t>
  </si>
  <si>
    <t>DOC (mg/L)</t>
  </si>
  <si>
    <t>SiO2 (mg/L)</t>
  </si>
  <si>
    <t>TSS (mg/L)</t>
  </si>
  <si>
    <t>Fluorescence(mg/m3)</t>
  </si>
  <si>
    <t>PAR</t>
  </si>
  <si>
    <t>Nearshore</t>
  </si>
  <si>
    <t>Surface</t>
  </si>
  <si>
    <t>Offshore</t>
  </si>
  <si>
    <t>Bottom</t>
  </si>
  <si>
    <t>Buoy</t>
  </si>
  <si>
    <t>NA</t>
  </si>
  <si>
    <t>Temperature ©</t>
  </si>
  <si>
    <t>TDS (mg/L)</t>
  </si>
  <si>
    <t>pH</t>
  </si>
  <si>
    <t>ORP (mV)</t>
  </si>
  <si>
    <t>BGA (cells/mL)</t>
  </si>
  <si>
    <t>Cl (mg/L)</t>
  </si>
  <si>
    <t>SO4 (mg/L)</t>
  </si>
  <si>
    <t>NO3 (mg/L)</t>
  </si>
  <si>
    <t>NH3 (mg/L)</t>
  </si>
  <si>
    <t>TKN (mg/L)</t>
  </si>
  <si>
    <t>SRP (ug/L)</t>
  </si>
  <si>
    <t>Alk (mg/L)</t>
  </si>
  <si>
    <t>Turbidity (NTU)</t>
  </si>
  <si>
    <t>Inlet</t>
  </si>
  <si>
    <t>Bear</t>
  </si>
  <si>
    <t>Outlet</t>
  </si>
  <si>
    <t>Deep</t>
  </si>
  <si>
    <t>Cedar</t>
  </si>
  <si>
    <t>Total Depth (ft)</t>
  </si>
  <si>
    <t>NH4 (ug/L)</t>
  </si>
  <si>
    <t>Big Seven</t>
  </si>
  <si>
    <t>Bishop</t>
  </si>
  <si>
    <t>Bruin</t>
  </si>
  <si>
    <t>Halfmoon</t>
  </si>
  <si>
    <t>Heron</t>
  </si>
  <si>
    <t>Independence</t>
  </si>
  <si>
    <t>Lobdell</t>
  </si>
  <si>
    <t>North</t>
  </si>
  <si>
    <t>Sand</t>
  </si>
  <si>
    <t>Whitmore</t>
  </si>
  <si>
    <t>Woodland</t>
  </si>
  <si>
    <t xml:space="preserve"> </t>
  </si>
  <si>
    <t>A) Laurentian Survey Samples</t>
  </si>
  <si>
    <t>B) Estuary Survey Samples</t>
  </si>
  <si>
    <t>C) Inland Lake Survey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</si>
</sst>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rgb="FF000000"/>
      <name val="Calibri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  <font>
      <sz val="12"/>
      <color rgb="FF231F2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0" xfId="0" applyFill="1" applyBorder="1"/>
    <xf numFmtId="0" fontId="0" fillId="0" borderId="4" xfId="0" applyFill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5" fillId="0" borderId="3" xfId="0" applyFont="1" applyFill="1" applyBorder="1"/>
    <xf numFmtId="0" fontId="0" fillId="0" borderId="6" xfId="0" applyBorder="1"/>
    <xf numFmtId="0" fontId="5" fillId="0" borderId="4" xfId="0" applyFont="1" applyBorder="1"/>
    <xf numFmtId="0" fontId="0" fillId="0" borderId="3" xfId="0" applyFont="1" applyBorder="1"/>
    <xf numFmtId="165" fontId="6" fillId="0" borderId="0" xfId="0" applyNumberFormat="1" applyFont="1"/>
    <xf numFmtId="0" fontId="3" fillId="0" borderId="2" xfId="0" applyFont="1" applyBorder="1"/>
    <xf numFmtId="0" fontId="0" fillId="0" borderId="2" xfId="0" applyBorder="1"/>
    <xf numFmtId="0" fontId="0" fillId="0" borderId="7" xfId="0" applyFill="1" applyBorder="1"/>
    <xf numFmtId="0" fontId="2" fillId="0" borderId="8" xfId="0" applyFont="1" applyFill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0" xfId="0" applyBorder="1"/>
    <xf numFmtId="0" fontId="4" fillId="0" borderId="8" xfId="0" applyFont="1" applyBorder="1" applyAlignment="1">
      <alignment horizontal="center"/>
    </xf>
    <xf numFmtId="0" fontId="3" fillId="0" borderId="5" xfId="0" applyFont="1" applyBorder="1"/>
    <xf numFmtId="166" fontId="5" fillId="0" borderId="3" xfId="0" applyNumberFormat="1" applyFont="1" applyBorder="1"/>
    <xf numFmtId="0" fontId="5" fillId="0" borderId="3" xfId="0" applyFont="1" applyBorder="1"/>
    <xf numFmtId="2" fontId="5" fillId="0" borderId="3" xfId="0" applyNumberFormat="1" applyFont="1" applyBorder="1"/>
    <xf numFmtId="2" fontId="7" fillId="0" borderId="3" xfId="0" applyNumberFormat="1" applyFont="1" applyBorder="1"/>
    <xf numFmtId="0" fontId="3" fillId="0" borderId="6" xfId="0" applyFont="1" applyBorder="1"/>
    <xf numFmtId="0" fontId="8" fillId="0" borderId="4" xfId="0" applyFont="1" applyFill="1" applyBorder="1"/>
    <xf numFmtId="166" fontId="5" fillId="0" borderId="4" xfId="0" applyNumberFormat="1" applyFont="1" applyBorder="1"/>
    <xf numFmtId="2" fontId="5" fillId="0" borderId="4" xfId="0" applyNumberFormat="1" applyFont="1" applyBorder="1"/>
    <xf numFmtId="2" fontId="9" fillId="0" borderId="3" xfId="0" applyNumberFormat="1" applyFont="1" applyBorder="1"/>
    <xf numFmtId="0" fontId="3" fillId="0" borderId="6" xfId="0" applyFont="1" applyFill="1" applyBorder="1"/>
    <xf numFmtId="166" fontId="5" fillId="0" borderId="4" xfId="0" applyNumberFormat="1" applyFont="1" applyFill="1" applyBorder="1"/>
    <xf numFmtId="0" fontId="5" fillId="0" borderId="4" xfId="0" applyFont="1" applyFill="1" applyBorder="1"/>
    <xf numFmtId="2" fontId="0" fillId="0" borderId="4" xfId="0" applyNumberFormat="1" applyFill="1" applyBorder="1"/>
    <xf numFmtId="0" fontId="8" fillId="0" borderId="0" xfId="0" applyFont="1"/>
    <xf numFmtId="0" fontId="3" fillId="0" borderId="5" xfId="0" applyFont="1" applyFill="1" applyBorder="1"/>
    <xf numFmtId="166" fontId="5" fillId="0" borderId="3" xfId="0" applyNumberFormat="1" applyFont="1" applyFill="1" applyBorder="1"/>
    <xf numFmtId="2" fontId="5" fillId="0" borderId="3" xfId="0" applyNumberFormat="1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945E-12AF-400C-B48E-BBBBBEA04BCC}">
  <dimension ref="A1:W45"/>
  <sheetViews>
    <sheetView tabSelected="1" workbookViewId="0">
      <selection activeCell="I8" sqref="I8"/>
    </sheetView>
  </sheetViews>
  <sheetFormatPr defaultRowHeight="14.4" x14ac:dyDescent="0.3"/>
  <sheetData>
    <row r="1" spans="1:23" ht="18" x14ac:dyDescent="0.35">
      <c r="A1" s="56" t="s">
        <v>57</v>
      </c>
    </row>
    <row r="2" spans="1:23" ht="15.6" x14ac:dyDescent="0.3">
      <c r="B2" s="2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3" t="s">
        <v>6</v>
      </c>
      <c r="I2" s="4" t="s">
        <v>7</v>
      </c>
      <c r="J2" s="4" t="s">
        <v>8</v>
      </c>
      <c r="K2" s="5" t="s">
        <v>9</v>
      </c>
      <c r="L2" s="6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6" t="s">
        <v>15</v>
      </c>
      <c r="R2" s="4" t="s">
        <v>16</v>
      </c>
      <c r="S2" s="4" t="s">
        <v>17</v>
      </c>
      <c r="T2" s="31" t="s">
        <v>18</v>
      </c>
    </row>
    <row r="3" spans="1:23" x14ac:dyDescent="0.3">
      <c r="B3" s="29" t="s">
        <v>19</v>
      </c>
      <c r="C3" s="8">
        <v>43.188055560000002</v>
      </c>
      <c r="D3" s="8">
        <v>86.343888890000002</v>
      </c>
      <c r="E3" s="7" t="s">
        <v>20</v>
      </c>
      <c r="F3" s="7">
        <v>11</v>
      </c>
      <c r="G3" s="7">
        <v>5</v>
      </c>
      <c r="H3" s="9">
        <v>12.361359999999999</v>
      </c>
      <c r="I3" s="9">
        <v>12.37842</v>
      </c>
      <c r="J3" s="9">
        <v>2.8953639999999998</v>
      </c>
      <c r="K3" s="9">
        <v>11.22627</v>
      </c>
      <c r="L3" s="9">
        <v>8.5664549999999995</v>
      </c>
      <c r="M3" s="9">
        <v>2.6634549999999999</v>
      </c>
      <c r="N3" s="9">
        <v>0.3907273</v>
      </c>
      <c r="O3" s="9">
        <v>5.3218179999999997E-2</v>
      </c>
      <c r="P3" s="9">
        <v>3.9804550000000001</v>
      </c>
      <c r="Q3" s="9">
        <v>1.628182</v>
      </c>
      <c r="R3" s="9">
        <v>2.591545</v>
      </c>
      <c r="S3" s="9">
        <v>1.367364</v>
      </c>
      <c r="T3" s="32">
        <v>247.89160000000001</v>
      </c>
    </row>
    <row r="4" spans="1:23" x14ac:dyDescent="0.3">
      <c r="B4" s="21" t="s">
        <v>21</v>
      </c>
      <c r="C4" s="11">
        <v>43.199722219999998</v>
      </c>
      <c r="D4" s="11">
        <v>86.569722220000003</v>
      </c>
      <c r="E4" s="10" t="s">
        <v>20</v>
      </c>
      <c r="F4" s="10">
        <v>10</v>
      </c>
      <c r="G4" s="10">
        <v>5</v>
      </c>
      <c r="H4" s="12">
        <v>13.2082</v>
      </c>
      <c r="I4" s="12">
        <v>11.270960000000001</v>
      </c>
      <c r="J4" s="12">
        <v>0.91920000000000002</v>
      </c>
      <c r="K4" s="12">
        <v>4.3522999999999996</v>
      </c>
      <c r="L4" s="12">
        <v>2.4644499999999998</v>
      </c>
      <c r="M4" s="12">
        <v>1.88785</v>
      </c>
      <c r="N4" s="12">
        <v>0.19600000000000001</v>
      </c>
      <c r="O4" s="12">
        <v>2.86E-2</v>
      </c>
      <c r="P4" s="12">
        <v>2.3180000000000001</v>
      </c>
      <c r="Q4" s="12">
        <v>1.464</v>
      </c>
      <c r="R4" s="12">
        <v>0.3886</v>
      </c>
      <c r="S4" s="12">
        <v>0.44159999999999999</v>
      </c>
      <c r="T4" s="33">
        <v>32.146599999999999</v>
      </c>
    </row>
    <row r="5" spans="1:23" x14ac:dyDescent="0.3">
      <c r="B5" s="24"/>
      <c r="C5" s="13"/>
      <c r="D5" s="13"/>
      <c r="E5" s="13" t="s">
        <v>22</v>
      </c>
      <c r="F5" s="13">
        <v>3</v>
      </c>
      <c r="G5" s="13">
        <v>105</v>
      </c>
      <c r="H5" s="14">
        <v>4.2693329999999996</v>
      </c>
      <c r="I5" s="14">
        <v>13.780749999999999</v>
      </c>
      <c r="J5" s="14">
        <v>0.188</v>
      </c>
      <c r="K5" s="14">
        <v>2.6968329999999998</v>
      </c>
      <c r="L5" s="14">
        <v>1.0594170000000001</v>
      </c>
      <c r="M5" s="14">
        <v>1.6374169999999999</v>
      </c>
      <c r="N5" s="14">
        <v>6.5000000000000002E-2</v>
      </c>
      <c r="O5" s="14">
        <v>9.8666670000000008E-3</v>
      </c>
      <c r="P5" s="14">
        <v>1.935333</v>
      </c>
      <c r="Q5" s="14">
        <v>1.91</v>
      </c>
      <c r="R5" s="14">
        <v>9.5000000000000001E-2</v>
      </c>
      <c r="S5" s="14">
        <v>7.3133329999999996E-2</v>
      </c>
      <c r="T5" s="34">
        <v>9.9999999999999998E-13</v>
      </c>
    </row>
    <row r="6" spans="1:23" x14ac:dyDescent="0.3">
      <c r="B6" s="30" t="s">
        <v>23</v>
      </c>
      <c r="C6">
        <v>43.240965000000003</v>
      </c>
      <c r="D6">
        <v>86.278964999999999</v>
      </c>
      <c r="E6" s="15" t="s">
        <v>20</v>
      </c>
      <c r="F6" s="15">
        <v>9</v>
      </c>
      <c r="G6" s="15">
        <v>1.5</v>
      </c>
      <c r="H6">
        <v>23.303000000000001</v>
      </c>
      <c r="I6">
        <v>8.6385699999999996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>
        <v>14.23325</v>
      </c>
      <c r="T6" s="35">
        <v>522.64800000000002</v>
      </c>
    </row>
    <row r="7" spans="1:23" x14ac:dyDescent="0.3">
      <c r="B7" s="24"/>
      <c r="C7" s="13"/>
      <c r="D7" s="13"/>
      <c r="E7" s="16" t="s">
        <v>22</v>
      </c>
      <c r="F7" s="16">
        <v>6</v>
      </c>
      <c r="G7" s="16">
        <v>9.1999999999999993</v>
      </c>
      <c r="H7" s="13">
        <v>17.317</v>
      </c>
      <c r="I7" s="13">
        <v>0</v>
      </c>
      <c r="J7" s="13" t="s">
        <v>24</v>
      </c>
      <c r="K7" s="13" t="s">
        <v>24</v>
      </c>
      <c r="L7" s="13" t="s">
        <v>24</v>
      </c>
      <c r="M7" s="13" t="s">
        <v>24</v>
      </c>
      <c r="N7" s="13" t="s">
        <v>24</v>
      </c>
      <c r="O7" s="13" t="s">
        <v>24</v>
      </c>
      <c r="P7" s="13" t="s">
        <v>24</v>
      </c>
      <c r="Q7" s="13" t="s">
        <v>24</v>
      </c>
      <c r="R7" s="13" t="s">
        <v>24</v>
      </c>
      <c r="S7" s="13">
        <v>13.111750000000001</v>
      </c>
      <c r="T7" s="36">
        <v>2.1552000000000002E-2</v>
      </c>
    </row>
    <row r="9" spans="1:23" ht="18" x14ac:dyDescent="0.35">
      <c r="A9" s="56" t="s">
        <v>58</v>
      </c>
    </row>
    <row r="10" spans="1:23" ht="15.6" x14ac:dyDescent="0.3">
      <c r="B10" s="28" t="s">
        <v>0</v>
      </c>
      <c r="C10" s="17" t="s">
        <v>1</v>
      </c>
      <c r="D10" s="17" t="s">
        <v>2</v>
      </c>
      <c r="E10" s="17" t="s">
        <v>3</v>
      </c>
      <c r="F10" s="17" t="s">
        <v>4</v>
      </c>
      <c r="G10" s="17" t="s">
        <v>5</v>
      </c>
      <c r="H10" s="18" t="s">
        <v>25</v>
      </c>
      <c r="I10" s="19" t="s">
        <v>26</v>
      </c>
      <c r="J10" s="19" t="s">
        <v>27</v>
      </c>
      <c r="K10" s="19" t="s">
        <v>28</v>
      </c>
      <c r="L10" s="19" t="s">
        <v>8</v>
      </c>
      <c r="M10" s="20" t="s">
        <v>29</v>
      </c>
      <c r="N10" s="20" t="s">
        <v>30</v>
      </c>
      <c r="O10" s="20" t="s">
        <v>31</v>
      </c>
      <c r="P10" s="20" t="s">
        <v>32</v>
      </c>
      <c r="Q10" s="20" t="s">
        <v>33</v>
      </c>
      <c r="R10" s="20" t="s">
        <v>34</v>
      </c>
      <c r="S10" s="20" t="s">
        <v>35</v>
      </c>
      <c r="T10" s="20" t="s">
        <v>9</v>
      </c>
      <c r="U10" s="20" t="s">
        <v>36</v>
      </c>
      <c r="V10" s="20" t="s">
        <v>7</v>
      </c>
      <c r="W10" s="37" t="s">
        <v>37</v>
      </c>
    </row>
    <row r="11" spans="1:23" ht="15.6" x14ac:dyDescent="0.3">
      <c r="B11" s="21" t="s">
        <v>38</v>
      </c>
      <c r="C11" s="10">
        <v>43.252079999999999</v>
      </c>
      <c r="D11" s="22">
        <v>86.252420000000001</v>
      </c>
      <c r="E11" s="23" t="s">
        <v>20</v>
      </c>
      <c r="F11" s="10">
        <v>6</v>
      </c>
      <c r="G11" s="10">
        <v>1</v>
      </c>
      <c r="H11" s="12">
        <v>19.75667</v>
      </c>
      <c r="I11" s="12">
        <v>265</v>
      </c>
      <c r="J11" s="12">
        <v>8.14</v>
      </c>
      <c r="K11" s="12">
        <v>404.66669999999999</v>
      </c>
      <c r="L11" s="12">
        <v>4.3466670000000001</v>
      </c>
      <c r="M11" s="12">
        <v>4624.3329999999996</v>
      </c>
      <c r="N11" s="12">
        <v>20.66667</v>
      </c>
      <c r="O11" s="12">
        <v>15</v>
      </c>
      <c r="P11" s="12">
        <v>0.8</v>
      </c>
      <c r="Q11" s="12">
        <v>1.6666670000000001E-2</v>
      </c>
      <c r="R11" s="12">
        <v>0.52666670000000004</v>
      </c>
      <c r="S11" s="12">
        <v>2.5</v>
      </c>
      <c r="T11" s="12">
        <v>23.266670000000001</v>
      </c>
      <c r="U11" s="12">
        <v>141.33330000000001</v>
      </c>
      <c r="V11" s="12">
        <v>9.2166669999999993</v>
      </c>
      <c r="W11" s="33">
        <v>5.8333329999999997</v>
      </c>
    </row>
    <row r="12" spans="1:23" ht="15.6" x14ac:dyDescent="0.3">
      <c r="B12" s="24"/>
      <c r="C12" s="13"/>
      <c r="D12" s="13"/>
      <c r="E12" s="25" t="s">
        <v>22</v>
      </c>
      <c r="F12" s="13">
        <v>6</v>
      </c>
      <c r="G12" s="13">
        <f>(6.92+6.62+6.92)/3</f>
        <v>6.82</v>
      </c>
      <c r="H12" s="14">
        <v>19.463329999999999</v>
      </c>
      <c r="I12" s="14">
        <v>266.33330000000001</v>
      </c>
      <c r="J12" s="14">
        <v>8.09</v>
      </c>
      <c r="K12" s="14">
        <v>404.33330000000001</v>
      </c>
      <c r="L12" s="14">
        <v>2.23</v>
      </c>
      <c r="M12" s="14">
        <v>2159.3330000000001</v>
      </c>
      <c r="N12" s="14">
        <v>21.33333</v>
      </c>
      <c r="O12" s="14">
        <v>15.33333</v>
      </c>
      <c r="P12" s="14">
        <v>0.78666670000000005</v>
      </c>
      <c r="Q12" s="14">
        <v>0.02</v>
      </c>
      <c r="R12" s="14">
        <v>0.48</v>
      </c>
      <c r="S12" s="14">
        <v>2.5</v>
      </c>
      <c r="T12" s="14">
        <v>24.566669999999998</v>
      </c>
      <c r="U12" s="14">
        <v>147.66669999999999</v>
      </c>
      <c r="V12" s="14">
        <v>8.69</v>
      </c>
      <c r="W12" s="34">
        <v>6.1333330000000004</v>
      </c>
    </row>
    <row r="13" spans="1:23" ht="15.6" x14ac:dyDescent="0.3">
      <c r="B13" s="21" t="s">
        <v>39</v>
      </c>
      <c r="C13" s="27">
        <v>43.238610999999999</v>
      </c>
      <c r="D13" s="11">
        <v>86.299166999999997</v>
      </c>
      <c r="E13" s="23" t="s">
        <v>20</v>
      </c>
      <c r="F13" s="10">
        <v>4</v>
      </c>
      <c r="G13" s="10">
        <v>1</v>
      </c>
      <c r="H13" s="12">
        <v>20.46</v>
      </c>
      <c r="I13" s="12">
        <v>246</v>
      </c>
      <c r="J13" s="12">
        <v>8.17</v>
      </c>
      <c r="K13" s="12">
        <v>404</v>
      </c>
      <c r="L13" s="12">
        <v>2.94</v>
      </c>
      <c r="M13" s="12">
        <v>3882.5</v>
      </c>
      <c r="N13" s="12">
        <v>24.5</v>
      </c>
      <c r="O13" s="12">
        <v>16</v>
      </c>
      <c r="P13" s="12">
        <v>0.78500000000000003</v>
      </c>
      <c r="Q13" s="12">
        <v>0.04</v>
      </c>
      <c r="R13" s="12">
        <v>0.54500000000000004</v>
      </c>
      <c r="S13" s="12">
        <v>2.5</v>
      </c>
      <c r="T13" s="12">
        <v>20.350000000000001</v>
      </c>
      <c r="U13" s="12">
        <v>151</v>
      </c>
      <c r="V13" s="12">
        <v>9.3049999999999997</v>
      </c>
      <c r="W13" s="33">
        <v>3.55</v>
      </c>
    </row>
    <row r="14" spans="1:23" ht="15.6" x14ac:dyDescent="0.3">
      <c r="B14" s="24"/>
      <c r="C14" s="13"/>
      <c r="D14" s="13"/>
      <c r="E14" s="25" t="s">
        <v>22</v>
      </c>
      <c r="F14" s="13">
        <v>4</v>
      </c>
      <c r="G14" s="13">
        <f>(16.07+15.15)/2</f>
        <v>15.61</v>
      </c>
      <c r="H14" s="14">
        <v>11.34</v>
      </c>
      <c r="I14" s="14">
        <v>216</v>
      </c>
      <c r="J14" s="14">
        <v>7.39</v>
      </c>
      <c r="K14" s="14">
        <v>354</v>
      </c>
      <c r="L14" s="14">
        <v>0.28499999999999998</v>
      </c>
      <c r="M14" s="14">
        <v>1478.5</v>
      </c>
      <c r="N14" s="14">
        <v>23.5</v>
      </c>
      <c r="O14" s="14">
        <v>19.5</v>
      </c>
      <c r="P14" s="14">
        <v>0.84499999999999997</v>
      </c>
      <c r="Q14" s="14">
        <v>0.08</v>
      </c>
      <c r="R14" s="14">
        <v>0.29499999999999998</v>
      </c>
      <c r="S14" s="14">
        <v>2.5</v>
      </c>
      <c r="T14" s="14">
        <v>19.25</v>
      </c>
      <c r="U14" s="14">
        <v>135</v>
      </c>
      <c r="V14" s="14">
        <v>6.4450000000000003</v>
      </c>
      <c r="W14" s="34">
        <v>4.3</v>
      </c>
    </row>
    <row r="15" spans="1:23" ht="15.6" x14ac:dyDescent="0.3">
      <c r="B15" s="21" t="s">
        <v>40</v>
      </c>
      <c r="C15" s="10">
        <v>43.232970000000002</v>
      </c>
      <c r="D15" s="10">
        <v>86.326840000000004</v>
      </c>
      <c r="E15" s="23" t="s">
        <v>20</v>
      </c>
      <c r="F15" s="10">
        <v>6</v>
      </c>
      <c r="G15" s="10">
        <v>1</v>
      </c>
      <c r="H15" s="12">
        <v>18.8</v>
      </c>
      <c r="I15" s="12">
        <v>222.33330000000001</v>
      </c>
      <c r="J15" s="12">
        <v>8.0333330000000007</v>
      </c>
      <c r="K15" s="12">
        <v>409</v>
      </c>
      <c r="L15" s="12">
        <v>2.73</v>
      </c>
      <c r="M15" s="12">
        <v>9001.3330000000005</v>
      </c>
      <c r="N15" s="12">
        <v>23.33333</v>
      </c>
      <c r="O15" s="12">
        <v>14.66667</v>
      </c>
      <c r="P15" s="12">
        <v>0.70666669999999998</v>
      </c>
      <c r="Q15" s="12">
        <v>1.6666670000000001E-2</v>
      </c>
      <c r="R15" s="12">
        <v>0.54</v>
      </c>
      <c r="S15" s="12">
        <v>2.5</v>
      </c>
      <c r="T15" s="12">
        <v>20.2</v>
      </c>
      <c r="U15" s="12">
        <v>139.33330000000001</v>
      </c>
      <c r="V15" s="12">
        <v>9.2833330000000007</v>
      </c>
      <c r="W15" s="33">
        <v>3.733333</v>
      </c>
    </row>
    <row r="16" spans="1:23" ht="15.6" x14ac:dyDescent="0.3">
      <c r="B16" s="24"/>
      <c r="C16" s="13"/>
      <c r="D16" s="13"/>
      <c r="E16" s="25" t="s">
        <v>22</v>
      </c>
      <c r="F16" s="13">
        <v>6</v>
      </c>
      <c r="G16" s="14">
        <f>(9.67+8.75+10.28)/3</f>
        <v>9.5666666666666682</v>
      </c>
      <c r="H16" s="14">
        <v>17.190000000000001</v>
      </c>
      <c r="I16" s="14">
        <v>223</v>
      </c>
      <c r="J16" s="14">
        <v>7.8033330000000003</v>
      </c>
      <c r="K16" s="14">
        <v>412</v>
      </c>
      <c r="L16" s="14">
        <v>0.96</v>
      </c>
      <c r="M16" s="14">
        <v>1298.3330000000001</v>
      </c>
      <c r="N16" s="14">
        <v>23</v>
      </c>
      <c r="O16" s="14">
        <v>14.66667</v>
      </c>
      <c r="P16" s="14">
        <v>0.51</v>
      </c>
      <c r="Q16" s="14">
        <v>0.04</v>
      </c>
      <c r="R16" s="14">
        <v>0.59</v>
      </c>
      <c r="S16" s="14">
        <v>4</v>
      </c>
      <c r="T16" s="14">
        <v>18.533329999999999</v>
      </c>
      <c r="U16" s="14">
        <v>136</v>
      </c>
      <c r="V16" s="14">
        <v>7.7866669999999996</v>
      </c>
      <c r="W16" s="34">
        <v>2.766667</v>
      </c>
    </row>
    <row r="17" spans="1:23" ht="15.6" x14ac:dyDescent="0.3">
      <c r="B17" s="21" t="s">
        <v>41</v>
      </c>
      <c r="C17" s="26">
        <v>43.223059999999997</v>
      </c>
      <c r="D17" s="10">
        <v>86.298090000000002</v>
      </c>
      <c r="E17" s="23" t="s">
        <v>20</v>
      </c>
      <c r="F17" s="10">
        <v>6</v>
      </c>
      <c r="G17" s="10">
        <v>1</v>
      </c>
      <c r="H17" s="12">
        <v>18.686669999999999</v>
      </c>
      <c r="I17" s="12">
        <v>224.33330000000001</v>
      </c>
      <c r="J17" s="12">
        <v>7.9933329999999998</v>
      </c>
      <c r="K17" s="12">
        <v>421</v>
      </c>
      <c r="L17" s="12">
        <v>2.52</v>
      </c>
      <c r="M17" s="12">
        <v>58089.33</v>
      </c>
      <c r="N17" s="12">
        <v>22</v>
      </c>
      <c r="O17" s="12">
        <v>14.66667</v>
      </c>
      <c r="P17" s="12">
        <v>0.75333329999999998</v>
      </c>
      <c r="Q17" s="12">
        <v>2.3333329999999999E-2</v>
      </c>
      <c r="R17" s="12">
        <v>0.62666670000000002</v>
      </c>
      <c r="S17" s="12">
        <v>2.5</v>
      </c>
      <c r="T17" s="12">
        <v>18.266670000000001</v>
      </c>
      <c r="U17" s="12">
        <v>137.33330000000001</v>
      </c>
      <c r="V17" s="12">
        <v>9.31</v>
      </c>
      <c r="W17" s="33">
        <v>3.5666669999999998</v>
      </c>
    </row>
    <row r="18" spans="1:23" ht="15.6" x14ac:dyDescent="0.3">
      <c r="B18" s="24"/>
      <c r="C18" s="13"/>
      <c r="D18" s="13"/>
      <c r="E18" s="25" t="s">
        <v>22</v>
      </c>
      <c r="F18" s="13">
        <v>6</v>
      </c>
      <c r="G18" s="14">
        <f>(22.77+23.08+22.77)/3</f>
        <v>22.873333333333331</v>
      </c>
      <c r="H18" s="14">
        <v>12.36</v>
      </c>
      <c r="I18" s="14">
        <v>203</v>
      </c>
      <c r="J18" s="14">
        <v>7.4366669999999999</v>
      </c>
      <c r="K18" s="14">
        <v>360.33330000000001</v>
      </c>
      <c r="L18" s="14">
        <v>0.53666670000000005</v>
      </c>
      <c r="M18" s="14">
        <v>1220.6669999999999</v>
      </c>
      <c r="N18" s="14">
        <v>18.66667</v>
      </c>
      <c r="O18" s="14">
        <v>16.66667</v>
      </c>
      <c r="P18" s="14">
        <v>0.80666669999999996</v>
      </c>
      <c r="Q18" s="14">
        <v>3.3333330000000001E-2</v>
      </c>
      <c r="R18" s="14">
        <v>0.4633333</v>
      </c>
      <c r="S18" s="14">
        <v>13.73333</v>
      </c>
      <c r="T18" s="14">
        <v>34.266669999999998</v>
      </c>
      <c r="U18" s="14">
        <v>125.66670000000001</v>
      </c>
      <c r="V18" s="14">
        <v>5.6633329999999997</v>
      </c>
      <c r="W18" s="34">
        <v>0.8</v>
      </c>
    </row>
    <row r="20" spans="1:23" ht="18" x14ac:dyDescent="0.35">
      <c r="A20" s="56" t="s">
        <v>59</v>
      </c>
    </row>
    <row r="21" spans="1:23" ht="18" x14ac:dyDescent="0.35">
      <c r="A21" s="56"/>
      <c r="B21" s="28" t="s">
        <v>42</v>
      </c>
      <c r="C21" s="17" t="s">
        <v>1</v>
      </c>
      <c r="D21" s="17" t="s">
        <v>2</v>
      </c>
      <c r="E21" s="17" t="s">
        <v>43</v>
      </c>
      <c r="F21" s="17" t="s">
        <v>3</v>
      </c>
      <c r="G21" s="17" t="s">
        <v>4</v>
      </c>
      <c r="H21" s="17" t="s">
        <v>5</v>
      </c>
      <c r="I21" s="19" t="s">
        <v>8</v>
      </c>
      <c r="J21" s="20" t="s">
        <v>32</v>
      </c>
      <c r="K21" s="20" t="s">
        <v>35</v>
      </c>
      <c r="L21" s="20" t="s">
        <v>9</v>
      </c>
      <c r="M21" s="19" t="s">
        <v>11</v>
      </c>
      <c r="N21" s="19" t="s">
        <v>44</v>
      </c>
    </row>
    <row r="22" spans="1:23" ht="15.6" x14ac:dyDescent="0.3">
      <c r="B22" s="38" t="s">
        <v>45</v>
      </c>
      <c r="C22" s="10">
        <v>42.811630000000001</v>
      </c>
      <c r="D22" s="10">
        <v>83.677620000000005</v>
      </c>
      <c r="E22" s="39">
        <v>51.5</v>
      </c>
      <c r="F22" s="40" t="s">
        <v>20</v>
      </c>
      <c r="G22" s="40">
        <v>6</v>
      </c>
      <c r="H22" s="40">
        <v>2</v>
      </c>
      <c r="I22" s="41">
        <f>(4.71+4.67+4.54)/3</f>
        <v>4.6399999999999997</v>
      </c>
      <c r="J22" s="41">
        <f>(0.165+0.165 +0.164)/3</f>
        <v>0.16466666666666666</v>
      </c>
      <c r="K22" s="42">
        <f>(0.43)/3</f>
        <v>0.14333333333333334</v>
      </c>
      <c r="L22" s="41">
        <f>(16.4+17.2+18.19)/3</f>
        <v>17.263333333333332</v>
      </c>
      <c r="M22" s="41">
        <f>(4.56+4.12+4.74)/3</f>
        <v>4.4733333333333336</v>
      </c>
      <c r="N22" s="41">
        <f>(11.42+13.95+21)/3</f>
        <v>15.456666666666665</v>
      </c>
    </row>
    <row r="23" spans="1:23" ht="15.6" x14ac:dyDescent="0.3">
      <c r="B23" s="43"/>
      <c r="C23" s="44"/>
      <c r="D23" s="16"/>
      <c r="E23" s="45"/>
      <c r="F23" s="25" t="s">
        <v>22</v>
      </c>
      <c r="G23" s="25">
        <v>2</v>
      </c>
      <c r="H23" s="25">
        <v>13</v>
      </c>
      <c r="I23" s="46">
        <v>5.28</v>
      </c>
      <c r="J23" s="46">
        <v>0.16300000000000001</v>
      </c>
      <c r="K23" s="46">
        <v>17.010000000000002</v>
      </c>
      <c r="L23" s="46">
        <v>48.19</v>
      </c>
      <c r="M23" s="46">
        <v>17.29</v>
      </c>
      <c r="N23" s="46">
        <v>730.43</v>
      </c>
    </row>
    <row r="24" spans="1:23" ht="15.6" x14ac:dyDescent="0.3">
      <c r="B24" s="38" t="s">
        <v>46</v>
      </c>
      <c r="C24" s="22">
        <v>42.501390000000001</v>
      </c>
      <c r="D24" s="22">
        <v>83.838509999999999</v>
      </c>
      <c r="E24" s="39">
        <v>56</v>
      </c>
      <c r="F24" s="40" t="s">
        <v>20</v>
      </c>
      <c r="G24" s="40">
        <v>6</v>
      </c>
      <c r="H24" s="40">
        <v>2</v>
      </c>
      <c r="I24" s="47">
        <f>(4.71+4.67+4.54)/3</f>
        <v>4.6399999999999997</v>
      </c>
      <c r="J24" s="41">
        <v>0.16600000000000001</v>
      </c>
      <c r="K24" s="42">
        <f>(14.47+15.89+11.79)/3</f>
        <v>14.049999999999999</v>
      </c>
      <c r="L24" s="41">
        <f>(16.18+14.19+14.26)/3</f>
        <v>14.876666666666665</v>
      </c>
      <c r="M24" s="41">
        <f>(4.05+4.39+4.73)/3</f>
        <v>4.3899999999999997</v>
      </c>
      <c r="N24" s="41">
        <f>(8.69+9.22+11.25)/3</f>
        <v>9.7200000000000006</v>
      </c>
    </row>
    <row r="25" spans="1:23" ht="15.6" x14ac:dyDescent="0.3">
      <c r="B25" s="43"/>
      <c r="C25" s="44"/>
      <c r="D25" s="16"/>
      <c r="E25" s="45"/>
      <c r="F25" s="25" t="s">
        <v>22</v>
      </c>
      <c r="G25" s="25">
        <v>2</v>
      </c>
      <c r="H25" s="25">
        <v>14</v>
      </c>
      <c r="I25" s="46">
        <v>7.63</v>
      </c>
      <c r="J25" s="46">
        <v>0.16400000000000001</v>
      </c>
      <c r="K25" s="46">
        <v>19.23</v>
      </c>
      <c r="L25" s="46">
        <v>60.16</v>
      </c>
      <c r="M25" s="46">
        <v>16.7</v>
      </c>
      <c r="N25" s="46">
        <v>1056.53</v>
      </c>
    </row>
    <row r="26" spans="1:23" ht="15.6" x14ac:dyDescent="0.3">
      <c r="B26" s="38" t="s">
        <v>47</v>
      </c>
      <c r="C26" s="15">
        <v>42.419409999999999</v>
      </c>
      <c r="D26" s="15">
        <v>84.039760000000001</v>
      </c>
      <c r="E26" s="39">
        <v>49.8</v>
      </c>
      <c r="F26" s="40" t="s">
        <v>20</v>
      </c>
      <c r="G26" s="40">
        <v>10</v>
      </c>
      <c r="H26" s="40">
        <v>2</v>
      </c>
      <c r="I26" s="41">
        <f>(1.35+1.33+1.56+2.32+2.5)/5</f>
        <v>1.8120000000000001</v>
      </c>
      <c r="J26" s="41">
        <f>(0.169+0.171+0.171+0.167+0.079)/5</f>
        <v>0.15140000000000001</v>
      </c>
      <c r="K26" s="41">
        <f>(0+0.6+0.34+19.5+1.73)/5</f>
        <v>4.4340000000000002</v>
      </c>
      <c r="L26" s="41">
        <f>(7.26+6.79+6.79+9.81+10.28)/5</f>
        <v>8.1859999999999999</v>
      </c>
      <c r="M26" s="41">
        <f>(4.32+4.19+3.87+2.17+3.1)/5</f>
        <v>3.5300000000000002</v>
      </c>
      <c r="N26" s="41">
        <f>(17.82+19.83+34.29+57.17+71.89)/5</f>
        <v>40.200000000000003</v>
      </c>
    </row>
    <row r="27" spans="1:23" ht="15.6" x14ac:dyDescent="0.3">
      <c r="B27" s="48"/>
      <c r="C27" s="44"/>
      <c r="D27" s="16"/>
      <c r="E27" s="49"/>
      <c r="F27" s="25" t="s">
        <v>22</v>
      </c>
      <c r="G27" s="50">
        <v>6</v>
      </c>
      <c r="H27" s="50">
        <v>11.8</v>
      </c>
      <c r="I27" s="51">
        <f>(0.75+2.5+5.45)/3</f>
        <v>2.9</v>
      </c>
      <c r="J27" s="51">
        <f>(0.177+0.079+0.167)/3</f>
        <v>0.14100000000000001</v>
      </c>
      <c r="K27" s="51">
        <f>(0.4+1.73+26.09)/3</f>
        <v>9.4066666666666663</v>
      </c>
      <c r="L27" s="51">
        <f>(8.08+10.28+18.96)/3</f>
        <v>12.44</v>
      </c>
      <c r="M27" s="51">
        <f>(5.23+3.1+2.43)/3</f>
        <v>3.5866666666666664</v>
      </c>
      <c r="N27" s="51">
        <f>(441.76+71.89+807.64)/3</f>
        <v>440.43</v>
      </c>
    </row>
    <row r="28" spans="1:23" ht="15.6" x14ac:dyDescent="0.3">
      <c r="B28" s="38" t="s">
        <v>42</v>
      </c>
      <c r="C28" s="52">
        <v>42.315010000000001</v>
      </c>
      <c r="D28" s="52">
        <v>84.080470000000005</v>
      </c>
      <c r="E28" s="39">
        <v>24.6</v>
      </c>
      <c r="F28" s="40" t="s">
        <v>20</v>
      </c>
      <c r="G28" s="40">
        <v>6</v>
      </c>
      <c r="H28" s="40">
        <v>2</v>
      </c>
      <c r="I28" s="41">
        <f>(3.52+3.64+4.27)/3</f>
        <v>3.81</v>
      </c>
      <c r="J28" s="41">
        <f>(0.166+0.165+0.165)/3</f>
        <v>0.16533333333333333</v>
      </c>
      <c r="K28" s="41">
        <f>(1.03+0.4+0.49)/3</f>
        <v>0.64</v>
      </c>
      <c r="L28" s="41">
        <f>(13.82+13.3+14.05)/3</f>
        <v>13.723333333333334</v>
      </c>
      <c r="M28" s="41">
        <f>(4+4.7+5.72)/3</f>
        <v>4.8066666666666658</v>
      </c>
      <c r="N28" s="41">
        <f>(14.66+222.6+4.13)/3</f>
        <v>80.463333333333324</v>
      </c>
    </row>
    <row r="29" spans="1:23" ht="15.6" x14ac:dyDescent="0.3">
      <c r="B29" s="43"/>
      <c r="C29" s="44"/>
      <c r="D29" s="16"/>
      <c r="E29" s="45"/>
      <c r="F29" s="25" t="s">
        <v>22</v>
      </c>
      <c r="G29" s="25">
        <v>2</v>
      </c>
      <c r="H29" s="25">
        <v>5</v>
      </c>
      <c r="I29" s="46">
        <v>4.95</v>
      </c>
      <c r="J29" s="46">
        <v>0.16600000000000001</v>
      </c>
      <c r="K29" s="46">
        <v>8.3800000000000008</v>
      </c>
      <c r="L29" s="46">
        <v>18.940000000000001</v>
      </c>
      <c r="M29" s="46">
        <v>5.13</v>
      </c>
      <c r="N29" s="46">
        <v>216.38</v>
      </c>
    </row>
    <row r="30" spans="1:23" ht="15.6" x14ac:dyDescent="0.3">
      <c r="B30" s="38" t="s">
        <v>48</v>
      </c>
      <c r="C30" s="15">
        <v>42.420140000000004</v>
      </c>
      <c r="D30" s="15">
        <v>84.012860000000003</v>
      </c>
      <c r="E30" s="39">
        <v>88</v>
      </c>
      <c r="F30" s="40" t="s">
        <v>20</v>
      </c>
      <c r="G30" s="40">
        <v>6</v>
      </c>
      <c r="H30" s="40">
        <v>2</v>
      </c>
      <c r="I30" s="41">
        <f>(9.06+7.97+6.5)/3</f>
        <v>7.8433333333333337</v>
      </c>
      <c r="J30" s="41">
        <f>(0.196+0.201+0.202)/3</f>
        <v>0.19966666666666666</v>
      </c>
      <c r="K30" s="41">
        <f>(1.04+1+0.31)/3</f>
        <v>0.78333333333333333</v>
      </c>
      <c r="L30" s="41">
        <f>(24.03+18.18+17.15)/3</f>
        <v>19.786666666666665</v>
      </c>
      <c r="M30" s="41">
        <f>(8.79+7.71+8.35)/3</f>
        <v>8.2833333333333332</v>
      </c>
      <c r="N30" s="41">
        <f>(7.73+5.14+9.31)/3</f>
        <v>7.3933333333333335</v>
      </c>
    </row>
    <row r="31" spans="1:23" ht="15.6" x14ac:dyDescent="0.3">
      <c r="B31" s="43"/>
      <c r="C31" s="44"/>
      <c r="D31" s="16"/>
      <c r="E31" s="45"/>
      <c r="F31" s="25" t="s">
        <v>22</v>
      </c>
      <c r="G31" s="25">
        <v>2</v>
      </c>
      <c r="H31" s="25">
        <v>23</v>
      </c>
      <c r="I31" s="46">
        <v>0.56999999999999995</v>
      </c>
      <c r="J31" s="46">
        <v>0.28999999999999998</v>
      </c>
      <c r="K31" s="46">
        <v>144.13999999999999</v>
      </c>
      <c r="L31" s="46">
        <v>116.59</v>
      </c>
      <c r="M31" s="46">
        <v>111.21</v>
      </c>
      <c r="N31" s="46">
        <v>296.23</v>
      </c>
    </row>
    <row r="32" spans="1:23" ht="15.6" x14ac:dyDescent="0.3">
      <c r="B32" s="38" t="s">
        <v>49</v>
      </c>
      <c r="C32" s="15">
        <v>42.808799999999998</v>
      </c>
      <c r="D32" s="15">
        <v>83.523920000000004</v>
      </c>
      <c r="E32" s="39">
        <v>42.9</v>
      </c>
      <c r="F32" s="40" t="s">
        <v>20</v>
      </c>
      <c r="G32" s="40">
        <v>6</v>
      </c>
      <c r="H32" s="40">
        <v>2</v>
      </c>
      <c r="I32" s="41">
        <f>(4.38+4.19+3.86)/3</f>
        <v>4.1433333333333335</v>
      </c>
      <c r="J32" s="41">
        <f>(0.164+0.164+0.165)/3</f>
        <v>0.16433333333333333</v>
      </c>
      <c r="K32" s="41">
        <f>(0.49)/3</f>
        <v>0.16333333333333333</v>
      </c>
      <c r="L32" s="41">
        <f>(15.26+19.43+15.05)/3</f>
        <v>16.579999999999998</v>
      </c>
      <c r="M32" s="41">
        <f>(3.86+3.82+3.59)/3</f>
        <v>3.7566666666666664</v>
      </c>
      <c r="N32" s="41">
        <f>(5.66+5.6+9.88)/3</f>
        <v>7.0466666666666669</v>
      </c>
    </row>
    <row r="33" spans="2:14" ht="15.6" x14ac:dyDescent="0.3">
      <c r="B33" s="43"/>
      <c r="C33" s="25"/>
      <c r="D33" s="25"/>
      <c r="E33" s="45"/>
      <c r="F33" s="25" t="s">
        <v>22</v>
      </c>
      <c r="G33" s="25">
        <v>2</v>
      </c>
      <c r="H33" s="25">
        <v>10</v>
      </c>
      <c r="I33" s="46">
        <v>17.04</v>
      </c>
      <c r="J33" s="46">
        <v>0.16600000000000001</v>
      </c>
      <c r="K33" s="46">
        <v>0.17</v>
      </c>
      <c r="L33" s="46">
        <v>55.1</v>
      </c>
      <c r="M33" s="46">
        <v>4.41</v>
      </c>
      <c r="N33" s="46">
        <v>588.12</v>
      </c>
    </row>
    <row r="34" spans="2:14" ht="15.6" x14ac:dyDescent="0.3">
      <c r="B34" s="53" t="s">
        <v>50</v>
      </c>
      <c r="C34" s="52">
        <v>42.405349999999999</v>
      </c>
      <c r="D34" s="52">
        <v>83.804150000000007</v>
      </c>
      <c r="E34" s="54">
        <v>36</v>
      </c>
      <c r="F34" s="40" t="s">
        <v>20</v>
      </c>
      <c r="G34" s="23">
        <v>10</v>
      </c>
      <c r="H34" s="23">
        <v>2</v>
      </c>
      <c r="I34" s="55">
        <f>(3.58+5.2+4.58+3.11+1.76)/5</f>
        <v>3.6460000000000008</v>
      </c>
      <c r="J34" s="55">
        <f>(0.165+0.165+0.166+0.165+0)/5</f>
        <v>0.13220000000000001</v>
      </c>
      <c r="K34" s="55">
        <f>(0.64+0.35+0+0+2.9)/5</f>
        <v>0.77799999999999991</v>
      </c>
      <c r="L34" s="55">
        <f>(14.23+14.46+15.72+9.17+10.94)/5</f>
        <v>12.904000000000002</v>
      </c>
      <c r="M34" s="55">
        <f>(5.96+5.4+5.93+2.79+4.7)/5</f>
        <v>4.9559999999999995</v>
      </c>
      <c r="N34" s="55">
        <f>(10.2+4.95+8.43+41.59+10.03)</f>
        <v>75.2</v>
      </c>
    </row>
    <row r="35" spans="2:14" ht="15.6" x14ac:dyDescent="0.3">
      <c r="B35" s="48"/>
      <c r="C35" s="50"/>
      <c r="D35" s="50"/>
      <c r="E35" s="49"/>
      <c r="F35" s="25" t="s">
        <v>22</v>
      </c>
      <c r="G35" s="50">
        <v>6</v>
      </c>
      <c r="H35" s="50">
        <v>7.1</v>
      </c>
      <c r="I35" s="51">
        <f>(1.73+1.93+5.98)/3</f>
        <v>3.2133333333333334</v>
      </c>
      <c r="J35" s="51">
        <f>(0.165+0+0.167)/3</f>
        <v>0.11066666666666668</v>
      </c>
      <c r="K35" s="51">
        <f>(0+2.87+0)/3</f>
        <v>0.95666666666666667</v>
      </c>
      <c r="L35" s="51">
        <f>(7.45+10.34+19.49)/3</f>
        <v>12.426666666666668</v>
      </c>
      <c r="M35" s="51">
        <f>(2.81+5.08+4.91)/3</f>
        <v>4.2666666666666666</v>
      </c>
      <c r="N35" s="51">
        <f>(77.87+8.95+249.87)/3</f>
        <v>112.23</v>
      </c>
    </row>
    <row r="36" spans="2:14" ht="15.6" x14ac:dyDescent="0.3">
      <c r="B36" s="38" t="s">
        <v>51</v>
      </c>
      <c r="C36" s="22">
        <v>42.788510000000002</v>
      </c>
      <c r="D36" s="22">
        <v>83.833380000000005</v>
      </c>
      <c r="E36" s="39">
        <v>83</v>
      </c>
      <c r="F36" s="40" t="s">
        <v>20</v>
      </c>
      <c r="G36" s="40">
        <v>6</v>
      </c>
      <c r="H36" s="40">
        <v>2</v>
      </c>
      <c r="I36" s="41">
        <f>(3.2+3.72+3.11)/3</f>
        <v>3.3433333333333333</v>
      </c>
      <c r="J36" s="41">
        <v>0.16500000000000001</v>
      </c>
      <c r="K36" s="41">
        <f>(0.77+1.39+0.7)/3</f>
        <v>0.95333333333333348</v>
      </c>
      <c r="L36" s="41">
        <f>(16.16+19.32+16.94+9.17+10.39)/5</f>
        <v>14.396000000000001</v>
      </c>
      <c r="M36" s="41">
        <f>(5.29+5.74+6.8)/3</f>
        <v>5.9433333333333342</v>
      </c>
      <c r="N36" s="41">
        <f>(4.94+3.55+6.04)/3</f>
        <v>4.8433333333333337</v>
      </c>
    </row>
    <row r="37" spans="2:14" ht="15.6" x14ac:dyDescent="0.3">
      <c r="B37" s="43"/>
      <c r="C37" s="25"/>
      <c r="D37" s="25"/>
      <c r="E37" s="45"/>
      <c r="F37" s="25" t="s">
        <v>22</v>
      </c>
      <c r="G37" s="25">
        <v>2</v>
      </c>
      <c r="H37" s="25">
        <v>20</v>
      </c>
      <c r="I37" s="46">
        <v>0.39</v>
      </c>
      <c r="J37" s="46">
        <v>0.20799999999999999</v>
      </c>
      <c r="K37" s="46">
        <v>60.18</v>
      </c>
      <c r="L37" s="46">
        <v>54.69</v>
      </c>
      <c r="M37" s="46">
        <v>44.68</v>
      </c>
      <c r="N37" s="46">
        <v>116.47</v>
      </c>
    </row>
    <row r="38" spans="2:14" ht="15.6" x14ac:dyDescent="0.3">
      <c r="B38" s="53" t="s">
        <v>52</v>
      </c>
      <c r="C38" s="22">
        <v>42.393419999999999</v>
      </c>
      <c r="D38" s="22">
        <v>84.008150000000001</v>
      </c>
      <c r="E38" s="54">
        <v>52.2</v>
      </c>
      <c r="F38" s="40" t="s">
        <v>20</v>
      </c>
      <c r="G38" s="23">
        <v>10</v>
      </c>
      <c r="H38" s="23">
        <v>2</v>
      </c>
      <c r="I38" s="55">
        <f>(2.32+2.36+2.76+13.88+11.49)/5</f>
        <v>6.5620000000000003</v>
      </c>
      <c r="J38" s="55">
        <f>(0.164+0.165+0.164+0.164+0.034)/5</f>
        <v>0.13820000000000002</v>
      </c>
      <c r="K38" s="55">
        <f>(1.29+9.2+1.63+1.47+0)/5</f>
        <v>2.7179999999999995</v>
      </c>
      <c r="L38" s="55">
        <f>(9.73+10.57+12.28+20.32+15.53)/5</f>
        <v>13.685999999999998</v>
      </c>
      <c r="M38" s="55">
        <f>(3.95+5.02+5.88+4.31+3.42)/5</f>
        <v>4.516</v>
      </c>
      <c r="N38" s="55">
        <f>(1.3+2.98+4.22+4.78+10.41)/5</f>
        <v>4.7380000000000004</v>
      </c>
    </row>
    <row r="39" spans="2:14" ht="15.6" x14ac:dyDescent="0.3">
      <c r="B39" s="48"/>
      <c r="C39" s="50"/>
      <c r="D39" s="50"/>
      <c r="E39" s="49"/>
      <c r="F39" s="25" t="s">
        <v>22</v>
      </c>
      <c r="G39" s="50">
        <v>4</v>
      </c>
      <c r="H39" s="50">
        <v>12.5</v>
      </c>
      <c r="I39" s="51">
        <f>(11.77+8.56)/2</f>
        <v>10.164999999999999</v>
      </c>
      <c r="J39" s="51">
        <f>(0.035+0.165)/2</f>
        <v>0.1</v>
      </c>
      <c r="K39" s="51">
        <f>(0.08+2.44)/2</f>
        <v>1.26</v>
      </c>
      <c r="L39" s="51">
        <f>(21.76+75.86)/2</f>
        <v>48.81</v>
      </c>
      <c r="M39" s="51">
        <f>(5.93+6.82)/2</f>
        <v>6.375</v>
      </c>
      <c r="N39" s="51">
        <f>(9.65+556.58)/2</f>
        <v>283.11500000000001</v>
      </c>
    </row>
    <row r="40" spans="2:14" ht="15.6" x14ac:dyDescent="0.3">
      <c r="B40" s="38" t="s">
        <v>53</v>
      </c>
      <c r="C40" s="15">
        <v>42.044429999999998</v>
      </c>
      <c r="D40" s="15">
        <v>84.136799999999994</v>
      </c>
      <c r="E40" s="39">
        <v>37.200000000000003</v>
      </c>
      <c r="F40" s="40" t="s">
        <v>20</v>
      </c>
      <c r="G40" s="40">
        <v>6</v>
      </c>
      <c r="H40" s="40">
        <v>2</v>
      </c>
      <c r="I40" s="41">
        <f>(1.86+1.92+1.72)/3</f>
        <v>1.8333333333333333</v>
      </c>
      <c r="J40" s="41">
        <f>(1.86+1.92+1.72)/3</f>
        <v>1.8333333333333333</v>
      </c>
      <c r="K40" s="41">
        <f>(1.32+0.34+1.4)/3</f>
        <v>1.02</v>
      </c>
      <c r="L40" s="41">
        <f>(9.58+8.67+11.4)/3</f>
        <v>9.8833333333333329</v>
      </c>
      <c r="M40" s="41">
        <f>(3.1+2.68+4.02)/3</f>
        <v>3.2666666666666671</v>
      </c>
      <c r="N40" s="41">
        <f>(3.89+2.59+3.97)/3</f>
        <v>3.4833333333333338</v>
      </c>
    </row>
    <row r="41" spans="2:14" ht="15.6" x14ac:dyDescent="0.3">
      <c r="B41" s="43"/>
      <c r="C41" s="25"/>
      <c r="D41" s="25"/>
      <c r="E41" s="45"/>
      <c r="F41" s="25" t="s">
        <v>22</v>
      </c>
      <c r="G41" s="25">
        <v>2</v>
      </c>
      <c r="H41" s="25">
        <v>9</v>
      </c>
      <c r="I41" s="46">
        <v>3.47</v>
      </c>
      <c r="J41" s="46">
        <v>3.47</v>
      </c>
      <c r="K41" s="46">
        <v>1.1499999999999999</v>
      </c>
      <c r="L41" s="46">
        <v>11.66</v>
      </c>
      <c r="M41" s="46">
        <v>3.74</v>
      </c>
      <c r="N41" s="46">
        <v>81.48</v>
      </c>
    </row>
    <row r="42" spans="2:14" ht="15.6" x14ac:dyDescent="0.3">
      <c r="B42" s="53" t="s">
        <v>54</v>
      </c>
      <c r="C42" s="15">
        <v>42.436390000000003</v>
      </c>
      <c r="D42" s="22">
        <v>83.746449999999996</v>
      </c>
      <c r="E42" s="54">
        <v>61</v>
      </c>
      <c r="F42" s="40" t="s">
        <v>20</v>
      </c>
      <c r="G42" s="23">
        <v>10</v>
      </c>
      <c r="H42" s="23">
        <v>2</v>
      </c>
      <c r="I42" s="55">
        <f>(2.67+4.38+4.33+3.71+2.9)/5</f>
        <v>3.5979999999999999</v>
      </c>
      <c r="J42" s="55">
        <f>(0.165+0.165+0.165+0.168+0.071)/5</f>
        <v>0.14679999999999999</v>
      </c>
      <c r="K42" s="55">
        <f>(0.3+0.34+0+42.56+0.14)/5</f>
        <v>8.668000000000001</v>
      </c>
      <c r="L42" s="55">
        <f>(18.82+16.58+19.23+13.56+11.44)/5</f>
        <v>15.925999999999998</v>
      </c>
      <c r="M42" s="55">
        <f>(2.57+5.62+4.25+2.78+3.24)/5</f>
        <v>3.6920000000000002</v>
      </c>
      <c r="N42" s="55">
        <f>(19.9+2.44+3.42+3.83+45.84)/5</f>
        <v>15.086000000000002</v>
      </c>
    </row>
    <row r="43" spans="2:14" ht="15.6" x14ac:dyDescent="0.3">
      <c r="B43" s="48"/>
      <c r="C43" s="50"/>
      <c r="D43" s="50"/>
      <c r="E43" s="49"/>
      <c r="F43" s="25" t="s">
        <v>22</v>
      </c>
      <c r="G43" s="50">
        <v>6</v>
      </c>
      <c r="H43" s="50">
        <v>14.6</v>
      </c>
      <c r="I43" s="51">
        <f>(0.85+1.31+3.09)/3</f>
        <v>1.75</v>
      </c>
      <c r="J43" s="51">
        <f>(0.178+0.164+0.073)/3</f>
        <v>0.13833333333333334</v>
      </c>
      <c r="K43" s="51">
        <f>(0+0+0.12)/3</f>
        <v>0.04</v>
      </c>
      <c r="L43" s="51">
        <f>(10.03+11.25+20.93)/3</f>
        <v>14.07</v>
      </c>
      <c r="M43" s="51">
        <f>(3.86+3.57+3.41)/3</f>
        <v>3.6133333333333333</v>
      </c>
      <c r="N43" s="51">
        <f>(105.29+77.69+66.08)/3</f>
        <v>83.02</v>
      </c>
    </row>
    <row r="44" spans="2:14" ht="15.6" x14ac:dyDescent="0.3">
      <c r="B44" s="38" t="s">
        <v>55</v>
      </c>
      <c r="C44" s="15">
        <v>42.55198</v>
      </c>
      <c r="D44" s="15">
        <v>83.774739999999994</v>
      </c>
      <c r="E44" s="39">
        <v>32.6</v>
      </c>
      <c r="F44" s="40" t="s">
        <v>56</v>
      </c>
      <c r="G44" s="40">
        <v>6</v>
      </c>
      <c r="H44" s="40">
        <v>2</v>
      </c>
      <c r="I44" s="41">
        <f>(2.7+2.26+3.15)/3</f>
        <v>2.7033333333333331</v>
      </c>
      <c r="J44" s="41">
        <f>(0.164+0.165)/2</f>
        <v>0.16450000000000001</v>
      </c>
      <c r="K44" s="41">
        <f>(0.77)/3</f>
        <v>0.25666666666666665</v>
      </c>
      <c r="L44" s="41">
        <f>(13.32+13.74+15.95)/3</f>
        <v>14.336666666666668</v>
      </c>
      <c r="M44" s="41">
        <f>(4.96+4.99+5.76)/3</f>
        <v>5.2366666666666664</v>
      </c>
      <c r="N44" s="41">
        <f>(3.66+7.86+11.48)/3</f>
        <v>7.666666666666667</v>
      </c>
    </row>
    <row r="45" spans="2:14" ht="15.6" x14ac:dyDescent="0.3">
      <c r="B45" s="43"/>
      <c r="C45" s="25"/>
      <c r="D45" s="25"/>
      <c r="E45" s="45"/>
      <c r="F45" s="25" t="s">
        <v>22</v>
      </c>
      <c r="G45" s="25">
        <v>2</v>
      </c>
      <c r="H45" s="25">
        <v>8</v>
      </c>
      <c r="I45" s="46">
        <v>30.9</v>
      </c>
      <c r="J45" s="46">
        <f>(0.164+0.165)/2</f>
        <v>0.16450000000000001</v>
      </c>
      <c r="K45" s="46">
        <v>0</v>
      </c>
      <c r="L45" s="46">
        <v>62.56</v>
      </c>
      <c r="M45" s="46">
        <v>5.72</v>
      </c>
      <c r="N45" s="46">
        <v>300.3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2017-12-28T21:53:33Z</dcterms:created>
  <dcterms:modified xsi:type="dcterms:W3CDTF">2017-12-28T21:57:38Z</dcterms:modified>
</cp:coreProperties>
</file>