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codeName="{AE6600E7-7A62-396C-DE95-9942FA9DD81E}"/>
  <workbookPr codeName="ThisWorkbook"/>
  <mc:AlternateContent xmlns:mc="http://schemas.openxmlformats.org/markup-compatibility/2006">
    <mc:Choice Requires="x15">
      <x15ac:absPath xmlns:x15ac="http://schemas.microsoft.com/office/spreadsheetml/2010/11/ac" url="C:\Hugo BIZON\2023-07 Porto-Vecchio_2A_ABS\Fichiers résultats\"/>
    </mc:Choice>
  </mc:AlternateContent>
  <xr:revisionPtr revIDLastSave="0" documentId="13_ncr:1_{EC4F9F2F-A9C0-4321-8283-9A6D27401D39}" xr6:coauthVersionLast="47" xr6:coauthVersionMax="47" xr10:uidLastSave="{00000000-0000-0000-0000-000000000000}"/>
  <bookViews>
    <workbookView xWindow="-90" yWindow="-13620" windowWidth="21840" windowHeight="13140" tabRatio="838" firstSheet="3" xr2:uid="{00000000-000D-0000-FFFF-FFFF00000000}" activeTab="5"/>
  </bookViews>
  <sheets>
    <sheet name="Référencement" sheetId="4" r:id="rId1"/>
    <sheet name="Suivi modif" sheetId="5" r:id="rId2"/>
    <sheet name="Infos" sheetId="6" r:id="rId3"/>
    <sheet name="phrases" sheetId="7" r:id="rId4"/>
    <sheet name="Etablissements" sheetId="29" r:id="rId5"/>
    <sheet name="Secteur_Activité" sheetId="30" r:id="rId6"/>
    <sheet name="Effectifs_salariés" sheetId="32" r:id="rId7"/>
    <sheet name="Evolution_Créations" sheetId="35" r:id="rId8"/>
    <sheet name="Etablissements_ESS" sheetId="36" r:id="rId9"/>
    <sheet name="Secteur_activité_ESS" sheetId="37" r:id="rId10"/>
    <sheet name="Evaluation Warning" sheetId="38" r:id="rId11"/>
  </sheets>
  <functionGroups builtInGroupCount="19"/>
  <definedNames>
    <definedName name="__SIRENE_001">Etablissements!$B$8:$E$13</definedName>
    <definedName name="__SIRENE_005">'Etablissements_ESS'!$B$7:$G$14</definedName>
    <definedName name="__T_SIRENE_001">Etablissements!$C$17</definedName>
    <definedName name="__T_SIRENE_002">'Secteur_Activité'!$C$55</definedName>
    <definedName name="__T_SIRENE_003">'Effectifs_salariés'!$C$59</definedName>
    <definedName name="__T_SIRENE_004">'Evolution_Créations'!$D$63</definedName>
    <definedName name="__T_SIRENE_005">'Etablissements_ESS'!$C$18</definedName>
    <definedName name="__T_SIRENE_006">'Secteur_activité_ESS'!$D$74</definedName>
    <definedName name="__T_SIRENE_007">Etablissements!$C$22</definedName>
    <definedName name="__T_SIRENE_008">'Secteur_Activité'!$C$60</definedName>
    <definedName name="__T_SIRENE_009">'Evolution_Créations'!$D$68</definedName>
    <definedName name="__T_SIRENE_010">'Secteur_activité_ESS'!$D$79</definedName>
    <definedName name="_xlnm._FilterDatabase" localSheetId="0" hidden="true">'Référencement'!$A$1:$K$1</definedName>
    <definedName name="_xlnm.Print_Area" localSheetId="4">'Etablissements'!B8:E13</definedName>
    <definedName name="_xlnm.Print_Area" localSheetId="8">'Etablissements_ESS'!B7:G14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Hugo BIZON</author>
  </authors>
  <commentList>
    <comment ref="D11" authorId="0" shapeId="0" xr:uid="{00000000-0006-0000-0600-000001000000}">
      <text>
        <r>
          <rPr>
            <sz val="11"/>
            <color theme="1"/>
            <rFont val="Roboto"/>
            <family val="2"/>
            <scheme val="minor"/>
          </rPr>
          <t>NaN</t>
        </r>
      </text>
    </comment>
    <comment ref="E11" authorId="0" shapeId="0" xr:uid="{00000000-0006-0000-0600-000002000000}">
      <text>
        <r>
          <rPr>
            <sz val="11"/>
            <color theme="1"/>
            <rFont val="Roboto"/>
            <family val="2"/>
            <scheme val="minor"/>
          </rPr>
          <t>NaN</t>
        </r>
      </text>
    </comment>
    <comment ref="F11" authorId="0" shapeId="0" xr:uid="{00000000-0006-0000-0600-000003000000}">
      <text>
        <r>
          <rPr>
            <sz val="11"/>
            <color theme="1"/>
            <rFont val="Roboto"/>
            <family val="2"/>
            <scheme val="minor"/>
          </rPr>
          <t>NaN</t>
        </r>
      </text>
    </comment>
    <comment ref="G11" authorId="0" shapeId="0" xr:uid="{00000000-0006-0000-0600-000004000000}">
      <text>
        <r>
          <rPr>
            <sz val="11"/>
            <color theme="1"/>
            <rFont val="Roboto"/>
            <family val="2"/>
            <scheme val="minor"/>
          </rPr>
          <t>NaN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Hugo BIZON</author>
  </authors>
  <commentList>
    <comment ref="D14" authorId="0" shapeId="0" xr:uid="{00000000-0006-0000-0900-000001000000}">
      <text>
        <r>
          <rPr>
            <sz val="11"/>
            <color theme="1"/>
            <rFont val="Roboto"/>
            <family val="2"/>
            <scheme val="minor"/>
          </rPr>
          <t>statut du calcul : P</t>
        </r>
      </text>
    </comment>
    <comment ref="D15" authorId="0" shapeId="0" xr:uid="{00000000-0006-0000-0900-000002000000}">
      <text>
        <r>
          <rPr>
            <sz val="11"/>
            <color theme="1"/>
            <rFont val="Roboto"/>
            <family val="2"/>
            <scheme val="minor"/>
          </rPr>
          <t>statut du calcul : P</t>
        </r>
      </text>
    </comment>
  </commentList>
</comments>
</file>

<file path=xl/sharedStrings.xml><?xml version="1.0" encoding="utf-8"?>
<sst xmlns="http://schemas.openxmlformats.org/spreadsheetml/2006/main">
  <si>
    <t>fichier</t>
  </si>
  <si>
    <t>feuille</t>
  </si>
  <si>
    <t>plage nommée</t>
  </si>
  <si>
    <t>nom fichier lié</t>
  </si>
  <si>
    <t>type</t>
  </si>
  <si>
    <t>Chapitre</t>
  </si>
  <si>
    <t>public</t>
  </si>
  <si>
    <t>questionnement</t>
  </si>
  <si>
    <t>niveau</t>
  </si>
  <si>
    <t>document</t>
  </si>
  <si>
    <t>type territoire</t>
  </si>
  <si>
    <t>date de la modif</t>
  </si>
  <si>
    <t>auteur de la modif</t>
  </si>
  <si>
    <t>modif apportée(s)</t>
  </si>
  <si>
    <t>feuille(s) concernée(s)</t>
  </si>
  <si>
    <t>Création Fichier modèle</t>
  </si>
  <si>
    <t>Le territoire</t>
  </si>
  <si>
    <t>Date disponibilité données</t>
  </si>
  <si>
    <t>CODE</t>
  </si>
  <si>
    <t>RP</t>
  </si>
  <si>
    <t>NOM</t>
  </si>
  <si>
    <t>NOM_ENRICHI</t>
  </si>
  <si>
    <t>NOM_ENRICHI_ARTICLE</t>
  </si>
  <si>
    <t>NOM_ENRICHI_CHARNIERE</t>
  </si>
  <si>
    <t>NIV_GEO</t>
  </si>
  <si>
    <t>Le 1er territoire de comparaison</t>
  </si>
  <si>
    <t>CODE_REF1</t>
  </si>
  <si>
    <t>NOM_REF1</t>
  </si>
  <si>
    <t>NOM_REF1_ENRICHI</t>
  </si>
  <si>
    <t>NOM_REF1_ENRICHI_ARTICLE</t>
  </si>
  <si>
    <t>NOM_REF1_ENRICHI_CHARNIERE</t>
  </si>
  <si>
    <t>NIV_REF1_GEO</t>
  </si>
  <si>
    <t>Le second territoire de comparaison</t>
  </si>
  <si>
    <t>CODE_REF2</t>
  </si>
  <si>
    <t>NOM_REF2</t>
  </si>
  <si>
    <t>NOM_REF2_ENRICHI</t>
  </si>
  <si>
    <t>NOM_REF2_ENRICHI_ARTICLE</t>
  </si>
  <si>
    <t>NOM_REF2_ENRICHI_CHARNIERE</t>
  </si>
  <si>
    <t>NIV_REF2_GEO</t>
  </si>
  <si>
    <t>Le troisième territoire de comparaison</t>
  </si>
  <si>
    <t>CODE_REF3</t>
  </si>
  <si>
    <t>NOM_REF3</t>
  </si>
  <si>
    <t>NOM_REF3_ENRICHI</t>
  </si>
  <si>
    <t>NOM_REF3_ENRICHI_ARTICLE</t>
  </si>
  <si>
    <t>NOM_REF3_ENRICHI_CHARNIERE</t>
  </si>
  <si>
    <t>NIV_REF3_GEO</t>
  </si>
  <si>
    <t>id</t>
  </si>
  <si>
    <t>phrase</t>
  </si>
  <si>
    <t>diminution</t>
  </si>
  <si>
    <t>augmentation</t>
  </si>
  <si>
    <t>Dernière date disponible</t>
  </si>
  <si>
    <t>TEXTE</t>
  </si>
  <si>
    <t>Michaël</t>
  </si>
  <si>
    <t>Le quatrième territoire de comparaison</t>
  </si>
  <si>
    <t>CODE_REF4</t>
  </si>
  <si>
    <t>NOM_REF4</t>
  </si>
  <si>
    <t>NOM_REF4_ENRICHI</t>
  </si>
  <si>
    <t>NOM_REF4_ENRICHI_ARTICLE</t>
  </si>
  <si>
    <t>NOM_REF4_ENRICHI_CHARNIERE</t>
  </si>
  <si>
    <t>NIV_GEO_REF4</t>
  </si>
  <si>
    <t>/!\ POUR LES ETUDES SUR LES DOMS, BIEN PENSER A CHANGER LA CELLULE A30 en "France hexagonale" POUR LES COMMENTAIRES</t>
  </si>
  <si>
    <t>Nombre 
d'établissements participant au système productif</t>
  </si>
  <si>
    <t>01/01/2023</t>
  </si>
  <si>
    <t>01/01/2020</t>
  </si>
  <si>
    <t>Nombre 
d'établissements actifs</t>
  </si>
  <si>
    <t>Le nombre d'établissements actifs</t>
  </si>
  <si>
    <t>Etablissements</t>
  </si>
  <si>
    <t>__T_SIRENE_001</t>
  </si>
  <si>
    <t>TABLEAU</t>
  </si>
  <si>
    <t>__SIRENE 001 - Tab - Nombre établissements</t>
  </si>
  <si>
    <t>__SIRENE 001 - Tab lecture - Nombre établissements</t>
  </si>
  <si>
    <t>SIRENE 001 - Tab lecture - Nombre établissements</t>
  </si>
  <si>
    <t>SIRENE 001 - Tab - Nombre établissements</t>
  </si>
  <si>
    <t>__SIRENE_001</t>
  </si>
  <si>
    <t>Population RP</t>
  </si>
  <si>
    <t>Agriculture, sylviculture et pêche</t>
  </si>
  <si>
    <t>Construction</t>
  </si>
  <si>
    <t>Information et communication</t>
  </si>
  <si>
    <t>Activités financières et d'assurance</t>
  </si>
  <si>
    <t>Activités immobilières</t>
  </si>
  <si>
    <t>Autres activités de services</t>
  </si>
  <si>
    <t>Sect. 1</t>
  </si>
  <si>
    <t>Sect. 2</t>
  </si>
  <si>
    <t>Industrie manufacturière, industries extractives et autres</t>
  </si>
  <si>
    <t>Sect. 3</t>
  </si>
  <si>
    <t>Sect. 4</t>
  </si>
  <si>
    <t>Commerce de gros et de détail, transports, hébergement et restauration</t>
  </si>
  <si>
    <t>Sect. 5</t>
  </si>
  <si>
    <t>Sect. 6</t>
  </si>
  <si>
    <t>Sect. 7</t>
  </si>
  <si>
    <t>Sect. 8</t>
  </si>
  <si>
    <t>Activités spécialisées, scientifiques et techniques et activités de services administratifs</t>
  </si>
  <si>
    <t>Sect. 9</t>
  </si>
  <si>
    <t>Administration publique, enseignement, santé humaine et action sociale</t>
  </si>
  <si>
    <t>Sect. 10</t>
  </si>
  <si>
    <t>Répartition des établissements par secteur d'activité</t>
  </si>
  <si>
    <t>SIRENE_COM_Zone.xlsm</t>
  </si>
  <si>
    <t>__T_SIRENE_002</t>
  </si>
  <si>
    <t>GRAPHIQUE</t>
  </si>
  <si>
    <t>Moins de 10 salariés</t>
  </si>
  <si>
    <t>10 à 49 salariés</t>
  </si>
  <si>
    <t>50 salariés et plus</t>
  </si>
  <si>
    <t>Part pour 
1000 habitants (‰)*</t>
  </si>
  <si>
    <t>Aucun salarié ou non employeur</t>
  </si>
  <si>
    <t>Effectif inconnu</t>
  </si>
  <si>
    <t>Total</t>
  </si>
  <si>
    <t>Répartition des établissements par effectif de salariés</t>
  </si>
  <si>
    <t>__SIRENE 003 - Graph - Etablissements par effectif salariés</t>
  </si>
  <si>
    <t>Lecture : Le secteur du Commerce, du transport, de l’hébergement et de la restauration regroupe §1% des établissements participant au système productif §2 en §3.</t>
  </si>
  <si>
    <t>Lecture : En §1, §2% des établissements participant au système productif ont aucun salarié (ou non employeur) §3.</t>
  </si>
  <si>
    <t>__G_SIRENE_002</t>
  </si>
  <si>
    <t>__T_SIRENE_003</t>
  </si>
  <si>
    <t>__G_SIRENE_003</t>
  </si>
  <si>
    <t>SIRENE 003 - Graph - Etablissements par effectif salariés</t>
  </si>
  <si>
    <t>SIRENE Etablissements</t>
  </si>
  <si>
    <t>SIRENE Créations</t>
  </si>
  <si>
    <t>31/12/2022</t>
  </si>
  <si>
    <t>n-1</t>
  </si>
  <si>
    <t>n-2</t>
  </si>
  <si>
    <t>n-3</t>
  </si>
  <si>
    <t>n-4</t>
  </si>
  <si>
    <t>n-5</t>
  </si>
  <si>
    <t>n-6</t>
  </si>
  <si>
    <t>n-7</t>
  </si>
  <si>
    <t>n-8</t>
  </si>
  <si>
    <t>n-9</t>
  </si>
  <si>
    <t>n-10</t>
  </si>
  <si>
    <t>n-11</t>
  </si>
  <si>
    <t>n-12</t>
  </si>
  <si>
    <t>n-13</t>
  </si>
  <si>
    <t>n-14</t>
  </si>
  <si>
    <t>n-15</t>
  </si>
  <si>
    <t>n-16</t>
  </si>
  <si>
    <t>n-17</t>
  </si>
  <si>
    <t>n-18</t>
  </si>
  <si>
    <t>n-19</t>
  </si>
  <si>
    <t>__SIRENE 004 - Graph - Evolution des créations établissements</t>
  </si>
  <si>
    <t xml:space="preserve">Evolution des créations d'établissements </t>
  </si>
  <si>
    <t>__SIRENE 004 - Graph lecture -  Evolution des créations établissements</t>
  </si>
  <si>
    <t>__T_SIRENE_004</t>
  </si>
  <si>
    <t>SIRENE 004 - Graph lecture -  Evolution des créations établissements</t>
  </si>
  <si>
    <t>__G_SIRENE_004</t>
  </si>
  <si>
    <t>SIRENE 004 - Graph - Evolution des créations établissements</t>
  </si>
  <si>
    <t>Lecture : En §2, le nombre de créations d’établissements participant au système productif §3 a un indice de 100 comme en §1, ainsi il a stagné pendant cette période.</t>
  </si>
  <si>
    <t>Lecture : De §1 à §2, le nombre de créations d’établissements participant au système productif §3 passe de l'indice 100 à l'indice §4, il a diminué de §5% pendant cette période.</t>
  </si>
  <si>
    <t>Lecture : De §1 à §2, le nombre de créations d’établissements participant au système productif §3 passe de l'indice 100 à l'indice §4, il a augmenté de §5% pendant cette période.</t>
  </si>
  <si>
    <t>L'économie sociale et solidaire</t>
  </si>
  <si>
    <t>Etablissements de l'économie
sociale et solidaire</t>
  </si>
  <si>
    <t>Nombre</t>
  </si>
  <si>
    <t>Part pour 1000 habitants* (‰)</t>
  </si>
  <si>
    <t>** Nombre de créations d'établissements ESS parmi l'ensemble des créations d'établissements</t>
  </si>
  <si>
    <t>LIB_NIV2</t>
  </si>
  <si>
    <t>Activités des organisations associatives</t>
  </si>
  <si>
    <t>Activités créatives, artistiques et de spectacle</t>
  </si>
  <si>
    <t>Activités sportives, récréatives et de loisirs</t>
  </si>
  <si>
    <t>Enseignement</t>
  </si>
  <si>
    <t>Action sociale sans hébergement</t>
  </si>
  <si>
    <t>Hébergement médico-social et social</t>
  </si>
  <si>
    <t>Répartition des établissements de l'ESS par secteurs d'activité</t>
  </si>
  <si>
    <t>__SIRENE 005 - Tab - Etablissements ESS</t>
  </si>
  <si>
    <t>Part parmi
les établissements actifs (%)</t>
  </si>
  <si>
    <t>__SIRENE 005 - Tab lecture - Etablissements ESS</t>
  </si>
  <si>
    <t>__SIRENE_005</t>
  </si>
  <si>
    <t>SIRENE 005 - Tab - Etablissements ESS</t>
  </si>
  <si>
    <t>__T_SIRENE_005</t>
  </si>
  <si>
    <t>SIRENE 005 - Tab lecture - Etablissements ESS</t>
  </si>
  <si>
    <t>Activités spécialisées, scientifq tech. et activités srvc admin.</t>
  </si>
  <si>
    <t>Admini.publique et santé humaine</t>
  </si>
  <si>
    <t>Commerce gros et détail, transports, hébergement et restauration</t>
  </si>
  <si>
    <t>Autres activités</t>
  </si>
  <si>
    <t>__SIRENE 006 - Graph - Etablissement ESS par secteur activité</t>
  </si>
  <si>
    <t>__SIRENE 002 - Graph - Etablissements par secteurs activité</t>
  </si>
  <si>
    <t>__SIRENE 002 - Graph lecture - Nombre établissements par secteur activité</t>
  </si>
  <si>
    <t>__SIRENE 006 - Graph lecture - Etablissement ESS par secteur activité</t>
  </si>
  <si>
    <t>Lecture : Les activités des organisations associatives représentent §1% des établissements de l’ESS §2 en §3.</t>
  </si>
  <si>
    <t>SIRENE 002 - Graph lecture - Nombre établissements par secteur activité</t>
  </si>
  <si>
    <t>SIRENE 002 - Graph - Etablissements par secteurs activité</t>
  </si>
  <si>
    <t>__T_SIRENE_006</t>
  </si>
  <si>
    <t>SIRENE 006 - Graph lecture - Etablissement ESS par secteur activité</t>
  </si>
  <si>
    <t>__G_SIRENE_006</t>
  </si>
  <si>
    <t>SIRENE 006 - Graph - Etablissement ESS par secteur activité</t>
  </si>
  <si>
    <t>maj Graphs</t>
  </si>
  <si>
    <t>Secteur Activité &amp; Secteur activité ESS</t>
  </si>
  <si>
    <t>__SIRENE 003 - Graph lecture - Etablissements par effectif salariés</t>
  </si>
  <si>
    <t>SIRENE 003 - Graph lecture - Etablissements par effectif salariés</t>
  </si>
  <si>
    <t>Secteur_Activité</t>
  </si>
  <si>
    <t>Effectifs_salariés</t>
  </si>
  <si>
    <t>Evolution_Créations</t>
  </si>
  <si>
    <t>Etablissements_ESS</t>
  </si>
  <si>
    <t>Secteur_activité_ESS</t>
  </si>
  <si>
    <t>maj Référencement</t>
  </si>
  <si>
    <t>Référencement</t>
  </si>
  <si>
    <t>Charlotte</t>
  </si>
  <si>
    <t>Phrases auto</t>
  </si>
  <si>
    <t>Lecture : §1 compte §2 établissements actifs au 1er janvier §3 dont §4 participant au système productif, soit §5 établissements participant au système productif pour 1000 habitants.</t>
  </si>
  <si>
    <t>Pour phrase</t>
  </si>
  <si>
    <t>Pour comparaison, ce taux est de §1‰ pour §2, §3‰ pour §4 et de §5‰ pour §6.</t>
  </si>
  <si>
    <t>__SIRENE 007 - Texte - Nombre établissements</t>
  </si>
  <si>
    <t>Classement des plus grandes valeurs :</t>
  </si>
  <si>
    <t>de l'agriculture, sylviculture et pêche</t>
  </si>
  <si>
    <t>de l'industrie manufacturière, industries extractives et autres</t>
  </si>
  <si>
    <t>de la construction</t>
  </si>
  <si>
    <t>du commerce de gros et de détail, transports, hébergement et restauration</t>
  </si>
  <si>
    <t>de l'information et communication</t>
  </si>
  <si>
    <t>des activités financières et d'assurance</t>
  </si>
  <si>
    <t>des activités immobilières</t>
  </si>
  <si>
    <t>des activités spécialisées, scientifiques et techniques et activités de services administratifs</t>
  </si>
  <si>
    <t>de l'administration publique, enseignement, santé humaine et action sociale</t>
  </si>
  <si>
    <t>des autres activités de services</t>
  </si>
  <si>
    <t>Sur §1, c'est§2le secteur §3 qui compte le plus d'établissements productifs.</t>
  </si>
  <si>
    <t>__SIRENE 008 - Texte - Nombre établissements par secteur activité</t>
  </si>
  <si>
    <t xml:space="preserve">Sur §1, la répartition des établissements productifs montre une part plus importante du secteur §2 par rapport aux autres secteurs (§3% des établissements productifs). Viennent ensuite les secteurs §4 (§5%), §6 (§7%) et §8 (§9%). </t>
  </si>
  <si>
    <t>__SIRENE 009 - Texte -  Evolution des créations établissements</t>
  </si>
  <si>
    <t xml:space="preserve">Sur §1, §2 établissements ont été créés en §3, contre §4 en §5, soit un nombre équivalent de création d'établissements entre les deux années. </t>
  </si>
  <si>
    <t xml:space="preserve">Sur §1, §2 établissements ont été créés en §3, contre §4 en §5, soit §6 créations d'établissements en moins entre les deux années (§7%). </t>
  </si>
  <si>
    <t xml:space="preserve">Sur §1, §2 établissements ont été créés en §3, contre §4 en §5, soit §6 créations d'établissements en plus entre les deux années (§7%). </t>
  </si>
  <si>
    <t>Sur la dernière année, la création d'établissement est restée stable sur le territoire.</t>
  </si>
  <si>
    <t>Sur la dernière année, la création d'établissement s'est ralentie sur le territoire (§1).</t>
  </si>
  <si>
    <t>Sur la dernière année, la création d'établissement s'est accélérée sur le territoire (§1).</t>
  </si>
  <si>
    <t>Attention : pas encore l'indicateur des créations des établissements dans Babord !!! (donc remplacé par un autre indicateur pour le moment)</t>
  </si>
  <si>
    <t>Lecture : L’Economie Sociale et Solidaire regroupe §1 établissements §2 en §3, soit §4% de l’ensemble des établissements actifs. Cela représente §5 établissements ESS pour 1000 habitants. §6 établissements ESS ont été créés en §7, soit §8% de l'ensemble des créations d'établissements.</t>
  </si>
  <si>
    <t xml:space="preserve">En §1 §2, §3% des établissements de l'ESS concernent le secteur §4. Viennent ensuite les secteurs §5 (§6%) puis §7 (§8%). </t>
  </si>
  <si>
    <t>Sur §1, c'est§2le secteur §3 qui est le plus représenté (§4%).</t>
  </si>
  <si>
    <t>Toutes</t>
  </si>
  <si>
    <t>des activités des organisations associatives</t>
  </si>
  <si>
    <t>des activités créatives, artistiques et de spectacle</t>
  </si>
  <si>
    <t>des activités sportives, récréatives et de loisirs</t>
  </si>
  <si>
    <t>de l'enseignement</t>
  </si>
  <si>
    <t>de l'action sociale sans hébergement</t>
  </si>
  <si>
    <t>de l'hébergement médico-social et social</t>
  </si>
  <si>
    <t>des activités spécialisées, scientifiques, techniques et activités de service administratif</t>
  </si>
  <si>
    <t>de l'administration publique et santé humaine</t>
  </si>
  <si>
    <t>du commerce gros et détail, transports, hébergement et restauration</t>
  </si>
  <si>
    <t>des autres activités</t>
  </si>
  <si>
    <t>__T_SIRENE_007</t>
  </si>
  <si>
    <t>SIRENE 007 - Texte - Nombre établissements</t>
  </si>
  <si>
    <t>__T_SIRENE_008</t>
  </si>
  <si>
    <t>SIRENE 008 - Texte - Nombre établissements par secteur activité</t>
  </si>
  <si>
    <t>__T_SIRENE_009</t>
  </si>
  <si>
    <t>SIRENE 009 - Texte -  Evolution des créations établissements</t>
  </si>
  <si>
    <t>__T_SIRENE_010</t>
  </si>
  <si>
    <t>__SIRENE 010 - Texte - Etablissement ESS par secteur activité</t>
  </si>
  <si>
    <t>SIRENE 010 - Texte - Etablissement ESS par secteur activité</t>
  </si>
  <si>
    <t>Julie</t>
  </si>
  <si>
    <t>Corrections (cf: 2020-11-17_Corrections_diagABS_Julie.docx) -&gt; problème format étiquettes de données</t>
  </si>
  <si>
    <t xml:space="preserve">Au 1er janvier §1, §2 compte §3 établissements actifs dont §4 participant au système productif (soit §5% des établissements). §2 compte ainsi §6 établissements participant au système productifs pour 1000 habitants. </t>
  </si>
  <si>
    <t>Coquilles</t>
  </si>
  <si>
    <t>Juliane</t>
  </si>
  <si>
    <t>phrases et Evolution_Créations</t>
  </si>
  <si>
    <t>Modif phrases 11 et 12</t>
  </si>
  <si>
    <t>Samuel</t>
  </si>
  <si>
    <t>Modifs police, légende</t>
  </si>
  <si>
    <t>Secteur_Activité, Effectifs_salariés,  Evolution_Créations, Etablissements_ESS, Secteur_activité_ESS</t>
  </si>
  <si>
    <t>Format tableaux</t>
  </si>
  <si>
    <t>Etablissements &amp; Etablissements_ESS</t>
  </si>
  <si>
    <t>Modif Cellule E7</t>
  </si>
  <si>
    <t>Infos</t>
  </si>
  <si>
    <t>maj Phrase 7</t>
  </si>
  <si>
    <t>COM</t>
  </si>
  <si>
    <t>Portivechju</t>
  </si>
  <si>
    <t>la CC du Sud Corse</t>
  </si>
  <si>
    <t>CC du Sud Corse</t>
  </si>
  <si>
    <t>La France métropolitaine</t>
  </si>
  <si>
    <t>France métropolitaine</t>
  </si>
  <si>
    <t>Evaluation Only. Created with Aspose.Cells for Java.Copyright 2003 - 2023 Aspose Pty Ltd.</t>
  </si>
  <si>
    <t>Zone d'emploi de Portivechju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</si>
</sst>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 #,##0\ &quot;€&quot;_-;\-* #,##0\ &quot;€&quot;_-;_-* &quot;-&quot;\ &quot;€&quot;_-;_-@_-"/>
    <numFmt numFmtId="44" formatCode="_-* #,##0.00\ &quot;€&quot;_-;\-* #,##0.00\ &quot;€&quot;_-;_-* &quot;-&quot;??\ &quot;€&quot;_-;_-@_-"/>
    <numFmt numFmtId="164" formatCode="_-* #,##0\ _€_-;\-* #,##0\ _€_-;_-* &quot;-&quot;\ _€_-;_-@_-"/>
    <numFmt numFmtId="165" formatCode="_-* #,##0.00\ _€_-;\-* #,##0.00\ _€_-;_-* &quot;-&quot;??\ _€_-;_-@_-"/>
    <numFmt numFmtId="166" formatCode="#,##0.0"/>
    <numFmt numFmtId="167" formatCode="_-* #,##0\ _€_-;\-* #,##0\ _€_-;_-* &quot;-&quot;??\ _€_-;_-@_-"/>
    <numFmt numFmtId="168" formatCode="0.0"/>
    <numFmt numFmtId="169" formatCode="_-* #,##0.0\ _€_-;\-* #,##0.0\ _€_-;_-* &quot;-&quot;??\ _€_-;_-@_-"/>
    <numFmt numFmtId="170" formatCode="\+#,##0;\-#,##0"/>
    <numFmt numFmtId="171" formatCode="\+0.0;\-0.0"/>
    <numFmt numFmtId="172" formatCode="#,##0.0__"/>
    <numFmt numFmtId="173" formatCode="\+0;\-0"/>
    <numFmt numFmtId="174" formatCode="#,##0__"/>
  </numFmts>
  <fonts count="44" x14ac:knownFonts="1">
    <font>
      <sz val="11"/>
      <color theme="1"/>
      <name val="Roboto"/>
      <family val="2"/>
      <scheme val="minor"/>
    </font>
    <font>
      <sz val="10"/>
      <name val="Arial"/>
      <family val="2"/>
    </font>
    <font>
      <sz val="9"/>
      <color theme="1"/>
      <name val="Calibri"/>
      <family val="2"/>
    </font>
    <font>
      <b/>
      <sz val="9"/>
      <color theme="2" tint="-0.749961851863155"/>
      <name val="Roboto"/>
      <family val="2"/>
      <scheme val="major"/>
    </font>
    <font>
      <sz val="9"/>
      <color theme="1"/>
      <name val="Roboto"/>
      <family val="2"/>
      <scheme val="major"/>
    </font>
    <font>
      <u/>
      <sz val="11"/>
      <color theme="10"/>
      <name val="Roboto"/>
      <family val="2"/>
      <scheme val="minor"/>
    </font>
    <font>
      <sz val="9"/>
      <name val="Roboto"/>
      <family val="2"/>
      <scheme val="major"/>
    </font>
    <font>
      <b/>
      <sz val="9"/>
      <color theme="7" tint="-0.49995422223578601"/>
      <name val="Roboto"/>
      <family val="2"/>
      <scheme val="major"/>
    </font>
    <font>
      <sz val="11"/>
      <color theme="1"/>
      <name val="Roboto"/>
      <family val="2"/>
      <scheme val="major"/>
    </font>
    <font>
      <sz val="9"/>
      <color rgb="FFFF0000"/>
      <name val="Roboto"/>
      <family val="2"/>
      <scheme val="major"/>
    </font>
    <font>
      <sz val="9"/>
      <color theme="0" tint="-0.49995422223578601"/>
      <name val="Roboto"/>
      <family val="2"/>
      <scheme val="major"/>
    </font>
    <font>
      <sz val="8"/>
      <name val="Arial"/>
      <family val="2"/>
    </font>
    <font>
      <b/>
      <sz val="9"/>
      <name val="Roboto"/>
      <family val="2"/>
      <scheme val="major"/>
    </font>
    <font>
      <sz val="9"/>
      <name val="Calibri"/>
      <family val="2"/>
    </font>
    <font>
      <sz val="9"/>
      <color theme="1"/>
      <name val="Open Sans"/>
      <family val="2"/>
    </font>
    <font>
      <b/>
      <sz val="12"/>
      <name val="Roboto"/>
      <family val="2"/>
      <scheme val="major"/>
    </font>
    <font>
      <i/>
      <sz val="10"/>
      <color theme="1"/>
      <name val="Roboto"/>
      <family val="2"/>
      <scheme val="minor"/>
    </font>
    <font>
      <sz val="9"/>
      <color theme="1"/>
      <name val="Roboto"/>
      <family val="2"/>
      <scheme val="minor"/>
    </font>
    <font>
      <sz val="11"/>
      <color rgb="FFFF0000"/>
      <name val="Roboto"/>
      <family val="2"/>
      <scheme val="minor"/>
    </font>
    <font>
      <b/>
      <sz val="14"/>
      <name val="Roboto"/>
      <family val="2"/>
      <scheme val="major"/>
    </font>
    <font>
      <b/>
      <sz val="14"/>
      <color rgb="FF00B050"/>
      <name val="Roboto"/>
      <family val="2"/>
      <scheme val="major"/>
    </font>
    <font>
      <b/>
      <sz val="14"/>
      <color theme="1"/>
      <name val="Roboto"/>
      <family val="2"/>
      <scheme val="major"/>
    </font>
    <font>
      <b/>
      <sz val="12"/>
      <color rgb="FFFF0000"/>
      <name val="Roboto"/>
      <family val="2"/>
      <scheme val="major"/>
    </font>
    <font>
      <sz val="9"/>
      <name val="Open Sans"/>
      <family val="2"/>
    </font>
    <font>
      <sz val="11"/>
      <color theme="0"/>
      <name val="Roboto"/>
      <family val="2"/>
      <scheme val="major"/>
    </font>
    <font>
      <sz val="11"/>
      <name val="Roboto"/>
      <family val="2"/>
      <scheme val="major"/>
    </font>
    <font>
      <b/>
      <sz val="11"/>
      <color theme="1"/>
      <name val="Roboto"/>
      <family val="2"/>
      <scheme val="minor"/>
    </font>
    <font>
      <sz val="11"/>
      <color theme="1"/>
      <name val="Open Sans"/>
      <family val="2"/>
    </font>
    <font>
      <b/>
      <sz val="11"/>
      <color theme="1"/>
      <name val="Open Sans"/>
      <family val="2"/>
    </font>
    <font>
      <sz val="10"/>
      <color indexed="8"/>
      <name val="Arial"/>
      <family val="2"/>
    </font>
    <font>
      <sz val="11"/>
      <color indexed="8"/>
      <name val="Calibri"/>
      <family val="2"/>
    </font>
    <font>
      <b/>
      <i/>
      <sz val="11"/>
      <color theme="1"/>
      <name val="Roboto"/>
      <family val="2"/>
      <scheme val="minor"/>
    </font>
    <font>
      <sz val="11"/>
      <color theme="0"/>
      <name val="Open Sans"/>
      <family val="2"/>
    </font>
    <font>
      <sz val="11"/>
      <color rgb="FFFF0000"/>
      <name val="Roboto"/>
      <family val="2"/>
      <scheme val="major"/>
    </font>
    <font>
      <b/>
      <sz val="11"/>
      <color indexed="8"/>
      <name val="Calibri"/>
      <family val="2"/>
    </font>
    <font>
      <i/>
      <sz val="9"/>
      <color rgb="FF00B050"/>
      <name val="Roboto"/>
      <family val="2"/>
      <scheme val="minor"/>
    </font>
    <font>
      <sz val="9"/>
      <color rgb="FFC00000"/>
      <name val="Roboto"/>
      <family val="2"/>
      <scheme val="minor"/>
    </font>
    <font>
      <b/>
      <sz val="9"/>
      <color theme="5"/>
      <name val="Roboto"/>
      <family val="2"/>
      <scheme val="minor"/>
    </font>
    <font>
      <sz val="9"/>
      <color theme="8"/>
      <name val="Roboto"/>
      <family val="2"/>
      <scheme val="minor"/>
    </font>
    <font>
      <i/>
      <sz val="9"/>
      <color rgb="FF0070C0"/>
      <name val="Roboto"/>
      <family val="2"/>
      <scheme val="minor"/>
    </font>
    <font>
      <b/>
      <i/>
      <sz val="9"/>
      <color theme="5"/>
      <name val="Roboto"/>
      <family val="2"/>
      <scheme val="major"/>
    </font>
    <font>
      <sz val="10"/>
      <color theme="1"/>
      <name val="Roboto"/>
      <family val="2"/>
      <scheme val="major"/>
    </font>
    <font>
      <b/>
      <i/>
      <sz val="18"/>
      <color rgb="FF0000FF"/>
      <name val="Arial"/>
      <family val="2"/>
    </font>
    <font>
      <sz val="11"/>
      <color theme="1"/>
      <name val="Roboto"/>
      <family val="2"/>
      <scheme val="minor"/>
    </font>
  </fonts>
  <fills count="10">
    <fill>
      <patternFill patternType="none"/>
    </fill>
    <fill>
      <patternFill patternType="gray125"/>
    </fill>
    <fill>
      <patternFill patternType="solid">
        <fgColor theme="7" tint="0.59996337778862885"/>
        <bgColor indexed="64"/>
      </patternFill>
    </fill>
    <fill>
      <patternFill patternType="solid">
        <fgColor theme="6" tint="0.79995117038483843"/>
        <bgColor indexed="64"/>
      </patternFill>
    </fill>
    <fill>
      <patternFill patternType="solid">
        <fgColor theme="5" tint="0.79995117038483843"/>
        <bgColor indexed="64"/>
      </patternFill>
    </fill>
    <fill>
      <patternFill patternType="solid">
        <fgColor theme="0" tint="-0.14996795556505021"/>
        <bgColor indexed="64"/>
      </patternFill>
    </fill>
    <fill>
      <patternFill patternType="solid">
        <fgColor theme="4"/>
        <bgColor indexed="64"/>
      </patternFill>
    </fill>
    <fill>
      <patternFill patternType="solid">
        <fgColor theme="0" tint="-0.24994659260841701"/>
        <bgColor indexed="64"/>
      </patternFill>
    </fill>
    <fill>
      <patternFill patternType="solid">
        <fgColor indexed="22"/>
        <bgColor indexed="64"/>
      </patternFill>
    </fill>
    <fill>
      <patternFill patternType="solid">
        <fgColor rgb="FFFFFF00"/>
        <bgColor indexed="64"/>
      </patternFill>
    </fill>
  </fills>
  <borders count="31">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6" tint="-0.24991607409894101"/>
      </left>
      <right style="thin">
        <color theme="6" tint="-0.24991607409894101"/>
      </right>
      <top style="thin">
        <color theme="6" tint="-0.24991607409894101"/>
      </top>
      <bottom style="thin">
        <color theme="6" tint="-0.24991607409894101"/>
      </bottom>
      <diagonal/>
    </border>
    <border>
      <left style="thin">
        <color rgb="FFC00000"/>
      </left>
      <right style="thin">
        <color rgb="FFC00000"/>
      </right>
      <top style="thin">
        <color rgb="FFC00000"/>
      </top>
      <bottom style="thin">
        <color rgb="FFC00000"/>
      </bottom>
      <diagonal/>
    </border>
    <border>
      <left style="thin">
        <color theme="4" tint="-0.49995422223578601"/>
      </left>
      <right style="thin">
        <color theme="4" tint="-0.49995422223578601"/>
      </right>
      <top style="thin">
        <color theme="4" tint="-0.49995422223578601"/>
      </top>
      <bottom style="thin">
        <color theme="4" tint="-0.49995422223578601"/>
      </bottom>
      <diagonal/>
    </border>
    <border>
      <left style="thin">
        <color rgb="FFC00000"/>
      </left>
      <right style="thin">
        <color rgb="FFC00000"/>
      </right>
      <top style="thin">
        <color rgb="FFC00000"/>
      </top>
      <bottom/>
      <diagonal/>
    </border>
    <border>
      <left style="thin">
        <color rgb="FFC00000"/>
      </left>
      <right style="thin">
        <color rgb="FFC00000"/>
      </right>
      <top style="thin">
        <color rgb="FFC00000"/>
      </top>
      <bottom style="thin">
        <color theme="9"/>
      </bottom>
      <diagonal/>
    </border>
    <border>
      <left/>
      <right/>
      <top style="thin">
        <color theme="0"/>
      </top>
      <bottom/>
      <diagonal/>
    </border>
    <border>
      <left/>
      <right/>
      <top style="thin">
        <color theme="0" tint="-0.24985503707998902"/>
      </top>
      <bottom style="thin">
        <color theme="0" tint="-0.24985503707998902"/>
      </bottom>
      <diagonal/>
    </border>
    <border>
      <left/>
      <right/>
      <top style="thin">
        <color theme="0" tint="-0.24988555558946501"/>
      </top>
      <bottom style="thin">
        <color theme="0" tint="-0.2498855555894650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bottom style="thin">
        <color theme="4"/>
      </bottom>
      <diagonal/>
    </border>
    <border>
      <left/>
      <right/>
      <top style="thin">
        <color theme="4"/>
      </top>
      <bottom style="thin">
        <color theme="0"/>
      </bottom>
      <diagonal/>
    </border>
    <border>
      <left style="thin">
        <color indexed="22"/>
      </left>
      <right style="thin">
        <color indexed="22"/>
      </right>
      <top/>
      <bottom/>
      <diagonal/>
    </border>
    <border>
      <left style="medium">
        <color theme="4"/>
      </left>
      <right style="medium">
        <color theme="4"/>
      </right>
      <top style="medium">
        <color theme="4"/>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right/>
      <top style="thin">
        <color theme="4"/>
      </top>
      <bottom/>
      <diagonal/>
    </border>
    <border>
      <left/>
      <right/>
      <top/>
      <bottom style="thin">
        <color theme="0" tint="-0.24988555558946501"/>
      </bottom>
      <diagonal/>
    </border>
  </borders>
  <cellStyleXfs count="74">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0" fontId="2" fillId="0" borderId="0"/>
    <xf numFmtId="0" fontId="2" fillId="0" borderId="0"/>
    <xf numFmtId="0" fontId="5" fillId="0" borderId="0" applyNumberFormat="0" applyFill="0" applyBorder="0" applyAlignment="0" applyProtection="0"/>
    <xf numFmtId="0" fontId="11" fillId="0" borderId="0"/>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2"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1" fillId="0" borderId="0" applyFont="0" applyFill="0" applyBorder="0" applyAlignment="0" applyProtection="0"/>
    <xf numFmtId="165" fontId="43" fillId="0" borderId="0" applyFont="0" applyFill="0" applyBorder="0" applyAlignment="0" applyProtection="0"/>
    <xf numFmtId="165" fontId="2" fillId="0" borderId="0" applyFont="0" applyFill="0" applyBorder="0" applyAlignment="0" applyProtection="0"/>
    <xf numFmtId="165" fontId="43" fillId="0" borderId="0" applyFont="0" applyFill="0" applyBorder="0" applyAlignment="0" applyProtection="0"/>
    <xf numFmtId="0" fontId="13" fillId="0" borderId="0"/>
    <xf numFmtId="0" fontId="13" fillId="0" borderId="0"/>
    <xf numFmtId="0" fontId="1" fillId="0" borderId="0"/>
    <xf numFmtId="0" fontId="1" fillId="0" borderId="0"/>
    <xf numFmtId="0" fontId="43"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0" fontId="43" fillId="0" borderId="0"/>
    <xf numFmtId="44" fontId="13" fillId="0" borderId="0" applyFont="0" applyFill="0" applyBorder="0" applyAlignment="0" applyProtection="0"/>
    <xf numFmtId="44" fontId="13" fillId="0" borderId="0" applyFont="0" applyFill="0" applyBorder="0" applyAlignment="0" applyProtection="0"/>
    <xf numFmtId="0" fontId="5" fillId="0" borderId="0" applyNumberFormat="0" applyFill="0" applyBorder="0" applyAlignment="0" applyProtection="0"/>
    <xf numFmtId="0" fontId="1" fillId="0" borderId="0"/>
    <xf numFmtId="0" fontId="2" fillId="0" borderId="0"/>
    <xf numFmtId="9" fontId="43" fillId="0" borderId="0" applyFont="0" applyFill="0" applyBorder="0" applyAlignment="0" applyProtection="0"/>
    <xf numFmtId="9" fontId="43" fillId="0" borderId="0" applyFont="0" applyFill="0" applyBorder="0" applyAlignment="0" applyProtection="0"/>
    <xf numFmtId="9" fontId="43" fillId="0" borderId="0" applyFont="0" applyFill="0" applyBorder="0" applyAlignment="0" applyProtection="0"/>
    <xf numFmtId="0" fontId="13" fillId="0" borderId="0"/>
    <xf numFmtId="44" fontId="11" fillId="0" borderId="0" applyFont="0" applyFill="0" applyBorder="0" applyAlignment="0" applyProtection="0"/>
    <xf numFmtId="9" fontId="1" fillId="0" borderId="0" applyFont="0" applyFill="0" applyBorder="0" applyAlignment="0" applyProtection="0"/>
    <xf numFmtId="0" fontId="43" fillId="0" borderId="0"/>
    <xf numFmtId="165" fontId="43" fillId="0" borderId="0" applyFont="0" applyFill="0" applyBorder="0" applyAlignment="0" applyProtection="0"/>
    <xf numFmtId="0" fontId="29" fillId="0" borderId="0"/>
    <xf numFmtId="0" fontId="29" fillId="0" borderId="0"/>
    <xf numFmtId="0" fontId="29" fillId="0" borderId="0"/>
    <xf numFmtId="9" fontId="43" fillId="0" borderId="0" applyFont="0" applyFill="0" applyBorder="0" applyAlignment="0" applyProtection="0"/>
  </cellStyleXfs>
  <cellXfs count="124">
    <xf numFmtId="0" fontId="0" fillId="0" borderId="0" xfId="0"/>
    <xf numFmtId="0" fontId="4" fillId="0" borderId="0" xfId="6" applyFont="1"/>
    <xf numFmtId="0" fontId="4" fillId="0" borderId="1" xfId="6" applyFont="1" applyBorder="1"/>
    <xf numFmtId="0" fontId="7" fillId="2" borderId="2" xfId="6" applyFont="1" applyFill="1" applyBorder="1" applyAlignment="1">
      <alignment horizontal="center" vertical="center"/>
    </xf>
    <xf numFmtId="0" fontId="8" fillId="0" borderId="0" xfId="0" applyFont="1"/>
    <xf numFmtId="14" fontId="4" fillId="0" borderId="3" xfId="6" applyNumberFormat="1" applyFont="1" applyBorder="1"/>
    <xf numFmtId="0" fontId="4" fillId="0" borderId="3" xfId="6" applyFont="1" applyBorder="1"/>
    <xf numFmtId="14" fontId="4" fillId="0" borderId="1" xfId="6" applyNumberFormat="1" applyFont="1" applyBorder="1"/>
    <xf numFmtId="0" fontId="6" fillId="0" borderId="0" xfId="0" applyFont="1"/>
    <xf numFmtId="0" fontId="4" fillId="0" borderId="0" xfId="0" applyFont="1" applyAlignment="1">
      <alignment horizontal="center" vertical="center"/>
    </xf>
    <xf numFmtId="0" fontId="4" fillId="0" borderId="0" xfId="0" applyFont="1"/>
    <xf numFmtId="0" fontId="9" fillId="0" borderId="0" xfId="0" applyFont="1" applyAlignment="1">
      <alignment vertical="center"/>
    </xf>
    <xf numFmtId="0" fontId="10" fillId="0" borderId="0" xfId="0" applyFont="1" applyAlignment="1">
      <alignment vertical="center"/>
    </xf>
    <xf numFmtId="0" fontId="4" fillId="0" borderId="0" xfId="0" applyFont="1" applyAlignment="1">
      <alignment vertical="center"/>
    </xf>
    <xf numFmtId="0" fontId="4" fillId="3" borderId="4" xfId="0" applyFont="1" applyFill="1" applyBorder="1"/>
    <xf numFmtId="0" fontId="4" fillId="0" borderId="5" xfId="0" applyFont="1" applyBorder="1" applyAlignment="1">
      <alignment vertical="center"/>
    </xf>
    <xf numFmtId="0" fontId="4" fillId="0" borderId="4" xfId="0" applyFont="1" applyBorder="1"/>
    <xf numFmtId="14" fontId="4" fillId="0" borderId="4" xfId="0" applyNumberFormat="1" applyFont="1" applyBorder="1"/>
    <xf numFmtId="0" fontId="6" fillId="0" borderId="5" xfId="0" applyFont="1" applyBorder="1" applyAlignment="1">
      <alignment vertical="center"/>
    </xf>
    <xf numFmtId="0" fontId="12" fillId="4" borderId="6" xfId="9" applyFont="1" applyFill="1" applyBorder="1" applyAlignment="1">
      <alignment horizontal="center" vertical="center" wrapText="1"/>
    </xf>
    <xf numFmtId="0" fontId="4" fillId="0" borderId="0" xfId="0" applyFont="1" applyAlignment="1">
      <alignment vertical="center" wrapText="1"/>
    </xf>
    <xf numFmtId="0" fontId="4" fillId="3" borderId="0" xfId="0" applyFont="1" applyFill="1" applyAlignment="1">
      <alignment horizontal="center" vertical="center"/>
    </xf>
    <xf numFmtId="14" fontId="4" fillId="3" borderId="0" xfId="0" applyNumberFormat="1" applyFont="1" applyFill="1" applyAlignment="1">
      <alignment vertical="center"/>
    </xf>
    <xf numFmtId="0" fontId="15" fillId="0" borderId="0" xfId="0" applyFont="1" applyAlignment="1">
      <alignment vertical="center"/>
    </xf>
    <xf numFmtId="0" fontId="16" fillId="0" borderId="0" xfId="0" applyFont="1"/>
    <xf numFmtId="0" fontId="17" fillId="0" borderId="0" xfId="0" applyFont="1" applyAlignment="1">
      <alignment wrapText="1"/>
    </xf>
    <xf numFmtId="0" fontId="4" fillId="0" borderId="7" xfId="0" applyFont="1" applyBorder="1" applyAlignment="1">
      <alignment vertical="center"/>
    </xf>
    <xf numFmtId="0" fontId="4" fillId="0" borderId="8" xfId="0" applyFont="1" applyBorder="1" applyAlignment="1">
      <alignment vertical="center"/>
    </xf>
    <xf numFmtId="0" fontId="3" fillId="5" borderId="3" xfId="6" applyFont="1" applyFill="1" applyBorder="1" applyAlignment="1">
      <alignment horizontal="center" vertical="center"/>
    </xf>
    <xf numFmtId="0" fontId="18" fillId="0" borderId="0" xfId="0" applyFont="1"/>
    <xf numFmtId="0" fontId="14" fillId="0" borderId="0" xfId="0" applyFont="1" applyAlignment="1">
      <alignment vertical="center"/>
    </xf>
    <xf numFmtId="14" fontId="0" fillId="0" borderId="0" xfId="0" applyNumberFormat="1"/>
    <xf numFmtId="0" fontId="19" fillId="4" borderId="6" xfId="9" applyFont="1" applyFill="1" applyBorder="1" applyAlignment="1">
      <alignment horizontal="center" vertical="center" wrapText="1"/>
    </xf>
    <xf numFmtId="0" fontId="20" fillId="4" borderId="0" xfId="0" applyFont="1" applyFill="1" applyAlignment="1">
      <alignment horizontal="center" vertical="center" wrapText="1"/>
    </xf>
    <xf numFmtId="0" fontId="19" fillId="0" borderId="0" xfId="0" applyFont="1" applyAlignment="1">
      <alignment vertical="center" wrapText="1"/>
    </xf>
    <xf numFmtId="0" fontId="21" fillId="0" borderId="0" xfId="0" applyFont="1" applyAlignment="1">
      <alignment vertical="center" wrapText="1"/>
    </xf>
    <xf numFmtId="0" fontId="22" fillId="0" borderId="0" xfId="0" applyFont="1"/>
    <xf numFmtId="0" fontId="23" fillId="0" borderId="0" xfId="0" applyFont="1" applyAlignment="1">
      <alignment vertical="top" wrapText="1"/>
    </xf>
    <xf numFmtId="0" fontId="24" fillId="6" borderId="9" xfId="44" applyFont="1" applyFill="1" applyBorder="1" applyAlignment="1">
      <alignment horizontal="center" vertical="center" wrapText="1"/>
    </xf>
    <xf numFmtId="0" fontId="8" fillId="0" borderId="10" xfId="0" applyFont="1" applyBorder="1" applyAlignment="1">
      <alignment vertical="center"/>
    </xf>
    <xf numFmtId="3" fontId="25" fillId="0" borderId="11" xfId="44" applyNumberFormat="1" applyFont="1" applyBorder="1" applyAlignment="1">
      <alignment horizontal="right" vertical="center"/>
    </xf>
    <xf numFmtId="167" fontId="26" fillId="0" borderId="0" xfId="69" applyNumberFormat="1" applyFont="1"/>
    <xf numFmtId="0" fontId="27" fillId="0" borderId="12" xfId="0" applyFont="1" applyBorder="1" applyAlignment="1">
      <alignment horizontal="center" vertical="center"/>
    </xf>
    <xf numFmtId="0" fontId="27" fillId="0" borderId="12" xfId="0" applyFont="1" applyBorder="1" applyAlignment="1">
      <alignment horizontal="left" vertical="center"/>
    </xf>
    <xf numFmtId="3" fontId="0" fillId="0" borderId="0" xfId="0" applyNumberFormat="1"/>
    <xf numFmtId="0" fontId="27" fillId="5" borderId="13" xfId="0" applyFont="1" applyFill="1" applyBorder="1" applyAlignment="1">
      <alignment horizontal="center" vertical="center"/>
    </xf>
    <xf numFmtId="0" fontId="27" fillId="5" borderId="13" xfId="0" applyFont="1" applyFill="1" applyBorder="1" applyAlignment="1">
      <alignment horizontal="left" vertical="center"/>
    </xf>
    <xf numFmtId="0" fontId="27" fillId="0" borderId="13" xfId="0" applyFont="1" applyBorder="1" applyAlignment="1">
      <alignment horizontal="center" vertical="center"/>
    </xf>
    <xf numFmtId="0" fontId="27" fillId="0" borderId="13" xfId="0" applyFont="1" applyBorder="1" applyAlignment="1">
      <alignment horizontal="left" vertical="center"/>
    </xf>
    <xf numFmtId="0" fontId="27" fillId="5" borderId="14" xfId="0" applyFont="1" applyFill="1" applyBorder="1" applyAlignment="1">
      <alignment horizontal="center" vertical="center"/>
    </xf>
    <xf numFmtId="0" fontId="27" fillId="5" borderId="14" xfId="0" applyFont="1" applyFill="1" applyBorder="1" applyAlignment="1">
      <alignment horizontal="left" vertical="center"/>
    </xf>
    <xf numFmtId="1" fontId="0" fillId="0" borderId="0" xfId="0" applyNumberFormat="1"/>
    <xf numFmtId="0" fontId="0" fillId="7" borderId="0" xfId="0" applyFill="1"/>
    <xf numFmtId="168" fontId="0" fillId="0" borderId="0" xfId="0" applyNumberFormat="1"/>
    <xf numFmtId="0" fontId="28" fillId="0" borderId="0" xfId="0" applyFont="1" applyAlignment="1">
      <alignment vertical="center"/>
    </xf>
    <xf numFmtId="169" fontId="0" fillId="0" borderId="0" xfId="69" applyNumberFormat="1" applyFont="1"/>
    <xf numFmtId="0" fontId="31" fillId="0" borderId="0" xfId="0" applyFont="1"/>
    <xf numFmtId="3" fontId="31" fillId="0" borderId="0" xfId="0" applyNumberFormat="1" applyFont="1"/>
    <xf numFmtId="166" fontId="0" fillId="0" borderId="0" xfId="0" applyNumberFormat="1"/>
    <xf numFmtId="166" fontId="31" fillId="0" borderId="0" xfId="0" applyNumberFormat="1" applyFont="1"/>
    <xf numFmtId="0" fontId="30" fillId="8" borderId="15" xfId="70" applyFont="1" applyFill="1" applyBorder="1" applyAlignment="1">
      <alignment horizontal="center"/>
    </xf>
    <xf numFmtId="0" fontId="30" fillId="0" borderId="16" xfId="71" applyFont="1" applyBorder="1" applyAlignment="1">
      <alignment wrapText="1"/>
    </xf>
    <xf numFmtId="0" fontId="30" fillId="0" borderId="16" xfId="71" applyFont="1" applyBorder="1" applyAlignment="1">
      <alignment horizontal="right" wrapText="1"/>
    </xf>
    <xf numFmtId="168" fontId="30" fillId="0" borderId="16" xfId="71" applyNumberFormat="1" applyFont="1" applyBorder="1" applyAlignment="1">
      <alignment horizontal="right" wrapText="1"/>
    </xf>
    <xf numFmtId="170" fontId="0" fillId="0" borderId="0" xfId="0" applyNumberFormat="1"/>
    <xf numFmtId="171" fontId="0" fillId="0" borderId="0" xfId="0" applyNumberFormat="1"/>
    <xf numFmtId="0" fontId="4" fillId="3" borderId="0" xfId="0" applyFont="1" applyFill="1" applyAlignment="1">
      <alignment horizontal="left" vertical="center"/>
    </xf>
    <xf numFmtId="0" fontId="0" fillId="0" borderId="0" xfId="0" applyAlignment="1">
      <alignment horizontal="center"/>
    </xf>
    <xf numFmtId="0" fontId="27" fillId="0" borderId="0" xfId="0" applyFont="1" applyAlignment="1">
      <alignment vertical="center"/>
    </xf>
    <xf numFmtId="0" fontId="32" fillId="6" borderId="17" xfId="0" applyFont="1" applyFill="1" applyBorder="1" applyAlignment="1">
      <alignment horizontal="center" vertical="center"/>
    </xf>
    <xf numFmtId="0" fontId="32" fillId="6" borderId="18" xfId="0" applyFont="1" applyFill="1" applyBorder="1" applyAlignment="1">
      <alignment horizontal="center" vertical="center"/>
    </xf>
    <xf numFmtId="0" fontId="23" fillId="0" borderId="0" xfId="0" applyFont="1" applyAlignment="1">
      <alignment horizontal="right" vertical="top"/>
    </xf>
    <xf numFmtId="0" fontId="30" fillId="0" borderId="16" xfId="72" applyFont="1" applyBorder="1" applyAlignment="1">
      <alignment wrapText="1"/>
    </xf>
    <xf numFmtId="0" fontId="30" fillId="0" borderId="19" xfId="72" applyFont="1" applyBorder="1" applyAlignment="1">
      <alignment wrapText="1"/>
    </xf>
    <xf numFmtId="0" fontId="30" fillId="0" borderId="0" xfId="72" applyFont="1" applyAlignment="1">
      <alignment wrapText="1"/>
    </xf>
    <xf numFmtId="168" fontId="30" fillId="0" borderId="16" xfId="72" applyNumberFormat="1" applyFont="1" applyBorder="1" applyAlignment="1">
      <alignment horizontal="right" wrapText="1"/>
    </xf>
    <xf numFmtId="3" fontId="33" fillId="0" borderId="11" xfId="44" applyNumberFormat="1" applyFont="1" applyBorder="1" applyAlignment="1">
      <alignment horizontal="right" vertical="center"/>
    </xf>
    <xf numFmtId="0" fontId="34" fillId="0" borderId="0" xfId="72" applyFont="1" applyAlignment="1">
      <alignment wrapText="1"/>
    </xf>
    <xf numFmtId="3" fontId="26" fillId="0" borderId="0" xfId="0" applyNumberFormat="1" applyFont="1"/>
    <xf numFmtId="168" fontId="34" fillId="0" borderId="16" xfId="72" applyNumberFormat="1" applyFont="1" applyBorder="1" applyAlignment="1">
      <alignment horizontal="right" wrapText="1"/>
    </xf>
    <xf numFmtId="0" fontId="35" fillId="0" borderId="0" xfId="0" applyFont="1"/>
    <xf numFmtId="0" fontId="5" fillId="0" borderId="1" xfId="8" applyBorder="1"/>
    <xf numFmtId="0" fontId="6" fillId="0" borderId="1" xfId="6" applyFont="1" applyBorder="1"/>
    <xf numFmtId="0" fontId="36" fillId="0" borderId="0" xfId="0" applyFont="1"/>
    <xf numFmtId="0" fontId="17" fillId="0" borderId="0" xfId="0" applyFont="1"/>
    <xf numFmtId="0" fontId="37" fillId="0" borderId="0" xfId="0" applyFont="1"/>
    <xf numFmtId="0" fontId="38" fillId="0" borderId="20" xfId="0" applyFont="1" applyBorder="1"/>
    <xf numFmtId="0" fontId="37" fillId="0" borderId="21" xfId="0" applyFont="1" applyBorder="1"/>
    <xf numFmtId="0" fontId="17" fillId="0" borderId="22" xfId="0" applyFont="1" applyBorder="1"/>
    <xf numFmtId="0" fontId="17" fillId="0" borderId="23" xfId="0" applyFont="1" applyBorder="1"/>
    <xf numFmtId="0" fontId="38" fillId="0" borderId="24" xfId="0" applyFont="1" applyBorder="1"/>
    <xf numFmtId="0" fontId="38" fillId="0" borderId="0" xfId="0" applyFont="1"/>
    <xf numFmtId="0" fontId="38" fillId="0" borderId="25" xfId="0" applyFont="1" applyBorder="1"/>
    <xf numFmtId="168" fontId="38" fillId="0" borderId="24" xfId="0" applyNumberFormat="1" applyFont="1" applyBorder="1"/>
    <xf numFmtId="168" fontId="38" fillId="0" borderId="0" xfId="0" applyNumberFormat="1" applyFont="1"/>
    <xf numFmtId="168" fontId="38" fillId="0" borderId="25" xfId="0" applyNumberFormat="1" applyFont="1" applyBorder="1"/>
    <xf numFmtId="0" fontId="38" fillId="0" borderId="26" xfId="0" applyFont="1" applyBorder="1"/>
    <xf numFmtId="0" fontId="38" fillId="0" borderId="27" xfId="0" applyFont="1" applyBorder="1"/>
    <xf numFmtId="0" fontId="38" fillId="0" borderId="28" xfId="0" applyFont="1" applyBorder="1"/>
    <xf numFmtId="0" fontId="39" fillId="0" borderId="0" xfId="0" applyFont="1"/>
    <xf numFmtId="0" fontId="40" fillId="0" borderId="21" xfId="0" applyFont="1" applyBorder="1"/>
    <xf numFmtId="171" fontId="38" fillId="0" borderId="24" xfId="0" applyNumberFormat="1" applyFont="1" applyBorder="1"/>
    <xf numFmtId="0" fontId="17" fillId="0" borderId="25" xfId="0" applyFont="1" applyBorder="1"/>
    <xf numFmtId="3" fontId="38" fillId="0" borderId="24" xfId="0" applyNumberFormat="1" applyFont="1" applyBorder="1"/>
    <xf numFmtId="173" fontId="38" fillId="0" borderId="26" xfId="0" applyNumberFormat="1" applyFont="1" applyBorder="1"/>
    <xf numFmtId="168" fontId="38" fillId="0" borderId="27" xfId="73" applyNumberFormat="1" applyFont="1" applyBorder="1"/>
    <xf numFmtId="14" fontId="17" fillId="0" borderId="0" xfId="0" applyNumberFormat="1" applyFont="1"/>
    <xf numFmtId="0" fontId="38" fillId="0" borderId="21" xfId="0" applyFont="1" applyBorder="1"/>
    <xf numFmtId="0" fontId="38" fillId="0" borderId="22" xfId="0" applyFont="1" applyBorder="1"/>
    <xf numFmtId="14" fontId="38" fillId="0" borderId="22" xfId="0" applyNumberFormat="1" applyFont="1" applyBorder="1"/>
    <xf numFmtId="0" fontId="38" fillId="0" borderId="23" xfId="0" applyFont="1" applyBorder="1"/>
    <xf numFmtId="14" fontId="38" fillId="0" borderId="0" xfId="0" applyNumberFormat="1" applyFont="1"/>
    <xf numFmtId="0" fontId="18" fillId="9" borderId="0" xfId="0" applyFont="1" applyFill="1"/>
    <xf numFmtId="0" fontId="41" fillId="0" borderId="0" xfId="0" applyFont="1" applyAlignment="1">
      <alignment vertical="center"/>
    </xf>
    <xf numFmtId="172" fontId="8" fillId="0" borderId="11" xfId="69" applyNumberFormat="1" applyFont="1" applyBorder="1" applyAlignment="1">
      <alignment vertical="center"/>
    </xf>
    <xf numFmtId="0" fontId="8" fillId="0" borderId="0" xfId="0" applyFont="1" applyAlignment="1">
      <alignment vertical="center"/>
    </xf>
    <xf numFmtId="174" fontId="25" fillId="0" borderId="11" xfId="44" applyNumberFormat="1" applyFont="1" applyBorder="1" applyAlignment="1">
      <alignment horizontal="right" vertical="center"/>
    </xf>
    <xf numFmtId="172" fontId="25" fillId="0" borderId="11" xfId="44" applyNumberFormat="1" applyFont="1" applyBorder="1" applyAlignment="1">
      <alignment horizontal="right" vertical="center"/>
    </xf>
    <xf numFmtId="0" fontId="42" fillId="0" borderId="0" xfId="0" applyFont="1"/>
    <xf numFmtId="0" fontId="4" fillId="3" borderId="0" xfId="0" applyFont="1" applyFill="1" applyAlignment="1">
      <alignment horizontal="center" vertical="center" wrapText="1"/>
    </xf>
    <xf numFmtId="0" fontId="24" fillId="6" borderId="0" xfId="0" applyFont="1" applyFill="1" applyAlignment="1">
      <alignment horizontal="center" vertical="center" wrapText="1"/>
    </xf>
    <xf numFmtId="0" fontId="8" fillId="0" borderId="0" xfId="0" applyFont="1" applyAlignment="1">
      <alignment horizontal="center" vertical="center" wrapText="1"/>
    </xf>
    <xf numFmtId="0" fontId="24" fillId="6" borderId="29" xfId="0" applyFont="1" applyFill="1" applyBorder="1" applyAlignment="1">
      <alignment horizontal="center" vertical="center" wrapText="1"/>
    </xf>
    <xf numFmtId="0" fontId="24" fillId="6" borderId="30" xfId="0" applyFont="1" applyFill="1" applyBorder="1" applyAlignment="1">
      <alignment horizontal="center" vertical="center" wrapText="1"/>
    </xf>
  </cellXfs>
  <cellStyles count="74">
    <cellStyle name="Comma" xfId="4" xr:uid="{00000000-0005-0000-0000-000004000000}"/>
    <cellStyle name="Comma [0]" xfId="5" xr:uid="{00000000-0005-0000-0000-000005000000}"/>
    <cellStyle name="Comma [0] 2" xfId="10" xr:uid="{00000000-0005-0000-0000-00000A000000}"/>
    <cellStyle name="Comma [0] 3" xfId="11" xr:uid="{00000000-0005-0000-0000-00000B000000}"/>
    <cellStyle name="Comma 10" xfId="12" xr:uid="{00000000-0005-0000-0000-00000C000000}"/>
    <cellStyle name="Comma 11" xfId="13" xr:uid="{00000000-0005-0000-0000-00000D000000}"/>
    <cellStyle name="Comma 12" xfId="14" xr:uid="{00000000-0005-0000-0000-00000E000000}"/>
    <cellStyle name="Comma 13" xfId="15" xr:uid="{00000000-0005-0000-0000-00000F000000}"/>
    <cellStyle name="Comma 2" xfId="16" xr:uid="{00000000-0005-0000-0000-000010000000}"/>
    <cellStyle name="Comma 3" xfId="17" xr:uid="{00000000-0005-0000-0000-000011000000}"/>
    <cellStyle name="Comma 4" xfId="18" xr:uid="{00000000-0005-0000-0000-000012000000}"/>
    <cellStyle name="Comma 5" xfId="19" xr:uid="{00000000-0005-0000-0000-000013000000}"/>
    <cellStyle name="Comma 6" xfId="20" xr:uid="{00000000-0005-0000-0000-000014000000}"/>
    <cellStyle name="Comma 7" xfId="21" xr:uid="{00000000-0005-0000-0000-000015000000}"/>
    <cellStyle name="Comma 8" xfId="22" xr:uid="{00000000-0005-0000-0000-000016000000}"/>
    <cellStyle name="Comma 9" xfId="23" xr:uid="{00000000-0005-0000-0000-000017000000}"/>
    <cellStyle name="Currency" xfId="2" xr:uid="{00000000-0005-0000-0000-000002000000}"/>
    <cellStyle name="Currency [0]" xfId="3" xr:uid="{00000000-0005-0000-0000-000003000000}"/>
    <cellStyle name="Currency [0] 2" xfId="24" xr:uid="{00000000-0005-0000-0000-000018000000}"/>
    <cellStyle name="Currency [0] 3" xfId="25" xr:uid="{00000000-0005-0000-0000-000019000000}"/>
    <cellStyle name="Currency 10" xfId="26" xr:uid="{00000000-0005-0000-0000-00001A000000}"/>
    <cellStyle name="Currency 11" xfId="27" xr:uid="{00000000-0005-0000-0000-00001B000000}"/>
    <cellStyle name="Currency 12" xfId="28" xr:uid="{00000000-0005-0000-0000-00001C000000}"/>
    <cellStyle name="Currency 13" xfId="29" xr:uid="{00000000-0005-0000-0000-00001D000000}"/>
    <cellStyle name="Currency 2" xfId="30" xr:uid="{00000000-0005-0000-0000-00001E000000}"/>
    <cellStyle name="Currency 3" xfId="31" xr:uid="{00000000-0005-0000-0000-00001F000000}"/>
    <cellStyle name="Currency 4" xfId="32" xr:uid="{00000000-0005-0000-0000-000020000000}"/>
    <cellStyle name="Currency 5" xfId="33" xr:uid="{00000000-0005-0000-0000-000021000000}"/>
    <cellStyle name="Currency 6" xfId="34" xr:uid="{00000000-0005-0000-0000-000022000000}"/>
    <cellStyle name="Currency 7" xfId="35" xr:uid="{00000000-0005-0000-0000-000023000000}"/>
    <cellStyle name="Currency 8" xfId="36" xr:uid="{00000000-0005-0000-0000-000024000000}"/>
    <cellStyle name="Currency 9" xfId="37" xr:uid="{00000000-0005-0000-0000-000025000000}"/>
    <cellStyle name="Euro" xfId="38" xr:uid="{00000000-0005-0000-0000-000026000000}"/>
    <cellStyle name="Euro 2" xfId="57" xr:uid="{00000000-0005-0000-0000-000039000000}"/>
    <cellStyle name="Euro 2 2" xfId="66" xr:uid="{00000000-0005-0000-0000-000042000000}"/>
    <cellStyle name="Euro 3" xfId="58" xr:uid="{00000000-0005-0000-0000-00003A000000}"/>
    <cellStyle name="Lien hypertexte" xfId="8" xr:uid="{00000000-0005-0000-0000-000008000000}"/>
    <cellStyle name="Lien hypertexte 2" xfId="59" xr:uid="{00000000-0005-0000-0000-00003B000000}"/>
    <cellStyle name="Milliers" xfId="69" xr:uid="{00000000-0005-0000-0000-000045000000}"/>
    <cellStyle name="Milliers 2" xfId="39" xr:uid="{00000000-0005-0000-0000-000027000000}"/>
    <cellStyle name="Milliers 3" xfId="40" xr:uid="{00000000-0005-0000-0000-000028000000}"/>
    <cellStyle name="Milliers 4" xfId="41" xr:uid="{00000000-0005-0000-0000-000029000000}"/>
    <cellStyle name="Normal" xfId="0" builtinId="0"/>
    <cellStyle name="Normal 2" xfId="42" xr:uid="{00000000-0005-0000-0000-00002A000000}"/>
    <cellStyle name="Normal 2 2" xfId="6" xr:uid="{00000000-0005-0000-0000-000006000000}"/>
    <cellStyle name="Normal 2 2 2" xfId="7" xr:uid="{00000000-0005-0000-0000-000007000000}"/>
    <cellStyle name="Normal 2 3" xfId="43" xr:uid="{00000000-0005-0000-0000-00002B000000}"/>
    <cellStyle name="Normal 2 4" xfId="60" xr:uid="{00000000-0005-0000-0000-00003C000000}"/>
    <cellStyle name="Normal 3" xfId="44" xr:uid="{00000000-0005-0000-0000-00002C000000}"/>
    <cellStyle name="Normal 3 2" xfId="45" xr:uid="{00000000-0005-0000-0000-00002D000000}"/>
    <cellStyle name="Normal 3 3" xfId="61" xr:uid="{00000000-0005-0000-0000-00003D000000}"/>
    <cellStyle name="Normal 4" xfId="46" xr:uid="{00000000-0005-0000-0000-00002E000000}"/>
    <cellStyle name="Normal 4 2" xfId="68" xr:uid="{00000000-0005-0000-0000-000044000000}"/>
    <cellStyle name="Normal 4 2 2" xfId="56" xr:uid="{00000000-0005-0000-0000-000038000000}"/>
    <cellStyle name="Normal 4 3" xfId="65" xr:uid="{00000000-0005-0000-0000-000041000000}"/>
    <cellStyle name="Normal 5" xfId="47" xr:uid="{00000000-0005-0000-0000-00002F000000}"/>
    <cellStyle name="Normal_1 fichier par zonage - COM - DEMOGRAPHIE 2010+" xfId="9" xr:uid="{00000000-0005-0000-0000-000009000000}"/>
    <cellStyle name="Normal_Créations" xfId="70" xr:uid="{00000000-0005-0000-0000-000046000000}"/>
    <cellStyle name="Normal_Evolution Créations" xfId="71" xr:uid="{00000000-0005-0000-0000-000047000000}"/>
    <cellStyle name="Normal_Secteur activité ESS" xfId="72" xr:uid="{00000000-0005-0000-0000-000048000000}"/>
    <cellStyle name="Percent" xfId="1" xr:uid="{00000000-0005-0000-0000-000001000000}"/>
    <cellStyle name="Percent 2" xfId="48" xr:uid="{00000000-0005-0000-0000-000030000000}"/>
    <cellStyle name="Percent 3" xfId="49" xr:uid="{00000000-0005-0000-0000-000031000000}"/>
    <cellStyle name="Pourcentage" xfId="73" xr:uid="{00000000-0005-0000-0000-000049000000}"/>
    <cellStyle name="Pourcentage 2" xfId="50" xr:uid="{00000000-0005-0000-0000-000032000000}"/>
    <cellStyle name="Pourcentage 2 2" xfId="62" xr:uid="{00000000-0005-0000-0000-00003E000000}"/>
    <cellStyle name="Pourcentage 2 2 2" xfId="67" xr:uid="{00000000-0005-0000-0000-000043000000}"/>
    <cellStyle name="Pourcentage 2 3" xfId="63" xr:uid="{00000000-0005-0000-0000-00003F000000}"/>
    <cellStyle name="Pourcentage 3" xfId="51" xr:uid="{00000000-0005-0000-0000-000033000000}"/>
    <cellStyle name="Pourcentage 3 2" xfId="52" xr:uid="{00000000-0005-0000-0000-000034000000}"/>
    <cellStyle name="Pourcentage 3 3" xfId="53" xr:uid="{00000000-0005-0000-0000-000035000000}"/>
    <cellStyle name="Pourcentage 3 4" xfId="64" xr:uid="{00000000-0005-0000-0000-000040000000}"/>
    <cellStyle name="Pourcentage 4" xfId="54" xr:uid="{00000000-0005-0000-0000-000036000000}"/>
    <cellStyle name="Pourcentage 5" xfId="55" xr:uid="{00000000-0005-0000-0000-000037000000}"/>
  </cellStyles>
  <dxfs count="1">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charts/_rels/chart5.xml.rels><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6.xml.rels><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7.xml.rels><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8.xml.rels><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Secteur_Activité!$D$18</c:f>
              <c:strCache>
                <c:ptCount val="1"/>
                <c:pt idx="0">
                  <c:v>Portivechju</c:v>
                </c:pt>
              </c:strCache>
            </c:strRef>
          </c:tx>
          <c:spPr>
            <a:solidFill>
              <a:schemeClr val="accent2"/>
            </a:solidFill>
          </c:spPr>
          <c:invertIfNegative val="0"/>
          <c:dLbls>
            <c:numFmt formatCode="#,##0.0" sourceLinked="0"/>
            <c:spPr>
              <a:noFill/>
              <a:ln>
                <a:noFill/>
              </a:ln>
              <a:effectLst/>
            </c:spPr>
            <c:txPr>
              <a:bodyPr rot="0" vert="horz"/>
              <a:lstStyle/>
              <a:p>
                <a:pPr algn="ctr">
                  <a:defRPr lang="en-US" sz="1200" b="1" u="none" baseline="0">
                    <a:solidFill>
                      <a:schemeClr val="accent2"/>
                    </a:solidFill>
                    <a:latin typeface="+mj-lt"/>
                    <a:ea typeface="+mj-lt"/>
                    <a:cs typeface="+mj-lt"/>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Secteur_Activité!$C$19:$C$28</c:f>
              <c:strCache>
                <c:ptCount val="10"/>
                <c:pt idx="0">
                  <c:v>Sect. 1</c:v>
                </c:pt>
                <c:pt idx="1">
                  <c:v>Sect. 2</c:v>
                </c:pt>
                <c:pt idx="2">
                  <c:v>Sect. 3</c:v>
                </c:pt>
                <c:pt idx="3">
                  <c:v>Sect. 4</c:v>
                </c:pt>
                <c:pt idx="4">
                  <c:v>Sect. 5</c:v>
                </c:pt>
                <c:pt idx="5">
                  <c:v>Sect. 6</c:v>
                </c:pt>
                <c:pt idx="6">
                  <c:v>Sect. 7</c:v>
                </c:pt>
                <c:pt idx="7">
                  <c:v>Sect. 8</c:v>
                </c:pt>
                <c:pt idx="8">
                  <c:v>Sect. 9</c:v>
                </c:pt>
                <c:pt idx="9">
                  <c:v>Sect. 10</c:v>
                </c:pt>
              </c:strCache>
            </c:strRef>
          </c:cat>
          <c:val>
            <c:numRef>
              <c:f>Secteur_Activité!$D$19:$D$28</c:f>
              <c:numCache>
                <c:formatCode>0.0</c:formatCode>
                <c:ptCount val="10"/>
                <c:pt idx="0">
                  <c:v>2.5402201524132093</c:v>
                </c:pt>
                <c:pt idx="1">
                  <c:v>4.0855207451312454</c:v>
                </c:pt>
                <c:pt idx="2">
                  <c:v>20.279424216765456</c:v>
                </c:pt>
                <c:pt idx="3">
                  <c:v>28.048264182895849</c:v>
                </c:pt>
                <c:pt idx="4">
                  <c:v>1.0584250635055037</c:v>
                </c:pt>
                <c:pt idx="5">
                  <c:v>3.5563082133784931</c:v>
                </c:pt>
                <c:pt idx="6">
                  <c:v>4.0431837425910242</c:v>
                </c:pt>
                <c:pt idx="7">
                  <c:v>18.310753598645217</c:v>
                </c:pt>
                <c:pt idx="8">
                  <c:v>8.0651989839119391</c:v>
                </c:pt>
                <c:pt idx="9">
                  <c:v>10.012701100762065</c:v>
                </c:pt>
              </c:numCache>
            </c:numRef>
          </c:val>
          <c:extLst>
            <c:ext xmlns:c16="http://schemas.microsoft.com/office/drawing/2014/chart" uri="{C3380CC4-5D6E-409C-BE32-E72D297353CC}">
              <c16:uniqueId val="{00000000-8BF9-4CAB-B70C-54DE73AB5D34}"/>
            </c:ext>
          </c:extLst>
        </c:ser>
        <c:ser>
          <c:idx val="2"/>
          <c:order val="1"/>
          <c:tx>
            <c:strRef>
              <c:f>Secteur_Activité!$E$18</c:f>
              <c:strCache>
                <c:ptCount val="1"/>
                <c:pt idx="0">
                  <c:v>CC du Sud Corse</c:v>
                </c:pt>
              </c:strCache>
            </c:strRef>
          </c:tx>
          <c:spPr>
            <a:solidFill>
              <a:schemeClr val="accent5"/>
            </a:solidFill>
          </c:spPr>
          <c:invertIfNegative val="0"/>
          <c:dLbls>
            <c:numFmt formatCode="#,##0.0" sourceLinked="0"/>
            <c:spPr>
              <a:noFill/>
              <a:ln>
                <a:noFill/>
              </a:ln>
              <a:effectLst/>
            </c:spPr>
            <c:txPr>
              <a:bodyPr rot="0" vert="horz"/>
              <a:lstStyle/>
              <a:p>
                <a:pPr algn="ctr">
                  <a:defRPr lang="en-US" sz="1200" b="1" u="none" baseline="0">
                    <a:solidFill>
                      <a:schemeClr val="accent5"/>
                    </a:solidFill>
                    <a:latin typeface="+mj-lt"/>
                    <a:ea typeface="+mj-lt"/>
                    <a:cs typeface="+mj-lt"/>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Secteur_Activité!$C$19:$C$28</c:f>
              <c:strCache>
                <c:ptCount val="10"/>
                <c:pt idx="0">
                  <c:v>Sect. 1</c:v>
                </c:pt>
                <c:pt idx="1">
                  <c:v>Sect. 2</c:v>
                </c:pt>
                <c:pt idx="2">
                  <c:v>Sect. 3</c:v>
                </c:pt>
                <c:pt idx="3">
                  <c:v>Sect. 4</c:v>
                </c:pt>
                <c:pt idx="4">
                  <c:v>Sect. 5</c:v>
                </c:pt>
                <c:pt idx="5">
                  <c:v>Sect. 6</c:v>
                </c:pt>
                <c:pt idx="6">
                  <c:v>Sect. 7</c:v>
                </c:pt>
                <c:pt idx="7">
                  <c:v>Sect. 8</c:v>
                </c:pt>
                <c:pt idx="8">
                  <c:v>Sect. 9</c:v>
                </c:pt>
                <c:pt idx="9">
                  <c:v>Sect. 10</c:v>
                </c:pt>
              </c:strCache>
            </c:strRef>
          </c:cat>
          <c:val>
            <c:numRef>
              <c:f>Secteur_Activité!$E$19:$E$28</c:f>
              <c:numCache>
                <c:formatCode>0.0</c:formatCode>
                <c:ptCount val="10"/>
                <c:pt idx="0">
                  <c:v>4.2773645058448464</c:v>
                </c:pt>
                <c:pt idx="1">
                  <c:v>5.0611052072263547</c:v>
                </c:pt>
                <c:pt idx="2">
                  <c:v>18.29171094580234</c:v>
                </c:pt>
                <c:pt idx="3">
                  <c:v>29.463336875664186</c:v>
                </c:pt>
                <c:pt idx="4">
                  <c:v>0.92986184909670566</c:v>
                </c:pt>
                <c:pt idx="5">
                  <c:v>3.0552603613177474</c:v>
                </c:pt>
                <c:pt idx="6">
                  <c:v>3.6264612114771522</c:v>
                </c:pt>
                <c:pt idx="7">
                  <c:v>18.079171094580236</c:v>
                </c:pt>
                <c:pt idx="8">
                  <c:v>7.213071200850159</c:v>
                </c:pt>
                <c:pt idx="9">
                  <c:v>10.002656748140277</c:v>
                </c:pt>
              </c:numCache>
            </c:numRef>
          </c:val>
          <c:extLst>
            <c:ext xmlns:c16="http://schemas.microsoft.com/office/drawing/2014/chart" uri="{C3380CC4-5D6E-409C-BE32-E72D297353CC}">
              <c16:uniqueId val="{00000001-8BF9-4CAB-B70C-54DE73AB5D34}"/>
            </c:ext>
          </c:extLst>
        </c:ser>
        <c:dLbls>
          <c:showLegendKey val="0"/>
          <c:showVal val="0"/>
          <c:showCatName val="0"/>
          <c:showSerName val="0"/>
          <c:showPercent val="0"/>
          <c:showBubbleSize val="0"/>
        </c:dLbls>
        <c:gapWidth val="50"/>
        <c:axId val="20906734"/>
        <c:axId val="31350050"/>
      </c:barChart>
      <c:catAx>
        <c:axId val="20906734"/>
        <c:scaling>
          <c:orientation val="minMax"/>
        </c:scaling>
        <c:delete val="0"/>
        <c:axPos val="b"/>
        <c:numFmt formatCode="General" sourceLinked="1"/>
        <c:majorTickMark val="out"/>
        <c:minorTickMark val="none"/>
        <c:tickLblPos val="nextTo"/>
        <c:txPr>
          <a:bodyPr/>
          <a:lstStyle/>
          <a:p>
            <a:pPr>
              <a:defRPr lang="en-US" sz="1200" b="1" u="none" baseline="0">
                <a:latin typeface="+mj-lt"/>
                <a:ea typeface="+mj-lt"/>
                <a:cs typeface="+mj-lt"/>
              </a:defRPr>
            </a:pPr>
            <a:endParaRPr lang="fr-FR"/>
          </a:p>
        </c:txPr>
        <c:crossAx val="31350050"/>
        <c:crosses val="autoZero"/>
        <c:auto val="1"/>
        <c:lblAlgn val="ctr"/>
        <c:lblOffset val="100"/>
        <c:noMultiLvlLbl val="0"/>
      </c:catAx>
      <c:valAx>
        <c:axId val="31350050"/>
        <c:scaling>
          <c:orientation val="minMax"/>
        </c:scaling>
        <c:delete val="0"/>
        <c:axPos val="l"/>
        <c:majorGridlines>
          <c:spPr>
            <a:ln>
              <a:noFill/>
              <a:prstDash val="dash"/>
            </a:ln>
          </c:spPr>
        </c:majorGridlines>
        <c:numFmt formatCode="0&quot;%&quot;" sourceLinked="0"/>
        <c:majorTickMark val="out"/>
        <c:minorTickMark val="none"/>
        <c:tickLblPos val="nextTo"/>
        <c:txPr>
          <a:bodyPr/>
          <a:lstStyle/>
          <a:p>
            <a:pPr>
              <a:defRPr lang="en-US" sz="1200" u="none" baseline="0">
                <a:latin typeface="+mj-lt"/>
                <a:ea typeface="+mj-lt"/>
                <a:cs typeface="+mj-lt"/>
              </a:defRPr>
            </a:pPr>
            <a:endParaRPr lang="fr-FR"/>
          </a:p>
        </c:txPr>
        <c:crossAx val="20906734"/>
        <c:crosses val="autoZero"/>
        <c:crossBetween val="between"/>
      </c:valAx>
      <c:spPr>
        <a:noFill/>
        <a:ln w="25400">
          <a:noFill/>
        </a:ln>
      </c:spPr>
    </c:plotArea>
    <c:legend>
      <c:legendPos val="b"/>
      <c:overlay val="0"/>
      <c:spPr>
        <a:solidFill>
          <a:srgbClr val="FFFFFF"/>
        </a:solidFill>
      </c:spPr>
      <c:txPr>
        <a:bodyPr rot="0" vert="horz"/>
        <a:lstStyle/>
        <a:p>
          <a:pPr>
            <a:defRPr lang="en-US" sz="1200" u="none" baseline="0">
              <a:solidFill>
                <a:srgbClr val="000000"/>
              </a:solidFill>
              <a:latin typeface="+mj-lt"/>
              <a:ea typeface="+mj-lt"/>
              <a:cs typeface="+mj-lt"/>
            </a:defRPr>
          </a:pPr>
          <a:endParaRPr lang="fr-FR"/>
        </a:p>
      </c:txPr>
    </c:legend>
    <c:plotVisOnly val="1"/>
    <c:dispBlanksAs val="gap"/>
    <c:showDLblsOverMax val="1"/>
  </c:chart>
  <c:spPr>
    <a:noFill/>
    <a:ln>
      <a:noFill/>
    </a:ln>
  </c:spPr>
  <c:txPr>
    <a:bodyPr rot="0" vert="horz"/>
    <a:lstStyle/>
    <a:p>
      <a:pPr>
        <a:defRPr lang="en-US" sz="1100" u="none" baseline="0">
          <a:latin typeface="Open Sans"/>
          <a:ea typeface="Open Sans"/>
          <a:cs typeface="Open Sans"/>
        </a:defRPr>
      </a:pPr>
      <a:endParaRPr lang="fr-FR"/>
    </a:p>
  </c:tx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150000000000001"/>
          <c:y val="6.7500000000000004E-2"/>
          <c:w val="0.74750000000000005"/>
          <c:h val="0.73850000000000005"/>
        </c:manualLayout>
      </c:layout>
      <c:barChart>
        <c:barDir val="bar"/>
        <c:grouping val="percentStacked"/>
        <c:varyColors val="0"/>
        <c:ser>
          <c:idx val="2"/>
          <c:order val="0"/>
          <c:tx>
            <c:strRef>
              <c:f>Effectifs_salariés!$C$16</c:f>
              <c:strCache>
                <c:ptCount val="1"/>
                <c:pt idx="0">
                  <c:v>Aucun salarié ou non employeur</c:v>
                </c:pt>
              </c:strCache>
            </c:strRef>
          </c:tx>
          <c:spPr>
            <a:solidFill>
              <a:schemeClr val="accent1"/>
            </a:solidFill>
          </c:spPr>
          <c:invertIfNegative val="0"/>
          <c:dLbls>
            <c:spPr>
              <a:noFill/>
              <a:ln>
                <a:noFill/>
              </a:ln>
              <a:effectLst/>
            </c:spPr>
            <c:txPr>
              <a:bodyPr rot="0" vert="horz"/>
              <a:lstStyle/>
              <a:p>
                <a:pPr algn="ctr">
                  <a:defRPr lang="en-US" sz="1200" b="1" u="none" baseline="0">
                    <a:solidFill>
                      <a:schemeClr val="bg1"/>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Effectifs_salariés!$D$15:$G$15</c:f>
              <c:strCache>
                <c:ptCount val="4"/>
                <c:pt idx="0">
                  <c:v>Portivechju</c:v>
                </c:pt>
                <c:pt idx="1">
                  <c:v>CC du Sud Corse</c:v>
                </c:pt>
                <c:pt idx="2">
                  <c:v>Zone d'emploi de Portivechju</c:v>
                </c:pt>
                <c:pt idx="3">
                  <c:v>France métropolitaine</c:v>
                </c:pt>
              </c:strCache>
            </c:strRef>
          </c:cat>
          <c:val>
            <c:numRef>
              <c:f>Effectifs_salariés!$D$16:$G$16</c:f>
              <c:numCache>
                <c:formatCode>#\ ##0.0</c:formatCode>
                <c:ptCount val="4"/>
                <c:pt idx="0">
                  <c:v>46.380090497737555</c:v>
                </c:pt>
                <c:pt idx="1">
                  <c:v>50.231234436143723</c:v>
                </c:pt>
                <c:pt idx="2">
                  <c:v>51.75909361955874</c:v>
                </c:pt>
                <c:pt idx="3">
                  <c:v>51.690919761458609</c:v>
                </c:pt>
              </c:numCache>
            </c:numRef>
          </c:val>
          <c:extLst>
            <c:ext xmlns:c16="http://schemas.microsoft.com/office/drawing/2014/chart" uri="{C3380CC4-5D6E-409C-BE32-E72D297353CC}">
              <c16:uniqueId val="{00000000-6961-40EF-91D1-317C5D8FE9E3}"/>
            </c:ext>
          </c:extLst>
        </c:ser>
        <c:ser>
          <c:idx val="3"/>
          <c:order val="1"/>
          <c:tx>
            <c:strRef>
              <c:f>Effectifs_salariés!$C$17</c:f>
              <c:strCache>
                <c:ptCount val="1"/>
                <c:pt idx="0">
                  <c:v>Moins de 10 salariés</c:v>
                </c:pt>
              </c:strCache>
            </c:strRef>
          </c:tx>
          <c:spPr>
            <a:solidFill>
              <a:schemeClr val="accent2"/>
            </a:solidFill>
          </c:spPr>
          <c:invertIfNegative val="0"/>
          <c:dLbls>
            <c:spPr>
              <a:noFill/>
              <a:ln>
                <a:noFill/>
              </a:ln>
              <a:effectLst/>
            </c:spPr>
            <c:txPr>
              <a:bodyPr rot="0" vert="horz"/>
              <a:lstStyle/>
              <a:p>
                <a:pPr algn="ctr">
                  <a:defRPr lang="en-US" sz="1200" b="1" u="none" baseline="0">
                    <a:solidFill>
                      <a:schemeClr val="bg1"/>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Effectifs_salariés!$D$15:$G$15</c:f>
              <c:strCache>
                <c:ptCount val="4"/>
                <c:pt idx="0">
                  <c:v>Portivechju</c:v>
                </c:pt>
                <c:pt idx="1">
                  <c:v>CC du Sud Corse</c:v>
                </c:pt>
                <c:pt idx="2">
                  <c:v>Zone d'emploi de Portivechju</c:v>
                </c:pt>
                <c:pt idx="3">
                  <c:v>France métropolitaine</c:v>
                </c:pt>
              </c:strCache>
            </c:strRef>
          </c:cat>
          <c:val>
            <c:numRef>
              <c:f>Effectifs_salariés!$D$17:$G$17</c:f>
              <c:numCache>
                <c:formatCode>#\ ##0.0</c:formatCode>
                <c:ptCount val="4"/>
                <c:pt idx="0">
                  <c:v>47.171945701357465</c:v>
                </c:pt>
                <c:pt idx="1">
                  <c:v>43.898968338669512</c:v>
                </c:pt>
                <c:pt idx="2">
                  <c:v>42.814549791293977</c:v>
                </c:pt>
                <c:pt idx="3">
                  <c:v>38.921653800742611</c:v>
                </c:pt>
              </c:numCache>
            </c:numRef>
          </c:val>
          <c:extLst>
            <c:ext xmlns:c16="http://schemas.microsoft.com/office/drawing/2014/chart" uri="{C3380CC4-5D6E-409C-BE32-E72D297353CC}">
              <c16:uniqueId val="{00000001-6961-40EF-91D1-317C5D8FE9E3}"/>
            </c:ext>
          </c:extLst>
        </c:ser>
        <c:ser>
          <c:idx val="0"/>
          <c:order val="2"/>
          <c:tx>
            <c:strRef>
              <c:f>Effectifs_salariés!$C$18</c:f>
              <c:strCache>
                <c:ptCount val="1"/>
                <c:pt idx="0">
                  <c:v>10 à 49 salariés</c:v>
                </c:pt>
              </c:strCache>
            </c:strRef>
          </c:tx>
          <c:spPr>
            <a:solidFill>
              <a:schemeClr val="accent3"/>
            </a:solidFill>
          </c:spPr>
          <c:invertIfNegative val="0"/>
          <c:dLbls>
            <c:numFmt formatCode="#,##0.0" sourceLinked="0"/>
            <c:spPr>
              <a:noFill/>
              <a:ln>
                <a:noFill/>
              </a:ln>
              <a:effectLst/>
            </c:spPr>
            <c:txPr>
              <a:bodyPr rot="0" vert="horz"/>
              <a:lstStyle/>
              <a:p>
                <a:pPr algn="ctr">
                  <a:defRPr lang="en-US" sz="1200" b="1" u="none" baseline="0"/>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Effectifs_salariés!$D$15:$G$15</c:f>
              <c:strCache>
                <c:ptCount val="4"/>
                <c:pt idx="0">
                  <c:v>Portivechju</c:v>
                </c:pt>
                <c:pt idx="1">
                  <c:v>CC du Sud Corse</c:v>
                </c:pt>
                <c:pt idx="2">
                  <c:v>Zone d'emploi de Portivechju</c:v>
                </c:pt>
                <c:pt idx="3">
                  <c:v>France métropolitaine</c:v>
                </c:pt>
              </c:strCache>
            </c:strRef>
          </c:cat>
          <c:val>
            <c:numRef>
              <c:f>Effectifs_salariés!$D$18:$G$18</c:f>
              <c:numCache>
                <c:formatCode>#\ ##0.0</c:formatCode>
                <c:ptCount val="4"/>
                <c:pt idx="0">
                  <c:v>5.9389140271493206</c:v>
                </c:pt>
                <c:pt idx="1">
                  <c:v>5.4429028815368197</c:v>
                </c:pt>
                <c:pt idx="2">
                  <c:v>5.0387596899224807</c:v>
                </c:pt>
                <c:pt idx="3">
                  <c:v>7.5782930565600033</c:v>
                </c:pt>
              </c:numCache>
            </c:numRef>
          </c:val>
          <c:extLst>
            <c:ext xmlns:c16="http://schemas.microsoft.com/office/drawing/2014/chart" uri="{C3380CC4-5D6E-409C-BE32-E72D297353CC}">
              <c16:uniqueId val="{00000002-6961-40EF-91D1-317C5D8FE9E3}"/>
            </c:ext>
          </c:extLst>
        </c:ser>
        <c:ser>
          <c:idx val="1"/>
          <c:order val="3"/>
          <c:tx>
            <c:strRef>
              <c:f>Effectifs_salariés!$C$19</c:f>
              <c:strCache>
                <c:ptCount val="1"/>
                <c:pt idx="0">
                  <c:v>50 salariés et plus</c:v>
                </c:pt>
              </c:strCache>
            </c:strRef>
          </c:tx>
          <c:spPr>
            <a:solidFill>
              <a:schemeClr val="accent4"/>
            </a:solidFill>
          </c:spPr>
          <c:invertIfNegative val="0"/>
          <c:dLbls>
            <c:numFmt formatCode="#,##0.0" sourceLinked="0"/>
            <c:spPr>
              <a:noFill/>
              <a:ln>
                <a:noFill/>
              </a:ln>
              <a:effectLst/>
            </c:spPr>
            <c:txPr>
              <a:bodyPr rot="0" vert="horz"/>
              <a:lstStyle/>
              <a:p>
                <a:pPr algn="ctr">
                  <a:defRPr lang="en-US" sz="1200" b="1" u="none" baseline="0"/>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Effectifs_salariés!$D$15:$G$15</c:f>
              <c:strCache>
                <c:ptCount val="4"/>
                <c:pt idx="0">
                  <c:v>Portivechju</c:v>
                </c:pt>
                <c:pt idx="1">
                  <c:v>CC du Sud Corse</c:v>
                </c:pt>
                <c:pt idx="2">
                  <c:v>Zone d'emploi de Portivechju</c:v>
                </c:pt>
                <c:pt idx="3">
                  <c:v>France métropolitaine</c:v>
                </c:pt>
              </c:strCache>
            </c:strRef>
          </c:cat>
          <c:val>
            <c:numRef>
              <c:f>Effectifs_salariés!$D$19:$G$19</c:f>
              <c:numCache>
                <c:formatCode>#\ ##0.0</c:formatCode>
                <c:ptCount val="4"/>
                <c:pt idx="0">
                  <c:v>0.50904977375565608</c:v>
                </c:pt>
                <c:pt idx="1">
                  <c:v>0.42689434364994666</c:v>
                </c:pt>
                <c:pt idx="2">
                  <c:v>0.38759689922480622</c:v>
                </c:pt>
                <c:pt idx="3">
                  <c:v>1.8091333812387793</c:v>
                </c:pt>
              </c:numCache>
            </c:numRef>
          </c:val>
          <c:extLst>
            <c:ext xmlns:c16="http://schemas.microsoft.com/office/drawing/2014/chart" uri="{C3380CC4-5D6E-409C-BE32-E72D297353CC}">
              <c16:uniqueId val="{00000003-6961-40EF-91D1-317C5D8FE9E3}"/>
            </c:ext>
          </c:extLst>
        </c:ser>
        <c:ser>
          <c:idx val="4"/>
          <c:order val="4"/>
          <c:tx>
            <c:strRef>
              <c:f>Effectifs_salariés!$C$20</c:f>
              <c:strCache>
                <c:ptCount val="1"/>
                <c:pt idx="0">
                  <c:v>Effectif inconnu</c:v>
                </c:pt>
              </c:strCache>
            </c:strRef>
          </c:tx>
          <c:spPr>
            <a:solidFill>
              <a:schemeClr val="accent5"/>
            </a:solidFill>
          </c:spPr>
          <c:invertIfNegative val="0"/>
          <c:dLbls>
            <c:numFmt formatCode="#,##0.0" sourceLinked="0"/>
            <c:spPr>
              <a:noFill/>
              <a:ln>
                <a:noFill/>
              </a:ln>
              <a:effectLst/>
            </c:spPr>
            <c:txPr>
              <a:bodyPr rot="0" vert="horz"/>
              <a:lstStyle/>
              <a:p>
                <a:pPr algn="ctr">
                  <a:defRPr lang="en-US" sz="1200" b="1" u="none" baseline="0"/>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Effectifs_salariés!$D$15:$G$15</c:f>
              <c:strCache>
                <c:ptCount val="4"/>
                <c:pt idx="0">
                  <c:v>Portivechju</c:v>
                </c:pt>
                <c:pt idx="1">
                  <c:v>CC du Sud Corse</c:v>
                </c:pt>
                <c:pt idx="2">
                  <c:v>Zone d'emploi de Portivechju</c:v>
                </c:pt>
                <c:pt idx="3">
                  <c:v>France métropolitaine</c:v>
                </c:pt>
              </c:strCache>
            </c:strRef>
          </c:cat>
          <c:val>
            <c:numRef>
              <c:f>Effectifs_salariés!$D$20:$G$20</c:f>
              <c:numCache>
                <c:formatCode>#\ ##0.0</c:formatCode>
                <c:ptCount val="4"/>
                <c:pt idx="0">
                  <c:v>0</c:v>
                </c:pt>
                <c:pt idx="1">
                  <c:v>0</c:v>
                </c:pt>
                <c:pt idx="2">
                  <c:v>0</c:v>
                </c:pt>
                <c:pt idx="3">
                  <c:v>0</c:v>
                </c:pt>
              </c:numCache>
            </c:numRef>
          </c:val>
          <c:extLst>
            <c:ext xmlns:c16="http://schemas.microsoft.com/office/drawing/2014/chart" uri="{C3380CC4-5D6E-409C-BE32-E72D297353CC}">
              <c16:uniqueId val="{00000004-6961-40EF-91D1-317C5D8FE9E3}"/>
            </c:ext>
          </c:extLst>
        </c:ser>
        <c:dLbls>
          <c:showLegendKey val="0"/>
          <c:showVal val="0"/>
          <c:showCatName val="0"/>
          <c:showSerName val="0"/>
          <c:showPercent val="0"/>
          <c:showBubbleSize val="0"/>
        </c:dLbls>
        <c:gapWidth val="50"/>
        <c:overlap val="100"/>
        <c:axId val="30101343"/>
        <c:axId val="25240705"/>
      </c:barChart>
      <c:catAx>
        <c:axId val="30101343"/>
        <c:scaling>
          <c:orientation val="minMax"/>
        </c:scaling>
        <c:delete val="0"/>
        <c:axPos val="l"/>
        <c:numFmt formatCode="General" sourceLinked="1"/>
        <c:majorTickMark val="out"/>
        <c:minorTickMark val="none"/>
        <c:tickLblPos val="nextTo"/>
        <c:txPr>
          <a:bodyPr/>
          <a:lstStyle/>
          <a:p>
            <a:pPr>
              <a:defRPr lang="en-US" sz="1200" u="none" baseline="0"/>
            </a:pPr>
            <a:endParaRPr lang="fr-FR"/>
          </a:p>
        </c:txPr>
        <c:crossAx val="25240705"/>
        <c:crosses val="autoZero"/>
        <c:auto val="1"/>
        <c:lblAlgn val="ctr"/>
        <c:lblOffset val="100"/>
        <c:noMultiLvlLbl val="0"/>
      </c:catAx>
      <c:valAx>
        <c:axId val="25240705"/>
        <c:scaling>
          <c:orientation val="minMax"/>
        </c:scaling>
        <c:delete val="0"/>
        <c:axPos val="b"/>
        <c:numFmt formatCode="0%" sourceLinked="1"/>
        <c:majorTickMark val="out"/>
        <c:minorTickMark val="none"/>
        <c:tickLblPos val="nextTo"/>
        <c:txPr>
          <a:bodyPr/>
          <a:lstStyle/>
          <a:p>
            <a:pPr>
              <a:defRPr lang="en-US" sz="1200" b="1" u="none" baseline="0"/>
            </a:pPr>
            <a:endParaRPr lang="fr-FR"/>
          </a:p>
        </c:txPr>
        <c:crossAx val="30101343"/>
        <c:crosses val="autoZero"/>
        <c:crossBetween val="between"/>
        <c:majorUnit val="0.2"/>
      </c:valAx>
      <c:spPr>
        <a:solidFill>
          <a:schemeClr val="bg1"/>
        </a:solidFill>
      </c:spPr>
    </c:plotArea>
    <c:legend>
      <c:legendPos val="b"/>
      <c:layout>
        <c:manualLayout>
          <c:xMode val="edge"/>
          <c:yMode val="edge"/>
          <c:x val="2.5000000000000001E-3"/>
          <c:y val="0.87424999999999997"/>
          <c:w val="0.99750000000000005"/>
          <c:h val="0.12575"/>
        </c:manualLayout>
      </c:layout>
      <c:overlay val="0"/>
      <c:txPr>
        <a:bodyPr rot="0" vert="horz"/>
        <a:lstStyle/>
        <a:p>
          <a:pPr>
            <a:defRPr lang="en-US" sz="1200" u="none" baseline="0">
              <a:latin typeface="+mj-lt"/>
              <a:ea typeface="+mj-lt"/>
              <a:cs typeface="+mj-lt"/>
            </a:defRPr>
          </a:pPr>
          <a:endParaRPr lang="fr-FR"/>
        </a:p>
      </c:txPr>
    </c:legend>
    <c:plotVisOnly val="1"/>
    <c:dispBlanksAs val="gap"/>
    <c:showDLblsOverMax val="1"/>
  </c:chart>
  <c:spPr>
    <a:solidFill>
      <a:schemeClr val="bg1"/>
    </a:solidFill>
    <a:ln>
      <a:noFill/>
    </a:ln>
  </c:spPr>
  <c:printSettings>
    <c:headerFooter/>
    <c:pageMargins b="0.75" l="0.7" r="0.7" t="0.75" header="0.3" footer="0.3"/>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999999999999997E-2"/>
          <c:y val="9.375E-2"/>
          <c:w val="0.91825000000000001"/>
          <c:h val="0.74050000000000005"/>
        </c:manualLayout>
      </c:layout>
      <c:lineChart>
        <c:grouping val="standard"/>
        <c:varyColors val="0"/>
        <c:ser>
          <c:idx val="0"/>
          <c:order val="0"/>
          <c:tx>
            <c:strRef>
              <c:f>Evolution_Créations!$M$6</c:f>
              <c:strCache>
                <c:ptCount val="1"/>
                <c:pt idx="0">
                  <c:v>Portivechju</c:v>
                </c:pt>
              </c:strCache>
            </c:strRef>
          </c:tx>
          <c:spPr>
            <a:ln>
              <a:solidFill>
                <a:schemeClr val="accent2"/>
              </a:solidFill>
            </a:ln>
          </c:spPr>
          <c:marker>
            <c:symbol val="circle"/>
            <c:size val="5"/>
            <c:spPr>
              <a:solidFill>
                <a:schemeClr val="accent2"/>
              </a:solidFill>
              <a:ln>
                <a:noFill/>
              </a:ln>
              <a:effectLst/>
            </c:spPr>
          </c:marker>
          <c:cat>
            <c:numRef>
              <c:f>Evolution_Créations!$L$7:$L$26</c:f>
              <c:numCache>
                <c:formatCode>General</c:formatCod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numCache>
            </c:numRef>
          </c:cat>
          <c:val>
            <c:numRef>
              <c:f>Evolution_Créations!$M$7:$M$26</c:f>
              <c:numCache>
                <c:formatCode>0.0</c:formatCode>
                <c:ptCount val="20"/>
                <c:pt idx="0" formatCode="General">
                  <c:v>100</c:v>
                </c:pt>
                <c:pt idx="1">
                  <c:v>122.22222222222223</c:v>
                </c:pt>
                <c:pt idx="2">
                  <c:v>124.33862433862434</c:v>
                </c:pt>
                <c:pt idx="3">
                  <c:v>122.22222222222223</c:v>
                </c:pt>
                <c:pt idx="4">
                  <c:v>140.2116402116402</c:v>
                </c:pt>
                <c:pt idx="5">
                  <c:v>162.96296296296296</c:v>
                </c:pt>
                <c:pt idx="6">
                  <c:v>198.41269841269843</c:v>
                </c:pt>
                <c:pt idx="7">
                  <c:v>224.86772486772489</c:v>
                </c:pt>
                <c:pt idx="8">
                  <c:v>196.82539682539681</c:v>
                </c:pt>
                <c:pt idx="9">
                  <c:v>217.46031746031744</c:v>
                </c:pt>
                <c:pt idx="10">
                  <c:v>207.40740740740739</c:v>
                </c:pt>
                <c:pt idx="11">
                  <c:v>226.98412698412699</c:v>
                </c:pt>
                <c:pt idx="12">
                  <c:v>194.17989417989418</c:v>
                </c:pt>
                <c:pt idx="13">
                  <c:v>233.86243386243387</c:v>
                </c:pt>
                <c:pt idx="14">
                  <c:v>222.22222222222223</c:v>
                </c:pt>
                <c:pt idx="15">
                  <c:v>248.67724867724868</c:v>
                </c:pt>
                <c:pt idx="16">
                  <c:v>282.01058201058203</c:v>
                </c:pt>
                <c:pt idx="17">
                  <c:v>228.57142857142856</c:v>
                </c:pt>
                <c:pt idx="18">
                  <c:v>278.83597883597884</c:v>
                </c:pt>
                <c:pt idx="19">
                  <c:v>256.61375661375661</c:v>
                </c:pt>
              </c:numCache>
            </c:numRef>
          </c:val>
          <c:smooth val="1"/>
          <c:extLst>
            <c:ext xmlns:c16="http://schemas.microsoft.com/office/drawing/2014/chart" uri="{C3380CC4-5D6E-409C-BE32-E72D297353CC}">
              <c16:uniqueId val="{00000000-DE96-47A9-8F2D-48F0D167D8DD}"/>
            </c:ext>
          </c:extLst>
        </c:ser>
        <c:ser>
          <c:idx val="1"/>
          <c:order val="1"/>
          <c:tx>
            <c:strRef>
              <c:f>Evolution_Créations!$N$6</c:f>
              <c:strCache>
                <c:ptCount val="1"/>
                <c:pt idx="0">
                  <c:v>CC du Sud Corse</c:v>
                </c:pt>
              </c:strCache>
            </c:strRef>
          </c:tx>
          <c:spPr>
            <a:ln>
              <a:solidFill>
                <a:schemeClr val="accent5"/>
              </a:solidFill>
            </a:ln>
          </c:spPr>
          <c:marker>
            <c:symbol val="square"/>
            <c:size val="5"/>
            <c:spPr>
              <a:solidFill>
                <a:schemeClr val="accent5"/>
              </a:solidFill>
              <a:ln>
                <a:noFill/>
              </a:ln>
              <a:effectLst/>
            </c:spPr>
          </c:marker>
          <c:cat>
            <c:numRef>
              <c:f>Evolution_Créations!$L$7:$L$26</c:f>
              <c:numCache>
                <c:formatCode>General</c:formatCod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numCache>
            </c:numRef>
          </c:cat>
          <c:val>
            <c:numRef>
              <c:f>Evolution_Créations!$N$7:$N$26</c:f>
              <c:numCache>
                <c:formatCode>0.0</c:formatCode>
                <c:ptCount val="20"/>
                <c:pt idx="0" formatCode="General">
                  <c:v>100</c:v>
                </c:pt>
                <c:pt idx="1">
                  <c:v>115.64625850340136</c:v>
                </c:pt>
                <c:pt idx="2">
                  <c:v>118.02721088435375</c:v>
                </c:pt>
                <c:pt idx="3">
                  <c:v>126.19047619047619</c:v>
                </c:pt>
                <c:pt idx="4">
                  <c:v>132.65306122448979</c:v>
                </c:pt>
                <c:pt idx="5">
                  <c:v>150.34013605442175</c:v>
                </c:pt>
                <c:pt idx="6">
                  <c:v>193.19727891156461</c:v>
                </c:pt>
                <c:pt idx="7">
                  <c:v>206.46258503401361</c:v>
                </c:pt>
                <c:pt idx="8">
                  <c:v>205.10204081632654</c:v>
                </c:pt>
                <c:pt idx="9">
                  <c:v>217.00680272108843</c:v>
                </c:pt>
                <c:pt idx="10">
                  <c:v>197.9591836734694</c:v>
                </c:pt>
                <c:pt idx="11">
                  <c:v>213.9455782312925</c:v>
                </c:pt>
                <c:pt idx="12">
                  <c:v>191.15646258503401</c:v>
                </c:pt>
                <c:pt idx="13">
                  <c:v>242.17687074829934</c:v>
                </c:pt>
                <c:pt idx="14">
                  <c:v>229.25170068027211</c:v>
                </c:pt>
                <c:pt idx="15">
                  <c:v>243.19727891156461</c:v>
                </c:pt>
                <c:pt idx="16">
                  <c:v>280.61224489795921</c:v>
                </c:pt>
                <c:pt idx="17">
                  <c:v>228.57142857142856</c:v>
                </c:pt>
                <c:pt idx="18">
                  <c:v>292.51700680272108</c:v>
                </c:pt>
                <c:pt idx="19">
                  <c:v>285.37414965986392</c:v>
                </c:pt>
              </c:numCache>
            </c:numRef>
          </c:val>
          <c:smooth val="1"/>
          <c:extLst>
            <c:ext xmlns:c16="http://schemas.microsoft.com/office/drawing/2014/chart" uri="{C3380CC4-5D6E-409C-BE32-E72D297353CC}">
              <c16:uniqueId val="{00000001-DE96-47A9-8F2D-48F0D167D8DD}"/>
            </c:ext>
          </c:extLst>
        </c:ser>
        <c:ser>
          <c:idx val="2"/>
          <c:order val="2"/>
          <c:tx>
            <c:strRef>
              <c:f>Evolution_Créations!$O$6</c:f>
              <c:strCache>
                <c:ptCount val="1"/>
                <c:pt idx="0">
                  <c:v>Zone d'emploi de Portivechju</c:v>
                </c:pt>
              </c:strCache>
            </c:strRef>
          </c:tx>
          <c:marker>
            <c:symbol val="triangle"/>
            <c:size val="5"/>
          </c:marker>
          <c:cat>
            <c:numRef>
              <c:f>Evolution_Créations!$L$7:$L$26</c:f>
              <c:numCache>
                <c:formatCode>General</c:formatCod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numCache>
            </c:numRef>
          </c:cat>
          <c:val>
            <c:numRef>
              <c:f>Evolution_Créations!$O$7:$O$26</c:f>
              <c:numCache>
                <c:formatCode>0.0</c:formatCode>
                <c:ptCount val="20"/>
                <c:pt idx="0" formatCode="General">
                  <c:v>100</c:v>
                </c:pt>
                <c:pt idx="1">
                  <c:v>115.5367231638418</c:v>
                </c:pt>
                <c:pt idx="2">
                  <c:v>118.07909604519776</c:v>
                </c:pt>
                <c:pt idx="3">
                  <c:v>126.55367231638419</c:v>
                </c:pt>
                <c:pt idx="4">
                  <c:v>134.4632768361582</c:v>
                </c:pt>
                <c:pt idx="5">
                  <c:v>146.61016949152543</c:v>
                </c:pt>
                <c:pt idx="6">
                  <c:v>194.63276836158192</c:v>
                </c:pt>
                <c:pt idx="7">
                  <c:v>208.75706214689265</c:v>
                </c:pt>
                <c:pt idx="8">
                  <c:v>207.34463276836158</c:v>
                </c:pt>
                <c:pt idx="9">
                  <c:v>221.75141242937855</c:v>
                </c:pt>
                <c:pt idx="10">
                  <c:v>199.43502824858757</c:v>
                </c:pt>
                <c:pt idx="11">
                  <c:v>214.97175141242937</c:v>
                </c:pt>
                <c:pt idx="12">
                  <c:v>200.28248587570624</c:v>
                </c:pt>
                <c:pt idx="13">
                  <c:v>236.72316384180792</c:v>
                </c:pt>
                <c:pt idx="14">
                  <c:v>235.59322033898303</c:v>
                </c:pt>
                <c:pt idx="15">
                  <c:v>248.58757062146896</c:v>
                </c:pt>
                <c:pt idx="16">
                  <c:v>288.9830508474576</c:v>
                </c:pt>
                <c:pt idx="17">
                  <c:v>233.61581920903953</c:v>
                </c:pt>
                <c:pt idx="18">
                  <c:v>305.64971751412429</c:v>
                </c:pt>
                <c:pt idx="19">
                  <c:v>299.43502824858757</c:v>
                </c:pt>
              </c:numCache>
            </c:numRef>
          </c:val>
          <c:smooth val="0"/>
          <c:extLst>
            <c:ext xmlns:c16="http://schemas.microsoft.com/office/drawing/2014/chart" uri="{C3380CC4-5D6E-409C-BE32-E72D297353CC}">
              <c16:uniqueId val="{00000000-544F-43B4-9584-9D94796740F1}"/>
            </c:ext>
          </c:extLst>
        </c:ser>
        <c:ser>
          <c:idx val="3"/>
          <c:order val="3"/>
          <c:tx>
            <c:strRef>
              <c:f>Evolution_Créations!$P$6</c:f>
              <c:strCache>
                <c:ptCount val="1"/>
                <c:pt idx="0">
                  <c:v>France métropolitaine</c:v>
                </c:pt>
              </c:strCache>
            </c:strRef>
          </c:tx>
          <c:spPr>
            <a:ln>
              <a:solidFill>
                <a:schemeClr val="accent6"/>
              </a:solidFill>
            </a:ln>
          </c:spPr>
          <c:marker>
            <c:symbol val="diamond"/>
            <c:size val="5"/>
            <c:spPr>
              <a:solidFill>
                <a:schemeClr val="accent6"/>
              </a:solidFill>
              <a:ln>
                <a:noFill/>
              </a:ln>
              <a:effectLst/>
            </c:spPr>
          </c:marker>
          <c:cat>
            <c:numRef>
              <c:f>Evolution_Créations!$L$7:$L$26</c:f>
              <c:numCache>
                <c:formatCode>General</c:formatCod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numCache>
            </c:numRef>
          </c:cat>
          <c:val>
            <c:numRef>
              <c:f>Evolution_Créations!$P$7:$P$26</c:f>
              <c:numCache>
                <c:formatCode>0.0</c:formatCode>
                <c:ptCount val="20"/>
                <c:pt idx="0" formatCode="General">
                  <c:v>100</c:v>
                </c:pt>
                <c:pt idx="1">
                  <c:v>109.46438755965751</c:v>
                </c:pt>
                <c:pt idx="2">
                  <c:v>112.32088816064471</c:v>
                </c:pt>
                <c:pt idx="3">
                  <c:v>113.3378291264228</c:v>
                </c:pt>
                <c:pt idx="4">
                  <c:v>120.56082232142691</c:v>
                </c:pt>
                <c:pt idx="5">
                  <c:v>120.49617207369386</c:v>
                </c:pt>
                <c:pt idx="6">
                  <c:v>158.33588776122508</c:v>
                </c:pt>
                <c:pt idx="7">
                  <c:v>171.79818719219145</c:v>
                </c:pt>
                <c:pt idx="8">
                  <c:v>161.68785448492514</c:v>
                </c:pt>
                <c:pt idx="9">
                  <c:v>164.16871485339442</c:v>
                </c:pt>
                <c:pt idx="10">
                  <c:v>162.1587980998772</c:v>
                </c:pt>
                <c:pt idx="11">
                  <c:v>166.54015281980972</c:v>
                </c:pt>
                <c:pt idx="12">
                  <c:v>164.32365251606501</c:v>
                </c:pt>
                <c:pt idx="13">
                  <c:v>174.19043213488865</c:v>
                </c:pt>
                <c:pt idx="14">
                  <c:v>166.5657899870142</c:v>
                </c:pt>
                <c:pt idx="15">
                  <c:v>168.24242356687307</c:v>
                </c:pt>
                <c:pt idx="16">
                  <c:v>171.28823049671084</c:v>
                </c:pt>
                <c:pt idx="17">
                  <c:v>163.26509759772313</c:v>
                </c:pt>
                <c:pt idx="18">
                  <c:v>213.97318500931669</c:v>
                </c:pt>
                <c:pt idx="19">
                  <c:v>202.40524930287341</c:v>
                </c:pt>
              </c:numCache>
            </c:numRef>
          </c:val>
          <c:smooth val="0"/>
          <c:extLst>
            <c:ext xmlns:c16="http://schemas.microsoft.com/office/drawing/2014/chart" uri="{C3380CC4-5D6E-409C-BE32-E72D297353CC}">
              <c16:uniqueId val="{00000001-544F-43B4-9584-9D94796740F1}"/>
            </c:ext>
          </c:extLst>
        </c:ser>
        <c:dLbls>
          <c:showLegendKey val="0"/>
          <c:showVal val="0"/>
          <c:showCatName val="0"/>
          <c:showSerName val="0"/>
          <c:showPercent val="0"/>
          <c:showBubbleSize val="0"/>
        </c:dLbls>
        <c:marker val="1"/>
        <c:smooth val="0"/>
        <c:axId val="13529133"/>
        <c:axId val="26478747"/>
      </c:lineChart>
      <c:catAx>
        <c:axId val="13529133"/>
        <c:scaling>
          <c:orientation val="minMax"/>
        </c:scaling>
        <c:delete val="0"/>
        <c:axPos val="b"/>
        <c:numFmt formatCode="General" sourceLinked="1"/>
        <c:majorTickMark val="out"/>
        <c:minorTickMark val="none"/>
        <c:tickLblPos val="nextTo"/>
        <c:txPr>
          <a:bodyPr rot="0" vert="horz"/>
          <a:lstStyle/>
          <a:p>
            <a:pPr>
              <a:defRPr lang="en-US" sz="1200" b="1" i="0" u="none" baseline="0">
                <a:solidFill>
                  <a:srgbClr val="000000"/>
                </a:solidFill>
                <a:latin typeface="Roboto"/>
                <a:ea typeface="Roboto"/>
                <a:cs typeface="Roboto"/>
              </a:defRPr>
            </a:pPr>
            <a:endParaRPr lang="fr-FR"/>
          </a:p>
        </c:txPr>
        <c:crossAx val="26478747"/>
        <c:crosses val="autoZero"/>
        <c:auto val="1"/>
        <c:lblAlgn val="ctr"/>
        <c:lblOffset val="100"/>
        <c:noMultiLvlLbl val="0"/>
      </c:catAx>
      <c:valAx>
        <c:axId val="26478747"/>
        <c:scaling>
          <c:orientation val="minMax"/>
        </c:scaling>
        <c:delete val="0"/>
        <c:axPos val="l"/>
        <c:majorGridlines>
          <c:spPr>
            <a:ln>
              <a:solidFill>
                <a:schemeClr val="bg1">
                  <a:lumMod val="85000"/>
                </a:schemeClr>
              </a:solidFill>
              <a:prstDash val="sysDash"/>
            </a:ln>
          </c:spPr>
        </c:majorGridlines>
        <c:numFmt formatCode="#,##0" sourceLinked="0"/>
        <c:majorTickMark val="out"/>
        <c:minorTickMark val="none"/>
        <c:tickLblPos val="nextTo"/>
        <c:spPr>
          <a:ln>
            <a:noFill/>
          </a:ln>
        </c:spPr>
        <c:txPr>
          <a:bodyPr/>
          <a:lstStyle/>
          <a:p>
            <a:pPr>
              <a:defRPr lang="en-US" sz="1200" b="0" i="0" u="none" baseline="0">
                <a:solidFill>
                  <a:srgbClr val="000000"/>
                </a:solidFill>
                <a:latin typeface="Roboto"/>
                <a:ea typeface="Roboto"/>
                <a:cs typeface="Roboto"/>
              </a:defRPr>
            </a:pPr>
            <a:endParaRPr lang="fr-FR"/>
          </a:p>
        </c:txPr>
        <c:crossAx val="13529133"/>
        <c:crosses val="autoZero"/>
        <c:crossBetween val="between"/>
      </c:valAx>
      <c:spPr>
        <a:solidFill>
          <a:schemeClr val="bg1"/>
        </a:solidFill>
        <a:ln>
          <a:noFill/>
        </a:ln>
      </c:spPr>
    </c:plotArea>
    <c:legend>
      <c:legendPos val="b"/>
      <c:layout>
        <c:manualLayout>
          <c:xMode val="edge"/>
          <c:yMode val="edge"/>
          <c:x val="1.2999999999999999E-2"/>
          <c:y val="0.90075000000000005"/>
          <c:w val="0.90725"/>
          <c:h val="7.4749999999999997E-2"/>
        </c:manualLayout>
      </c:layout>
      <c:overlay val="0"/>
      <c:txPr>
        <a:bodyPr rot="0" vert="horz"/>
        <a:lstStyle/>
        <a:p>
          <a:pPr>
            <a:defRPr lang="en-US" sz="1200" u="none" baseline="0">
              <a:latin typeface="Roboto"/>
              <a:ea typeface="Roboto"/>
              <a:cs typeface="Roboto"/>
            </a:defRPr>
          </a:pPr>
          <a:endParaRPr lang="fr-FR"/>
        </a:p>
      </c:txPr>
    </c:legend>
    <c:plotVisOnly val="1"/>
    <c:dispBlanksAs val="gap"/>
    <c:showDLblsOverMax val="1"/>
  </c:chart>
  <c:spPr>
    <a:solidFill>
      <a:schemeClr val="bg1"/>
    </a:solidFill>
    <a:ln>
      <a:noFill/>
    </a:ln>
  </c:spPr>
  <c:txPr>
    <a:bodyPr rot="0" vert="horz"/>
    <a:lstStyle/>
    <a:p>
      <a:pPr>
        <a:defRPr lang="en-US" sz="1350" u="none" baseline="0">
          <a:latin typeface="Open Sans"/>
          <a:ea typeface="Open Sans"/>
          <a:cs typeface="Open Sans"/>
        </a:defRPr>
      </a:pPr>
      <a:endParaRPr lang="fr-FR"/>
    </a:p>
  </c:txPr>
  <c:printSettings>
    <c:headerFooter/>
    <c:pageMargins b="0.75" l="0.7" r="0.7" t="0.75" header="0.3" footer="0.3"/>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46700000000000003"/>
          <c:y val="2.8250000000000001E-2"/>
          <c:w val="0.41799999999999998"/>
          <c:h val="0.84199999999999997"/>
        </c:manualLayout>
      </c:layout>
      <c:barChart>
        <c:barDir val="bar"/>
        <c:grouping val="clustered"/>
        <c:varyColors val="0"/>
        <c:ser>
          <c:idx val="0"/>
          <c:order val="0"/>
          <c:tx>
            <c:strRef>
              <c:f>Secteur_activité_ESS!$C$24</c:f>
              <c:strCache>
                <c:ptCount val="1"/>
                <c:pt idx="0">
                  <c:v>Portivechju</c:v>
                </c:pt>
              </c:strCache>
            </c:strRef>
          </c:tx>
          <c:spPr>
            <a:solidFill>
              <a:schemeClr val="accent2"/>
            </a:solidFill>
          </c:spPr>
          <c:invertIfNegative val="0"/>
          <c:dLbls>
            <c:numFmt formatCode="#,##0.0" sourceLinked="0"/>
            <c:spPr>
              <a:noFill/>
              <a:ln>
                <a:noFill/>
              </a:ln>
              <a:effectLst/>
            </c:spPr>
            <c:txPr>
              <a:bodyPr rot="0" vert="horz"/>
              <a:lstStyle/>
              <a:p>
                <a:pPr algn="ctr">
                  <a:defRPr lang="en-US" sz="1200" b="1" u="none" baseline="0">
                    <a:solidFill>
                      <a:schemeClr val="accent2"/>
                    </a:solidFill>
                    <a:latin typeface="+mj-lt"/>
                    <a:ea typeface="+mj-lt"/>
                    <a:cs typeface="+mj-lt"/>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Secteur_activité_ESS!$B$25:$B$37</c:f>
              <c:strCache>
                <c:ptCount val="13"/>
                <c:pt idx="0">
                  <c:v>Activités des organisations associatives</c:v>
                </c:pt>
                <c:pt idx="1">
                  <c:v>Activités créatives, artistiques et de spectacle</c:v>
                </c:pt>
                <c:pt idx="2">
                  <c:v>Activités sportives, récréatives et de loisirs</c:v>
                </c:pt>
                <c:pt idx="3">
                  <c:v>Enseignement</c:v>
                </c:pt>
                <c:pt idx="4">
                  <c:v>Action sociale sans hébergement</c:v>
                </c:pt>
                <c:pt idx="5">
                  <c:v>Hébergement médico-social et social</c:v>
                </c:pt>
                <c:pt idx="6">
                  <c:v>Activités spécialisées, scientifq tech. et activités srvc admin.</c:v>
                </c:pt>
                <c:pt idx="7">
                  <c:v>Admini.publique et santé humaine</c:v>
                </c:pt>
                <c:pt idx="8">
                  <c:v>Autres activités de services</c:v>
                </c:pt>
                <c:pt idx="9">
                  <c:v>Activités financières et d'assurance</c:v>
                </c:pt>
                <c:pt idx="10">
                  <c:v>Information et communication</c:v>
                </c:pt>
                <c:pt idx="11">
                  <c:v>Commerce gros et détail, transports, hébergement et restauration</c:v>
                </c:pt>
                <c:pt idx="12">
                  <c:v>Autres activités</c:v>
                </c:pt>
              </c:strCache>
            </c:strRef>
          </c:cat>
          <c:val>
            <c:numRef>
              <c:f>Secteur_activité_ESS!$C$25:$C$37</c:f>
              <c:numCache>
                <c:formatCode>0.0</c:formatCode>
                <c:ptCount val="13"/>
                <c:pt idx="0">
                  <c:v>34.251968503937007</c:v>
                </c:pt>
                <c:pt idx="1">
                  <c:v>6.2992125984251963</c:v>
                </c:pt>
                <c:pt idx="2">
                  <c:v>31.102362204724411</c:v>
                </c:pt>
                <c:pt idx="3">
                  <c:v>7.8740157480314963</c:v>
                </c:pt>
                <c:pt idx="4">
                  <c:v>5.1181102362204722</c:v>
                </c:pt>
                <c:pt idx="5">
                  <c:v>0.39370078740157477</c:v>
                </c:pt>
                <c:pt idx="6">
                  <c:v>5.1181102362204722</c:v>
                </c:pt>
                <c:pt idx="7">
                  <c:v>0.39370078740157477</c:v>
                </c:pt>
                <c:pt idx="8">
                  <c:v>0.78740157480314954</c:v>
                </c:pt>
                <c:pt idx="9">
                  <c:v>1.1811023622047243</c:v>
                </c:pt>
                <c:pt idx="10">
                  <c:v>1.5748031496062991</c:v>
                </c:pt>
                <c:pt idx="11">
                  <c:v>3.9370078740157481</c:v>
                </c:pt>
                <c:pt idx="12">
                  <c:v>1.9685039370078741</c:v>
                </c:pt>
              </c:numCache>
            </c:numRef>
          </c:val>
          <c:extLst>
            <c:ext xmlns:c16="http://schemas.microsoft.com/office/drawing/2014/chart" uri="{C3380CC4-5D6E-409C-BE32-E72D297353CC}">
              <c16:uniqueId val="{00000000-E2BC-4C93-8CBE-294C01B430C3}"/>
            </c:ext>
          </c:extLst>
        </c:ser>
        <c:ser>
          <c:idx val="1"/>
          <c:order val="1"/>
          <c:tx>
            <c:strRef>
              <c:f>Secteur_activité_ESS!$D$24</c:f>
              <c:strCache>
                <c:ptCount val="1"/>
                <c:pt idx="0">
                  <c:v>CC du Sud Corse</c:v>
                </c:pt>
              </c:strCache>
            </c:strRef>
          </c:tx>
          <c:spPr>
            <a:solidFill>
              <a:schemeClr val="accent5"/>
            </a:solidFill>
          </c:spPr>
          <c:invertIfNegative val="0"/>
          <c:dLbls>
            <c:numFmt formatCode="#,##0.0" sourceLinked="0"/>
            <c:spPr>
              <a:noFill/>
              <a:ln>
                <a:noFill/>
              </a:ln>
              <a:effectLst/>
            </c:spPr>
            <c:txPr>
              <a:bodyPr rot="0" vert="horz"/>
              <a:lstStyle/>
              <a:p>
                <a:pPr algn="ctr">
                  <a:defRPr lang="en-US" sz="1200" b="1" u="none" baseline="0">
                    <a:solidFill>
                      <a:schemeClr val="accent5"/>
                    </a:solidFill>
                    <a:latin typeface="+mj-lt"/>
                    <a:ea typeface="+mj-lt"/>
                    <a:cs typeface="+mj-lt"/>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Secteur_activité_ESS!$B$25:$B$37</c:f>
              <c:strCache>
                <c:ptCount val="13"/>
                <c:pt idx="0">
                  <c:v>Activités des organisations associatives</c:v>
                </c:pt>
                <c:pt idx="1">
                  <c:v>Activités créatives, artistiques et de spectacle</c:v>
                </c:pt>
                <c:pt idx="2">
                  <c:v>Activités sportives, récréatives et de loisirs</c:v>
                </c:pt>
                <c:pt idx="3">
                  <c:v>Enseignement</c:v>
                </c:pt>
                <c:pt idx="4">
                  <c:v>Action sociale sans hébergement</c:v>
                </c:pt>
                <c:pt idx="5">
                  <c:v>Hébergement médico-social et social</c:v>
                </c:pt>
                <c:pt idx="6">
                  <c:v>Activités spécialisées, scientifq tech. et activités srvc admin.</c:v>
                </c:pt>
                <c:pt idx="7">
                  <c:v>Admini.publique et santé humaine</c:v>
                </c:pt>
                <c:pt idx="8">
                  <c:v>Autres activités de services</c:v>
                </c:pt>
                <c:pt idx="9">
                  <c:v>Activités financières et d'assurance</c:v>
                </c:pt>
                <c:pt idx="10">
                  <c:v>Information et communication</c:v>
                </c:pt>
                <c:pt idx="11">
                  <c:v>Commerce gros et détail, transports, hébergement et restauration</c:v>
                </c:pt>
                <c:pt idx="12">
                  <c:v>Autres activités</c:v>
                </c:pt>
              </c:strCache>
            </c:strRef>
          </c:cat>
          <c:val>
            <c:numRef>
              <c:f>Secteur_activité_ESS!$D$25:$D$37</c:f>
              <c:numCache>
                <c:formatCode>0.0</c:formatCode>
                <c:ptCount val="13"/>
                <c:pt idx="0">
                  <c:v>33.495145631067963</c:v>
                </c:pt>
                <c:pt idx="1">
                  <c:v>7.0388349514563107</c:v>
                </c:pt>
                <c:pt idx="2">
                  <c:v>33.980582524271846</c:v>
                </c:pt>
                <c:pt idx="3">
                  <c:v>7.2815533980582519</c:v>
                </c:pt>
                <c:pt idx="4">
                  <c:v>5.0970873786407767</c:v>
                </c:pt>
                <c:pt idx="5">
                  <c:v>0.24271844660194172</c:v>
                </c:pt>
                <c:pt idx="6">
                  <c:v>4.1262135922330101</c:v>
                </c:pt>
                <c:pt idx="7">
                  <c:v>0.48543689320388345</c:v>
                </c:pt>
                <c:pt idx="8">
                  <c:v>1.2135922330097086</c:v>
                </c:pt>
                <c:pt idx="9">
                  <c:v>0.72815533980582525</c:v>
                </c:pt>
                <c:pt idx="10">
                  <c:v>1.2135922330097086</c:v>
                </c:pt>
                <c:pt idx="11">
                  <c:v>2.912621359223301</c:v>
                </c:pt>
                <c:pt idx="12">
                  <c:v>2.1844660194174756</c:v>
                </c:pt>
              </c:numCache>
            </c:numRef>
          </c:val>
          <c:extLst>
            <c:ext xmlns:c16="http://schemas.microsoft.com/office/drawing/2014/chart" uri="{C3380CC4-5D6E-409C-BE32-E72D297353CC}">
              <c16:uniqueId val="{00000001-E2BC-4C93-8CBE-294C01B430C3}"/>
            </c:ext>
          </c:extLst>
        </c:ser>
        <c:dLbls>
          <c:showLegendKey val="0"/>
          <c:showVal val="0"/>
          <c:showCatName val="0"/>
          <c:showSerName val="0"/>
          <c:showPercent val="0"/>
          <c:showBubbleSize val="0"/>
        </c:dLbls>
        <c:gapWidth val="40"/>
        <c:axId val="10617089"/>
        <c:axId val="8361784"/>
      </c:barChart>
      <c:catAx>
        <c:axId val="10617089"/>
        <c:scaling>
          <c:orientation val="maxMin"/>
        </c:scaling>
        <c:delete val="0"/>
        <c:axPos val="l"/>
        <c:numFmt formatCode="General" sourceLinked="1"/>
        <c:majorTickMark val="out"/>
        <c:minorTickMark val="none"/>
        <c:tickLblPos val="nextTo"/>
        <c:txPr>
          <a:bodyPr/>
          <a:lstStyle/>
          <a:p>
            <a:pPr>
              <a:defRPr lang="en-US" sz="1200" u="none" baseline="0">
                <a:latin typeface="+mj-lt"/>
                <a:ea typeface="+mj-lt"/>
                <a:cs typeface="+mj-lt"/>
              </a:defRPr>
            </a:pPr>
            <a:endParaRPr lang="fr-FR"/>
          </a:p>
        </c:txPr>
        <c:crossAx val="8361784"/>
        <c:crosses val="autoZero"/>
        <c:auto val="1"/>
        <c:lblAlgn val="ctr"/>
        <c:lblOffset val="100"/>
        <c:noMultiLvlLbl val="0"/>
      </c:catAx>
      <c:valAx>
        <c:axId val="8361784"/>
        <c:scaling>
          <c:orientation val="minMax"/>
        </c:scaling>
        <c:delete val="0"/>
        <c:axPos val="b"/>
        <c:numFmt formatCode="0&quot;%&quot;" sourceLinked="0"/>
        <c:majorTickMark val="out"/>
        <c:minorTickMark val="none"/>
        <c:tickLblPos val="nextTo"/>
        <c:txPr>
          <a:bodyPr/>
          <a:lstStyle/>
          <a:p>
            <a:pPr>
              <a:defRPr lang="en-US" sz="1200" u="none" baseline="0">
                <a:latin typeface="+mj-lt"/>
                <a:ea typeface="+mj-lt"/>
                <a:cs typeface="+mj-lt"/>
              </a:defRPr>
            </a:pPr>
            <a:endParaRPr lang="fr-FR"/>
          </a:p>
        </c:txPr>
        <c:crossAx val="10617089"/>
        <c:crosses val="max"/>
        <c:crossBetween val="between"/>
      </c:valAx>
    </c:plotArea>
    <c:legend>
      <c:legendPos val="b"/>
      <c:layout>
        <c:manualLayout>
          <c:xMode val="edge"/>
          <c:yMode val="edge"/>
          <c:x val="0.58550000000000002"/>
          <c:y val="0.94125000000000003"/>
          <c:w val="0.28299999999999997"/>
          <c:h val="4.9000000000000002E-2"/>
        </c:manualLayout>
      </c:layout>
      <c:overlay val="0"/>
      <c:txPr>
        <a:bodyPr rot="0" vert="horz"/>
        <a:lstStyle/>
        <a:p>
          <a:pPr>
            <a:defRPr lang="en-US" sz="1200" u="none" baseline="0">
              <a:latin typeface="+mj-lt"/>
              <a:ea typeface="+mj-lt"/>
              <a:cs typeface="+mj-lt"/>
            </a:defRPr>
          </a:pPr>
          <a:endParaRPr lang="fr-FR"/>
        </a:p>
      </c:txPr>
    </c:legend>
    <c:plotVisOnly val="1"/>
    <c:dispBlanksAs val="gap"/>
    <c:showDLblsOverMax val="1"/>
  </c:chart>
  <c:spPr>
    <a:noFill/>
    <a:ln>
      <a:noFill/>
    </a:ln>
  </c:spPr>
  <c:txPr>
    <a:bodyPr rot="0" vert="horz"/>
    <a:lstStyle/>
    <a:p>
      <a:pPr>
        <a:defRPr lang="en-US" u="none" baseline="0">
          <a:latin typeface="Open Sans"/>
          <a:ea typeface="Open Sans"/>
          <a:cs typeface="Open Sans"/>
        </a:defRPr>
      </a:pPr>
      <a:endParaRPr lang="fr-FR"/>
    </a:p>
  </c:txPr>
  <c:printSettings>
    <c:headerFooter/>
    <c:pageMargins b="0.75" l="0.7" r="0.7" t="0.75" header="0.3" footer="0.3"/>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'Secteur_Activité'!$D$18</c:f>
              <c:strCache>
                <c:ptCount val="1"/>
                <c:pt idx="0">
                  <c:v>Portivechju</c:v>
                </c:pt>
              </c:strCache>
            </c:strRef>
          </c:tx>
          <c:spPr>
            <a:solidFill>
              <a:schemeClr val="accent2"/>
            </a:solidFill>
          </c:spPr>
          <c:invertIfNegative val="0"/>
          <c:dLbls>
            <c:numFmt formatCode="#,##0.0" sourceLinked="0"/>
            <c:spPr>
              <a:noFill/>
              <a:ln>
                <a:noFill/>
              </a:ln>
              <a:effectLst/>
            </c:spPr>
            <c:txPr>
              <a:bodyPr rot="0" vert="horz"/>
              <a:lstStyle/>
              <a:p>
                <a:pPr algn="ctr">
                  <a:defRPr lang="en-US" sz="1200" b="1" u="none" baseline="0">
                    <a:solidFill>
                      <a:schemeClr val="accent2"/>
                    </a:solidFill>
                    <a:latin typeface="+mj-lt"/>
                    <a:ea typeface="+mj-lt"/>
                    <a:cs typeface="+mj-lt"/>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'Secteur_Activité'!$C$19:$C$28</c:f>
              <c:strCache>
                <c:ptCount val="10"/>
                <c:pt idx="0">
                  <c:v>Sect. 1</c:v>
                </c:pt>
                <c:pt idx="1">
                  <c:v>Sect. 2</c:v>
                </c:pt>
                <c:pt idx="2">
                  <c:v>Sect. 3</c:v>
                </c:pt>
                <c:pt idx="3">
                  <c:v>Sect. 4</c:v>
                </c:pt>
                <c:pt idx="4">
                  <c:v>Sect. 5</c:v>
                </c:pt>
                <c:pt idx="5">
                  <c:v>Sect. 6</c:v>
                </c:pt>
                <c:pt idx="6">
                  <c:v>Sect. 7</c:v>
                </c:pt>
                <c:pt idx="7">
                  <c:v>Sect. 8</c:v>
                </c:pt>
                <c:pt idx="8">
                  <c:v>Sect. 9</c:v>
                </c:pt>
                <c:pt idx="9">
                  <c:v>Sect. 10</c:v>
                </c:pt>
              </c:strCache>
            </c:strRef>
          </c:cat>
          <c:val>
            <c:numRef>
              <c:f>'Secteur_Activité'!$D$19:$D$28</c:f>
              <c:numCache>
                <c:formatCode>0.0</c:formatCode>
                <c:ptCount val="10"/>
                <c:pt idx="0">
                  <c:v>2.5402201524132</c:v>
                </c:pt>
                <c:pt idx="1">
                  <c:v>4.0855207451312</c:v>
                </c:pt>
                <c:pt idx="2">
                  <c:v>20.279424216765</c:v>
                </c:pt>
                <c:pt idx="3">
                  <c:v>28.048264182896</c:v>
                </c:pt>
                <c:pt idx="4">
                  <c:v>1.0584250635055</c:v>
                </c:pt>
                <c:pt idx="5">
                  <c:v>3.5563082133785</c:v>
                </c:pt>
                <c:pt idx="6">
                  <c:v>4.043183742591</c:v>
                </c:pt>
                <c:pt idx="7">
                  <c:v>18.310753598645</c:v>
                </c:pt>
                <c:pt idx="8">
                  <c:v>8.0651989839119</c:v>
                </c:pt>
                <c:pt idx="9">
                  <c:v>10.012701100762</c:v>
                </c:pt>
              </c:numCache>
            </c:numRef>
          </c:val>
          <c:extLst>
            <c:ext xmlns:c16="http://schemas.microsoft.com/office/drawing/2014/chart" uri="{C3380CC4-5D6E-409C-BE32-E72D297353CC}">
              <c16:uniqueId val="{00000000-8BF9-4CAB-B70C-54DE73AB5D34}"/>
            </c:ext>
          </c:extLst>
        </c:ser>
        <c:ser>
          <c:idx val="2"/>
          <c:order val="1"/>
          <c:tx>
            <c:strRef>
              <c:f>'Secteur_Activité'!$E$18</c:f>
              <c:strCache>
                <c:ptCount val="1"/>
                <c:pt idx="0">
                  <c:v>CC du Sud Corse</c:v>
                </c:pt>
              </c:strCache>
            </c:strRef>
          </c:tx>
          <c:spPr>
            <a:solidFill>
              <a:schemeClr val="accent5"/>
            </a:solidFill>
          </c:spPr>
          <c:invertIfNegative val="0"/>
          <c:dLbls>
            <c:numFmt formatCode="#,##0.0" sourceLinked="0"/>
            <c:spPr>
              <a:noFill/>
              <a:ln>
                <a:noFill/>
              </a:ln>
              <a:effectLst/>
            </c:spPr>
            <c:txPr>
              <a:bodyPr rot="0" vert="horz"/>
              <a:lstStyle/>
              <a:p>
                <a:pPr algn="ctr">
                  <a:defRPr lang="en-US" sz="1200" b="1" u="none" baseline="0">
                    <a:solidFill>
                      <a:schemeClr val="accent5"/>
                    </a:solidFill>
                    <a:latin typeface="+mj-lt"/>
                    <a:ea typeface="+mj-lt"/>
                    <a:cs typeface="+mj-lt"/>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'Secteur_Activité'!$C$19:$C$28</c:f>
              <c:strCache>
                <c:ptCount val="10"/>
                <c:pt idx="0">
                  <c:v>Sect. 1</c:v>
                </c:pt>
                <c:pt idx="1">
                  <c:v>Sect. 2</c:v>
                </c:pt>
                <c:pt idx="2">
                  <c:v>Sect. 3</c:v>
                </c:pt>
                <c:pt idx="3">
                  <c:v>Sect. 4</c:v>
                </c:pt>
                <c:pt idx="4">
                  <c:v>Sect. 5</c:v>
                </c:pt>
                <c:pt idx="5">
                  <c:v>Sect. 6</c:v>
                </c:pt>
                <c:pt idx="6">
                  <c:v>Sect. 7</c:v>
                </c:pt>
                <c:pt idx="7">
                  <c:v>Sect. 8</c:v>
                </c:pt>
                <c:pt idx="8">
                  <c:v>Sect. 9</c:v>
                </c:pt>
                <c:pt idx="9">
                  <c:v>Sect. 10</c:v>
                </c:pt>
              </c:strCache>
            </c:strRef>
          </c:cat>
          <c:val>
            <c:numRef>
              <c:f>'Secteur_Activité'!$E$19:$E$28</c:f>
              <c:numCache>
                <c:formatCode>0.0</c:formatCode>
                <c:ptCount val="10"/>
                <c:pt idx="0">
                  <c:v>4.2773645058448</c:v>
                </c:pt>
                <c:pt idx="1">
                  <c:v>5.0611052072264</c:v>
                </c:pt>
                <c:pt idx="2">
                  <c:v>18.291710945802</c:v>
                </c:pt>
                <c:pt idx="3">
                  <c:v>29.463336875664</c:v>
                </c:pt>
                <c:pt idx="4">
                  <c:v>0.9298618490967</c:v>
                </c:pt>
                <c:pt idx="5">
                  <c:v>3.0552603613177</c:v>
                </c:pt>
                <c:pt idx="6">
                  <c:v>3.6264612114772</c:v>
                </c:pt>
                <c:pt idx="7">
                  <c:v>18.07917109458</c:v>
                </c:pt>
                <c:pt idx="8">
                  <c:v>7.2130712008502</c:v>
                </c:pt>
                <c:pt idx="9">
                  <c:v>10.00265674814</c:v>
                </c:pt>
              </c:numCache>
            </c:numRef>
          </c:val>
          <c:extLst>
            <c:ext xmlns:c16="http://schemas.microsoft.com/office/drawing/2014/chart" uri="{C3380CC4-5D6E-409C-BE32-E72D297353CC}">
              <c16:uniqueId val="{00000001-8BF9-4CAB-B70C-54DE73AB5D34}"/>
            </c:ext>
          </c:extLst>
        </c:ser>
        <c:dLbls>
          <c:showLegendKey val="0"/>
          <c:showVal val="0"/>
          <c:showCatName val="0"/>
          <c:showSerName val="0"/>
          <c:showPercent val="0"/>
          <c:showBubbleSize val="0"/>
        </c:dLbls>
        <c:gapWidth val="50"/>
        <c:axId val="20906734"/>
        <c:axId val="31350050"/>
      </c:barChart>
      <c:catAx>
        <c:axId val="20906734"/>
        <c:scaling>
          <c:orientation val="minMax"/>
        </c:scaling>
        <c:delete val="0"/>
        <c:axPos val="b"/>
        <c:numFmt formatCode="General" sourceLinked="1"/>
        <c:majorTickMark val="out"/>
        <c:minorTickMark val="none"/>
        <c:tickLblPos val="nextTo"/>
        <c:txPr>
          <a:bodyPr/>
          <a:lstStyle/>
          <a:p>
            <a:pPr>
              <a:defRPr lang="en-US" sz="1200" b="1" u="none" baseline="0">
                <a:latin typeface="+mj-lt"/>
                <a:ea typeface="+mj-lt"/>
                <a:cs typeface="+mj-lt"/>
              </a:defRPr>
            </a:pPr>
            <a:endParaRPr lang="fr-FR"/>
          </a:p>
        </c:txPr>
        <c:crossAx val="31350050"/>
        <c:crosses val="autoZero"/>
        <c:auto val="1"/>
        <c:lblAlgn val="ctr"/>
        <c:lblOffset val="100"/>
        <c:noMultiLvlLbl val="0"/>
      </c:catAx>
      <c:valAx>
        <c:axId val="31350050"/>
        <c:scaling>
          <c:orientation val="minMax"/>
        </c:scaling>
        <c:delete val="0"/>
        <c:axPos val="l"/>
        <c:majorGridlines>
          <c:spPr>
            <a:ln>
              <a:noFill/>
              <a:prstDash val="dash"/>
            </a:ln>
          </c:spPr>
        </c:majorGridlines>
        <c:numFmt formatCode="0&quot;%&quot;" sourceLinked="0"/>
        <c:majorTickMark val="out"/>
        <c:minorTickMark val="none"/>
        <c:tickLblPos val="nextTo"/>
        <c:txPr>
          <a:bodyPr/>
          <a:lstStyle/>
          <a:p>
            <a:pPr>
              <a:defRPr lang="en-US" sz="1200" u="none" baseline="0">
                <a:latin typeface="+mj-lt"/>
                <a:ea typeface="+mj-lt"/>
                <a:cs typeface="+mj-lt"/>
              </a:defRPr>
            </a:pPr>
            <a:endParaRPr lang="fr-FR"/>
          </a:p>
        </c:txPr>
        <c:crossAx val="20906734"/>
        <c:crosses val="autoZero"/>
        <c:crossBetween val="between"/>
      </c:valAx>
      <c:spPr>
        <a:noFill/>
        <a:ln w="25400">
          <a:noFill/>
        </a:ln>
      </c:spPr>
    </c:plotArea>
    <c:legend>
      <c:legendPos val="b"/>
      <c:overlay val="0"/>
      <c:spPr>
        <a:solidFill>
          <a:srgbClr val="FFFFFF"/>
        </a:solidFill>
      </c:spPr>
      <c:txPr>
        <a:bodyPr rot="0" vert="horz"/>
        <a:lstStyle/>
        <a:p>
          <a:pPr>
            <a:defRPr lang="en-US" sz="1200" u="none" baseline="0">
              <a:solidFill>
                <a:srgbClr val="000000"/>
              </a:solidFill>
              <a:latin typeface="+mj-lt"/>
              <a:ea typeface="+mj-lt"/>
              <a:cs typeface="+mj-lt"/>
            </a:defRPr>
          </a:pPr>
          <a:endParaRPr lang="fr-FR"/>
        </a:p>
      </c:txPr>
    </c:legend>
    <c:plotVisOnly val="1"/>
    <c:dispBlanksAs val="gap"/>
    <c:showDLblsOverMax val="1"/>
  </c:chart>
  <c:spPr>
    <a:noFill/>
    <a:ln>
      <a:noFill/>
    </a:ln>
  </c:spPr>
  <c:txPr>
    <a:bodyPr rot="0" vert="horz"/>
    <a:lstStyle/>
    <a:p>
      <a:pPr>
        <a:defRPr lang="en-US" sz="1100" u="none" baseline="0">
          <a:latin typeface="Open Sans"/>
          <a:ea typeface="Open Sans"/>
          <a:cs typeface="Open Sans"/>
        </a:defRPr>
      </a:pPr>
      <a:endParaRPr lang="fr-FR"/>
    </a:p>
  </c:txPr>
  <c:printSettings>
    <c:headerFooter/>
    <c:pageMargins b="0.75" l="0.7" r="0.7" t="0.75" header="0.3" footer="0.3"/>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150000000000001"/>
          <c:y val="6.7500000000000004E-2"/>
          <c:w val="0.74750000000000005"/>
          <c:h val="0.73850000000000005"/>
        </c:manualLayout>
      </c:layout>
      <c:barChart>
        <c:barDir val="bar"/>
        <c:grouping val="percentStacked"/>
        <c:varyColors val="0"/>
        <c:ser>
          <c:idx val="2"/>
          <c:order val="0"/>
          <c:tx>
            <c:strRef>
              <c:f>'Effectifs_salariés'!$C$16</c:f>
              <c:strCache>
                <c:ptCount val="1"/>
                <c:pt idx="0">
                  <c:v>Aucun salarié ou non employeur</c:v>
                </c:pt>
              </c:strCache>
            </c:strRef>
          </c:tx>
          <c:spPr>
            <a:solidFill>
              <a:schemeClr val="accent1"/>
            </a:solidFill>
          </c:spPr>
          <c:invertIfNegative val="0"/>
          <c:dLbls>
            <c:spPr>
              <a:noFill/>
              <a:ln>
                <a:noFill/>
              </a:ln>
              <a:effectLst/>
            </c:spPr>
            <c:txPr>
              <a:bodyPr rot="0" vert="horz"/>
              <a:lstStyle/>
              <a:p>
                <a:pPr algn="ctr">
                  <a:defRPr lang="en-US" sz="1200" b="1" u="none" baseline="0">
                    <a:solidFill>
                      <a:schemeClr val="bg1"/>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'Effectifs_salariés'!$D$15:$G$15</c:f>
              <c:strCache>
                <c:ptCount val="4"/>
                <c:pt idx="0">
                  <c:v>Portivechju</c:v>
                </c:pt>
                <c:pt idx="1">
                  <c:v>CC du Sud Corse</c:v>
                </c:pt>
                <c:pt idx="2">
                  <c:v>Zone d'emploi de Portivechju</c:v>
                </c:pt>
                <c:pt idx="3">
                  <c:v>France métropolitaine</c:v>
                </c:pt>
              </c:strCache>
            </c:strRef>
          </c:cat>
          <c:val>
            <c:numRef>
              <c:f>'Effectifs_salariés'!$D$16:$G$16</c:f>
              <c:numCache>
                <c:formatCode>#,##0.0</c:formatCode>
                <c:ptCount val="4"/>
                <c:pt idx="0">
                  <c:v>46.380090497738</c:v>
                </c:pt>
                <c:pt idx="1">
                  <c:v>50.231234436144</c:v>
                </c:pt>
                <c:pt idx="2">
                  <c:v>51.759093619559</c:v>
                </c:pt>
                <c:pt idx="3">
                  <c:v>51.690919761459</c:v>
                </c:pt>
              </c:numCache>
            </c:numRef>
          </c:val>
          <c:extLst>
            <c:ext xmlns:c16="http://schemas.microsoft.com/office/drawing/2014/chart" uri="{C3380CC4-5D6E-409C-BE32-E72D297353CC}">
              <c16:uniqueId val="{00000000-6961-40EF-91D1-317C5D8FE9E3}"/>
            </c:ext>
          </c:extLst>
        </c:ser>
        <c:ser>
          <c:idx val="3"/>
          <c:order val="1"/>
          <c:tx>
            <c:strRef>
              <c:f>'Effectifs_salariés'!$C$17</c:f>
              <c:strCache>
                <c:ptCount val="1"/>
                <c:pt idx="0">
                  <c:v>Moins de 10 salariés</c:v>
                </c:pt>
              </c:strCache>
            </c:strRef>
          </c:tx>
          <c:spPr>
            <a:solidFill>
              <a:schemeClr val="accent2"/>
            </a:solidFill>
          </c:spPr>
          <c:invertIfNegative val="0"/>
          <c:dLbls>
            <c:spPr>
              <a:noFill/>
              <a:ln>
                <a:noFill/>
              </a:ln>
              <a:effectLst/>
            </c:spPr>
            <c:txPr>
              <a:bodyPr rot="0" vert="horz"/>
              <a:lstStyle/>
              <a:p>
                <a:pPr algn="ctr">
                  <a:defRPr lang="en-US" sz="1200" b="1" u="none" baseline="0">
                    <a:solidFill>
                      <a:schemeClr val="bg1"/>
                    </a:solidFill>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'Effectifs_salariés'!$D$15:$G$15</c:f>
              <c:strCache>
                <c:ptCount val="4"/>
                <c:pt idx="0">
                  <c:v>Portivechju</c:v>
                </c:pt>
                <c:pt idx="1">
                  <c:v>CC du Sud Corse</c:v>
                </c:pt>
                <c:pt idx="2">
                  <c:v>Zone d'emploi de Portivechju</c:v>
                </c:pt>
                <c:pt idx="3">
                  <c:v>France métropolitaine</c:v>
                </c:pt>
              </c:strCache>
            </c:strRef>
          </c:cat>
          <c:val>
            <c:numRef>
              <c:f>'Effectifs_salariés'!$D$17:$G$17</c:f>
              <c:numCache>
                <c:formatCode>#,##0.0</c:formatCode>
                <c:ptCount val="4"/>
                <c:pt idx="0">
                  <c:v>47.171945701357</c:v>
                </c:pt>
                <c:pt idx="1">
                  <c:v>43.89896833867</c:v>
                </c:pt>
                <c:pt idx="2">
                  <c:v>42.814549791294</c:v>
                </c:pt>
                <c:pt idx="3">
                  <c:v>38.921653800743</c:v>
                </c:pt>
              </c:numCache>
            </c:numRef>
          </c:val>
          <c:extLst>
            <c:ext xmlns:c16="http://schemas.microsoft.com/office/drawing/2014/chart" uri="{C3380CC4-5D6E-409C-BE32-E72D297353CC}">
              <c16:uniqueId val="{00000001-6961-40EF-91D1-317C5D8FE9E3}"/>
            </c:ext>
          </c:extLst>
        </c:ser>
        <c:ser>
          <c:idx val="0"/>
          <c:order val="2"/>
          <c:tx>
            <c:strRef>
              <c:f>'Effectifs_salariés'!$C$18</c:f>
              <c:strCache>
                <c:ptCount val="1"/>
                <c:pt idx="0">
                  <c:v>10 à 49 salariés</c:v>
                </c:pt>
              </c:strCache>
            </c:strRef>
          </c:tx>
          <c:spPr>
            <a:solidFill>
              <a:schemeClr val="accent3"/>
            </a:solidFill>
          </c:spPr>
          <c:invertIfNegative val="0"/>
          <c:dLbls>
            <c:numFmt formatCode="#,##0.0" sourceLinked="0"/>
            <c:spPr>
              <a:noFill/>
              <a:ln>
                <a:noFill/>
              </a:ln>
              <a:effectLst/>
            </c:spPr>
            <c:txPr>
              <a:bodyPr rot="0" vert="horz"/>
              <a:lstStyle/>
              <a:p>
                <a:pPr algn="ctr">
                  <a:defRPr lang="en-US" sz="1200" b="1" u="none" baseline="0"/>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'Effectifs_salariés'!$D$15:$G$15</c:f>
              <c:strCache>
                <c:ptCount val="4"/>
                <c:pt idx="0">
                  <c:v>Portivechju</c:v>
                </c:pt>
                <c:pt idx="1">
                  <c:v>CC du Sud Corse</c:v>
                </c:pt>
                <c:pt idx="2">
                  <c:v>Zone d'emploi de Portivechju</c:v>
                </c:pt>
                <c:pt idx="3">
                  <c:v>France métropolitaine</c:v>
                </c:pt>
              </c:strCache>
            </c:strRef>
          </c:cat>
          <c:val>
            <c:numRef>
              <c:f>'Effectifs_salariés'!$D$18:$G$18</c:f>
              <c:numCache>
                <c:formatCode>#,##0.0</c:formatCode>
                <c:ptCount val="4"/>
                <c:pt idx="0">
                  <c:v>5.9389140271493</c:v>
                </c:pt>
                <c:pt idx="1">
                  <c:v>5.4429028815368</c:v>
                </c:pt>
                <c:pt idx="2">
                  <c:v>5.0387596899225</c:v>
                </c:pt>
                <c:pt idx="3">
                  <c:v>7.57829305656</c:v>
                </c:pt>
              </c:numCache>
            </c:numRef>
          </c:val>
          <c:extLst>
            <c:ext xmlns:c16="http://schemas.microsoft.com/office/drawing/2014/chart" uri="{C3380CC4-5D6E-409C-BE32-E72D297353CC}">
              <c16:uniqueId val="{00000002-6961-40EF-91D1-317C5D8FE9E3}"/>
            </c:ext>
          </c:extLst>
        </c:ser>
        <c:ser>
          <c:idx val="1"/>
          <c:order val="3"/>
          <c:tx>
            <c:strRef>
              <c:f>'Effectifs_salariés'!$C$19</c:f>
              <c:strCache>
                <c:ptCount val="1"/>
                <c:pt idx="0">
                  <c:v>50 salariés et plus</c:v>
                </c:pt>
              </c:strCache>
            </c:strRef>
          </c:tx>
          <c:spPr>
            <a:solidFill>
              <a:schemeClr val="accent4"/>
            </a:solidFill>
          </c:spPr>
          <c:invertIfNegative val="0"/>
          <c:dLbls>
            <c:numFmt formatCode="#,##0.0" sourceLinked="0"/>
            <c:spPr>
              <a:noFill/>
              <a:ln>
                <a:noFill/>
              </a:ln>
              <a:effectLst/>
            </c:spPr>
            <c:txPr>
              <a:bodyPr rot="0" vert="horz"/>
              <a:lstStyle/>
              <a:p>
                <a:pPr algn="ctr">
                  <a:defRPr lang="en-US" sz="1200" b="1" u="none" baseline="0"/>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'Effectifs_salariés'!$D$15:$G$15</c:f>
              <c:strCache>
                <c:ptCount val="4"/>
                <c:pt idx="0">
                  <c:v>Portivechju</c:v>
                </c:pt>
                <c:pt idx="1">
                  <c:v>CC du Sud Corse</c:v>
                </c:pt>
                <c:pt idx="2">
                  <c:v>Zone d'emploi de Portivechju</c:v>
                </c:pt>
                <c:pt idx="3">
                  <c:v>France métropolitaine</c:v>
                </c:pt>
              </c:strCache>
            </c:strRef>
          </c:cat>
          <c:val>
            <c:numRef>
              <c:f>'Effectifs_salariés'!$D$19:$G$19</c:f>
              <c:numCache>
                <c:formatCode>#,##0.0</c:formatCode>
                <c:ptCount val="4"/>
                <c:pt idx="0">
                  <c:v>0.5090497737557</c:v>
                </c:pt>
                <c:pt idx="1">
                  <c:v>0.4268943436499</c:v>
                </c:pt>
                <c:pt idx="2">
                  <c:v>0.3875968992248</c:v>
                </c:pt>
                <c:pt idx="3">
                  <c:v>1.8091333812388</c:v>
                </c:pt>
              </c:numCache>
            </c:numRef>
          </c:val>
          <c:extLst>
            <c:ext xmlns:c16="http://schemas.microsoft.com/office/drawing/2014/chart" uri="{C3380CC4-5D6E-409C-BE32-E72D297353CC}">
              <c16:uniqueId val="{00000003-6961-40EF-91D1-317C5D8FE9E3}"/>
            </c:ext>
          </c:extLst>
        </c:ser>
        <c:ser>
          <c:idx val="4"/>
          <c:order val="4"/>
          <c:tx>
            <c:strRef>
              <c:f>'Effectifs_salariés'!$C$20</c:f>
              <c:strCache>
                <c:ptCount val="1"/>
                <c:pt idx="0">
                  <c:v>Effectif inconnu</c:v>
                </c:pt>
              </c:strCache>
            </c:strRef>
          </c:tx>
          <c:spPr>
            <a:solidFill>
              <a:schemeClr val="accent5"/>
            </a:solidFill>
          </c:spPr>
          <c:invertIfNegative val="0"/>
          <c:dLbls>
            <c:numFmt formatCode="#,##0.0" sourceLinked="0"/>
            <c:spPr>
              <a:noFill/>
              <a:ln>
                <a:noFill/>
              </a:ln>
              <a:effectLst/>
            </c:spPr>
            <c:txPr>
              <a:bodyPr rot="0" vert="horz"/>
              <a:lstStyle/>
              <a:p>
                <a:pPr algn="ctr">
                  <a:defRPr lang="en-US" sz="1200" b="1" u="none" baseline="0"/>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'Effectifs_salariés'!$D$15:$G$15</c:f>
              <c:strCache>
                <c:ptCount val="4"/>
                <c:pt idx="0">
                  <c:v>Portivechju</c:v>
                </c:pt>
                <c:pt idx="1">
                  <c:v>CC du Sud Corse</c:v>
                </c:pt>
                <c:pt idx="2">
                  <c:v>Zone d'emploi de Portivechju</c:v>
                </c:pt>
                <c:pt idx="3">
                  <c:v>France métropolitaine</c:v>
                </c:pt>
              </c:strCache>
            </c:strRef>
          </c:cat>
          <c:val>
            <c:numRef>
              <c:f>'Effectifs_salariés'!$D$20:$G$20</c:f>
              <c:numCache>
                <c:formatCode>#,##0.0</c:formatCode>
                <c:ptCount val="4"/>
                <c:pt idx="0">
                  <c:v>0</c:v>
                </c:pt>
                <c:pt idx="1">
                  <c:v>0</c:v>
                </c:pt>
                <c:pt idx="2">
                  <c:v>0</c:v>
                </c:pt>
                <c:pt idx="3">
                  <c:v>0</c:v>
                </c:pt>
              </c:numCache>
            </c:numRef>
          </c:val>
          <c:extLst>
            <c:ext xmlns:c16="http://schemas.microsoft.com/office/drawing/2014/chart" uri="{C3380CC4-5D6E-409C-BE32-E72D297353CC}">
              <c16:uniqueId val="{00000004-6961-40EF-91D1-317C5D8FE9E3}"/>
            </c:ext>
          </c:extLst>
        </c:ser>
        <c:dLbls>
          <c:showLegendKey val="0"/>
          <c:showVal val="0"/>
          <c:showCatName val="0"/>
          <c:showSerName val="0"/>
          <c:showPercent val="0"/>
          <c:showBubbleSize val="0"/>
        </c:dLbls>
        <c:gapWidth val="50"/>
        <c:overlap val="100"/>
        <c:axId val="30101343"/>
        <c:axId val="25240705"/>
      </c:barChart>
      <c:catAx>
        <c:axId val="30101343"/>
        <c:scaling>
          <c:orientation val="minMax"/>
        </c:scaling>
        <c:delete val="0"/>
        <c:axPos val="l"/>
        <c:numFmt formatCode="General" sourceLinked="1"/>
        <c:majorTickMark val="out"/>
        <c:minorTickMark val="none"/>
        <c:tickLblPos val="nextTo"/>
        <c:txPr>
          <a:bodyPr/>
          <a:lstStyle/>
          <a:p>
            <a:pPr>
              <a:defRPr lang="en-US" sz="1200" u="none" baseline="0"/>
            </a:pPr>
            <a:endParaRPr lang="fr-FR"/>
          </a:p>
        </c:txPr>
        <c:crossAx val="25240705"/>
        <c:crosses val="autoZero"/>
        <c:auto val="1"/>
        <c:lblAlgn val="ctr"/>
        <c:lblOffset val="100"/>
        <c:noMultiLvlLbl val="0"/>
      </c:catAx>
      <c:valAx>
        <c:axId val="25240705"/>
        <c:scaling>
          <c:orientation val="minMax"/>
        </c:scaling>
        <c:delete val="0"/>
        <c:axPos val="b"/>
        <c:numFmt formatCode="0%" sourceLinked="1"/>
        <c:majorTickMark val="out"/>
        <c:minorTickMark val="none"/>
        <c:tickLblPos val="nextTo"/>
        <c:txPr>
          <a:bodyPr/>
          <a:lstStyle/>
          <a:p>
            <a:pPr>
              <a:defRPr lang="en-US" sz="1200" b="1" u="none" baseline="0"/>
            </a:pPr>
            <a:endParaRPr lang="fr-FR"/>
          </a:p>
        </c:txPr>
        <c:crossAx val="30101343"/>
        <c:crosses val="autoZero"/>
        <c:crossBetween val="between"/>
        <c:majorUnit val="0.2"/>
      </c:valAx>
      <c:spPr>
        <a:solidFill>
          <a:schemeClr val="bg1"/>
        </a:solidFill>
      </c:spPr>
    </c:plotArea>
    <c:legend>
      <c:legendPos val="b"/>
      <c:layout>
        <c:manualLayout>
          <c:xMode val="edge"/>
          <c:yMode val="edge"/>
          <c:x val="2.5000000000000001E-3"/>
          <c:y val="0.87424999999999997"/>
          <c:w val="0.99750000000000005"/>
          <c:h val="0.12575"/>
        </c:manualLayout>
      </c:layout>
      <c:overlay val="0"/>
      <c:txPr>
        <a:bodyPr rot="0" vert="horz"/>
        <a:lstStyle/>
        <a:p>
          <a:pPr>
            <a:defRPr lang="en-US" sz="1200" u="none" baseline="0">
              <a:latin typeface="+mj-lt"/>
              <a:ea typeface="+mj-lt"/>
              <a:cs typeface="+mj-lt"/>
            </a:defRPr>
          </a:pPr>
          <a:endParaRPr lang="fr-FR"/>
        </a:p>
      </c:txPr>
    </c:legend>
    <c:plotVisOnly val="1"/>
    <c:dispBlanksAs val="gap"/>
    <c:showDLblsOverMax val="1"/>
  </c:chart>
  <c:spPr>
    <a:solidFill>
      <a:schemeClr val="bg1"/>
    </a:solidFill>
    <a:ln>
      <a:noFill/>
    </a:ln>
  </c:spPr>
  <c:printSettings>
    <c:headerFooter/>
    <c:pageMargins b="0.75" l="0.7" r="0.7" t="0.75" header="0.3" footer="0.3"/>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999999999999997E-2"/>
          <c:y val="9.375E-2"/>
          <c:w val="0.91825000000000001"/>
          <c:h val="0.74050000000000005"/>
        </c:manualLayout>
      </c:layout>
      <c:lineChart>
        <c:grouping val="standard"/>
        <c:varyColors val="0"/>
        <c:ser>
          <c:idx val="0"/>
          <c:order val="0"/>
          <c:tx>
            <c:strRef>
              <c:f>'Evolution_Créations'!$M$6</c:f>
              <c:strCache>
                <c:ptCount val="1"/>
                <c:pt idx="0">
                  <c:v>Portivechju</c:v>
                </c:pt>
              </c:strCache>
            </c:strRef>
          </c:tx>
          <c:spPr>
            <a:ln>
              <a:solidFill>
                <a:schemeClr val="accent2"/>
              </a:solidFill>
            </a:ln>
          </c:spPr>
          <c:marker>
            <c:symbol val="circle"/>
            <c:size val="5"/>
            <c:spPr>
              <a:solidFill>
                <a:schemeClr val="accent2"/>
              </a:solidFill>
              <a:ln>
                <a:noFill/>
              </a:ln>
              <a:effectLst/>
            </c:spPr>
          </c:marker>
          <c:cat>
            <c:numRef>
              <c:f>'Evolution_Créations'!$L$7:$L$26</c:f>
              <c:numCache>
                <c:formatCode>General</c:formatCod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numCache>
            </c:numRef>
          </c:cat>
          <c:val>
            <c:numRef>
              <c:f>'Evolution_Créations'!$M$7:$M$26</c:f>
              <c:numCache>
                <c:formatCode>0.0</c:formatCode>
                <c:ptCount val="20"/>
                <c:pt idx="0" formatCode="General">
                  <c:v>100</c:v>
                </c:pt>
                <c:pt idx="1">
                  <c:v>122.22222222222</c:v>
                </c:pt>
                <c:pt idx="2">
                  <c:v>124.33862433862</c:v>
                </c:pt>
                <c:pt idx="3">
                  <c:v>122.22222222222</c:v>
                </c:pt>
                <c:pt idx="4">
                  <c:v>140.21164021164</c:v>
                </c:pt>
                <c:pt idx="5">
                  <c:v>162.96296296296</c:v>
                </c:pt>
                <c:pt idx="6">
                  <c:v>198.4126984127</c:v>
                </c:pt>
                <c:pt idx="7">
                  <c:v>224.86772486773</c:v>
                </c:pt>
                <c:pt idx="8">
                  <c:v>196.8253968254</c:v>
                </c:pt>
                <c:pt idx="9">
                  <c:v>217.46031746032</c:v>
                </c:pt>
                <c:pt idx="10">
                  <c:v>207.40740740741</c:v>
                </c:pt>
                <c:pt idx="11">
                  <c:v>226.98412698413</c:v>
                </c:pt>
                <c:pt idx="12">
                  <c:v>194.17989417989</c:v>
                </c:pt>
                <c:pt idx="13">
                  <c:v>233.86243386243</c:v>
                </c:pt>
                <c:pt idx="14">
                  <c:v>222.22222222222</c:v>
                </c:pt>
                <c:pt idx="15">
                  <c:v>248.67724867725</c:v>
                </c:pt>
                <c:pt idx="16">
                  <c:v>282.01058201058</c:v>
                </c:pt>
                <c:pt idx="17">
                  <c:v>228.57142857143</c:v>
                </c:pt>
                <c:pt idx="18">
                  <c:v>278.83597883598</c:v>
                </c:pt>
                <c:pt idx="19">
                  <c:v>256.61375661376</c:v>
                </c:pt>
              </c:numCache>
            </c:numRef>
          </c:val>
          <c:smooth val="1"/>
          <c:extLst>
            <c:ext xmlns:c16="http://schemas.microsoft.com/office/drawing/2014/chart" uri="{C3380CC4-5D6E-409C-BE32-E72D297353CC}">
              <c16:uniqueId val="{00000000-DE96-47A9-8F2D-48F0D167D8DD}"/>
            </c:ext>
          </c:extLst>
        </c:ser>
        <c:ser>
          <c:idx val="1"/>
          <c:order val="1"/>
          <c:tx>
            <c:strRef>
              <c:f>'Evolution_Créations'!$N$6</c:f>
              <c:strCache>
                <c:ptCount val="1"/>
                <c:pt idx="0">
                  <c:v>CC du Sud Corse</c:v>
                </c:pt>
              </c:strCache>
            </c:strRef>
          </c:tx>
          <c:spPr>
            <a:ln>
              <a:solidFill>
                <a:schemeClr val="accent5"/>
              </a:solidFill>
            </a:ln>
          </c:spPr>
          <c:marker>
            <c:symbol val="square"/>
            <c:size val="5"/>
            <c:spPr>
              <a:solidFill>
                <a:schemeClr val="accent5"/>
              </a:solidFill>
              <a:ln>
                <a:noFill/>
              </a:ln>
              <a:effectLst/>
            </c:spPr>
          </c:marker>
          <c:cat>
            <c:numRef>
              <c:f>'Evolution_Créations'!$L$7:$L$26</c:f>
              <c:numCache>
                <c:formatCode>General</c:formatCod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numCache>
            </c:numRef>
          </c:cat>
          <c:val>
            <c:numRef>
              <c:f>'Evolution_Créations'!$N$7:$N$26</c:f>
              <c:numCache>
                <c:formatCode>0.0</c:formatCode>
                <c:ptCount val="20"/>
                <c:pt idx="0" formatCode="General">
                  <c:v>100</c:v>
                </c:pt>
                <c:pt idx="1">
                  <c:v>115.6462585034</c:v>
                </c:pt>
                <c:pt idx="2">
                  <c:v>118.02721088435</c:v>
                </c:pt>
                <c:pt idx="3">
                  <c:v>126.19047619048</c:v>
                </c:pt>
                <c:pt idx="4">
                  <c:v>132.65306122449</c:v>
                </c:pt>
                <c:pt idx="5">
                  <c:v>150.34013605442</c:v>
                </c:pt>
                <c:pt idx="6">
                  <c:v>193.19727891156</c:v>
                </c:pt>
                <c:pt idx="7">
                  <c:v>206.46258503401</c:v>
                </c:pt>
                <c:pt idx="8">
                  <c:v>205.10204081633</c:v>
                </c:pt>
                <c:pt idx="9">
                  <c:v>217.00680272109</c:v>
                </c:pt>
                <c:pt idx="10">
                  <c:v>197.95918367347</c:v>
                </c:pt>
                <c:pt idx="11">
                  <c:v>213.94557823129</c:v>
                </c:pt>
                <c:pt idx="12">
                  <c:v>191.15646258503</c:v>
                </c:pt>
                <c:pt idx="13">
                  <c:v>242.1768707483</c:v>
                </c:pt>
                <c:pt idx="14">
                  <c:v>229.25170068027</c:v>
                </c:pt>
                <c:pt idx="15">
                  <c:v>243.19727891156</c:v>
                </c:pt>
                <c:pt idx="16">
                  <c:v>280.61224489796</c:v>
                </c:pt>
                <c:pt idx="17">
                  <c:v>228.57142857143</c:v>
                </c:pt>
                <c:pt idx="18">
                  <c:v>292.51700680272</c:v>
                </c:pt>
                <c:pt idx="19">
                  <c:v>285.37414965986</c:v>
                </c:pt>
              </c:numCache>
            </c:numRef>
          </c:val>
          <c:smooth val="1"/>
          <c:extLst>
            <c:ext xmlns:c16="http://schemas.microsoft.com/office/drawing/2014/chart" uri="{C3380CC4-5D6E-409C-BE32-E72D297353CC}">
              <c16:uniqueId val="{00000001-DE96-47A9-8F2D-48F0D167D8DD}"/>
            </c:ext>
          </c:extLst>
        </c:ser>
        <c:ser>
          <c:idx val="2"/>
          <c:order val="2"/>
          <c:tx>
            <c:strRef>
              <c:f>'Evolution_Créations'!$O$6</c:f>
              <c:strCache>
                <c:ptCount val="1"/>
                <c:pt idx="0">
                  <c:v>Zone d'emploi de Portivechju</c:v>
                </c:pt>
              </c:strCache>
            </c:strRef>
          </c:tx>
          <c:marker>
            <c:symbol val="triangle"/>
            <c:size val="5"/>
          </c:marker>
          <c:cat>
            <c:numRef>
              <c:f>'Evolution_Créations'!$L$7:$L$26</c:f>
              <c:numCache>
                <c:formatCode>General</c:formatCod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numCache>
            </c:numRef>
          </c:cat>
          <c:val>
            <c:numRef>
              <c:f>'Evolution_Créations'!$O$7:$O$26</c:f>
              <c:numCache>
                <c:formatCode>0.0</c:formatCode>
                <c:ptCount val="20"/>
                <c:pt idx="0" formatCode="General">
                  <c:v>100</c:v>
                </c:pt>
                <c:pt idx="1">
                  <c:v>115.53672316384</c:v>
                </c:pt>
                <c:pt idx="2">
                  <c:v>118.0790960452</c:v>
                </c:pt>
                <c:pt idx="3">
                  <c:v>126.55367231638</c:v>
                </c:pt>
                <c:pt idx="4">
                  <c:v>134.46327683616</c:v>
                </c:pt>
                <c:pt idx="5">
                  <c:v>146.61016949153</c:v>
                </c:pt>
                <c:pt idx="6">
                  <c:v>194.63276836158</c:v>
                </c:pt>
                <c:pt idx="7">
                  <c:v>208.75706214689</c:v>
                </c:pt>
                <c:pt idx="8">
                  <c:v>207.34463276836</c:v>
                </c:pt>
                <c:pt idx="9">
                  <c:v>221.75141242938</c:v>
                </c:pt>
                <c:pt idx="10">
                  <c:v>199.43502824859</c:v>
                </c:pt>
                <c:pt idx="11">
                  <c:v>214.97175141243</c:v>
                </c:pt>
                <c:pt idx="12">
                  <c:v>200.28248587571</c:v>
                </c:pt>
                <c:pt idx="13">
                  <c:v>236.72316384181</c:v>
                </c:pt>
                <c:pt idx="14">
                  <c:v>235.59322033898</c:v>
                </c:pt>
                <c:pt idx="15">
                  <c:v>248.58757062147</c:v>
                </c:pt>
                <c:pt idx="16">
                  <c:v>288.98305084746</c:v>
                </c:pt>
                <c:pt idx="17">
                  <c:v>233.61581920904</c:v>
                </c:pt>
                <c:pt idx="18">
                  <c:v>305.64971751412</c:v>
                </c:pt>
                <c:pt idx="19">
                  <c:v>299.43502824859</c:v>
                </c:pt>
              </c:numCache>
            </c:numRef>
          </c:val>
          <c:smooth val="0"/>
          <c:extLst>
            <c:ext xmlns:c16="http://schemas.microsoft.com/office/drawing/2014/chart" uri="{C3380CC4-5D6E-409C-BE32-E72D297353CC}">
              <c16:uniqueId val="{00000000-544F-43B4-9584-9D94796740F1}"/>
            </c:ext>
          </c:extLst>
        </c:ser>
        <c:ser>
          <c:idx val="3"/>
          <c:order val="3"/>
          <c:tx>
            <c:strRef>
              <c:f>'Evolution_Créations'!$P$6</c:f>
              <c:strCache>
                <c:ptCount val="1"/>
                <c:pt idx="0">
                  <c:v>France métropolitaine</c:v>
                </c:pt>
              </c:strCache>
            </c:strRef>
          </c:tx>
          <c:spPr>
            <a:ln>
              <a:solidFill>
                <a:schemeClr val="accent6"/>
              </a:solidFill>
            </a:ln>
          </c:spPr>
          <c:marker>
            <c:symbol val="diamond"/>
            <c:size val="5"/>
            <c:spPr>
              <a:solidFill>
                <a:schemeClr val="accent6"/>
              </a:solidFill>
              <a:ln>
                <a:noFill/>
              </a:ln>
              <a:effectLst/>
            </c:spPr>
          </c:marker>
          <c:cat>
            <c:numRef>
              <c:f>'Evolution_Créations'!$L$7:$L$26</c:f>
              <c:numCache>
                <c:formatCode>General</c:formatCode>
                <c:ptCount val="20"/>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pt idx="18">
                  <c:v>2021</c:v>
                </c:pt>
                <c:pt idx="19">
                  <c:v>2022</c:v>
                </c:pt>
              </c:numCache>
            </c:numRef>
          </c:cat>
          <c:val>
            <c:numRef>
              <c:f>'Evolution_Créations'!$P$7:$P$26</c:f>
              <c:numCache>
                <c:formatCode>0.0</c:formatCode>
                <c:ptCount val="20"/>
                <c:pt idx="0" formatCode="General">
                  <c:v>100</c:v>
                </c:pt>
                <c:pt idx="1">
                  <c:v>109.46438755966</c:v>
                </c:pt>
                <c:pt idx="2">
                  <c:v>112.32088816064</c:v>
                </c:pt>
                <c:pt idx="3">
                  <c:v>113.33782912642</c:v>
                </c:pt>
                <c:pt idx="4">
                  <c:v>120.56082232143</c:v>
                </c:pt>
                <c:pt idx="5">
                  <c:v>120.49617207369</c:v>
                </c:pt>
                <c:pt idx="6">
                  <c:v>158.33588776123</c:v>
                </c:pt>
                <c:pt idx="7">
                  <c:v>171.79818719219</c:v>
                </c:pt>
                <c:pt idx="8">
                  <c:v>161.68785448493</c:v>
                </c:pt>
                <c:pt idx="9">
                  <c:v>164.16871485339</c:v>
                </c:pt>
                <c:pt idx="10">
                  <c:v>162.15879809988</c:v>
                </c:pt>
                <c:pt idx="11">
                  <c:v>166.54015281981</c:v>
                </c:pt>
                <c:pt idx="12">
                  <c:v>164.32365251607</c:v>
                </c:pt>
                <c:pt idx="13">
                  <c:v>174.19043213489</c:v>
                </c:pt>
                <c:pt idx="14">
                  <c:v>166.56578998701</c:v>
                </c:pt>
                <c:pt idx="15">
                  <c:v>168.24242356687</c:v>
                </c:pt>
                <c:pt idx="16">
                  <c:v>171.28823049671</c:v>
                </c:pt>
                <c:pt idx="17">
                  <c:v>163.26509759772</c:v>
                </c:pt>
                <c:pt idx="18">
                  <c:v>213.97318500932</c:v>
                </c:pt>
                <c:pt idx="19">
                  <c:v>202.40524930287</c:v>
                </c:pt>
              </c:numCache>
            </c:numRef>
          </c:val>
          <c:smooth val="0"/>
          <c:extLst>
            <c:ext xmlns:c16="http://schemas.microsoft.com/office/drawing/2014/chart" uri="{C3380CC4-5D6E-409C-BE32-E72D297353CC}">
              <c16:uniqueId val="{00000001-544F-43B4-9584-9D94796740F1}"/>
            </c:ext>
          </c:extLst>
        </c:ser>
        <c:dLbls>
          <c:showLegendKey val="0"/>
          <c:showVal val="0"/>
          <c:showCatName val="0"/>
          <c:showSerName val="0"/>
          <c:showPercent val="0"/>
          <c:showBubbleSize val="0"/>
        </c:dLbls>
        <c:marker val="1"/>
        <c:smooth val="0"/>
        <c:axId val="13529133"/>
        <c:axId val="26478747"/>
      </c:lineChart>
      <c:catAx>
        <c:axId val="13529133"/>
        <c:scaling>
          <c:orientation val="minMax"/>
        </c:scaling>
        <c:delete val="0"/>
        <c:axPos val="b"/>
        <c:numFmt formatCode="General" sourceLinked="1"/>
        <c:majorTickMark val="out"/>
        <c:minorTickMark val="none"/>
        <c:tickLblPos val="nextTo"/>
        <c:txPr>
          <a:bodyPr rot="0" vert="horz"/>
          <a:lstStyle/>
          <a:p>
            <a:pPr>
              <a:defRPr lang="en-US" sz="1200" b="1" i="0" u="none" baseline="0">
                <a:solidFill>
                  <a:srgbClr val="000000"/>
                </a:solidFill>
                <a:latin typeface="Roboto"/>
                <a:ea typeface="Roboto"/>
                <a:cs typeface="Roboto"/>
              </a:defRPr>
            </a:pPr>
            <a:endParaRPr lang="fr-FR"/>
          </a:p>
        </c:txPr>
        <c:crossAx val="26478747"/>
        <c:crosses val="autoZero"/>
        <c:auto val="1"/>
        <c:lblAlgn val="ctr"/>
        <c:lblOffset val="100"/>
        <c:noMultiLvlLbl val="0"/>
      </c:catAx>
      <c:valAx>
        <c:axId val="26478747"/>
        <c:scaling>
          <c:orientation val="minMax"/>
        </c:scaling>
        <c:delete val="0"/>
        <c:axPos val="l"/>
        <c:majorGridlines>
          <c:spPr>
            <a:ln>
              <a:solidFill>
                <a:schemeClr val="bg1">
                  <a:lumMod val="85000"/>
                </a:schemeClr>
              </a:solidFill>
              <a:prstDash val="sysDash"/>
            </a:ln>
          </c:spPr>
        </c:majorGridlines>
        <c:numFmt formatCode="#,##0" sourceLinked="0"/>
        <c:majorTickMark val="out"/>
        <c:minorTickMark val="none"/>
        <c:tickLblPos val="nextTo"/>
        <c:spPr>
          <a:ln>
            <a:noFill/>
          </a:ln>
        </c:spPr>
        <c:txPr>
          <a:bodyPr/>
          <a:lstStyle/>
          <a:p>
            <a:pPr>
              <a:defRPr lang="en-US" sz="1200" b="0" i="0" u="none" baseline="0">
                <a:solidFill>
                  <a:srgbClr val="000000"/>
                </a:solidFill>
                <a:latin typeface="Roboto"/>
                <a:ea typeface="Roboto"/>
                <a:cs typeface="Roboto"/>
              </a:defRPr>
            </a:pPr>
            <a:endParaRPr lang="fr-FR"/>
          </a:p>
        </c:txPr>
        <c:crossAx val="13529133"/>
        <c:crosses val="autoZero"/>
        <c:crossBetween val="between"/>
      </c:valAx>
      <c:spPr>
        <a:solidFill>
          <a:schemeClr val="bg1"/>
        </a:solidFill>
        <a:ln>
          <a:noFill/>
        </a:ln>
      </c:spPr>
    </c:plotArea>
    <c:legend>
      <c:legendPos val="b"/>
      <c:layout>
        <c:manualLayout>
          <c:xMode val="edge"/>
          <c:yMode val="edge"/>
          <c:x val="1.2999999999999999E-2"/>
          <c:y val="0.90075000000000005"/>
          <c:w val="0.90725"/>
          <c:h val="7.4749999999999997E-2"/>
        </c:manualLayout>
      </c:layout>
      <c:overlay val="0"/>
      <c:txPr>
        <a:bodyPr rot="0" vert="horz"/>
        <a:lstStyle/>
        <a:p>
          <a:pPr>
            <a:defRPr lang="en-US" sz="1200" u="none" baseline="0">
              <a:latin typeface="Roboto"/>
              <a:ea typeface="Roboto"/>
              <a:cs typeface="Roboto"/>
            </a:defRPr>
          </a:pPr>
          <a:endParaRPr lang="fr-FR"/>
        </a:p>
      </c:txPr>
    </c:legend>
    <c:plotVisOnly val="1"/>
    <c:dispBlanksAs val="gap"/>
    <c:showDLblsOverMax val="1"/>
  </c:chart>
  <c:spPr>
    <a:solidFill>
      <a:schemeClr val="bg1"/>
    </a:solidFill>
    <a:ln>
      <a:noFill/>
    </a:ln>
  </c:spPr>
  <c:txPr>
    <a:bodyPr rot="0" vert="horz"/>
    <a:lstStyle/>
    <a:p>
      <a:pPr>
        <a:defRPr lang="en-US" sz="1350" u="none" baseline="0">
          <a:latin typeface="Open Sans"/>
          <a:ea typeface="Open Sans"/>
          <a:cs typeface="Open Sans"/>
        </a:defRPr>
      </a:pPr>
      <a:endParaRPr lang="fr-FR"/>
    </a:p>
  </c:txPr>
  <c:printSettings>
    <c:headerFooter/>
    <c:pageMargins b="0.75" l="0.7" r="0.7" t="0.75" header="0.3" footer="0.3"/>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46700000000000003"/>
          <c:y val="2.8250000000000001E-2"/>
          <c:w val="0.41799999999999998"/>
          <c:h val="0.84199999999999997"/>
        </c:manualLayout>
      </c:layout>
      <c:barChart>
        <c:barDir val="bar"/>
        <c:grouping val="clustered"/>
        <c:varyColors val="0"/>
        <c:ser>
          <c:idx val="0"/>
          <c:order val="0"/>
          <c:tx>
            <c:strRef>
              <c:f>'Secteur_activité_ESS'!$C$24</c:f>
              <c:strCache>
                <c:ptCount val="1"/>
                <c:pt idx="0">
                  <c:v>Portivechju</c:v>
                </c:pt>
              </c:strCache>
            </c:strRef>
          </c:tx>
          <c:spPr>
            <a:solidFill>
              <a:schemeClr val="accent2"/>
            </a:solidFill>
          </c:spPr>
          <c:invertIfNegative val="0"/>
          <c:dLbls>
            <c:numFmt formatCode="#,##0.0" sourceLinked="0"/>
            <c:spPr>
              <a:noFill/>
              <a:ln>
                <a:noFill/>
              </a:ln>
              <a:effectLst/>
            </c:spPr>
            <c:txPr>
              <a:bodyPr rot="0" vert="horz"/>
              <a:lstStyle/>
              <a:p>
                <a:pPr algn="ctr">
                  <a:defRPr lang="en-US" sz="1200" b="1" u="none" baseline="0">
                    <a:solidFill>
                      <a:schemeClr val="accent2"/>
                    </a:solidFill>
                    <a:latin typeface="+mj-lt"/>
                    <a:ea typeface="+mj-lt"/>
                    <a:cs typeface="+mj-lt"/>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'Secteur_activité_ESS'!$B$25:$B$37</c:f>
              <c:strCache>
                <c:ptCount val="13"/>
                <c:pt idx="0">
                  <c:v>Activités des organisations associatives</c:v>
                </c:pt>
                <c:pt idx="1">
                  <c:v>Activités créatives, artistiques et de spectacle</c:v>
                </c:pt>
                <c:pt idx="2">
                  <c:v>Activités sportives, récréatives et de loisirs</c:v>
                </c:pt>
                <c:pt idx="3">
                  <c:v>Enseignement</c:v>
                </c:pt>
                <c:pt idx="4">
                  <c:v>Action sociale sans hébergement</c:v>
                </c:pt>
                <c:pt idx="5">
                  <c:v>Hébergement médico-social et social</c:v>
                </c:pt>
                <c:pt idx="6">
                  <c:v>Activités spécialisées, scientifq tech. et activités srvc admin.</c:v>
                </c:pt>
                <c:pt idx="7">
                  <c:v>Admini.publique et santé humaine</c:v>
                </c:pt>
                <c:pt idx="8">
                  <c:v>Autres activités de services</c:v>
                </c:pt>
                <c:pt idx="9">
                  <c:v>Activités financières et d'assurance</c:v>
                </c:pt>
                <c:pt idx="10">
                  <c:v>Information et communication</c:v>
                </c:pt>
                <c:pt idx="11">
                  <c:v>Commerce gros et détail, transports, hébergement et restauration</c:v>
                </c:pt>
                <c:pt idx="12">
                  <c:v>Autres activités</c:v>
                </c:pt>
              </c:strCache>
            </c:strRef>
          </c:cat>
          <c:val>
            <c:numRef>
              <c:f>'Secteur_activité_ESS'!$C$25:$C$37</c:f>
              <c:numCache>
                <c:formatCode>0.0</c:formatCode>
                <c:ptCount val="13"/>
                <c:pt idx="0">
                  <c:v>34.251968503937</c:v>
                </c:pt>
                <c:pt idx="1">
                  <c:v>6.2992125984252</c:v>
                </c:pt>
                <c:pt idx="2">
                  <c:v>31.102362204724</c:v>
                </c:pt>
                <c:pt idx="3">
                  <c:v>7.8740157480315</c:v>
                </c:pt>
                <c:pt idx="4">
                  <c:v>5.1181102362205</c:v>
                </c:pt>
                <c:pt idx="5">
                  <c:v>0.3937007874016</c:v>
                </c:pt>
                <c:pt idx="6">
                  <c:v>5.1181102362205</c:v>
                </c:pt>
                <c:pt idx="7">
                  <c:v>0.3937007874016</c:v>
                </c:pt>
                <c:pt idx="8">
                  <c:v>0.7874015748031</c:v>
                </c:pt>
                <c:pt idx="9">
                  <c:v>1.1811023622047</c:v>
                </c:pt>
                <c:pt idx="10">
                  <c:v>1.5748031496063</c:v>
                </c:pt>
                <c:pt idx="11">
                  <c:v>3.9370078740157</c:v>
                </c:pt>
                <c:pt idx="12">
                  <c:v>1.9685039370079</c:v>
                </c:pt>
              </c:numCache>
            </c:numRef>
          </c:val>
          <c:extLst>
            <c:ext xmlns:c16="http://schemas.microsoft.com/office/drawing/2014/chart" uri="{C3380CC4-5D6E-409C-BE32-E72D297353CC}">
              <c16:uniqueId val="{00000000-E2BC-4C93-8CBE-294C01B430C3}"/>
            </c:ext>
          </c:extLst>
        </c:ser>
        <c:ser>
          <c:idx val="1"/>
          <c:order val="1"/>
          <c:tx>
            <c:strRef>
              <c:f>'Secteur_activité_ESS'!$D$24</c:f>
              <c:strCache>
                <c:ptCount val="1"/>
                <c:pt idx="0">
                  <c:v>CC du Sud Corse</c:v>
                </c:pt>
              </c:strCache>
            </c:strRef>
          </c:tx>
          <c:spPr>
            <a:solidFill>
              <a:schemeClr val="accent5"/>
            </a:solidFill>
          </c:spPr>
          <c:invertIfNegative val="0"/>
          <c:dLbls>
            <c:numFmt formatCode="#,##0.0" sourceLinked="0"/>
            <c:spPr>
              <a:noFill/>
              <a:ln>
                <a:noFill/>
              </a:ln>
              <a:effectLst/>
            </c:spPr>
            <c:txPr>
              <a:bodyPr rot="0" vert="horz"/>
              <a:lstStyle/>
              <a:p>
                <a:pPr algn="ctr">
                  <a:defRPr lang="en-US" sz="1200" b="1" u="none" baseline="0">
                    <a:solidFill>
                      <a:schemeClr val="accent5"/>
                    </a:solidFill>
                    <a:latin typeface="+mj-lt"/>
                    <a:ea typeface="+mj-lt"/>
                    <a:cs typeface="+mj-lt"/>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'Secteur_activité_ESS'!$B$25:$B$37</c:f>
              <c:strCache>
                <c:ptCount val="13"/>
                <c:pt idx="0">
                  <c:v>Activités des organisations associatives</c:v>
                </c:pt>
                <c:pt idx="1">
                  <c:v>Activités créatives, artistiques et de spectacle</c:v>
                </c:pt>
                <c:pt idx="2">
                  <c:v>Activités sportives, récréatives et de loisirs</c:v>
                </c:pt>
                <c:pt idx="3">
                  <c:v>Enseignement</c:v>
                </c:pt>
                <c:pt idx="4">
                  <c:v>Action sociale sans hébergement</c:v>
                </c:pt>
                <c:pt idx="5">
                  <c:v>Hébergement médico-social et social</c:v>
                </c:pt>
                <c:pt idx="6">
                  <c:v>Activités spécialisées, scientifq tech. et activités srvc admin.</c:v>
                </c:pt>
                <c:pt idx="7">
                  <c:v>Admini.publique et santé humaine</c:v>
                </c:pt>
                <c:pt idx="8">
                  <c:v>Autres activités de services</c:v>
                </c:pt>
                <c:pt idx="9">
                  <c:v>Activités financières et d'assurance</c:v>
                </c:pt>
                <c:pt idx="10">
                  <c:v>Information et communication</c:v>
                </c:pt>
                <c:pt idx="11">
                  <c:v>Commerce gros et détail, transports, hébergement et restauration</c:v>
                </c:pt>
                <c:pt idx="12">
                  <c:v>Autres activités</c:v>
                </c:pt>
              </c:strCache>
            </c:strRef>
          </c:cat>
          <c:val>
            <c:numRef>
              <c:f>'Secteur_activité_ESS'!$D$25:$D$37</c:f>
              <c:numCache>
                <c:formatCode>0.0</c:formatCode>
                <c:ptCount val="13"/>
                <c:pt idx="0">
                  <c:v>33.495145631068</c:v>
                </c:pt>
                <c:pt idx="1">
                  <c:v>7.0388349514563</c:v>
                </c:pt>
                <c:pt idx="2">
                  <c:v>33.980582524272</c:v>
                </c:pt>
                <c:pt idx="3">
                  <c:v>7.2815533980583</c:v>
                </c:pt>
                <c:pt idx="4">
                  <c:v>5.0970873786408</c:v>
                </c:pt>
                <c:pt idx="5">
                  <c:v>0.2427184466019</c:v>
                </c:pt>
                <c:pt idx="6">
                  <c:v>4.126213592233</c:v>
                </c:pt>
                <c:pt idx="7">
                  <c:v>0.4854368932039</c:v>
                </c:pt>
                <c:pt idx="8">
                  <c:v>1.2135922330097</c:v>
                </c:pt>
                <c:pt idx="9">
                  <c:v>0.7281553398058</c:v>
                </c:pt>
                <c:pt idx="10">
                  <c:v>1.2135922330097</c:v>
                </c:pt>
                <c:pt idx="11">
                  <c:v>2.9126213592233</c:v>
                </c:pt>
                <c:pt idx="12">
                  <c:v>2.1844660194175</c:v>
                </c:pt>
              </c:numCache>
            </c:numRef>
          </c:val>
          <c:extLst>
            <c:ext xmlns:c16="http://schemas.microsoft.com/office/drawing/2014/chart" uri="{C3380CC4-5D6E-409C-BE32-E72D297353CC}">
              <c16:uniqueId val="{00000001-E2BC-4C93-8CBE-294C01B430C3}"/>
            </c:ext>
          </c:extLst>
        </c:ser>
        <c:dLbls>
          <c:showLegendKey val="0"/>
          <c:showVal val="0"/>
          <c:showCatName val="0"/>
          <c:showSerName val="0"/>
          <c:showPercent val="0"/>
          <c:showBubbleSize val="0"/>
        </c:dLbls>
        <c:gapWidth val="40"/>
        <c:axId val="10617089"/>
        <c:axId val="8361784"/>
      </c:barChart>
      <c:catAx>
        <c:axId val="10617089"/>
        <c:scaling>
          <c:orientation val="maxMin"/>
        </c:scaling>
        <c:delete val="0"/>
        <c:axPos val="l"/>
        <c:numFmt formatCode="General" sourceLinked="1"/>
        <c:majorTickMark val="out"/>
        <c:minorTickMark val="none"/>
        <c:tickLblPos val="nextTo"/>
        <c:txPr>
          <a:bodyPr/>
          <a:lstStyle/>
          <a:p>
            <a:pPr>
              <a:defRPr lang="en-US" sz="1200" u="none" baseline="0">
                <a:latin typeface="+mj-lt"/>
                <a:ea typeface="+mj-lt"/>
                <a:cs typeface="+mj-lt"/>
              </a:defRPr>
            </a:pPr>
            <a:endParaRPr lang="fr-FR"/>
          </a:p>
        </c:txPr>
        <c:crossAx val="8361784"/>
        <c:crosses val="autoZero"/>
        <c:auto val="1"/>
        <c:lblAlgn val="ctr"/>
        <c:lblOffset val="100"/>
        <c:noMultiLvlLbl val="0"/>
      </c:catAx>
      <c:valAx>
        <c:axId val="8361784"/>
        <c:scaling>
          <c:orientation val="minMax"/>
        </c:scaling>
        <c:delete val="0"/>
        <c:axPos val="b"/>
        <c:numFmt formatCode="0&quot;%&quot;" sourceLinked="0"/>
        <c:majorTickMark val="out"/>
        <c:minorTickMark val="none"/>
        <c:tickLblPos val="nextTo"/>
        <c:txPr>
          <a:bodyPr/>
          <a:lstStyle/>
          <a:p>
            <a:pPr>
              <a:defRPr lang="en-US" sz="1200" u="none" baseline="0">
                <a:latin typeface="+mj-lt"/>
                <a:ea typeface="+mj-lt"/>
                <a:cs typeface="+mj-lt"/>
              </a:defRPr>
            </a:pPr>
            <a:endParaRPr lang="fr-FR"/>
          </a:p>
        </c:txPr>
        <c:crossAx val="10617089"/>
        <c:crosses val="max"/>
        <c:crossBetween val="between"/>
      </c:valAx>
    </c:plotArea>
    <c:legend>
      <c:legendPos val="b"/>
      <c:layout>
        <c:manualLayout>
          <c:xMode val="edge"/>
          <c:yMode val="edge"/>
          <c:x val="0.58550000000000002"/>
          <c:y val="0.94125000000000003"/>
          <c:w val="0.28299999999999997"/>
          <c:h val="4.9000000000000002E-2"/>
        </c:manualLayout>
      </c:layout>
      <c:overlay val="0"/>
      <c:txPr>
        <a:bodyPr rot="0" vert="horz"/>
        <a:lstStyle/>
        <a:p>
          <a:pPr>
            <a:defRPr lang="en-US" sz="1200" u="none" baseline="0">
              <a:latin typeface="+mj-lt"/>
              <a:ea typeface="+mj-lt"/>
              <a:cs typeface="+mj-lt"/>
            </a:defRPr>
          </a:pPr>
          <a:endParaRPr lang="fr-FR"/>
        </a:p>
      </c:txPr>
    </c:legend>
    <c:plotVisOnly val="1"/>
    <c:dispBlanksAs val="gap"/>
    <c:showDLblsOverMax val="1"/>
  </c:chart>
  <c:spPr>
    <a:noFill/>
    <a:ln>
      <a:noFill/>
    </a:ln>
  </c:spPr>
  <c:txPr>
    <a:bodyPr rot="0" vert="horz"/>
    <a:lstStyle/>
    <a:p>
      <a:pPr>
        <a:defRPr lang="en-US" u="none" baseline="0">
          <a:latin typeface="Open Sans"/>
          <a:ea typeface="Open Sans"/>
          <a:cs typeface="Open Sans"/>
        </a:defRPr>
      </a:pPr>
      <a:endParaRPr lang="fr-FR"/>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4294967295"/>
    </cs:fillRef>
    <cs:effectRef idx="0"/>
    <cs:fontRef idx="minor">
      <a:schemeClr val="dk1"/>
    </cs:fontRef>
    <cs:spPr>
      <a:solidFill>
        <a:schemeClr val="phClr"/>
      </a:solidFill>
    </cs:spPr>
  </cs:dataPoint>
  <cs:dataPoint3D>
    <cs:lnRef idx="0"/>
    <cs:fillRef idx="0">
      <cs:styleClr val="4294967295"/>
    </cs:fillRef>
    <cs:effectRef idx="0"/>
    <cs:fontRef idx="minor">
      <a:schemeClr val="dk1"/>
    </cs:fontRef>
    <cs:spPr>
      <a:solidFill>
        <a:schemeClr val="phClr"/>
      </a:solidFill>
    </cs:spPr>
  </cs:dataPoint3D>
  <cs:dataPointLine>
    <cs:lnRef idx="0">
      <cs:styleClr val="4294967295"/>
    </cs:lnRef>
    <cs:fillRef idx="0"/>
    <cs:effectRef idx="0"/>
    <cs:fontRef idx="minor">
      <a:schemeClr val="dk1"/>
    </cs:fontRef>
    <cs:spPr>
      <a:ln w="22225" cap="rnd">
        <a:solidFill>
          <a:schemeClr val="phClr"/>
        </a:solidFill>
        <a:round/>
      </a:ln>
    </cs:spPr>
  </cs:dataPointLine>
  <cs:dataPointMarker>
    <cs:lnRef idx="0">
      <cs:styleClr val="4294967295"/>
    </cs:lnRef>
    <cs:fillRef idx="0">
      <cs:styleClr val="4294967295"/>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4294967295"/>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4294967295"/>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4294967295"/>
    </cs:fillRef>
    <cs:effectRef idx="0"/>
    <cs:fontRef idx="minor">
      <a:schemeClr val="dk1"/>
    </cs:fontRef>
    <cs:spPr>
      <a:solidFill>
        <a:schemeClr val="phClr"/>
      </a:solidFill>
    </cs:spPr>
  </cs:dataPoint>
  <cs:dataPoint3D>
    <cs:lnRef idx="0"/>
    <cs:fillRef idx="0">
      <cs:styleClr val="4294967295"/>
    </cs:fillRef>
    <cs:effectRef idx="0"/>
    <cs:fontRef idx="minor">
      <a:schemeClr val="dk1"/>
    </cs:fontRef>
    <cs:spPr>
      <a:solidFill>
        <a:schemeClr val="phClr"/>
      </a:solidFill>
    </cs:spPr>
  </cs:dataPoint3D>
  <cs:dataPointLine>
    <cs:lnRef idx="0">
      <cs:styleClr val="4294967295"/>
    </cs:lnRef>
    <cs:fillRef idx="0"/>
    <cs:effectRef idx="0"/>
    <cs:fontRef idx="minor">
      <a:schemeClr val="dk1"/>
    </cs:fontRef>
    <cs:spPr>
      <a:ln w="22225" cap="rnd">
        <a:solidFill>
          <a:schemeClr val="phClr"/>
        </a:solidFill>
        <a:round/>
      </a:ln>
    </cs:spPr>
  </cs:dataPointLine>
  <cs:dataPointMarker>
    <cs:lnRef idx="0">
      <cs:styleClr val="4294967295"/>
    </cs:lnRef>
    <cs:fillRef idx="0">
      <cs:styleClr val="4294967295"/>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4294967295"/>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4294967295"/>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4294967295"/>
    </cs:fillRef>
    <cs:effectRef idx="0"/>
    <cs:fontRef idx="minor">
      <a:schemeClr val="dk1"/>
    </cs:fontRef>
    <cs:spPr>
      <a:solidFill>
        <a:schemeClr val="phClr"/>
      </a:solidFill>
    </cs:spPr>
  </cs:dataPoint>
  <cs:dataPoint3D>
    <cs:lnRef idx="0"/>
    <cs:fillRef idx="0">
      <cs:styleClr val="4294967295"/>
    </cs:fillRef>
    <cs:effectRef idx="0"/>
    <cs:fontRef idx="minor">
      <a:schemeClr val="dk1"/>
    </cs:fontRef>
    <cs:spPr>
      <a:solidFill>
        <a:schemeClr val="phClr"/>
      </a:solidFill>
    </cs:spPr>
  </cs:dataPoint3D>
  <cs:dataPointLine>
    <cs:lnRef idx="0">
      <cs:styleClr val="4294967295"/>
    </cs:lnRef>
    <cs:fillRef idx="0"/>
    <cs:effectRef idx="0"/>
    <cs:fontRef idx="minor">
      <a:schemeClr val="dk1"/>
    </cs:fontRef>
    <cs:spPr>
      <a:ln w="22225" cap="rnd">
        <a:solidFill>
          <a:schemeClr val="phClr"/>
        </a:solidFill>
        <a:round/>
      </a:ln>
    </cs:spPr>
  </cs:dataPointLine>
  <cs:dataPointMarker>
    <cs:lnRef idx="0">
      <cs:styleClr val="4294967295"/>
    </cs:lnRef>
    <cs:fillRef idx="0">
      <cs:styleClr val="4294967295"/>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4294967295"/>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4294967295"/>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4294967295"/>
    </cs:fillRef>
    <cs:effectRef idx="0"/>
    <cs:fontRef idx="minor">
      <a:schemeClr val="dk1"/>
    </cs:fontRef>
    <cs:spPr>
      <a:solidFill>
        <a:schemeClr val="phClr"/>
      </a:solidFill>
    </cs:spPr>
  </cs:dataPoint>
  <cs:dataPoint3D>
    <cs:lnRef idx="0"/>
    <cs:fillRef idx="0">
      <cs:styleClr val="4294967295"/>
    </cs:fillRef>
    <cs:effectRef idx="0"/>
    <cs:fontRef idx="minor">
      <a:schemeClr val="dk1"/>
    </cs:fontRef>
    <cs:spPr>
      <a:solidFill>
        <a:schemeClr val="phClr"/>
      </a:solidFill>
    </cs:spPr>
  </cs:dataPoint3D>
  <cs:dataPointLine>
    <cs:lnRef idx="0">
      <cs:styleClr val="4294967295"/>
    </cs:lnRef>
    <cs:fillRef idx="0"/>
    <cs:effectRef idx="0"/>
    <cs:fontRef idx="minor">
      <a:schemeClr val="dk1"/>
    </cs:fontRef>
    <cs:spPr>
      <a:ln w="22225" cap="rnd">
        <a:solidFill>
          <a:schemeClr val="phClr"/>
        </a:solidFill>
        <a:round/>
      </a:ln>
    </cs:spPr>
  </cs:dataPointLine>
  <cs:dataPointMarker>
    <cs:lnRef idx="0">
      <cs:styleClr val="4294967295"/>
    </cs:lnRef>
    <cs:fillRef idx="0">
      <cs:styleClr val="4294967295"/>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4294967295"/>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4294967295"/>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5.xml"/></Relationships>
</file>

<file path=xl/drawings/_rels/drawing2.xml.rels><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6.xml"/></Relationships>
</file>

<file path=xl/drawings/_rels/drawing3.xml.rels><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7.xml"/></Relationships>
</file>

<file path=xl/drawings/_rels/drawing4.xml.rels><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161925</xdr:colOff>
      <xdr:row>33</xdr:row>
      <xdr:rowOff>142875</xdr:rowOff>
    </xdr:from>
    <xdr:to>
      <xdr:col>4</xdr:col>
      <xdr:colOff>523875</xdr:colOff>
      <xdr:row>50</xdr:row>
      <xdr:rowOff>200025</xdr:rowOff>
    </xdr:to>
    <xdr:graphicFrame>
      <xdr:nvGraphicFramePr>
        <xdr:cNvPr id="3" name="__G_SIRENE_002"/>
        <xdr:cNvGraphicFramePr/>
      </xdr:nvGraphicFramePr>
      <xdr:xfrm>
        <a:off x="1914525" y="7686675"/>
        <a:ext cx="7162800" cy="39433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638175</xdr:colOff>
      <xdr:row>25</xdr:row>
      <xdr:rowOff>152400</xdr:rowOff>
    </xdr:from>
    <xdr:to>
      <xdr:col>6</xdr:col>
      <xdr:colOff>2019300</xdr:colOff>
      <xdr:row>54</xdr:row>
      <xdr:rowOff>133350</xdr:rowOff>
    </xdr:to>
    <xdr:graphicFrame>
      <xdr:nvGraphicFramePr>
        <xdr:cNvPr id="3" name="__G_SIRENE_003"/>
        <xdr:cNvGraphicFramePr/>
      </xdr:nvGraphicFramePr>
      <xdr:xfrm>
        <a:off x="3095625" y="4933950"/>
        <a:ext cx="7839075" cy="55054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180975</xdr:colOff>
      <xdr:row>32</xdr:row>
      <xdr:rowOff>47625</xdr:rowOff>
    </xdr:from>
    <xdr:to>
      <xdr:col>12</xdr:col>
      <xdr:colOff>285750</xdr:colOff>
      <xdr:row>58</xdr:row>
      <xdr:rowOff>28575</xdr:rowOff>
    </xdr:to>
    <xdr:graphicFrame>
      <xdr:nvGraphicFramePr>
        <xdr:cNvPr id="3" name="__G_SIRENE_004"/>
        <xdr:cNvGraphicFramePr/>
      </xdr:nvGraphicFramePr>
      <xdr:xfrm>
        <a:off x="3400425" y="6181725"/>
        <a:ext cx="9648825" cy="49339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190500</xdr:colOff>
      <xdr:row>44</xdr:row>
      <xdr:rowOff>0</xdr:rowOff>
    </xdr:from>
    <xdr:to>
      <xdr:col>6</xdr:col>
      <xdr:colOff>0</xdr:colOff>
      <xdr:row>69</xdr:row>
      <xdr:rowOff>9525</xdr:rowOff>
    </xdr:to>
    <xdr:graphicFrame>
      <xdr:nvGraphicFramePr>
        <xdr:cNvPr id="2" name="__G_SIRENE_006"/>
        <xdr:cNvGraphicFramePr/>
      </xdr:nvGraphicFramePr>
      <xdr:xfrm>
        <a:off x="1066800" y="9220200"/>
        <a:ext cx="11601450" cy="52482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eme_COMPAS3">
  <a:themeElements>
    <a:clrScheme name="Personnalisé 1">
      <a:dk1>
        <a:sysClr val="windowText" lastClr="000000"/>
      </a:dk1>
      <a:lt1>
        <a:sysClr val="window" lastClr="FFFFFF"/>
      </a:lt1>
      <a:dk2>
        <a:srgbClr val="133A7E"/>
      </a:dk2>
      <a:lt2>
        <a:srgbClr val="C3D8FE"/>
      </a:lt2>
      <a:accent1>
        <a:srgbClr val="005A9A"/>
      </a:accent1>
      <a:accent2>
        <a:srgbClr val="0080BB"/>
      </a:accent2>
      <a:accent3>
        <a:srgbClr val="BAC03B"/>
      </a:accent3>
      <a:accent4>
        <a:srgbClr val="FFD631"/>
      </a:accent4>
      <a:accent5>
        <a:srgbClr val="F18700"/>
      </a:accent5>
      <a:accent6>
        <a:srgbClr val="C51718"/>
      </a:accent6>
      <a:hlink>
        <a:srgbClr val="5235BC"/>
      </a:hlink>
      <a:folHlink>
        <a:srgbClr val="C166DD"/>
      </a:folHlink>
    </a:clrScheme>
    <a:fontScheme name="Personnalisé 1">
      <a:majorFont>
        <a:latin typeface="Roboto"/>
        <a:ea typeface=""/>
        <a:cs typeface=""/>
      </a:majorFont>
      <a:minorFont>
        <a:latin typeface="Roboto"/>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Relationships xmlns="http://schemas.openxmlformats.org/package/2006/relationships"><Relationship Id="rId1" Type="http://schemas.openxmlformats.org/officeDocument/2006/relationships/printerSettings" Target="../printerSettings/printerSettings1.bin"/></Relationships>
</file>

<file path=xl/worksheets/_rels/sheet4.xml.rels><Relationships xmlns="http://schemas.openxmlformats.org/package/2006/relationships"><Relationship Id="rId1" Type="http://schemas.openxmlformats.org/officeDocument/2006/relationships/printerSettings" Target="../printerSettings/printerSettings2.bin"/></Relationships>
</file>

<file path=xl/worksheets/_rels/sheet5.xml.rels><Relationships xmlns="http://schemas.openxmlformats.org/package/2006/relationships"><Relationship Id="rId1" Type="http://schemas.openxmlformats.org/officeDocument/2006/relationships/printerSettings" Target="../printerSettings/printerSettings3.bin"/></Relationships>
</file>

<file path=xl/worksheets/_rels/sheet6.xml.rels><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1.xml"/></Relationships>
</file>

<file path=xl/worksheets/_rels/sheet7.xml.rel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Relationships xmlns="http://schemas.openxmlformats.org/package/2006/relationships"><Relationship Id="rId1" Type="http://schemas.openxmlformats.org/officeDocument/2006/relationships/drawing" Target="../drawings/drawing3.xml"/></Relationships>
</file>

<file path=xl/worksheets/_rels/sheet9.xml.rels><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57">
    <tabColor theme="1" tint="0.49995422223578601"/>
  </sheetPr>
  <dimension ref="A1:K17"/>
  <sheetViews>
    <sheetView showGridLines="false" workbookViewId="0" topLeftCell="A1">
      <pane ySplit="1" topLeftCell="A2" activePane="bottomLeft" state="frozen"/>
      <selection activeCell="H31" sqref="H31"/>
      <selection pane="bottomLeft" activeCell="C26" sqref="C26"/>
    </sheetView>
  </sheetViews>
  <sheetFormatPr baseColWidth="10" defaultColWidth="11" defaultRowHeight="15" customHeight="1" x14ac:dyDescent="0.2" outlineLevelRow="0" outlineLevelCol="0"/>
  <cols>
    <col min="1" max="1" width="28.25" style="1" customWidth="1"/>
    <col min="2" max="2" width="17.625" style="1" customWidth="1"/>
    <col min="3" max="3" width="21.625" style="1" customWidth="1"/>
    <col min="4" max="4" width="86.75" style="1" customWidth="1"/>
    <col min="5" max="5" width="10.625" style="1" customWidth="1"/>
    <col min="6" max="6" width="10.625" style="1" customWidth="1"/>
    <col min="7" max="7" width="14.875" style="1" customWidth="1"/>
    <col min="8" max="8" width="21.5" style="1" customWidth="1"/>
    <col min="9" max="9" width="9.25" style="1" customWidth="1"/>
    <col min="10" max="10" width="46" style="1" customWidth="1"/>
    <col min="11" max="11" width="16" style="1" customWidth="1"/>
    <col min="12" max="12" width="28.25" style="1" customWidth="1"/>
    <col min="13" max="16384" width="11" style="1"/>
  </cols>
  <sheetData>
    <row r="1">
      <c r="A1" s="28" t="s">
        <v>0</v>
      </c>
      <c r="B1" s="28" t="s">
        <v>1</v>
      </c>
      <c r="C1" s="28" t="s">
        <v>2</v>
      </c>
      <c r="D1" s="28" t="s">
        <v>3</v>
      </c>
      <c r="E1" s="28" t="s">
        <v>4</v>
      </c>
      <c r="F1" s="28" t="s">
        <v>5</v>
      </c>
      <c r="G1" s="28" t="s">
        <v>6</v>
      </c>
      <c r="H1" s="28" t="s">
        <v>7</v>
      </c>
      <c r="I1" s="28" t="s">
        <v>8</v>
      </c>
      <c r="J1" s="28" t="s">
        <v>9</v>
      </c>
      <c r="K1" s="28" t="s">
        <v>10</v>
      </c>
    </row>
    <row r="2">
      <c r="A2" s="2" t="s">
        <v>96</v>
      </c>
      <c r="B2" s="2" t="s">
        <v>66</v>
      </c>
      <c r="C2" s="2" t="s">
        <v>73</v>
      </c>
      <c r="D2" s="81" t="s">
        <v>72</v>
      </c>
      <c r="E2" s="2" t="s">
        <v>68</v>
      </c>
      <c r="F2" s="2"/>
      <c r="G2" s="2"/>
      <c r="H2" s="2"/>
      <c r="I2" s="2"/>
    </row>
    <row r="3">
      <c r="A3" s="82" t="s">
        <v>96</v>
      </c>
      <c r="B3" s="2" t="s">
        <v>66</v>
      </c>
      <c r="C3" s="2" t="s">
        <v>67</v>
      </c>
      <c r="D3" s="81" t="s">
        <v>71</v>
      </c>
      <c r="E3" s="2" t="s">
        <v>51</v>
      </c>
      <c r="F3" s="2"/>
      <c r="G3" s="2"/>
      <c r="H3" s="2"/>
      <c r="I3" s="2"/>
    </row>
    <row r="4">
      <c r="A4" s="2" t="s">
        <v>96</v>
      </c>
      <c r="B4" s="2" t="s">
        <v>185</v>
      </c>
      <c r="C4" s="2" t="s">
        <v>110</v>
      </c>
      <c r="D4" s="81" t="s">
        <v>176</v>
      </c>
      <c r="E4" s="2" t="s">
        <v>98</v>
      </c>
      <c r="F4" s="2"/>
      <c r="G4" s="2"/>
      <c r="H4" s="2"/>
      <c r="I4" s="2"/>
    </row>
    <row r="5">
      <c r="A5" s="2" t="s">
        <v>96</v>
      </c>
      <c r="B5" s="2" t="s">
        <v>185</v>
      </c>
      <c r="C5" s="2" t="s">
        <v>97</v>
      </c>
      <c r="D5" s="81" t="s">
        <v>175</v>
      </c>
      <c r="E5" s="2" t="s">
        <v>51</v>
      </c>
      <c r="F5" s="2"/>
      <c r="G5" s="2"/>
      <c r="H5" s="2"/>
      <c r="I5" s="2"/>
    </row>
    <row r="6">
      <c r="A6" s="2" t="s">
        <v>96</v>
      </c>
      <c r="B6" s="2" t="s">
        <v>186</v>
      </c>
      <c r="C6" s="2" t="s">
        <v>112</v>
      </c>
      <c r="D6" s="81" t="s">
        <v>113</v>
      </c>
      <c r="E6" s="2" t="s">
        <v>98</v>
      </c>
      <c r="F6" s="2"/>
      <c r="G6" s="2"/>
      <c r="H6" s="2"/>
      <c r="I6" s="2"/>
    </row>
    <row r="7">
      <c r="A7" s="2" t="s">
        <v>96</v>
      </c>
      <c r="B7" s="2" t="s">
        <v>186</v>
      </c>
      <c r="C7" s="2" t="s">
        <v>111</v>
      </c>
      <c r="D7" s="81" t="s">
        <v>184</v>
      </c>
      <c r="E7" s="2" t="s">
        <v>51</v>
      </c>
      <c r="F7" s="2"/>
      <c r="G7" s="2"/>
      <c r="H7" s="2"/>
      <c r="I7" s="2"/>
    </row>
    <row r="8">
      <c r="A8" s="2" t="s">
        <v>96</v>
      </c>
      <c r="B8" s="2" t="s">
        <v>187</v>
      </c>
      <c r="C8" s="2" t="s">
        <v>141</v>
      </c>
      <c r="D8" s="81" t="s">
        <v>142</v>
      </c>
      <c r="E8" s="2" t="s">
        <v>98</v>
      </c>
      <c r="F8" s="2"/>
      <c r="G8" s="2"/>
      <c r="H8" s="2"/>
      <c r="I8" s="2"/>
    </row>
    <row r="9">
      <c r="A9" s="2" t="s">
        <v>96</v>
      </c>
      <c r="B9" s="2" t="s">
        <v>187</v>
      </c>
      <c r="C9" s="2" t="s">
        <v>139</v>
      </c>
      <c r="D9" s="81" t="s">
        <v>140</v>
      </c>
      <c r="E9" s="2" t="s">
        <v>51</v>
      </c>
      <c r="F9" s="2"/>
      <c r="G9" s="2"/>
      <c r="H9" s="2"/>
      <c r="I9" s="2"/>
    </row>
    <row r="10">
      <c r="A10" s="2" t="s">
        <v>96</v>
      </c>
      <c r="B10" s="2" t="s">
        <v>188</v>
      </c>
      <c r="C10" s="2" t="s">
        <v>162</v>
      </c>
      <c r="D10" s="81" t="s">
        <v>163</v>
      </c>
      <c r="E10" s="2" t="s">
        <v>68</v>
      </c>
      <c r="F10" s="2"/>
      <c r="G10" s="2"/>
      <c r="H10" s="2"/>
      <c r="I10" s="2"/>
    </row>
    <row r="11">
      <c r="A11" s="2" t="s">
        <v>96</v>
      </c>
      <c r="B11" s="2" t="s">
        <v>188</v>
      </c>
      <c r="C11" s="2" t="s">
        <v>164</v>
      </c>
      <c r="D11" s="81" t="s">
        <v>165</v>
      </c>
      <c r="E11" s="2" t="s">
        <v>51</v>
      </c>
      <c r="F11" s="2"/>
      <c r="G11" s="2"/>
      <c r="H11" s="2"/>
      <c r="I11" s="2"/>
    </row>
    <row r="12">
      <c r="A12" s="2" t="s">
        <v>96</v>
      </c>
      <c r="B12" s="2" t="s">
        <v>189</v>
      </c>
      <c r="C12" s="2" t="s">
        <v>179</v>
      </c>
      <c r="D12" s="81" t="s">
        <v>180</v>
      </c>
      <c r="E12" s="2" t="s">
        <v>98</v>
      </c>
      <c r="F12" s="2"/>
      <c r="G12" s="2"/>
      <c r="H12" s="2"/>
      <c r="I12" s="2"/>
    </row>
    <row r="13">
      <c r="A13" s="2" t="s">
        <v>96</v>
      </c>
      <c r="B13" s="2" t="s">
        <v>189</v>
      </c>
      <c r="C13" s="2" t="s">
        <v>177</v>
      </c>
      <c r="D13" s="81" t="s">
        <v>178</v>
      </c>
      <c r="E13" s="2" t="s">
        <v>51</v>
      </c>
      <c r="F13" s="2"/>
      <c r="G13" s="2"/>
      <c r="H13" s="2"/>
      <c r="I13" s="2"/>
    </row>
    <row r="14">
      <c r="A14" s="2" t="s">
        <v>96</v>
      </c>
      <c r="B14" s="2" t="s">
        <v>66</v>
      </c>
      <c r="C14" s="2" t="s">
        <v>234</v>
      </c>
      <c r="D14" s="81" t="s">
        <v>235</v>
      </c>
      <c r="E14" s="2" t="s">
        <v>51</v>
      </c>
      <c r="F14" s="2"/>
      <c r="G14" s="2"/>
      <c r="H14" s="2"/>
      <c r="I14" s="2"/>
    </row>
    <row r="15">
      <c r="A15" s="2" t="s">
        <v>96</v>
      </c>
      <c r="B15" s="2" t="s">
        <v>185</v>
      </c>
      <c r="C15" s="2" t="s">
        <v>236</v>
      </c>
      <c r="D15" s="81" t="s">
        <v>237</v>
      </c>
      <c r="E15" s="2" t="s">
        <v>51</v>
      </c>
      <c r="F15" s="2"/>
      <c r="G15" s="2"/>
      <c r="H15" s="2"/>
      <c r="I15" s="2"/>
    </row>
    <row r="16">
      <c r="A16" s="2" t="s">
        <v>96</v>
      </c>
      <c r="B16" s="2" t="s">
        <v>187</v>
      </c>
      <c r="C16" s="2" t="s">
        <v>238</v>
      </c>
      <c r="D16" s="81" t="s">
        <v>239</v>
      </c>
      <c r="E16" s="2" t="s">
        <v>51</v>
      </c>
      <c r="F16" s="2"/>
      <c r="G16" s="2"/>
      <c r="H16" s="2"/>
      <c r="I16" s="2"/>
    </row>
    <row r="17">
      <c r="A17" s="2" t="s">
        <v>96</v>
      </c>
      <c r="B17" s="2" t="s">
        <v>189</v>
      </c>
      <c r="C17" s="2" t="s">
        <v>240</v>
      </c>
      <c r="D17" s="81" t="s">
        <v>242</v>
      </c>
      <c r="E17" s="2" t="s">
        <v>51</v>
      </c>
      <c r="F17" s="2"/>
      <c r="G17" s="2"/>
      <c r="H17" s="2"/>
      <c r="I17" s="2"/>
    </row>
  </sheetData>
  <autoFilter ref="A1:K1" xr:uid="{00000000-0009-0000-0000-000000000000}"/>
  <hyperlinks>
    <hyperlink ref="D2" location="=Etablissements!$B$8:$E$13" tooltip="=Etablissements!$B$8:$E$13" display="SIRENE 001 - Tab - Nombre établissements" xr:uid="{00000000-0004-0000-0000-000000000000}"/>
    <hyperlink ref="D3" location="=Etablissements!$C$17" tooltip="=Etablissements!$C$17" display="SIRENE 001 - Tab lecture - Nombre établissements" xr:uid="{00000000-0004-0000-0000-000001000000}"/>
    <hyperlink ref="D14" location="=Etablissements!$C$22" tooltip="=Etablissements!$C$22" display="SIRENE 007 - Texte - Nombre établissements" xr:uid="{00000000-0004-0000-0000-000002000000}"/>
    <hyperlink ref="D5" location="=Secteur_Activité!$C$55" tooltip="=Secteur_Activité!$C$55" display="SIRENE 002 - Graph lecture - Nombre établissements par secteur activité" xr:uid="{00000000-0004-0000-0000-000003000000}"/>
    <hyperlink ref="D15" location="=Secteur_Activité!$C$60" tooltip="=Secteur_Activité!$C$60" display="SIRENE 008 - Texte - Nombre établissements par secteur activité" xr:uid="{00000000-0004-0000-0000-000004000000}"/>
    <hyperlink ref="D4" location="Secteur_Activité!C17" tooltip="Secteur_Activité!C17" display="SIRENE 002 - Graph - Etablissements par secteurs activité" xr:uid="{00000000-0004-0000-0000-000005000000}"/>
    <hyperlink ref="D7" location="=Effectifs_salariés!$C$59" tooltip="=Effectifs_salariés!$C$59" display="SIRENE 003 - Graph lecture - Etablissements par effectif salariés" xr:uid="{00000000-0004-0000-0000-000006000000}"/>
    <hyperlink ref="D6" location="Effectifs_salariés!C14" tooltip="Effectifs_salariés!C14" display="SIRENE 003 - Graph - Etablissements par effectif salariés" xr:uid="{00000000-0004-0000-0000-000007000000}"/>
    <hyperlink ref="D9" location="=Evolution_Créations!$D$63" tooltip="=Evolution_Créations!$D$63" display="SIRENE 004 - Graph lecture -  Evolution des créations établissements" xr:uid="{00000000-0004-0000-0000-000008000000}"/>
    <hyperlink ref="D16" location="=Evolution_Créations!$D$68" tooltip="=Evolution_Créations!$D$68" display="SIRENE 009 - Texte -  Evolution des créations établissements" xr:uid="{00000000-0004-0000-0000-000009000000}"/>
    <hyperlink ref="D8" location="Evolution_Créations!L5" tooltip="Evolution_Créations!L5" display="SIRENE 004 - Graph - Evolution des créations établissements" xr:uid="{00000000-0004-0000-0000-00000A000000}"/>
    <hyperlink ref="D10" location="=Etablissements_ESS!$B$7:$G$14" tooltip="=Etablissements_ESS!$B$7:$G$14" display="SIRENE 005 - Tab - Etablissements ESS" xr:uid="{00000000-0004-0000-0000-00000B000000}"/>
    <hyperlink ref="D11" location="=Etablissements_ESS!$C$18" tooltip="=Etablissements_ESS!$C$18" display="SIRENE 005 - Tab lecture - Etablissements ESS" xr:uid="{00000000-0004-0000-0000-00000C000000}"/>
    <hyperlink ref="D13" location="=Secteur_activité_ESS!$D$74" tooltip="=Secteur_activité_ESS!$D$74" display="SIRENE 006 - Graph lecture - Etablissement ESS par secteur activité" xr:uid="{00000000-0004-0000-0000-00000D000000}"/>
    <hyperlink ref="D17" location="=Secteur_activité_ESS!$D$79" tooltip="=Secteur_activité_ESS!$D$79" display="SIRENE 010 - Texte - Etablissement ESS par secteur activité" xr:uid="{00000000-0004-0000-0000-00000E000000}"/>
    <hyperlink ref="D12" location="Secteur_activité_ESS!B23" tooltip="Secteur_activité_ESS!B23" display="SIRENE 006 - Graph - Etablissement ESS par secteur activité" xr:uid="{00000000-0004-0000-0000-00000F000000}"/>
  </hyperlinks>
  <pageMargins left="0.7" right="0.7" top="0.75" bottom="0.75" header="0.3" footer="0.3"/>
  <pageSetup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R79"/>
  <sheetViews>
    <sheetView showGridLines="false" topLeftCell="A34" workbookViewId="0">
      <selection activeCell="F40" sqref="F40"/>
    </sheetView>
  </sheetViews>
  <sheetFormatPr baseColWidth="10" defaultColWidth="11" defaultRowHeight="16.5" customHeight="1" x14ac:dyDescent="0.25" outlineLevelRow="0" outlineLevelCol="0"/>
  <cols>
    <col min="2" max="2" width="56.75" bestFit="1" customWidth="1"/>
    <col min="3" max="3" width="13.625" bestFit="1" customWidth="1"/>
    <col min="4" max="4" width="17.375" customWidth="1"/>
    <col min="6" max="6" width="55.75" customWidth="1"/>
    <col min="7" max="7" width="11" customWidth="1"/>
    <col min="8" max="8" width="15.125" bestFit="1" customWidth="1"/>
  </cols>
  <sheetData>
    <row r="1">
      <c r="C1" s="119" t="s">
        <v>50</v>
      </c>
      <c r="D1" s="21" t="str">
        <f>Infos!G3</f>
        <v>SIRENE Etablissements</v>
      </c>
    </row>
    <row r="2">
      <c r="C2" s="119"/>
      <c r="D2" s="22" t="str">
        <f>Infos!H3</f>
        <v>01/01/2023</v>
      </c>
    </row>
    <row r="4">
      <c r="B4" t="str">
        <f>Infos!E7</f>
        <v>à Portivechju</v>
      </c>
    </row>
    <row r="5">
      <c r="B5" s="29"/>
    </row>
    <row r="6">
      <c r="B6" s="52"/>
      <c r="C6" s="52" t="str">
        <f>IF(Infos!C8="COM",Infos!C6,Infos!C5)</f>
        <v>Portivechju</v>
      </c>
      <c r="D6" s="52" t="str">
        <f>IF(Infos!C16="COM",Infos!C14,Infos!C13)</f>
        <v>CC du Sud Corse</v>
      </c>
    </row>
    <row r="7">
      <c r="B7" s="72" t="s">
        <v>152</v>
      </c>
      <c r="C7" s="40">
        <v>87</v>
      </c>
      <c r="D7" s="40">
        <v>138</v>
      </c>
    </row>
    <row r="8">
      <c r="B8" s="72" t="s">
        <v>153</v>
      </c>
      <c r="C8" s="40">
        <v>16</v>
      </c>
      <c r="D8" s="40">
        <v>29</v>
      </c>
    </row>
    <row r="9">
      <c r="B9" s="72" t="s">
        <v>154</v>
      </c>
      <c r="C9" s="40">
        <v>79</v>
      </c>
      <c r="D9" s="40">
        <v>140</v>
      </c>
    </row>
    <row r="10">
      <c r="B10" s="72" t="s">
        <v>155</v>
      </c>
      <c r="C10" s="40">
        <v>20</v>
      </c>
      <c r="D10" s="40">
        <v>30</v>
      </c>
    </row>
    <row r="11">
      <c r="B11" s="72" t="s">
        <v>156</v>
      </c>
      <c r="C11" s="40">
        <v>13</v>
      </c>
      <c r="D11" s="40">
        <v>21</v>
      </c>
    </row>
    <row r="12">
      <c r="B12" s="72" t="s">
        <v>157</v>
      </c>
      <c r="C12" s="40">
        <v>1</v>
      </c>
      <c r="D12" s="40">
        <v>1</v>
      </c>
      <c r="I12" s="31"/>
      <c r="J12" s="31"/>
      <c r="K12" s="31"/>
      <c r="L12" s="31"/>
      <c r="M12" s="31"/>
      <c r="N12" s="31"/>
    </row>
    <row r="13">
      <c r="B13" s="72" t="s">
        <v>166</v>
      </c>
      <c r="C13" s="40">
        <v>13</v>
      </c>
      <c r="D13" s="40">
        <v>17</v>
      </c>
      <c r="H13" s="31"/>
    </row>
    <row r="14">
      <c r="B14" s="73" t="s">
        <v>167</v>
      </c>
      <c r="C14" s="40">
        <v>1</v>
      </c>
      <c r="D14" s="40">
        <v>2</v>
      </c>
      <c r="I14" s="31"/>
      <c r="J14" s="31"/>
      <c r="K14" s="31"/>
      <c r="L14" s="31"/>
    </row>
    <row r="15">
      <c r="B15" s="73" t="s">
        <v>80</v>
      </c>
      <c r="C15" s="40">
        <v>2</v>
      </c>
      <c r="D15" s="40">
        <v>5</v>
      </c>
      <c r="I15" s="31"/>
      <c r="J15" s="31"/>
      <c r="K15" s="31"/>
      <c r="L15" s="31"/>
      <c r="M15" s="31"/>
    </row>
    <row r="16">
      <c r="B16" s="74" t="s">
        <v>78</v>
      </c>
      <c r="C16" s="40">
        <v>3</v>
      </c>
      <c r="D16" s="40">
        <v>3</v>
      </c>
      <c r="I16" s="31"/>
      <c r="J16" s="31"/>
      <c r="K16" s="31"/>
      <c r="L16" s="31"/>
      <c r="M16" s="31"/>
    </row>
    <row r="17">
      <c r="B17" s="74" t="s">
        <v>77</v>
      </c>
      <c r="C17" s="40">
        <v>4</v>
      </c>
      <c r="D17" s="40">
        <v>5</v>
      </c>
      <c r="I17" s="31"/>
      <c r="J17" s="31"/>
      <c r="K17" s="31"/>
      <c r="L17" s="31"/>
      <c r="M17" s="31"/>
    </row>
    <row r="18">
      <c r="B18" s="74" t="s">
        <v>168</v>
      </c>
      <c r="C18" s="40">
        <v>10</v>
      </c>
      <c r="D18" s="40">
        <v>12</v>
      </c>
      <c r="F18" s="85" t="s">
        <v>195</v>
      </c>
      <c r="G18" s="84"/>
      <c r="H18" s="84"/>
      <c r="I18" s="106"/>
      <c r="J18" s="106"/>
      <c r="K18" s="106"/>
      <c r="L18" s="106"/>
      <c r="M18" s="106"/>
      <c r="N18" s="84"/>
      <c r="O18" s="84"/>
      <c r="P18" s="84"/>
      <c r="Q18" s="84"/>
      <c r="R18" s="84"/>
    </row>
    <row r="19">
      <c r="B19" s="74" t="s">
        <v>169</v>
      </c>
      <c r="C19" s="40">
        <v>5</v>
      </c>
      <c r="D19" s="40">
        <v>9</v>
      </c>
      <c r="F19" s="107" t="s">
        <v>198</v>
      </c>
      <c r="G19" s="108"/>
      <c r="H19" s="108"/>
      <c r="I19" s="109"/>
      <c r="J19" s="109"/>
      <c r="K19" s="109"/>
      <c r="L19" s="109"/>
      <c r="M19" s="109"/>
      <c r="N19" s="108"/>
      <c r="O19" s="108"/>
      <c r="P19" s="108"/>
      <c r="Q19" s="108"/>
      <c r="R19" s="110"/>
    </row>
    <row r="20">
      <c r="B20" s="77" t="s">
        <v>105</v>
      </c>
      <c r="C20" s="78">
        <f>SUM(C7:C19)</f>
        <v>254</v>
      </c>
      <c r="D20" s="78">
        <f>SUM(D7:D19)</f>
        <v>412</v>
      </c>
      <c r="F20" s="93">
        <f>MAX(C25:C37)</f>
        <v>34.25196850393701</v>
      </c>
      <c r="G20" s="91" t="str">
        <f>HLOOKUP(F20,F24:R25,2,FALSE)</f>
        <v>des activités des organisations associatives</v>
      </c>
      <c r="H20" s="91"/>
      <c r="I20" s="111"/>
      <c r="J20" s="111"/>
      <c r="K20" s="111"/>
      <c r="L20" s="111"/>
      <c r="M20" s="91"/>
      <c r="N20" s="91"/>
      <c r="O20" s="91"/>
      <c r="P20" s="91"/>
      <c r="Q20" s="91"/>
      <c r="R20" s="92"/>
    </row>
    <row r="21">
      <c r="C21" s="44"/>
      <c r="F21" s="93">
        <f>LARGE(C25:C37,2)</f>
        <v>31.10236220472441</v>
      </c>
      <c r="G21" s="91" t="str">
        <f>HLOOKUP(F21,F24:R25,2,FALSE)</f>
        <v>des activités sportives, récréatives et de loisirs</v>
      </c>
      <c r="H21" s="91"/>
      <c r="I21" s="91"/>
      <c r="J21" s="91"/>
      <c r="K21" s="91"/>
      <c r="L21" s="91"/>
      <c r="M21" s="91"/>
      <c r="N21" s="91"/>
      <c r="O21" s="91"/>
      <c r="P21" s="91"/>
      <c r="Q21" s="91"/>
      <c r="R21" s="92"/>
    </row>
    <row r="22">
      <c r="D22" s="74"/>
      <c r="F22" s="93">
        <f>LARGE(C25:C37,3)</f>
        <v>7.874015748031496</v>
      </c>
      <c r="G22" s="91" t="str">
        <f>HLOOKUP(F22,F24:R25,2,FALSE)</f>
        <v>de l'enseignement</v>
      </c>
      <c r="H22" s="91"/>
      <c r="I22" s="91"/>
      <c r="J22" s="91"/>
      <c r="K22" s="91"/>
      <c r="L22" s="91"/>
      <c r="M22" s="91"/>
      <c r="N22" s="91"/>
      <c r="O22" s="91"/>
      <c r="P22" s="91"/>
      <c r="Q22" s="91"/>
      <c r="R22" s="92"/>
    </row>
    <row r="23">
      <c r="B23" s="83" t="s">
        <v>170</v>
      </c>
      <c r="F23" s="93"/>
      <c r="G23" s="91"/>
      <c r="H23" s="91"/>
      <c r="I23" s="91"/>
      <c r="J23" s="91"/>
      <c r="K23" s="91"/>
      <c r="L23" s="91"/>
      <c r="M23" s="91"/>
      <c r="N23" s="91"/>
      <c r="O23" s="91"/>
      <c r="P23" s="91"/>
      <c r="Q23" s="91"/>
      <c r="R23" s="92"/>
    </row>
    <row r="24">
      <c r="B24" s="52" t="s">
        <v>151</v>
      </c>
      <c r="C24" s="52" t="str">
        <f>C6</f>
        <v>Portivechju</v>
      </c>
      <c r="D24" s="52" t="str">
        <f>D6</f>
        <v>CC du Sud Corse</v>
      </c>
      <c r="F24" s="93">
        <f>C25</f>
        <v>34.25196850393701</v>
      </c>
      <c r="G24" s="94">
        <f>C26</f>
        <v>6.299212598425196</v>
      </c>
      <c r="H24" s="94">
        <f>C27</f>
        <v>31.10236220472441</v>
      </c>
      <c r="I24" s="94">
        <f>C28</f>
        <v>7.874015748031496</v>
      </c>
      <c r="J24" s="94">
        <f>C29</f>
        <v>5.118110236220472</v>
      </c>
      <c r="K24" s="94">
        <f>C30</f>
        <v>0.39370078740157477</v>
      </c>
      <c r="L24" s="94">
        <f>C31</f>
        <v>5.118110236220472</v>
      </c>
      <c r="M24" s="94">
        <f>C32</f>
        <v>0.39370078740157477</v>
      </c>
      <c r="N24" s="94">
        <f>C33</f>
        <v>0.7874015748031495</v>
      </c>
      <c r="O24" s="94">
        <f>C34</f>
        <v>1.1811023622047243</v>
      </c>
      <c r="P24" s="94">
        <f>C35</f>
        <v>1.574803149606299</v>
      </c>
      <c r="Q24" s="94">
        <f>C36</f>
        <v>3.937007874015748</v>
      </c>
      <c r="R24" s="95">
        <f>C37</f>
        <v>1.968503937007874</v>
      </c>
    </row>
    <row r="25">
      <c r="B25" s="72" t="str">
        <f>B7</f>
        <v>Activités des organisations associatives</v>
      </c>
      <c r="C25" s="75">
        <f>C7/C$20*100</f>
        <v>34.25196850393701</v>
      </c>
      <c r="D25" s="75">
        <f>D7/D$20*100</f>
        <v>33.49514563106796</v>
      </c>
      <c r="F25" s="90" t="s">
        <v>224</v>
      </c>
      <c r="G25" s="91" t="s">
        <v>225</v>
      </c>
      <c r="H25" s="91" t="s">
        <v>226</v>
      </c>
      <c r="I25" s="91" t="s">
        <v>227</v>
      </c>
      <c r="J25" s="91" t="s">
        <v>228</v>
      </c>
      <c r="K25" s="91" t="s">
        <v>229</v>
      </c>
      <c r="L25" s="91" t="s">
        <v>230</v>
      </c>
      <c r="M25" s="91" t="s">
        <v>231</v>
      </c>
      <c r="N25" s="91" t="s">
        <v>208</v>
      </c>
      <c r="O25" s="91" t="s">
        <v>204</v>
      </c>
      <c r="P25" s="91" t="s">
        <v>203</v>
      </c>
      <c r="Q25" s="91" t="s">
        <v>232</v>
      </c>
      <c r="R25" s="92" t="s">
        <v>233</v>
      </c>
    </row>
    <row r="26">
      <c r="B26" s="72" t="str">
        <f>B8</f>
        <v>Activités créatives, artistiques et de spectacle</v>
      </c>
      <c r="C26" s="75">
        <f>C8/C$20*100</f>
        <v>6.299212598425196</v>
      </c>
      <c r="D26" s="75">
        <f>D8/D$20*100</f>
        <v>7.038834951456311</v>
      </c>
      <c r="F26" s="90"/>
      <c r="G26" s="91"/>
      <c r="H26" s="91"/>
      <c r="I26" s="91"/>
      <c r="J26" s="91"/>
      <c r="K26" s="91"/>
      <c r="L26" s="91"/>
      <c r="M26" s="91"/>
      <c r="N26" s="91"/>
      <c r="O26" s="91"/>
      <c r="P26" s="91"/>
      <c r="Q26" s="91"/>
      <c r="R26" s="92"/>
    </row>
    <row r="27">
      <c r="B27" s="72" t="str">
        <f>B9</f>
        <v>Activités sportives, récréatives et de loisirs</v>
      </c>
      <c r="C27" s="75">
        <f>C9/C$20*100</f>
        <v>31.10236220472441</v>
      </c>
      <c r="D27" s="75">
        <f>D9/D$20*100</f>
        <v>33.980582524271846</v>
      </c>
      <c r="F27" s="93">
        <f>MAX(D25:D37)</f>
        <v>33.980582524271846</v>
      </c>
      <c r="G27" s="91" t="str">
        <f>HLOOKUP(F27,F28:R29,2,FALSE)</f>
        <v>des activités sportives, récréatives et de loisirs</v>
      </c>
      <c r="H27" s="91"/>
      <c r="I27" s="91"/>
      <c r="J27" s="91"/>
      <c r="K27" s="91"/>
      <c r="L27" s="91"/>
      <c r="M27" s="91"/>
      <c r="N27" s="91"/>
      <c r="O27" s="91"/>
      <c r="P27" s="91"/>
      <c r="Q27" s="91"/>
      <c r="R27" s="92"/>
    </row>
    <row r="28">
      <c r="B28" s="72" t="str">
        <f>B10</f>
        <v>Enseignement</v>
      </c>
      <c r="C28" s="75">
        <f>C10/C$20*100</f>
        <v>7.874015748031496</v>
      </c>
      <c r="D28" s="75">
        <f>D10/D$20*100</f>
        <v>7.281553398058252</v>
      </c>
      <c r="F28" s="93">
        <f>D25</f>
        <v>33.49514563106796</v>
      </c>
      <c r="G28" s="94">
        <f>D26</f>
        <v>7.038834951456311</v>
      </c>
      <c r="H28" s="94">
        <f>D27</f>
        <v>33.980582524271846</v>
      </c>
      <c r="I28" s="94">
        <f>D28</f>
        <v>7.281553398058252</v>
      </c>
      <c r="J28" s="94">
        <f>D29</f>
        <v>5.097087378640777</v>
      </c>
      <c r="K28" s="94">
        <f>D30</f>
        <v>0.24271844660194172</v>
      </c>
      <c r="L28" s="94">
        <f>D31</f>
        <v>4.12621359223301</v>
      </c>
      <c r="M28" s="94">
        <f>D32</f>
        <v>0.48543689320388345</v>
      </c>
      <c r="N28" s="94">
        <f>D33</f>
        <v>1.2135922330097086</v>
      </c>
      <c r="O28" s="94">
        <f>D34</f>
        <v>0.7281553398058253</v>
      </c>
      <c r="P28" s="94">
        <f>D35</f>
        <v>1.2135922330097086</v>
      </c>
      <c r="Q28" s="94">
        <f>D36</f>
        <v>2.912621359223301</v>
      </c>
      <c r="R28" s="95">
        <f>D37</f>
        <v>2.1844660194174756</v>
      </c>
    </row>
    <row r="29">
      <c r="B29" s="72" t="str">
        <f>B11</f>
        <v>Action sociale sans hébergement</v>
      </c>
      <c r="C29" s="75">
        <f>C11/C$20*100</f>
        <v>5.118110236220472</v>
      </c>
      <c r="D29" s="75">
        <f>D11/D$20*100</f>
        <v>5.097087378640777</v>
      </c>
      <c r="F29" s="90" t="s">
        <v>224</v>
      </c>
      <c r="G29" s="91" t="s">
        <v>225</v>
      </c>
      <c r="H29" s="91" t="s">
        <v>226</v>
      </c>
      <c r="I29" s="91" t="s">
        <v>227</v>
      </c>
      <c r="J29" s="91" t="s">
        <v>228</v>
      </c>
      <c r="K29" s="91" t="s">
        <v>229</v>
      </c>
      <c r="L29" s="91" t="s">
        <v>230</v>
      </c>
      <c r="M29" s="91" t="s">
        <v>231</v>
      </c>
      <c r="N29" s="91" t="s">
        <v>208</v>
      </c>
      <c r="O29" s="91" t="s">
        <v>204</v>
      </c>
      <c r="P29" s="91" t="s">
        <v>203</v>
      </c>
      <c r="Q29" s="91" t="s">
        <v>232</v>
      </c>
      <c r="R29" s="92" t="s">
        <v>233</v>
      </c>
    </row>
    <row r="30">
      <c r="B30" s="72" t="str">
        <f>B12</f>
        <v>Hébergement médico-social et social</v>
      </c>
      <c r="C30" s="75">
        <f>C12/C$20*100</f>
        <v>0.39370078740157477</v>
      </c>
      <c r="D30" s="75">
        <f>D12/D$20*100</f>
        <v>0.24271844660194172</v>
      </c>
      <c r="F30" s="90"/>
      <c r="G30" s="91"/>
      <c r="H30" s="91"/>
      <c r="I30" s="91"/>
      <c r="J30" s="91"/>
      <c r="K30" s="91"/>
      <c r="L30" s="91"/>
      <c r="M30" s="91"/>
      <c r="N30" s="91"/>
      <c r="O30" s="91"/>
      <c r="P30" s="91"/>
      <c r="Q30" s="91"/>
      <c r="R30" s="92"/>
    </row>
    <row r="31">
      <c r="B31" s="72" t="str">
        <f>B13</f>
        <v>Activités spécialisées, scientifq tech. et activités srvc admin.</v>
      </c>
      <c r="C31" s="75">
        <f>C13/C$20*100</f>
        <v>5.118110236220472</v>
      </c>
      <c r="D31" s="75">
        <f>D13/D$20*100</f>
        <v>4.12621359223301</v>
      </c>
      <c r="F31" s="96">
        <f>IF(G20=G27," également "," ")</f>
      </c>
      <c r="G31" s="97"/>
      <c r="H31" s="97"/>
      <c r="I31" s="97"/>
      <c r="J31" s="97"/>
      <c r="K31" s="97"/>
      <c r="L31" s="97"/>
      <c r="M31" s="97"/>
      <c r="N31" s="97"/>
      <c r="O31" s="97"/>
      <c r="P31" s="97"/>
      <c r="Q31" s="97"/>
      <c r="R31" s="98"/>
    </row>
    <row r="32">
      <c r="B32" s="72" t="str">
        <f>B14</f>
        <v>Admini.publique et santé humaine</v>
      </c>
      <c r="C32" s="75">
        <f>C14/C$20*100</f>
        <v>0.39370078740157477</v>
      </c>
      <c r="D32" s="75">
        <f>D14/D$20*100</f>
        <v>0.48543689320388345</v>
      </c>
    </row>
    <row r="33">
      <c r="B33" s="72" t="str">
        <f>B15</f>
        <v>Autres activités de services</v>
      </c>
      <c r="C33" s="75">
        <f>C15/C$20*100</f>
        <v>0.7874015748031495</v>
      </c>
      <c r="D33" s="75">
        <f>D15/D$20*100</f>
        <v>1.2135922330097086</v>
      </c>
    </row>
    <row r="34">
      <c r="B34" s="72" t="str">
        <f>B16</f>
        <v>Activités financières et d'assurance</v>
      </c>
      <c r="C34" s="75">
        <f>C16/C$20*100</f>
        <v>1.1811023622047243</v>
      </c>
      <c r="D34" s="75">
        <f>D16/D$20*100</f>
        <v>0.7281553398058253</v>
      </c>
    </row>
    <row r="35">
      <c r="B35" s="72" t="str">
        <f>B17</f>
        <v>Information et communication</v>
      </c>
      <c r="C35" s="75">
        <f>C17/C$20*100</f>
        <v>1.574803149606299</v>
      </c>
      <c r="D35" s="75">
        <f>D17/D$20*100</f>
        <v>1.2135922330097086</v>
      </c>
    </row>
    <row r="36">
      <c r="B36" s="72" t="str">
        <f>B18</f>
        <v>Commerce gros et détail, transports, hébergement et restauration</v>
      </c>
      <c r="C36" s="75">
        <f>C18/C$20*100</f>
        <v>3.937007874015748</v>
      </c>
      <c r="D36" s="75">
        <f>D18/D$20*100</f>
        <v>2.912621359223301</v>
      </c>
    </row>
    <row r="37">
      <c r="B37" s="72" t="str">
        <f>B19</f>
        <v>Autres activités</v>
      </c>
      <c r="C37" s="79">
        <f>C19/C$20*100</f>
        <v>1.968503937007874</v>
      </c>
      <c r="D37" s="79">
        <f>D19/D$20*100</f>
        <v>2.1844660194174756</v>
      </c>
    </row>
    <row r="38">
      <c r="B38" s="77" t="str">
        <f>B20</f>
        <v>Total</v>
      </c>
      <c r="C38" s="78"/>
      <c r="D38" s="78"/>
    </row>
    <row r="40">
      <c r="B40" s="54" t="s">
        <v>158</v>
      </c>
    </row>
    <row r="41">
      <c r="B41" s="30" t="str">
        <f>CONCATENATE("Source : Sirene "&amp;YEAR($D$2)&amp;" - Traitements © Compas")</f>
        <v>Source : Sirene 2023 - Traitements © Compas</v>
      </c>
    </row>
    <row r="73">
      <c r="C73" s="83" t="s">
        <v>173</v>
      </c>
      <c r="D73" s="84"/>
    </row>
    <row r="74">
      <c r="C74" s="99" t="str">
        <f>"Phrase "&amp;phrases!$A$7</f>
        <v>Phrase 6</v>
      </c>
      <c r="D74" s="84" t="str">
        <f>AFFICHERPHRASE(phrases!$A$7,0,TEXT(C25,"0,0"),B4,YEAR(D2))</f>
        <v>Lecture : Les activités des organisations associatives représentent 34,3% des établissements de l’ESS à Portivechju en 2023.</v>
      </c>
    </row>
    <row r="75">
      <c r="C75" s="84"/>
      <c r="D75" s="84"/>
    </row>
    <row r="76">
      <c r="C76" s="80" t="str">
        <f>"Phrase "&amp;phrases!A14</f>
        <v>Phrase 13</v>
      </c>
      <c r="D76" s="84" t="str">
        <f>AFFICHERPHRASE(phrases!A14,0,YEAR(D2),B4,TEXT(ROUND(F20,0),"0"),G20,G21,TEXT(ROUND(F21,0),"0"),G22,TEXT(ROUND(F22,0),"0"))</f>
        <v>En 2023 à Portivechju, 34% des établissements de l'ESS concernent le secteur des activités des organisations associatives. Viennent ensuite les secteurs des activités sportives, récréatives et de loisirs (31%) puis de l'enseignement (8%). </v>
      </c>
    </row>
    <row r="77">
      <c r="C77" s="80" t="str">
        <f>"Phrase "&amp;phrases!A15</f>
        <v>Phrase 14</v>
      </c>
      <c r="D77" s="84" t="str">
        <f>AFFICHERPHRASE(phrases!A15,0,Infos!E14,F31,G27,TEXT(ROUND(F27,0),"0"))</f>
        <v>Sur la CC du Sud Corse, c'est le secteur des activités sportives, récréatives et de loisirs qui est le plus représenté (34%).</v>
      </c>
    </row>
    <row r="78">
      <c r="C78" s="83" t="s">
        <v>241</v>
      </c>
      <c r="D78" s="84"/>
    </row>
    <row r="79">
      <c r="C79" s="84"/>
      <c r="D79" s="84" t="str">
        <f>D76&amp;D77</f>
        <v>En 2023 à Portivechju, 34% des établissements de l'ESS concernent le secteur des activités des organisations associatives. Viennent ensuite les secteurs des activités sportives, récréatives et de loisirs (31%) puis de l'enseignement (8%). Sur la CC du Sud Corse, c'est le secteur des activités sportives, récréatives et de loisirs qui est le plus représenté (34%).</v>
      </c>
    </row>
  </sheetData>
  <mergeCells count="1">
    <mergeCell ref="C1:C2"/>
  </mergeCells>
  <pageMargins left="0.7" right="0.7" top="0.75" bottom="0.75" header="0.3" footer="0.3"/>
  <pageSetup orientation="portrait"/>
  <headerFooter alignWithMargins="0"/>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5"/>
  <sheetViews>
    <sheetView workbookViewId="0">
      <selection activeCell="A1" activeCellId="0" sqref="A1"/>
    </sheetView>
  </sheetViews>
  <sheetFormatPr baseColWidth="10" defaultColWidth="9" defaultRowHeight="15" x14ac:dyDescent="0.25" outlineLevelRow="0" outlineLevelCol="0"/>
  <sheetData>
    <row r="5" customHeight="1" ht="23">
      <c r="A5" s="118" t="s">
        <v>264</v>
      </c>
    </row>
  </sheetData>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7">
    <tabColor theme="1" tint="0.49995422223578601"/>
  </sheetPr>
  <dimension ref="A1:D51"/>
  <sheetViews>
    <sheetView showGridLines="0" workbookViewId="0">
      <selection activeCell="C25" sqref="C25"/>
    </sheetView>
  </sheetViews>
  <sheetFormatPr baseColWidth="10" defaultColWidth="11" defaultRowHeight="15" x14ac:dyDescent="0.25" outlineLevelRow="0" outlineLevelCol="0"/>
  <cols>
    <col min="1" max="1" width="17.625" style="4" customWidth="1"/>
    <col min="2" max="2" width="17.625" style="4" customWidth="1"/>
    <col min="3" max="3" width="52.25" style="4" customWidth="1"/>
    <col min="4" max="4" width="38.5" style="4" customWidth="1"/>
    <col min="5" max="16384" width="11" style="4"/>
  </cols>
  <sheetData>
    <row r="1">
      <c r="A1" s="3" t="s">
        <v>11</v>
      </c>
      <c r="B1" s="3" t="s">
        <v>12</v>
      </c>
      <c r="C1" s="3" t="s">
        <v>13</v>
      </c>
      <c r="D1" s="3" t="s">
        <v>14</v>
      </c>
    </row>
    <row r="2">
      <c r="A2" s="5">
        <v>44103</v>
      </c>
      <c r="B2" s="2" t="s">
        <v>52</v>
      </c>
      <c r="C2" s="6" t="s">
        <v>15</v>
      </c>
      <c r="D2" s="6"/>
    </row>
    <row r="3">
      <c r="A3" s="7">
        <v>44130</v>
      </c>
      <c r="B3" s="2" t="s">
        <v>52</v>
      </c>
      <c r="C3" s="2" t="s">
        <v>181</v>
      </c>
      <c r="D3" s="2" t="s">
        <v>182</v>
      </c>
    </row>
    <row r="4">
      <c r="A4" s="7">
        <v>44131</v>
      </c>
      <c r="B4" s="2" t="s">
        <v>52</v>
      </c>
      <c r="C4" s="2" t="s">
        <v>190</v>
      </c>
      <c r="D4" s="2" t="s">
        <v>191</v>
      </c>
    </row>
    <row r="5">
      <c r="A5" s="7">
        <v>44137</v>
      </c>
      <c r="B5" s="2" t="s">
        <v>192</v>
      </c>
      <c r="C5" s="2" t="s">
        <v>193</v>
      </c>
      <c r="D5" s="2" t="s">
        <v>223</v>
      </c>
    </row>
    <row r="6">
      <c r="A6" s="7">
        <v>44153</v>
      </c>
      <c r="B6" s="2" t="s">
        <v>243</v>
      </c>
      <c r="C6" s="2" t="s">
        <v>244</v>
      </c>
      <c r="D6" s="2" t="s">
        <v>189</v>
      </c>
    </row>
    <row r="7">
      <c r="A7" s="7">
        <v>44176</v>
      </c>
      <c r="B7" s="2" t="s">
        <v>243</v>
      </c>
      <c r="C7" s="2" t="s">
        <v>246</v>
      </c>
      <c r="D7" s="2"/>
    </row>
    <row r="8">
      <c r="A8" s="7">
        <v>44336</v>
      </c>
      <c r="B8" s="2" t="s">
        <v>247</v>
      </c>
      <c r="C8" s="2" t="s">
        <v>249</v>
      </c>
      <c r="D8" s="2" t="s">
        <v>248</v>
      </c>
    </row>
    <row r="9">
      <c r="A9" s="7">
        <v>44354</v>
      </c>
      <c r="B9" s="2" t="s">
        <v>250</v>
      </c>
      <c r="C9" s="2" t="s">
        <v>251</v>
      </c>
      <c r="D9" s="2" t="s">
        <v>252</v>
      </c>
    </row>
    <row r="10">
      <c r="A10" s="7">
        <v>44509</v>
      </c>
      <c r="B10" s="2" t="s">
        <v>247</v>
      </c>
      <c r="C10" s="2" t="s">
        <v>253</v>
      </c>
      <c r="D10" s="2" t="s">
        <v>254</v>
      </c>
    </row>
    <row r="11">
      <c r="A11" s="7">
        <v>45128</v>
      </c>
      <c r="B11" s="2" t="s">
        <v>52</v>
      </c>
      <c r="C11" s="2" t="s">
        <v>255</v>
      </c>
      <c r="D11" s="2" t="s">
        <v>256</v>
      </c>
    </row>
    <row r="12">
      <c r="A12" s="7">
        <v>45132</v>
      </c>
      <c r="B12" s="2" t="s">
        <v>52</v>
      </c>
      <c r="C12" s="2" t="s">
        <v>257</v>
      </c>
      <c r="D12" s="2" t="s">
        <v>66</v>
      </c>
    </row>
    <row r="13">
      <c r="A13" s="7"/>
      <c r="B13" s="2"/>
      <c r="C13" s="2"/>
      <c r="D13" s="2"/>
    </row>
    <row r="14">
      <c r="A14" s="7"/>
      <c r="B14" s="2"/>
      <c r="C14" s="2"/>
      <c r="D14" s="2"/>
    </row>
    <row r="15">
      <c r="A15" s="7"/>
      <c r="B15" s="2"/>
      <c r="C15" s="2"/>
      <c r="D15" s="2"/>
    </row>
    <row r="16">
      <c r="A16" s="7"/>
      <c r="B16" s="2"/>
      <c r="C16" s="2"/>
      <c r="D16" s="2"/>
    </row>
    <row r="17">
      <c r="A17" s="7"/>
      <c r="B17" s="2"/>
      <c r="C17" s="2"/>
      <c r="D17" s="2"/>
    </row>
    <row r="18">
      <c r="A18" s="7"/>
      <c r="B18" s="2"/>
      <c r="C18" s="2"/>
      <c r="D18" s="2"/>
    </row>
    <row r="19">
      <c r="A19" s="7"/>
      <c r="B19" s="2"/>
      <c r="C19" s="2"/>
      <c r="D19" s="2"/>
    </row>
    <row r="51">
      <c r="A51" s="8"/>
    </row>
  </sheetData>
  <pageMargins left="0.7" right="0.7" top="0.75" bottom="0.75" header="0.3" footer="0.3"/>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8">
    <tabColor theme="1" tint="0.49995422223578601"/>
  </sheetPr>
  <dimension ref="A1:H50"/>
  <sheetViews>
    <sheetView topLeftCell="C13" workbookViewId="0">
      <selection activeCell="E7" sqref="E7"/>
    </sheetView>
  </sheetViews>
  <sheetFormatPr baseColWidth="10" defaultColWidth="11" defaultRowHeight="12" x14ac:dyDescent="0.2" outlineLevelRow="0" outlineLevelCol="0"/>
  <cols>
    <col min="1" max="1" width="27.5" style="10" customWidth="1"/>
    <col min="2" max="2" width="32.875" style="10" customWidth="1"/>
    <col min="3" max="3" width="32.625" style="10" customWidth="1"/>
    <col min="4" max="4" width="11" style="10"/>
    <col min="5" max="5" width="24.5" style="10" customWidth="1"/>
    <col min="6" max="6" width="14.5" style="10" customWidth="1"/>
    <col min="7" max="7" width="22.625" style="10" customWidth="1"/>
    <col min="8" max="8" width="26.5" style="10" customWidth="1"/>
    <col min="9" max="16384" width="11" style="10"/>
  </cols>
  <sheetData>
    <row r="1">
      <c r="A1" s="9"/>
      <c r="E1" s="11" t="str">
        <f>IF(ISERROR(AFFICHERPHRASE(0,0)="phrase"),"/!\ ERREUR AfficherPhrase","AfficherPhrase OK")</f>
        <v>AfficherPhrase OK</v>
      </c>
    </row>
    <row r="2">
      <c r="A2" s="12" t="s">
        <v>16</v>
      </c>
      <c r="B2" s="12" t="s">
        <v>16</v>
      </c>
      <c r="C2" s="13" t="s">
        <v>16</v>
      </c>
      <c r="G2" s="14" t="s">
        <v>17</v>
      </c>
    </row>
    <row r="3">
      <c r="A3" s="12" t="s">
        <v>18</v>
      </c>
      <c r="B3" s="12" t="str">
        <f>"#"&amp;A3</f>
        <v>#CODE</v>
      </c>
      <c r="C3" s="15" t="str">
        <f>IF(B3="#"&amp;A3,A3,B3)</f>
        <v>CODE</v>
      </c>
      <c r="G3" s="16" t="s">
        <v>114</v>
      </c>
      <c r="H3" s="17" t="s">
        <v>62</v>
      </c>
    </row>
    <row r="4">
      <c r="A4" s="12" t="s">
        <v>20</v>
      </c>
      <c r="B4" s="12" t="str">
        <f>"#"&amp;A4</f>
        <v>#NOM</v>
      </c>
      <c r="C4" s="15" t="str">
        <f>IF(B4="#"&amp;A4,A4,B4)</f>
        <v>NOM</v>
      </c>
      <c r="G4" s="16" t="s">
        <v>115</v>
      </c>
      <c r="H4" s="17" t="s">
        <v>116</v>
      </c>
    </row>
    <row r="5">
      <c r="A5" s="12" t="s">
        <v>21</v>
      </c>
      <c r="B5" s="12" t="s">
        <v>259</v>
      </c>
      <c r="C5" s="15" t="str">
        <f>IF(B5="#"&amp;A5,A5,B5)</f>
        <v>Portivechju</v>
      </c>
      <c r="G5" s="16" t="s">
        <v>19</v>
      </c>
      <c r="H5" s="17" t="s">
        <v>63</v>
      </c>
    </row>
    <row r="6">
      <c r="A6" s="12" t="s">
        <v>22</v>
      </c>
      <c r="B6" s="12" t="s">
        <v>259</v>
      </c>
      <c r="C6" s="15" t="str">
        <f>IF(B6="#"&amp;A6,A6,B6)</f>
        <v>Portivechju</v>
      </c>
      <c r="E6" s="26" t="str">
        <f>IF(OR(LEFT(C6,3)="Le ",LEFT(C6,3)="La ",LEFT(C6,4)="Les "),CONCATENATE(LOWER(LEFT(C6,1)),MID(C6,2,100)),C6)</f>
        <v>Portivechju</v>
      </c>
    </row>
    <row r="7">
      <c r="A7" s="12" t="s">
        <v>23</v>
      </c>
      <c r="B7" s="12" t="str">
        <f>"#"&amp;A7</f>
        <v>#NOM_ENRICHI_CHARNIERE</v>
      </c>
      <c r="C7" s="15" t="str">
        <f>IF(B7="#"&amp;A7,A7,B7)</f>
        <v>NOM_ENRICHI_CHARNIERE</v>
      </c>
      <c r="E7" s="27" t="str">
        <f>IF(C8="COM",(IF(LEFT(C6,3)="Le ",CONCATENATE("au",MID(C6,3,1000)),IF(LEFT(C6,2)="La",CONCATENATE("à La ",MID(C6,4,1000)),IF(LEFT(C6,3)="Les",CONCATENATE("aux ",MID(C6,5,1000)),CONCATENATE("à ",C6))))),CONCATENATE("sur ",MID(E6,1,1000)))</f>
        <v>à Portivechju</v>
      </c>
    </row>
    <row r="8">
      <c r="A8" s="12" t="s">
        <v>24</v>
      </c>
      <c r="B8" s="12" t="s">
        <v>258</v>
      </c>
      <c r="C8" s="18" t="str">
        <f>IF(B8="#"&amp;A8,A8,B8)</f>
        <v>COM</v>
      </c>
    </row>
    <row r="9">
      <c r="A9" s="12"/>
      <c r="B9" s="12"/>
      <c r="C9" s="13"/>
    </row>
    <row r="10">
      <c r="A10" s="12" t="s">
        <v>25</v>
      </c>
      <c r="B10" s="12" t="s">
        <v>25</v>
      </c>
      <c r="C10" s="13" t="s">
        <v>25</v>
      </c>
    </row>
    <row r="11">
      <c r="A11" s="12" t="s">
        <v>26</v>
      </c>
      <c r="B11" s="12" t="str">
        <f>"#"&amp;A11</f>
        <v>#CODE_REF1</v>
      </c>
      <c r="C11" s="15" t="str">
        <f>IF(B11="#"&amp;A11,A11,B11)</f>
        <v>CODE_REF1</v>
      </c>
    </row>
    <row r="12">
      <c r="A12" s="12" t="s">
        <v>27</v>
      </c>
      <c r="B12" s="12" t="str">
        <f>"#"&amp;A12</f>
        <v>#NOM_REF1</v>
      </c>
      <c r="C12" s="15" t="str">
        <f>IF(B12="#"&amp;A12,A12,B12)</f>
        <v>NOM_REF1</v>
      </c>
    </row>
    <row r="13">
      <c r="A13" s="12" t="s">
        <v>28</v>
      </c>
      <c r="B13" s="12" t="s">
        <v>261</v>
      </c>
      <c r="C13" s="15" t="str">
        <f>IF(B13="#"&amp;A13,A13,B13)</f>
        <v>CC du Sud Corse</v>
      </c>
    </row>
    <row r="14">
      <c r="A14" s="12" t="s">
        <v>29</v>
      </c>
      <c r="B14" s="12" t="s">
        <v>260</v>
      </c>
      <c r="C14" s="15" t="str">
        <f>IF(B14="#"&amp;A14,A14,B14)</f>
        <v>la CC du Sud Corse</v>
      </c>
      <c r="E14" s="15" t="str">
        <f>IF(OR(LEFT(C14,3)="Le ",LEFT(C14,3)="La ",LEFT(C14,4)="Les "),CONCATENATE(LOWER(LEFT(C14,1)),MID(C14,2,100)),C14)</f>
        <v>la CC du Sud Corse</v>
      </c>
    </row>
    <row r="15">
      <c r="A15" s="12" t="s">
        <v>30</v>
      </c>
      <c r="B15" s="12" t="str">
        <f>"#"&amp;A15</f>
        <v>#NOM_REF1_ENRICHI_CHARNIERE</v>
      </c>
      <c r="C15" s="15" t="str">
        <f>IF(B15="#"&amp;A15,A15,B15)</f>
        <v>NOM_REF1_ENRICHI_CHARNIERE</v>
      </c>
    </row>
    <row r="16">
      <c r="A16" s="12" t="s">
        <v>31</v>
      </c>
      <c r="B16" s="12" t="str">
        <f>"#"&amp;A16</f>
        <v>#NIV_REF1_GEO</v>
      </c>
      <c r="C16" s="18" t="str">
        <f>IF(B16="#"&amp;A16,A16,B16)</f>
        <v>NIV_REF1_GEO</v>
      </c>
    </row>
    <row r="17">
      <c r="A17" s="12"/>
      <c r="B17" s="12"/>
      <c r="C17" s="13"/>
    </row>
    <row r="18">
      <c r="A18" s="12" t="s">
        <v>32</v>
      </c>
      <c r="B18" s="12" t="s">
        <v>32</v>
      </c>
      <c r="C18" s="13" t="s">
        <v>32</v>
      </c>
    </row>
    <row r="19">
      <c r="A19" s="12" t="s">
        <v>33</v>
      </c>
      <c r="B19" s="12" t="str">
        <f>"#"&amp;A19</f>
        <v>#CODE_REF2</v>
      </c>
      <c r="C19" s="15" t="str">
        <f>IF(B19="#"&amp;A19,A19,B19)</f>
        <v>CODE_REF2</v>
      </c>
    </row>
    <row r="20">
      <c r="A20" s="12" t="s">
        <v>34</v>
      </c>
      <c r="B20" s="12" t="str">
        <f>"#"&amp;A20</f>
        <v>#NOM_REF2</v>
      </c>
      <c r="C20" s="15" t="str">
        <f>IF(B20="#"&amp;A20,A20,B20)</f>
        <v>NOM_REF2</v>
      </c>
    </row>
    <row r="21">
      <c r="A21" s="12" t="s">
        <v>35</v>
      </c>
      <c r="B21" s="12" t="str">
        <f>"#"&amp;A21</f>
        <v>#NOM_REF2_ENRICHI</v>
      </c>
      <c r="C21" s="15" t="str">
        <f>IF(B21="#"&amp;A21,A21,B21)</f>
        <v>NOM_REF2_ENRICHI</v>
      </c>
    </row>
    <row r="22">
      <c r="A22" s="12" t="s">
        <v>36</v>
      </c>
      <c r="B22" s="12" t="str">
        <f>"#"&amp;A22</f>
        <v>#NOM_REF2_ENRICHI_ARTICLE</v>
      </c>
      <c r="C22" s="15" t="str">
        <f>IF(B22="#"&amp;A22,A22,B22)</f>
        <v>NOM_REF2_ENRICHI_ARTICLE</v>
      </c>
      <c r="E22" s="15" t="str">
        <f>IF(OR(LEFT(C22,3)="Le ",LEFT(C22,3)="La ",LEFT(C22,4)="Les "),CONCATENATE(LOWER(LEFT(C22,1)),MID(C22,2,100)),C22)</f>
        <v>NOM_REF2_ENRICHI_ARTICLE</v>
      </c>
    </row>
    <row r="23">
      <c r="A23" s="12" t="s">
        <v>37</v>
      </c>
      <c r="B23" s="12" t="str">
        <f>"#"&amp;A23</f>
        <v>#NOM_REF2_ENRICHI_CHARNIERE</v>
      </c>
      <c r="C23" s="15" t="str">
        <f>IF(B23="#"&amp;A23,A23,B23)</f>
        <v>NOM_REF2_ENRICHI_CHARNIERE</v>
      </c>
    </row>
    <row r="24">
      <c r="A24" s="12" t="s">
        <v>38</v>
      </c>
      <c r="B24" s="12" t="str">
        <f>"#"&amp;A24</f>
        <v>#NIV_REF2_GEO</v>
      </c>
      <c r="C24" s="18" t="str">
        <f>IF(B24="#"&amp;A24,A24,B24)</f>
        <v>NIV_REF2_GEO</v>
      </c>
    </row>
    <row r="25">
      <c r="A25" s="12"/>
      <c r="B25" s="12"/>
      <c r="C25" s="13"/>
    </row>
    <row r="26">
      <c r="A26" s="12" t="s">
        <v>39</v>
      </c>
      <c r="B26" s="12" t="s">
        <v>39</v>
      </c>
      <c r="C26" s="13" t="s">
        <v>39</v>
      </c>
    </row>
    <row r="27">
      <c r="A27" s="12" t="s">
        <v>40</v>
      </c>
      <c r="B27" s="12" t="str">
        <f>"#"&amp;A27</f>
        <v>#CODE_REF3</v>
      </c>
      <c r="C27" s="15" t="str">
        <f>IF(B27="#"&amp;A27,A27,B27)</f>
        <v>CODE_REF3</v>
      </c>
    </row>
    <row r="28">
      <c r="A28" s="12" t="s">
        <v>41</v>
      </c>
      <c r="B28" s="12" t="str">
        <f>"#"&amp;A28</f>
        <v>#NOM_REF3</v>
      </c>
      <c r="C28" s="15" t="str">
        <f>IF(B28="#"&amp;A28,A28,B28)</f>
        <v>NOM_REF3</v>
      </c>
    </row>
    <row r="29">
      <c r="A29" s="12" t="s">
        <v>42</v>
      </c>
      <c r="B29" s="12" t="s">
        <v>263</v>
      </c>
      <c r="C29" s="15" t="str">
        <f>IF(B29="#"&amp;A29,A29,B29)</f>
        <v>France métropolitaine</v>
      </c>
    </row>
    <row r="30">
      <c r="A30" s="12" t="s">
        <v>43</v>
      </c>
      <c r="B30" s="12" t="s">
        <v>262</v>
      </c>
      <c r="C30" s="15" t="str">
        <f>IF(B30="#"&amp;A30,A30,B30)</f>
        <v>La France métropolitaine</v>
      </c>
      <c r="E30" s="15" t="str">
        <f>IF(OR(LEFT(C30,3)="Le ",LEFT(C30,3)="La ",LEFT(C30,4)="Les "),CONCATENATE(LOWER(LEFT(C30,1)),MID(C30,2,100)),C30)</f>
        <v>la France métropolitaine</v>
      </c>
    </row>
    <row r="31">
      <c r="A31" s="12" t="s">
        <v>44</v>
      </c>
      <c r="B31" s="12" t="str">
        <f>"#"&amp;A31</f>
        <v>#NOM_REF3_ENRICHI_CHARNIERE</v>
      </c>
      <c r="C31" s="15" t="str">
        <f>IF(B31="#"&amp;A31,A31,B31)</f>
        <v>NOM_REF3_ENRICHI_CHARNIERE</v>
      </c>
    </row>
    <row r="32">
      <c r="A32" s="12" t="s">
        <v>45</v>
      </c>
      <c r="B32" s="12" t="str">
        <f>"#"&amp;A32</f>
        <v>#NIV_REF3_GEO</v>
      </c>
      <c r="C32" s="18" t="str">
        <f>IF(B32="#"&amp;A32,A32,B32)</f>
        <v>NIV_REF3_GEO</v>
      </c>
    </row>
    <row r="35">
      <c r="A35" s="12" t="s">
        <v>53</v>
      </c>
      <c r="B35" s="12" t="s">
        <v>53</v>
      </c>
      <c r="C35" s="10" t="s">
        <v>53</v>
      </c>
    </row>
    <row r="36">
      <c r="A36" s="12" t="s">
        <v>54</v>
      </c>
      <c r="B36" s="12" t="str">
        <f>"#"&amp;A36</f>
        <v>#CODE_REF4</v>
      </c>
      <c r="C36" s="15" t="str">
        <f>IF(B36="#"&amp;A36,A36,B36)</f>
        <v>CODE_REF4</v>
      </c>
    </row>
    <row r="37">
      <c r="A37" s="12" t="s">
        <v>55</v>
      </c>
      <c r="B37" s="12" t="str">
        <f>"#"&amp;A37</f>
        <v>#NOM_REF4</v>
      </c>
      <c r="C37" s="15" t="str">
        <f>IF(B37="#"&amp;A37,A37,B37)</f>
        <v>NOM_REF4</v>
      </c>
    </row>
    <row r="38">
      <c r="A38" s="12" t="s">
        <v>56</v>
      </c>
      <c r="B38" s="12" t="s">
        <v>265</v>
      </c>
      <c r="C38" s="15" t="str">
        <f>IF(B38="#"&amp;A38,A38,B38)</f>
        <v>Zone d'emploi de Portivechju</v>
      </c>
    </row>
    <row r="39">
      <c r="A39" s="12" t="s">
        <v>57</v>
      </c>
      <c r="B39" s="12" t="s">
        <v>265</v>
      </c>
      <c r="C39" s="15" t="str">
        <f>IF(B39="#"&amp;A39,A39,B39)</f>
        <v>Zone d'emploi de Portivechju</v>
      </c>
      <c r="E39" s="15" t="str">
        <f>IF(OR(LEFT(C39,3)="Le ",LEFT(C39,3)="La ",LEFT(C39,4)="Les "),CONCATENATE(LOWER(LEFT(C39,1)),MID(C39,2,100)),C39)</f>
        <v>Zone d'emploi de Portivechju</v>
      </c>
    </row>
    <row r="40">
      <c r="A40" s="12" t="s">
        <v>58</v>
      </c>
      <c r="B40" s="12" t="str">
        <f>"#"&amp;A40</f>
        <v>#NOM_REF4_ENRICHI_CHARNIERE</v>
      </c>
      <c r="C40" s="15" t="str">
        <f>IF(B40="#"&amp;A40,A40,B40)</f>
        <v>NOM_REF4_ENRICHI_CHARNIERE</v>
      </c>
      <c r="E40" s="15" t="str">
        <f>IF(LEFT(C40,7)="de la Z",CONCATENATE(LOWER(LEFT(C40,7)),MID(C40,8,100)),C40)</f>
        <v>NOM_REF4_ENRICHI_CHARNIERE</v>
      </c>
    </row>
    <row r="41">
      <c r="A41" s="12" t="s">
        <v>59</v>
      </c>
      <c r="B41" s="12" t="str">
        <f>"#"&amp;A41</f>
        <v>#NIV_GEO_REF4</v>
      </c>
      <c r="C41" s="15" t="str">
        <f>IF(B41="#"&amp;A41,A41,B41)</f>
        <v>NIV_GEO_REF4</v>
      </c>
    </row>
    <row r="45" ht="15">
      <c r="A45" s="36" t="s">
        <v>60</v>
      </c>
    </row>
    <row r="50">
      <c r="A50" s="8"/>
    </row>
  </sheetData>
  <conditionalFormatting sqref="E1">
    <cfRule type="cellIs" dxfId="0" priority="1" operator="equal">
      <formula>"AfficherPhrase OK"</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tabColor rgb="FFCCFF99"/>
  </sheetPr>
  <dimension ref="A1:D47"/>
  <sheetViews>
    <sheetView workbookViewId="0">
      <selection activeCell="B2" sqref="B2"/>
    </sheetView>
  </sheetViews>
  <sheetFormatPr baseColWidth="10" defaultColWidth="11" defaultRowHeight="18.75" x14ac:dyDescent="0.25" outlineLevelRow="0" outlineLevelCol="0"/>
  <cols>
    <col min="1" max="1" width="4.625" style="35" customWidth="1"/>
    <col min="2" max="2" width="55.625" style="20" customWidth="1"/>
    <col min="3" max="3" width="55.625" style="20" customWidth="1"/>
    <col min="4" max="4" width="55.625" style="20" customWidth="1"/>
    <col min="5" max="16384" width="11" style="20"/>
  </cols>
  <sheetData>
    <row r="1">
      <c r="A1" s="32" t="s">
        <v>46</v>
      </c>
      <c r="B1" s="19" t="s">
        <v>47</v>
      </c>
      <c r="C1" s="19" t="s">
        <v>48</v>
      </c>
      <c r="D1" s="19" t="s">
        <v>49</v>
      </c>
    </row>
    <row r="2" ht="36">
      <c r="A2" s="33">
        <v>1</v>
      </c>
      <c r="B2" s="25" t="s">
        <v>194</v>
      </c>
    </row>
    <row r="3" customHeight="1" ht="45">
      <c r="A3" s="33">
        <v>2</v>
      </c>
      <c r="B3" s="20" t="s">
        <v>108</v>
      </c>
    </row>
    <row r="4" customHeight="1" ht="34">
      <c r="A4" s="33">
        <v>3</v>
      </c>
      <c r="B4" s="25" t="s">
        <v>109</v>
      </c>
    </row>
    <row r="5" customHeight="1" ht="48">
      <c r="A5" s="33">
        <v>4</v>
      </c>
      <c r="B5" s="20" t="s">
        <v>143</v>
      </c>
      <c r="C5" s="20" t="s">
        <v>144</v>
      </c>
      <c r="D5" s="20" t="s">
        <v>145</v>
      </c>
    </row>
    <row r="6" ht="48">
      <c r="A6" s="33">
        <v>5</v>
      </c>
      <c r="B6" s="20" t="s">
        <v>220</v>
      </c>
    </row>
    <row r="7" customHeight="1" ht="30">
      <c r="A7" s="33">
        <v>6</v>
      </c>
      <c r="B7" s="20" t="s">
        <v>174</v>
      </c>
    </row>
    <row r="8" ht="36">
      <c r="A8" s="33">
        <v>7</v>
      </c>
      <c r="B8" s="20" t="s">
        <v>245</v>
      </c>
    </row>
    <row r="9" ht="24">
      <c r="A9" s="33">
        <v>8</v>
      </c>
      <c r="B9" s="20" t="s">
        <v>196</v>
      </c>
    </row>
    <row r="10" ht="48">
      <c r="A10" s="33">
        <v>9</v>
      </c>
      <c r="B10" s="20" t="s">
        <v>211</v>
      </c>
    </row>
    <row r="11" customHeight="1" ht="42">
      <c r="A11" s="33">
        <v>10</v>
      </c>
      <c r="B11" s="20" t="s">
        <v>209</v>
      </c>
    </row>
    <row r="12" customHeight="1" ht="47">
      <c r="A12" s="33">
        <v>11</v>
      </c>
      <c r="B12" s="20" t="s">
        <v>213</v>
      </c>
      <c r="C12" s="20" t="s">
        <v>214</v>
      </c>
      <c r="D12" s="20" t="s">
        <v>215</v>
      </c>
    </row>
    <row r="13" ht="24">
      <c r="A13" s="33">
        <v>12</v>
      </c>
      <c r="B13" s="20" t="s">
        <v>216</v>
      </c>
      <c r="C13" s="20" t="s">
        <v>217</v>
      </c>
      <c r="D13" s="20" t="s">
        <v>218</v>
      </c>
    </row>
    <row r="14" customHeight="1" ht="36">
      <c r="A14" s="33">
        <v>13</v>
      </c>
      <c r="B14" s="20" t="s">
        <v>221</v>
      </c>
    </row>
    <row r="15">
      <c r="A15" s="33">
        <v>14</v>
      </c>
      <c r="B15" s="20" t="s">
        <v>222</v>
      </c>
    </row>
    <row r="16" customHeight="1" ht="60">
      <c r="A16" s="33">
        <v>15</v>
      </c>
    </row>
    <row r="17">
      <c r="A17" s="33">
        <v>16</v>
      </c>
    </row>
    <row r="18">
      <c r="A18" s="33">
        <v>17</v>
      </c>
    </row>
    <row r="19">
      <c r="A19" s="33">
        <v>18</v>
      </c>
    </row>
    <row r="20">
      <c r="A20" s="33">
        <v>19</v>
      </c>
    </row>
    <row r="21" customHeight="1" ht="24">
      <c r="A21" s="33">
        <v>20</v>
      </c>
    </row>
    <row r="22">
      <c r="A22" s="33">
        <v>21</v>
      </c>
    </row>
    <row r="23">
      <c r="A23" s="33">
        <v>22</v>
      </c>
    </row>
    <row r="24">
      <c r="A24" s="33">
        <v>23</v>
      </c>
    </row>
    <row r="25">
      <c r="A25" s="33">
        <v>24</v>
      </c>
    </row>
    <row r="26">
      <c r="A26" s="33">
        <v>25</v>
      </c>
    </row>
    <row r="27">
      <c r="A27" s="33">
        <v>26</v>
      </c>
    </row>
    <row r="28">
      <c r="A28" s="33">
        <v>27</v>
      </c>
    </row>
    <row r="29">
      <c r="A29" s="33">
        <v>28</v>
      </c>
    </row>
    <row r="30">
      <c r="A30" s="33">
        <v>29</v>
      </c>
    </row>
    <row r="31">
      <c r="A31" s="33">
        <v>30</v>
      </c>
    </row>
    <row r="32">
      <c r="A32" s="33">
        <v>31</v>
      </c>
    </row>
    <row r="33">
      <c r="A33" s="33">
        <v>32</v>
      </c>
      <c r="C33" s="13"/>
    </row>
    <row r="34">
      <c r="A34" s="33">
        <v>33</v>
      </c>
      <c r="C34" s="13"/>
    </row>
    <row r="35">
      <c r="A35" s="33">
        <v>34</v>
      </c>
      <c r="C35" s="13"/>
    </row>
    <row r="36">
      <c r="A36" s="33">
        <v>35</v>
      </c>
    </row>
    <row r="37">
      <c r="A37" s="33">
        <v>36</v>
      </c>
    </row>
    <row r="38">
      <c r="A38" s="33">
        <v>37</v>
      </c>
    </row>
    <row r="39">
      <c r="A39" s="33">
        <v>38</v>
      </c>
    </row>
    <row r="40">
      <c r="A40" s="33">
        <v>39</v>
      </c>
    </row>
    <row r="41">
      <c r="A41" s="33">
        <v>40</v>
      </c>
    </row>
    <row r="42">
      <c r="A42" s="33">
        <v>41</v>
      </c>
    </row>
    <row r="43">
      <c r="A43" s="33">
        <v>42</v>
      </c>
    </row>
    <row r="47">
      <c r="A47" s="3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2"/>
  <sheetViews>
    <sheetView showGridLines="0" workbookViewId="0">
      <selection activeCell="B8" sqref="B8:E13"/>
    </sheetView>
  </sheetViews>
  <sheetFormatPr baseColWidth="10" defaultColWidth="11" defaultRowHeight="15" x14ac:dyDescent="0.25" outlineLevelRow="0" outlineLevelCol="0"/>
  <cols>
    <col min="2" max="2" width="30" customWidth="1"/>
    <col min="3" max="3" width="21.125" customWidth="1"/>
    <col min="4" max="4" width="21.125" customWidth="1"/>
    <col min="5" max="5" width="21.125" customWidth="1"/>
    <col min="6" max="6" width="14.375" bestFit="1" customWidth="1"/>
    <col min="8" max="8" width="11.375" customWidth="1"/>
  </cols>
  <sheetData>
    <row r="1">
      <c r="C1" s="119" t="s">
        <v>50</v>
      </c>
      <c r="D1" s="21" t="str">
        <f>Infos!G3</f>
        <v>SIRENE Etablissements</v>
      </c>
      <c r="E1" s="21" t="s">
        <v>19</v>
      </c>
    </row>
    <row r="2">
      <c r="C2" s="119"/>
      <c r="D2" s="22" t="str">
        <f>Infos!H3</f>
        <v>01/01/2023</v>
      </c>
      <c r="E2" s="22" t="str">
        <f>Infos!H5</f>
        <v>01/01/2020</v>
      </c>
    </row>
    <row r="4" ht="15">
      <c r="B4" s="23" t="s">
        <v>65</v>
      </c>
    </row>
    <row r="5">
      <c r="B5" s="24" t="str">
        <f>CONCATENATE("Source : Sirene "&amp;YEAR($D$2)&amp;" - Traitements © Compas")</f>
        <v>Source : Sirene 2023 - Traitements © Compas</v>
      </c>
    </row>
    <row r="7">
      <c r="A7" s="83" t="s">
        <v>69</v>
      </c>
    </row>
    <row r="8" customHeight="1" ht="66">
      <c r="B8" s="38"/>
      <c r="C8" s="38" t="s">
        <v>64</v>
      </c>
      <c r="D8" s="38" t="s">
        <v>61</v>
      </c>
      <c r="E8" s="38" t="s">
        <v>102</v>
      </c>
      <c r="G8" s="38" t="s">
        <v>74</v>
      </c>
      <c r="I8" s="85" t="s">
        <v>195</v>
      </c>
    </row>
    <row r="9" customHeight="1" ht="19">
      <c r="B9" s="39" t="str">
        <f>IF(Infos!C8="COM",Infos!C6,Infos!C5)</f>
        <v>Portivechju</v>
      </c>
      <c r="C9" s="116">
        <v>5934</v>
      </c>
      <c r="D9" s="116">
        <v>4724</v>
      </c>
      <c r="E9" s="117">
        <f>D9/G9*1000</f>
        <v>427.8985507246377</v>
      </c>
      <c r="G9" s="40">
        <v>11040</v>
      </c>
      <c r="I9" s="86">
        <f>D9/C9*100</f>
        <v>79.60903269295585</v>
      </c>
    </row>
    <row r="10" customHeight="1" ht="19">
      <c r="B10" s="39" t="str">
        <f>IF(Infos!C16="COM",Infos!C14,Infos!C13)</f>
        <v>CC du Sud Corse</v>
      </c>
      <c r="C10" s="116">
        <v>9535</v>
      </c>
      <c r="D10" s="116">
        <v>7529</v>
      </c>
      <c r="E10" s="117">
        <f>D10/G10*1000</f>
        <v>363.57929302684954</v>
      </c>
      <c r="G10" s="40">
        <v>20708</v>
      </c>
    </row>
    <row r="11" customHeight="1" ht="19">
      <c r="B11" s="39" t="str">
        <f>IF(Infos!C41="COM",Infos!C39,Infos!C38)</f>
        <v>Zone d'emploi de Portivechju</v>
      </c>
      <c r="C11" s="116">
        <v>11928</v>
      </c>
      <c r="D11" s="116">
        <v>9258</v>
      </c>
      <c r="E11" s="117">
        <f>D11/G11*1000</f>
        <v>340.1675485008818</v>
      </c>
      <c r="G11" s="40">
        <v>27216</v>
      </c>
    </row>
    <row r="12" customHeight="1" ht="19">
      <c r="B12" s="39" t="str">
        <f>IF(Infos!C32="COM",Infos!C30,Infos!C29)</f>
        <v>France métropolitaine</v>
      </c>
      <c r="C12" s="116">
        <v>12007413</v>
      </c>
      <c r="D12" s="116">
        <v>9483846</v>
      </c>
      <c r="E12" s="117">
        <f>D12/G12*1000</f>
        <v>145.30364527170062</v>
      </c>
      <c r="G12" s="40">
        <v>65269154</v>
      </c>
    </row>
    <row r="13" customHeight="1" ht="19">
      <c r="B13" s="30" t="str">
        <f>CONCATENATE("*Insee RP "&amp;YEAR(E2))</f>
        <v>*Insee RP 2020</v>
      </c>
      <c r="C13" s="30"/>
      <c r="D13" s="37"/>
      <c r="E13" s="37"/>
    </row>
    <row r="15">
      <c r="B15" s="30"/>
    </row>
    <row r="16">
      <c r="B16" s="83" t="s">
        <v>70</v>
      </c>
      <c r="C16" s="84"/>
    </row>
    <row r="17">
      <c r="B17" s="99" t="str">
        <f>"Phrase "&amp;phrases!$A$2</f>
        <v>Phrase 1</v>
      </c>
      <c r="C17" s="84" t="str">
        <f>AFFICHERPHRASE(phrases!$A$2,0,B9,TEXT(C9,"# ###"),YEAR(D2),TEXT(D9,"# ###"),TEXT(ROUND(E9,1),"0,0"))</f>
        <v>Lecture : Portivechju compte 5 934 établissements actifs au 1er janvier 2023 dont 4 724 participant au système productif, soit 427,9 établissements participant au système productif pour 1000 habitants.</v>
      </c>
    </row>
    <row r="18">
      <c r="B18" s="84"/>
      <c r="C18" s="84"/>
      <c r="L18" s="31"/>
      <c r="M18" s="31"/>
      <c r="N18" s="31"/>
    </row>
    <row r="19">
      <c r="B19" s="80" t="str">
        <f>"Phrase "&amp;phrases!A8</f>
        <v>Phrase 7</v>
      </c>
      <c r="C19" s="84" t="str">
        <f>AFFICHERPHRASE(phrases!A8,0,YEAR(D2),Infos!C6,TEXT(C9,"# ###"),TEXT(D9,"# ###"),TEXT(ROUND(I9,0),"0"),TEXT(ROUND(E9,0),"0"))</f>
        <v>Au 1er janvier 2023, Portivechju compte 5 934 établissements actifs dont 4 724 participant au système productif (soit 80% des établissements). Portivechju compte ainsi 428 établissements participant au système productifs pour 1000 habitants. </v>
      </c>
    </row>
    <row r="20">
      <c r="B20" s="80" t="str">
        <f>"Phrase "&amp;phrases!A9</f>
        <v>Phrase 8</v>
      </c>
      <c r="C20" s="84" t="str">
        <f>AFFICHERPHRASE(phrases!A9,0,TEXT(ROUND(E10,0),"0"),Infos!E14,TEXT(ROUND(E11,0),"0"),Infos!E39,TEXT(ROUND(E12,0),"0"),Infos!E30)</f>
        <v>Pour comparaison, ce taux est de 364‰ pour la CC du Sud Corse, 340‰ pour Zone d'emploi de Portivechju et de 145‰ pour la France métropolitaine.</v>
      </c>
    </row>
    <row r="21">
      <c r="B21" s="83" t="s">
        <v>197</v>
      </c>
      <c r="C21" s="84"/>
    </row>
    <row r="22">
      <c r="B22" s="84"/>
      <c r="C22" s="84" t="str">
        <f>C19&amp;C20</f>
        <v>Au 1er janvier 2023, Portivechju compte 5 934 établissements actifs dont 4 724 participant au système productif (soit 80% des établissements). Portivechju compte ainsi 428 établissements participant au système productifs pour 1000 habitants. Pour comparaison, ce taux est de 364‰ pour la CC du Sud Corse, 340‰ pour Zone d'emploi de Portivechju et de 145‰ pour la France métropolitaine.</v>
      </c>
    </row>
  </sheetData>
  <mergeCells count="1">
    <mergeCell ref="C1:C2"/>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60"/>
  <sheetViews>
    <sheetView showGridLines="false" topLeftCell="A1" workbookViewId="0" tabSelected="1">
      <selection activeCell="D8" sqref="D8" activeCellId="0"/>
    </sheetView>
  </sheetViews>
  <sheetFormatPr baseColWidth="10" defaultColWidth="11" defaultRowHeight="18" customHeight="1" x14ac:dyDescent="0.25" outlineLevelRow="0" outlineLevelCol="0"/>
  <cols>
    <col min="3" max="3" width="75.25" customWidth="1"/>
    <col min="4" max="4" width="14" customWidth="1"/>
    <col min="5" max="5" width="14" customWidth="1"/>
  </cols>
  <sheetData>
    <row r="1">
      <c r="C1" s="119" t="s">
        <v>50</v>
      </c>
      <c r="D1" s="66" t="str">
        <f>Infos!G3</f>
        <v>SIRENE Etablissements</v>
      </c>
    </row>
    <row r="2">
      <c r="C2" s="119"/>
      <c r="D2" s="22" t="str">
        <f>Infos!H3</f>
        <v>01/01/2023</v>
      </c>
    </row>
    <row r="3">
      <c r="D3" s="41"/>
    </row>
    <row r="4">
      <c r="C4" t="str">
        <f>Infos!E7</f>
        <v>à Portivechju</v>
      </c>
      <c r="D4" s="41"/>
      <c r="E4" s="41"/>
      <c r="G4" s="87" t="s">
        <v>195</v>
      </c>
      <c r="H4" s="88"/>
      <c r="I4" s="88"/>
      <c r="J4" s="88"/>
      <c r="K4" s="88"/>
      <c r="L4" s="88"/>
      <c r="M4" s="88"/>
      <c r="N4" s="88"/>
      <c r="O4" s="88"/>
      <c r="P4" s="89"/>
    </row>
    <row r="5">
      <c r="D5" s="52" t="str">
        <f>IF(Infos!C8="COM",Infos!C6,Infos!C5)</f>
        <v>Portivechju</v>
      </c>
      <c r="E5" s="52" t="str">
        <f>IF(Infos!C16="COM",Infos!C14,Infos!C13)</f>
        <v>CC du Sud Corse</v>
      </c>
      <c r="G5" s="90" t="s">
        <v>198</v>
      </c>
      <c r="H5" s="91"/>
      <c r="I5" s="91"/>
      <c r="J5" s="91"/>
      <c r="K5" s="91"/>
      <c r="L5" s="91"/>
      <c r="M5" s="91"/>
      <c r="N5" s="91"/>
      <c r="O5" s="91"/>
      <c r="P5" s="92"/>
    </row>
    <row r="6">
      <c r="B6" s="42" t="s">
        <v>81</v>
      </c>
      <c r="C6" s="43" t="s">
        <v>75</v>
      </c>
      <c r="D6" s="40">
        <v>120</v>
      </c>
      <c r="E6" s="40">
        <v>322</v>
      </c>
      <c r="G6" s="93">
        <f>MAX(D19:D28)</f>
        <v>28.04826418289585</v>
      </c>
      <c r="H6" s="91" t="str">
        <f>HLOOKUP(G6,G10:P11,2,FALSE)</f>
        <v>du commerce de gros et de détail, transports, hébergement et restauration</v>
      </c>
      <c r="I6" s="91"/>
      <c r="J6" s="91"/>
      <c r="K6" s="91"/>
      <c r="L6" s="91"/>
      <c r="M6" s="91"/>
      <c r="N6" s="91"/>
      <c r="O6" s="91"/>
      <c r="P6" s="92"/>
    </row>
    <row r="7">
      <c r="B7" s="45" t="s">
        <v>82</v>
      </c>
      <c r="C7" s="46" t="s">
        <v>83</v>
      </c>
      <c r="D7" s="40">
        <v>193</v>
      </c>
      <c r="E7" s="40">
        <v>381</v>
      </c>
      <c r="G7" s="93">
        <f>LARGE(D19:D28,2)</f>
        <v>20.279424216765456</v>
      </c>
      <c r="H7" s="91" t="str">
        <f>HLOOKUP(G7,G10:P11,2,FALSE)</f>
        <v>de la construction</v>
      </c>
      <c r="I7" s="91"/>
      <c r="J7" s="91"/>
      <c r="K7" s="91"/>
      <c r="L7" s="91"/>
      <c r="M7" s="91"/>
      <c r="N7" s="91"/>
      <c r="O7" s="91"/>
      <c r="P7" s="92"/>
    </row>
    <row r="8">
      <c r="B8" s="47" t="s">
        <v>84</v>
      </c>
      <c r="C8" s="48" t="s">
        <v>76</v>
      </c>
      <c r="D8" s="40">
        <v>958</v>
      </c>
      <c r="E8" s="40">
        <v>1377</v>
      </c>
      <c r="G8" s="93">
        <f>LARGE(D19:D28,3)</f>
        <v>18.310753598645217</v>
      </c>
      <c r="H8" s="91" t="str">
        <f>HLOOKUP(G8,G10:P11,2,FALSE)</f>
        <v>des activités spécialisées, scientifiques et techniques et activités de services administratifs</v>
      </c>
      <c r="I8" s="91"/>
      <c r="J8" s="91"/>
      <c r="K8" s="91"/>
      <c r="L8" s="91"/>
      <c r="M8" s="91"/>
      <c r="N8" s="91"/>
      <c r="O8" s="91"/>
      <c r="P8" s="92"/>
    </row>
    <row r="9">
      <c r="B9" s="45" t="s">
        <v>85</v>
      </c>
      <c r="C9" s="46" t="s">
        <v>86</v>
      </c>
      <c r="D9" s="40">
        <v>1325</v>
      </c>
      <c r="E9" s="40">
        <v>2218</v>
      </c>
      <c r="G9" s="93">
        <f>LARGE(D19:D28,4)</f>
        <v>10.012701100762065</v>
      </c>
      <c r="H9" s="91" t="str">
        <f>HLOOKUP(G9,G10:P11,2,FALSE)</f>
        <v>des autres activités de services</v>
      </c>
      <c r="I9" s="91"/>
      <c r="J9" s="91"/>
      <c r="K9" s="91"/>
      <c r="L9" s="91"/>
      <c r="M9" s="91"/>
      <c r="N9" s="91"/>
      <c r="O9" s="91"/>
      <c r="P9" s="92"/>
    </row>
    <row r="10">
      <c r="B10" s="47" t="s">
        <v>87</v>
      </c>
      <c r="C10" s="48" t="s">
        <v>77</v>
      </c>
      <c r="D10" s="40">
        <v>50</v>
      </c>
      <c r="E10" s="40">
        <v>70</v>
      </c>
      <c r="G10" s="93">
        <f>D19</f>
        <v>2.5402201524132093</v>
      </c>
      <c r="H10" s="94">
        <f>D20</f>
        <v>4.085520745131245</v>
      </c>
      <c r="I10" s="94">
        <f>D21</f>
        <v>20.279424216765456</v>
      </c>
      <c r="J10" s="94">
        <f>D22</f>
        <v>28.04826418289585</v>
      </c>
      <c r="K10" s="94">
        <f>D23</f>
        <v>1.0584250635055037</v>
      </c>
      <c r="L10" s="94">
        <f>D24</f>
        <v>3.556308213378493</v>
      </c>
      <c r="M10" s="94">
        <f>D25</f>
        <v>4.043183742591024</v>
      </c>
      <c r="N10" s="94">
        <f>D26</f>
        <v>18.310753598645217</v>
      </c>
      <c r="O10" s="94">
        <f>D27</f>
        <v>8.06519898391194</v>
      </c>
      <c r="P10" s="95">
        <f>D28</f>
        <v>10.012701100762065</v>
      </c>
    </row>
    <row r="11">
      <c r="B11" s="45" t="s">
        <v>88</v>
      </c>
      <c r="C11" s="46" t="s">
        <v>78</v>
      </c>
      <c r="D11" s="40">
        <v>168</v>
      </c>
      <c r="E11" s="40">
        <v>230</v>
      </c>
      <c r="G11" s="90" t="s">
        <v>199</v>
      </c>
      <c r="H11" s="91" t="s">
        <v>200</v>
      </c>
      <c r="I11" s="91" t="s">
        <v>201</v>
      </c>
      <c r="J11" s="91" t="s">
        <v>202</v>
      </c>
      <c r="K11" s="91" t="s">
        <v>203</v>
      </c>
      <c r="L11" s="91" t="s">
        <v>204</v>
      </c>
      <c r="M11" s="91" t="s">
        <v>205</v>
      </c>
      <c r="N11" s="91" t="s">
        <v>206</v>
      </c>
      <c r="O11" s="91" t="s">
        <v>207</v>
      </c>
      <c r="P11" s="92" t="s">
        <v>208</v>
      </c>
    </row>
    <row r="12">
      <c r="B12" s="47" t="s">
        <v>89</v>
      </c>
      <c r="C12" s="48" t="s">
        <v>79</v>
      </c>
      <c r="D12" s="40">
        <v>191</v>
      </c>
      <c r="E12" s="40">
        <v>273</v>
      </c>
      <c r="G12" s="90"/>
      <c r="H12" s="91"/>
      <c r="I12" s="91"/>
      <c r="J12" s="91"/>
      <c r="K12" s="91"/>
      <c r="L12" s="91"/>
      <c r="M12" s="91"/>
      <c r="N12" s="91"/>
      <c r="O12" s="91"/>
      <c r="P12" s="92"/>
    </row>
    <row r="13">
      <c r="B13" s="45" t="s">
        <v>90</v>
      </c>
      <c r="C13" s="46" t="s">
        <v>91</v>
      </c>
      <c r="D13" s="40">
        <v>865</v>
      </c>
      <c r="E13" s="40">
        <v>1361</v>
      </c>
      <c r="G13" s="93">
        <f>MAX(E19:E28)</f>
        <v>29.463336875664186</v>
      </c>
      <c r="H13" s="91" t="str">
        <f>HLOOKUP(G13,G15:P16,2,FALSE)</f>
        <v>du commerce de gros et de détail, transports, hébergement et restauration</v>
      </c>
      <c r="I13" s="91"/>
      <c r="J13" s="91"/>
      <c r="K13" s="91"/>
      <c r="L13" s="91"/>
      <c r="M13" s="91"/>
      <c r="N13" s="91"/>
      <c r="O13" s="91"/>
      <c r="P13" s="92"/>
    </row>
    <row r="14">
      <c r="B14" s="47" t="s">
        <v>92</v>
      </c>
      <c r="C14" s="48" t="s">
        <v>93</v>
      </c>
      <c r="D14" s="40">
        <v>381</v>
      </c>
      <c r="E14" s="40">
        <v>543</v>
      </c>
      <c r="G14" s="90"/>
      <c r="H14" s="91"/>
      <c r="I14" s="91"/>
      <c r="J14" s="91"/>
      <c r="K14" s="91"/>
      <c r="L14" s="91"/>
      <c r="M14" s="91"/>
      <c r="N14" s="91"/>
      <c r="O14" s="91"/>
      <c r="P14" s="92"/>
    </row>
    <row r="15">
      <c r="B15" s="49" t="s">
        <v>94</v>
      </c>
      <c r="C15" s="50" t="s">
        <v>80</v>
      </c>
      <c r="D15" s="40">
        <v>473</v>
      </c>
      <c r="E15" s="40">
        <v>753</v>
      </c>
      <c r="G15" s="93">
        <f>E19</f>
        <v>4.277364505844846</v>
      </c>
      <c r="H15" s="94">
        <f>E20</f>
        <v>5.061105207226355</v>
      </c>
      <c r="I15" s="94">
        <f>E21</f>
        <v>18.29171094580234</v>
      </c>
      <c r="J15" s="94">
        <f>E22</f>
        <v>29.463336875664186</v>
      </c>
      <c r="K15" s="94">
        <f>E23</f>
        <v>0.9298618490967057</v>
      </c>
      <c r="L15" s="94">
        <f>E24</f>
        <v>3.0552603613177474</v>
      </c>
      <c r="M15" s="94">
        <f>E25</f>
        <v>3.626461211477152</v>
      </c>
      <c r="N15" s="94">
        <f>E26</f>
        <v>18.079171094580236</v>
      </c>
      <c r="O15" s="94">
        <f>E27</f>
        <v>7.213071200850159</v>
      </c>
      <c r="P15" s="95">
        <f>E28</f>
        <v>10.002656748140277</v>
      </c>
    </row>
    <row r="16">
      <c r="D16" s="44">
        <f>SUM(D6:D15)</f>
        <v>4724</v>
      </c>
      <c r="E16" s="44">
        <f>SUM(E6:E15)</f>
        <v>7528</v>
      </c>
      <c r="G16" s="90" t="s">
        <v>199</v>
      </c>
      <c r="H16" s="91" t="s">
        <v>200</v>
      </c>
      <c r="I16" s="91" t="s">
        <v>201</v>
      </c>
      <c r="J16" s="91" t="s">
        <v>202</v>
      </c>
      <c r="K16" s="91" t="s">
        <v>203</v>
      </c>
      <c r="L16" s="91" t="s">
        <v>204</v>
      </c>
      <c r="M16" s="91" t="s">
        <v>205</v>
      </c>
      <c r="N16" s="91" t="s">
        <v>206</v>
      </c>
      <c r="O16" s="91" t="s">
        <v>207</v>
      </c>
      <c r="P16" s="92" t="s">
        <v>208</v>
      </c>
    </row>
    <row r="17">
      <c r="C17" s="83" t="s">
        <v>171</v>
      </c>
      <c r="D17" s="51"/>
      <c r="E17" s="51"/>
      <c r="G17" s="90"/>
      <c r="H17" s="91"/>
      <c r="I17" s="91"/>
      <c r="J17" s="91"/>
      <c r="K17" s="91"/>
      <c r="L17" s="91"/>
      <c r="M17" s="91"/>
      <c r="N17" s="91"/>
      <c r="O17" s="91"/>
      <c r="P17" s="92"/>
    </row>
    <row r="18">
      <c r="D18" s="52" t="str">
        <f>D5</f>
        <v>Portivechju</v>
      </c>
      <c r="E18" s="52" t="str">
        <f>E5</f>
        <v>CC du Sud Corse</v>
      </c>
      <c r="G18" s="96" t="str">
        <f>IF(H13=H6," également "," ")</f>
        <v> également </v>
      </c>
      <c r="H18" s="97"/>
      <c r="I18" s="97"/>
      <c r="J18" s="97"/>
      <c r="K18" s="97"/>
      <c r="L18" s="97"/>
      <c r="M18" s="97"/>
      <c r="N18" s="97"/>
      <c r="O18" s="97"/>
      <c r="P18" s="98"/>
    </row>
    <row r="19">
      <c r="C19" s="42" t="s">
        <v>81</v>
      </c>
      <c r="D19" s="53">
        <f>D6/D$16*100</f>
        <v>2.5402201524132093</v>
      </c>
      <c r="E19" s="53">
        <f>E6/E$16*100</f>
        <v>4.277364505844846</v>
      </c>
    </row>
    <row r="20">
      <c r="C20" s="45" t="s">
        <v>82</v>
      </c>
      <c r="D20" s="53">
        <f>D7/D$16*100</f>
        <v>4.085520745131245</v>
      </c>
      <c r="E20" s="53">
        <f>E7/E$16*100</f>
        <v>5.061105207226355</v>
      </c>
    </row>
    <row r="21">
      <c r="C21" s="47" t="s">
        <v>84</v>
      </c>
      <c r="D21" s="53">
        <f>D8/D$16*100</f>
        <v>20.279424216765456</v>
      </c>
      <c r="E21" s="53">
        <f>E8/E$16*100</f>
        <v>18.29171094580234</v>
      </c>
    </row>
    <row r="22">
      <c r="C22" s="45" t="s">
        <v>85</v>
      </c>
      <c r="D22" s="53">
        <f>D9/D$16*100</f>
        <v>28.04826418289585</v>
      </c>
      <c r="E22" s="53">
        <f>E9/E$16*100</f>
        <v>29.463336875664186</v>
      </c>
    </row>
    <row r="23">
      <c r="C23" s="47" t="s">
        <v>87</v>
      </c>
      <c r="D23" s="53">
        <f>D10/D$16*100</f>
        <v>1.0584250635055037</v>
      </c>
      <c r="E23" s="53">
        <f>E10/E$16*100</f>
        <v>0.9298618490967057</v>
      </c>
    </row>
    <row r="24">
      <c r="C24" s="45" t="s">
        <v>88</v>
      </c>
      <c r="D24" s="53">
        <f>D11/D$16*100</f>
        <v>3.556308213378493</v>
      </c>
      <c r="E24" s="53">
        <f>E11/E$16*100</f>
        <v>3.0552603613177474</v>
      </c>
    </row>
    <row r="25">
      <c r="C25" s="47" t="s">
        <v>89</v>
      </c>
      <c r="D25" s="53">
        <f>D12/D$16*100</f>
        <v>4.043183742591024</v>
      </c>
      <c r="E25" s="53">
        <f>E12/E$16*100</f>
        <v>3.626461211477152</v>
      </c>
    </row>
    <row r="26">
      <c r="C26" s="45" t="s">
        <v>90</v>
      </c>
      <c r="D26" s="53">
        <f>D13/D$16*100</f>
        <v>18.310753598645217</v>
      </c>
      <c r="E26" s="53">
        <f>E13/E$16*100</f>
        <v>18.079171094580236</v>
      </c>
    </row>
    <row r="27">
      <c r="C27" s="47" t="s">
        <v>92</v>
      </c>
      <c r="D27" s="53">
        <f>D14/D$16*100</f>
        <v>8.06519898391194</v>
      </c>
      <c r="E27" s="53">
        <f>E14/E$16*100</f>
        <v>7.213071200850159</v>
      </c>
    </row>
    <row r="28">
      <c r="C28" s="49" t="s">
        <v>94</v>
      </c>
      <c r="D28" s="53">
        <f>D15/D$16*100</f>
        <v>10.012701100762065</v>
      </c>
      <c r="E28" s="53">
        <f>E15/E$16*100</f>
        <v>10.002656748140277</v>
      </c>
    </row>
    <row r="29">
      <c r="D29" s="53">
        <f>D16/D$16*100</f>
        <v>100</v>
      </c>
      <c r="E29" s="53">
        <f>E16/E$16*100</f>
        <v>100</v>
      </c>
    </row>
    <row r="32">
      <c r="C32" s="54" t="s">
        <v>95</v>
      </c>
    </row>
    <row r="33">
      <c r="C33" s="30" t="str">
        <f>CONCATENATE("Source : Sirene "&amp;YEAR($D$2)&amp;" - Traitements © Compas")</f>
        <v>Source : Sirene 2023 - Traitements © Compas</v>
      </c>
    </row>
    <row r="54">
      <c r="B54" s="83" t="s">
        <v>172</v>
      </c>
      <c r="C54" s="84"/>
    </row>
    <row r="55">
      <c r="B55" s="99" t="str">
        <f>"Phrase "&amp;phrases!$A$3</f>
        <v>Phrase 2</v>
      </c>
      <c r="C55" s="84" t="str">
        <f>AFFICHERPHRASE(phrases!$A$3,0,TEXT(D22,"0,0"),C4,YEAR(D2))</f>
        <v>Lecture : Le secteur du Commerce, du transport, de l’hébergement et de la restauration regroupe 28,0% des établissements participant au système productif à Portivechju en 2023.</v>
      </c>
    </row>
    <row r="56">
      <c r="B56" s="84"/>
      <c r="C56" s="84"/>
    </row>
    <row r="57">
      <c r="B57" s="80" t="str">
        <f>"Phrase "&amp;phrases!A10</f>
        <v>Phrase 9</v>
      </c>
      <c r="C57" s="84" t="str">
        <f>AFFICHERPHRASE(phrases!A10,0,Infos!E6,H6,TEXT(ROUND(G6,0),"0"),H7,TEXT(ROUND(G7,0),"0"),H8,TEXT(ROUND(G8,0),"0"),H9,TEXT(ROUND(G9,0),"0"))</f>
        <v>Sur Portivechju, la répartition des établissements productifs montre une part plus importante du secteur du commerce de gros et de détail, transports, hébergement et restauration par rapport aux autres secteurs (28% des établissements productifs). Viennent ensuite les secteurs de la construction (20%), des activités spécialisées, scientifiques et techniques et activités de services administratifs (18%) et des autres activités de services (10%). </v>
      </c>
    </row>
    <row r="58">
      <c r="B58" s="80" t="str">
        <f>"Phrase "&amp;phrases!A11</f>
        <v>Phrase 10</v>
      </c>
      <c r="C58" s="84" t="str">
        <f>AFFICHERPHRASE(phrases!A11,0,Infos!E14,G18,H13)</f>
        <v>Sur la CC du Sud Corse, c'est également le secteur du commerce de gros et de détail, transports, hébergement et restauration qui compte le plus d'établissements productifs.</v>
      </c>
    </row>
    <row r="59">
      <c r="B59" s="83" t="s">
        <v>210</v>
      </c>
      <c r="C59" s="84"/>
    </row>
    <row r="60">
      <c r="B60" s="84"/>
      <c r="C60" s="84" t="str">
        <f>C57&amp;C58</f>
        <v>Sur Portivechju, la répartition des établissements productifs montre une part plus importante du secteur du commerce de gros et de détail, transports, hébergement et restauration par rapport aux autres secteurs (28% des établissements productifs). Viennent ensuite les secteurs de la construction (20%), des activités spécialisées, scientifiques et techniques et activités de services administratifs (18%) et des autres activités de services (10%). Sur la CC du Sud Corse, c'est également le secteur du commerce de gros et de détail, transports, hébergement et restauration qui compte le plus d'établissements productifs.</v>
      </c>
    </row>
  </sheetData>
  <mergeCells count="1">
    <mergeCell ref="C1:C2"/>
  </mergeCells>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59"/>
  <sheetViews>
    <sheetView showGridLines="false" topLeftCell="A3" workbookViewId="0">
      <selection activeCell="B24" sqref="B24"/>
    </sheetView>
  </sheetViews>
  <sheetFormatPr baseColWidth="10" defaultColWidth="11" defaultRowHeight="15" x14ac:dyDescent="0.25" outlineLevelRow="0" outlineLevelCol="0"/>
  <cols>
    <col min="2" max="2" width="20.75" customWidth="1"/>
    <col min="3" max="3" width="32.375" customWidth="1"/>
    <col min="4" max="4" width="19.875" customWidth="1"/>
    <col min="5" max="5" width="19.875" customWidth="1"/>
    <col min="6" max="6" width="19.875" customWidth="1"/>
    <col min="7" max="7" width="19.875" customWidth="1"/>
    <col min="9" max="9" width="15.25" customWidth="1"/>
  </cols>
  <sheetData>
    <row r="1">
      <c r="C1" s="119" t="s">
        <v>50</v>
      </c>
      <c r="D1" s="21" t="str">
        <f>Infos!G3</f>
        <v>SIRENE Etablissements</v>
      </c>
    </row>
    <row r="2">
      <c r="C2" s="119"/>
      <c r="D2" s="22" t="str">
        <f>Infos!H3</f>
        <v>01/01/2023</v>
      </c>
    </row>
    <row r="4">
      <c r="C4" t="str">
        <f>Infos!E7</f>
        <v>à Portivechju</v>
      </c>
    </row>
    <row r="6">
      <c r="D6" s="52" t="str">
        <f>IF(Infos!C8="COM",Infos!C6,Infos!C5)</f>
        <v>Portivechju</v>
      </c>
      <c r="E6" s="52" t="str">
        <f>IF(Infos!C16="COM",Infos!C14,Infos!C13)</f>
        <v>CC du Sud Corse</v>
      </c>
      <c r="F6" s="52" t="str">
        <f>IF(Infos!C41="COM",Infos!C39,Infos!C38)</f>
        <v>Zone d'emploi de Portivechju</v>
      </c>
      <c r="G6" s="52" t="str">
        <f>IF(Infos!C32="COM",Infos!C30,Infos!C29)</f>
        <v>France métropolitaine</v>
      </c>
    </row>
    <row r="7">
      <c r="C7" t="s">
        <v>103</v>
      </c>
      <c r="D7" s="40">
        <v>820</v>
      </c>
      <c r="E7" s="40">
        <v>1412</v>
      </c>
      <c r="F7" s="40">
        <v>1736</v>
      </c>
      <c r="G7" s="40">
        <v>1789734</v>
      </c>
    </row>
    <row r="8">
      <c r="C8" t="s">
        <v>99</v>
      </c>
      <c r="D8" s="40">
        <v>834</v>
      </c>
      <c r="E8" s="40">
        <v>1234</v>
      </c>
      <c r="F8" s="40">
        <v>1436</v>
      </c>
      <c r="G8" s="40">
        <v>1347614</v>
      </c>
    </row>
    <row r="9">
      <c r="C9" t="s">
        <v>100</v>
      </c>
      <c r="D9" s="40">
        <v>105</v>
      </c>
      <c r="E9" s="40">
        <v>153</v>
      </c>
      <c r="F9" s="40">
        <v>169</v>
      </c>
      <c r="G9" s="40">
        <v>262389</v>
      </c>
    </row>
    <row r="10">
      <c r="C10" t="s">
        <v>101</v>
      </c>
      <c r="D10" s="40">
        <v>9</v>
      </c>
      <c r="E10" s="40">
        <v>12</v>
      </c>
      <c r="F10" s="40">
        <v>13</v>
      </c>
      <c r="G10" s="40">
        <v>62639</v>
      </c>
    </row>
    <row r="11">
      <c r="C11" t="s">
        <v>104</v>
      </c>
      <c r="D11" s="40"/>
      <c r="E11" s="40"/>
      <c r="F11" s="40"/>
      <c r="G11" s="40"/>
    </row>
    <row r="12">
      <c r="C12" s="56" t="s">
        <v>105</v>
      </c>
      <c r="D12" s="57">
        <f>SUM(D7:D11)</f>
        <v>1768</v>
      </c>
      <c r="E12" s="57">
        <f>SUM(E7:E11)</f>
        <v>2811</v>
      </c>
      <c r="F12" s="57">
        <f>SUM(F7:F11)</f>
        <v>3354</v>
      </c>
      <c r="G12" s="57">
        <f>SUM(G7:G11)</f>
        <v>3462376</v>
      </c>
    </row>
    <row r="13">
      <c r="D13" s="55"/>
      <c r="E13" s="55"/>
      <c r="F13" s="55"/>
      <c r="G13" s="55"/>
    </row>
    <row r="14">
      <c r="C14" s="83" t="s">
        <v>107</v>
      </c>
    </row>
    <row r="15">
      <c r="D15" t="str">
        <f>D6</f>
        <v>Portivechju</v>
      </c>
      <c r="E15" t="str">
        <f>E6</f>
        <v>CC du Sud Corse</v>
      </c>
      <c r="F15" t="str">
        <f>F6</f>
        <v>Zone d'emploi de Portivechju</v>
      </c>
      <c r="G15" t="str">
        <f>G6</f>
        <v>France métropolitaine</v>
      </c>
    </row>
    <row r="16">
      <c r="C16" t="str">
        <f>C7</f>
        <v>Aucun salarié ou non employeur</v>
      </c>
      <c r="D16" s="58">
        <f>D7/D$12*100</f>
        <v>46.380090497737555</v>
      </c>
      <c r="E16" s="58">
        <f>E7/E$12*100</f>
        <v>50.23123443614372</v>
      </c>
      <c r="F16" s="58">
        <f>F7/F$12*100</f>
        <v>51.75909361955874</v>
      </c>
      <c r="G16" s="58">
        <f>G7/G$12*100</f>
        <v>51.69091976145861</v>
      </c>
    </row>
    <row r="17">
      <c r="C17" t="str">
        <f>C8</f>
        <v>Moins de 10 salariés</v>
      </c>
      <c r="D17" s="58">
        <f>D8/D$12*100</f>
        <v>47.171945701357465</v>
      </c>
      <c r="E17" s="58">
        <f>E8/E$12*100</f>
        <v>43.89896833866951</v>
      </c>
      <c r="F17" s="58">
        <f>F8/F$12*100</f>
        <v>42.81454979129398</v>
      </c>
      <c r="G17" s="58">
        <f>G8/G$12*100</f>
        <v>38.92165380074261</v>
      </c>
    </row>
    <row r="18">
      <c r="C18" t="str">
        <f>C9</f>
        <v>10 à 49 salariés</v>
      </c>
      <c r="D18" s="58">
        <f>D9/D$12*100</f>
        <v>5.938914027149321</v>
      </c>
      <c r="E18" s="58">
        <f>E9/E$12*100</f>
        <v>5.44290288153682</v>
      </c>
      <c r="F18" s="58">
        <f>F9/F$12*100</f>
        <v>5.038759689922481</v>
      </c>
      <c r="G18" s="58">
        <f>G9/G$12*100</f>
        <v>7.578293056560003</v>
      </c>
    </row>
    <row r="19">
      <c r="C19" t="str">
        <f>C10</f>
        <v>50 salariés et plus</v>
      </c>
      <c r="D19" s="58">
        <f>D10/D$12*100</f>
        <v>0.5090497737556561</v>
      </c>
      <c r="E19" s="58">
        <f>E10/E$12*100</f>
        <v>0.42689434364994666</v>
      </c>
      <c r="F19" s="58">
        <f>F10/F$12*100</f>
        <v>0.3875968992248062</v>
      </c>
      <c r="G19" s="58">
        <f>G10/G$12*100</f>
        <v>1.8091333812387793</v>
      </c>
    </row>
    <row r="20">
      <c r="C20" t="str">
        <f>C11</f>
        <v>Effectif inconnu</v>
      </c>
      <c r="D20" s="58">
        <f>D11/D$12*100</f>
        <v>0</v>
      </c>
      <c r="E20" s="58">
        <f>E11/E$12*100</f>
        <v>0</v>
      </c>
      <c r="F20" s="58">
        <f>F11/F$12*100</f>
        <v>0</v>
      </c>
      <c r="G20" s="58">
        <f>G11/G$12*100</f>
        <v>0</v>
      </c>
    </row>
    <row r="21">
      <c r="C21" s="56" t="str">
        <f>C12</f>
        <v>Total</v>
      </c>
      <c r="D21" s="59">
        <f>D12/D$12*100</f>
        <v>100</v>
      </c>
      <c r="E21" s="59">
        <f>E12/E$12*100</f>
        <v>100</v>
      </c>
      <c r="F21" s="59">
        <f>F12/F$12*100</f>
        <v>100</v>
      </c>
      <c r="G21" s="59">
        <f>G12/G$12*100</f>
        <v>100</v>
      </c>
      <c r="K21" s="31"/>
      <c r="L21" s="31"/>
      <c r="M21" s="31"/>
      <c r="N21" s="31"/>
      <c r="O21" s="31"/>
    </row>
    <row r="23" ht="16">
      <c r="C23" s="54" t="s">
        <v>106</v>
      </c>
    </row>
    <row r="24">
      <c r="B24">
        <v>26</v>
      </c>
      <c r="C24" s="30" t="str">
        <f>CONCATENATE("Source : Sirene "&amp;YEAR($D$2)&amp;" - Traitements © Compas")</f>
        <v>Source : Sirene 2023 - Traitements © Compas</v>
      </c>
    </row>
    <row r="58">
      <c r="B58" s="83" t="s">
        <v>183</v>
      </c>
      <c r="C58" s="84"/>
    </row>
    <row r="59">
      <c r="B59" s="99" t="str">
        <f>"Phrase "&amp;phrases!$A$4</f>
        <v>Phrase 3</v>
      </c>
      <c r="C59" s="84" t="str">
        <f>AFFICHERPHRASE(phrases!$A$4,0,YEAR($D$2),TEXT(D16,"0,0"),C4)</f>
        <v>Lecture : En 2023, 46,4% des établissements participant au système productif ont aucun salarié (ou non employeur) à Portivechju.</v>
      </c>
    </row>
  </sheetData>
  <mergeCells count="1">
    <mergeCell ref="C1:C2"/>
  </mergeCells>
  <pageMargins left="0.7" right="0.7" top="0.75" bottom="0.75" header="0.3" footer="0.3"/>
  <pageSetup orientation="portrait"/>
  <headerFooter alignWithMargin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68"/>
  <sheetViews>
    <sheetView showGridLines="false" topLeftCell="A43" workbookViewId="0">
      <selection activeCell="I29" sqref="I29"/>
    </sheetView>
  </sheetViews>
  <sheetFormatPr baseColWidth="10" defaultColWidth="11" defaultRowHeight="15" x14ac:dyDescent="0.25" outlineLevelRow="0" outlineLevelCol="0"/>
  <cols>
    <col min="2" max="2" width="19.375" customWidth="1"/>
    <col min="4" max="4" width="13.75" customWidth="1"/>
    <col min="6" max="6" width="25" customWidth="1"/>
    <col min="7" max="7" width="13" customWidth="1"/>
    <col min="8" max="8" width="13" customWidth="1"/>
    <col min="9" max="9" width="13" customWidth="1"/>
    <col min="10" max="10" width="13" customWidth="1"/>
  </cols>
  <sheetData>
    <row r="1">
      <c r="C1" s="119" t="s">
        <v>50</v>
      </c>
      <c r="D1" s="21" t="str">
        <f>Infos!G4</f>
        <v>SIRENE Créations</v>
      </c>
    </row>
    <row r="2">
      <c r="B2" s="67"/>
      <c r="C2" s="119"/>
      <c r="D2" s="22" t="str">
        <f>Infos!H4</f>
        <v>31/12/2022</v>
      </c>
    </row>
    <row r="3">
      <c r="B3" s="67"/>
      <c r="C3" s="22" t="s">
        <v>117</v>
      </c>
      <c r="D3" s="22" t="str">
        <f>TEXT(EDATE(D2,-12*1),"jj/mm/aaaa")</f>
        <v>31/12/2021</v>
      </c>
      <c r="F3" t="str">
        <f>Infos!E7</f>
        <v>à Portivechju</v>
      </c>
    </row>
    <row r="4">
      <c r="B4" s="67"/>
      <c r="C4" s="22" t="s">
        <v>118</v>
      </c>
      <c r="D4" s="22" t="str">
        <f>TEXT(EDATE(D2,-12*2),"jj/mm/aaaa")</f>
        <v>31/12/2020</v>
      </c>
    </row>
    <row r="5" ht="15">
      <c r="B5" s="67"/>
      <c r="C5" s="22" t="s">
        <v>119</v>
      </c>
      <c r="D5" s="22" t="str">
        <f>TEXT(EDATE(D2,-12*3),"jj/mm/aaaa")</f>
        <v>31/12/2019</v>
      </c>
      <c r="F5" s="29"/>
      <c r="L5" s="83" t="s">
        <v>136</v>
      </c>
    </row>
    <row r="6">
      <c r="B6" s="67"/>
      <c r="C6" s="22" t="s">
        <v>120</v>
      </c>
      <c r="D6" s="22" t="str">
        <f>TEXT(EDATE(D2,-12*4),"jj/mm/aaaa")</f>
        <v>31/12/2018</v>
      </c>
      <c r="F6" s="52"/>
      <c r="G6" s="52" t="str">
        <f>IF(Infos!C8="COM",Infos!C6,Infos!C5)</f>
        <v>Portivechju</v>
      </c>
      <c r="H6" s="52" t="str">
        <f>IF(Infos!C16="COM",Infos!C14,Infos!C13)</f>
        <v>CC du Sud Corse</v>
      </c>
      <c r="I6" s="52" t="str">
        <f>IF(Infos!C41="COM",Infos!C39,Infos!C38)</f>
        <v>Zone d'emploi de Portivechju</v>
      </c>
      <c r="J6" s="52" t="str">
        <f>IF(Infos!C32="COM",Infos!C30,Infos!C29)</f>
        <v>France métropolitaine</v>
      </c>
      <c r="L6" s="52"/>
      <c r="M6" s="52" t="str">
        <f>G6</f>
        <v>Portivechju</v>
      </c>
      <c r="N6" s="52" t="str">
        <f>H6</f>
        <v>CC du Sud Corse</v>
      </c>
      <c r="O6" s="52" t="str">
        <f>I6</f>
        <v>Zone d'emploi de Portivechju</v>
      </c>
      <c r="P6" s="60" t="str">
        <f>J6</f>
        <v>France métropolitaine</v>
      </c>
      <c r="R6" s="100" t="s">
        <v>195</v>
      </c>
      <c r="S6" s="88"/>
      <c r="T6" s="88"/>
      <c r="U6" s="89"/>
    </row>
    <row r="7">
      <c r="B7" s="67"/>
      <c r="C7" s="22" t="s">
        <v>121</v>
      </c>
      <c r="D7" s="22" t="str">
        <f>TEXT(EDATE(D2,-12*5),"jj/mm/aaaa")</f>
        <v>31/12/2017</v>
      </c>
      <c r="E7" s="67"/>
      <c r="F7" s="61">
        <f>YEAR(D21)</f>
        <v>2003</v>
      </c>
      <c r="G7" s="40">
        <v>189</v>
      </c>
      <c r="H7" s="40">
        <v>294</v>
      </c>
      <c r="I7" s="40">
        <v>354</v>
      </c>
      <c r="J7" s="40">
        <v>538281</v>
      </c>
      <c r="L7" s="61">
        <f>F7</f>
        <v>2003</v>
      </c>
      <c r="M7" s="62">
        <v>100</v>
      </c>
      <c r="N7" s="62">
        <v>100</v>
      </c>
      <c r="O7" s="62">
        <v>100</v>
      </c>
      <c r="P7" s="62">
        <v>100</v>
      </c>
      <c r="R7" s="101">
        <f>(G26-G7)/G7*100</f>
        <v>156.6137566137566</v>
      </c>
      <c r="S7" s="91">
        <f>IF(AND(R7&gt;=-0.5,R7&lt;=0.5),0,IF(R7&lt;-0.5,-1,1))</f>
        <v>1</v>
      </c>
      <c r="T7" s="84"/>
      <c r="U7" s="102"/>
    </row>
    <row r="8">
      <c r="B8" s="67"/>
      <c r="C8" s="22" t="s">
        <v>122</v>
      </c>
      <c r="D8" s="22" t="str">
        <f>TEXT(EDATE(D2,-12*6),"jj/mm/aaaa")</f>
        <v>31/12/2016</v>
      </c>
      <c r="E8" s="67"/>
      <c r="F8" s="61">
        <f>YEAR(D20)</f>
        <v>2004</v>
      </c>
      <c r="G8" s="40">
        <v>231</v>
      </c>
      <c r="H8" s="40">
        <v>340</v>
      </c>
      <c r="I8" s="40">
        <v>409</v>
      </c>
      <c r="J8" s="40">
        <v>589226</v>
      </c>
      <c r="L8" s="61">
        <f>F8</f>
        <v>2004</v>
      </c>
      <c r="M8" s="63">
        <f>G8/G$7*M$7</f>
        <v>122.22222222222223</v>
      </c>
      <c r="N8" s="63">
        <f>H8/H$7*N$7</f>
        <v>115.64625850340136</v>
      </c>
      <c r="O8" s="63">
        <f>I8/I$7*O$7</f>
        <v>115.5367231638418</v>
      </c>
      <c r="P8" s="63">
        <f>J8/J$7*P$7</f>
        <v>109.46438755965751</v>
      </c>
      <c r="R8" s="103">
        <f>G26-G7</f>
        <v>296</v>
      </c>
      <c r="S8" s="91"/>
      <c r="T8" s="84"/>
      <c r="U8" s="102"/>
    </row>
    <row r="9" ht="15">
      <c r="B9" s="67"/>
      <c r="C9" s="22" t="s">
        <v>123</v>
      </c>
      <c r="D9" s="22" t="str">
        <f>TEXT(EDATE(D2,-12*7),"jj/mm/aaaa")</f>
        <v>31/12/2015</v>
      </c>
      <c r="E9" s="67"/>
      <c r="F9" s="61">
        <f>YEAR(D19)</f>
        <v>2005</v>
      </c>
      <c r="G9" s="40">
        <v>235</v>
      </c>
      <c r="H9" s="40">
        <v>347</v>
      </c>
      <c r="I9" s="40">
        <v>418</v>
      </c>
      <c r="J9" s="40">
        <v>604602</v>
      </c>
      <c r="L9" s="61">
        <f>F9</f>
        <v>2005</v>
      </c>
      <c r="M9" s="63">
        <f>G9/G$7*M$7</f>
        <v>124.33862433862434</v>
      </c>
      <c r="N9" s="63">
        <f>H9/H$7*N$7</f>
        <v>118.02721088435375</v>
      </c>
      <c r="O9" s="63">
        <f>I9/I$7*O$7</f>
        <v>118.07909604519776</v>
      </c>
      <c r="P9" s="63">
        <f>J9/J$7*P$7</f>
        <v>112.32088816064471</v>
      </c>
      <c r="R9" s="104">
        <f>G26-G25</f>
        <v>-42</v>
      </c>
      <c r="S9" s="105">
        <f>R9/G25*100</f>
        <v>-7.969639468690702</v>
      </c>
      <c r="T9" s="97">
        <f>IF(S9&lt;-0.5,-1,IF(S9&gt;0.5,1,0))</f>
        <v>-1</v>
      </c>
      <c r="U9" s="98" t="str">
        <f>IF(T9=1,CONCATENATE(TEXT(ROUND(ABS(R9),0),"# ###")," créations en plus"),IF(T9=-1,CONCATENATE(TEXT(ROUND(ABS(R9),0),"# ###")," créations en moins"),""))</f>
        <v>42 créations en moins</v>
      </c>
    </row>
    <row r="10">
      <c r="B10" s="67"/>
      <c r="C10" s="22" t="s">
        <v>124</v>
      </c>
      <c r="D10" s="22" t="str">
        <f>TEXT(EDATE(D2,-12*8),"jj/mm/aaaa")</f>
        <v>31/12/2014</v>
      </c>
      <c r="E10" s="67"/>
      <c r="F10" s="61">
        <f>YEAR(D18)</f>
        <v>2006</v>
      </c>
      <c r="G10" s="40">
        <v>231</v>
      </c>
      <c r="H10" s="40">
        <v>371</v>
      </c>
      <c r="I10" s="40">
        <v>448</v>
      </c>
      <c r="J10" s="40">
        <v>610076</v>
      </c>
      <c r="L10" s="61">
        <f>F10</f>
        <v>2006</v>
      </c>
      <c r="M10" s="63">
        <f>G10/G$7*M$7</f>
        <v>122.22222222222223</v>
      </c>
      <c r="N10" s="63">
        <f>H10/H$7*N$7</f>
        <v>126.19047619047619</v>
      </c>
      <c r="O10" s="63">
        <f>I10/I$7*O$7</f>
        <v>126.5536723163842</v>
      </c>
      <c r="P10" s="63">
        <f>J10/J$7*P$7</f>
        <v>113.3378291264228</v>
      </c>
    </row>
    <row r="11">
      <c r="B11" s="67"/>
      <c r="C11" s="22" t="s">
        <v>125</v>
      </c>
      <c r="D11" s="22" t="str">
        <f>TEXT(EDATE(D2,-12*9),"jj/mm/aaaa")</f>
        <v>31/12/2013</v>
      </c>
      <c r="E11" s="67"/>
      <c r="F11" s="61">
        <f>YEAR(D17)</f>
        <v>2007</v>
      </c>
      <c r="G11" s="40">
        <v>265</v>
      </c>
      <c r="H11" s="40">
        <v>390</v>
      </c>
      <c r="I11" s="40">
        <v>476</v>
      </c>
      <c r="J11" s="40">
        <v>648956</v>
      </c>
      <c r="L11" s="61">
        <f>F11</f>
        <v>2007</v>
      </c>
      <c r="M11" s="63">
        <f>G11/G$7*M$7</f>
        <v>140.2116402116402</v>
      </c>
      <c r="N11" s="63">
        <f>H11/H$7*N$7</f>
        <v>132.6530612244898</v>
      </c>
      <c r="O11" s="63">
        <f>I11/I$7*O$7</f>
        <v>134.4632768361582</v>
      </c>
      <c r="P11" s="63">
        <f>J11/J$7*P$7</f>
        <v>120.56082232142691</v>
      </c>
    </row>
    <row r="12">
      <c r="B12" s="67"/>
      <c r="C12" s="22" t="s">
        <v>126</v>
      </c>
      <c r="D12" s="22" t="str">
        <f>TEXT(EDATE(D2,-12*10),"jj/mm/aaaa")</f>
        <v>31/12/2012</v>
      </c>
      <c r="E12" s="67"/>
      <c r="F12" s="61">
        <f>YEAR(D16)</f>
        <v>2008</v>
      </c>
      <c r="G12" s="40">
        <v>308</v>
      </c>
      <c r="H12" s="40">
        <v>442</v>
      </c>
      <c r="I12" s="40">
        <v>519</v>
      </c>
      <c r="J12" s="40">
        <v>648608</v>
      </c>
      <c r="L12" s="61">
        <f>F12</f>
        <v>2008</v>
      </c>
      <c r="M12" s="63">
        <f>G12/G$7*M$7</f>
        <v>162.96296296296296</v>
      </c>
      <c r="N12" s="63">
        <f>H12/H$7*N$7</f>
        <v>150.34013605442175</v>
      </c>
      <c r="O12" s="63">
        <f>I12/I$7*O$7</f>
        <v>146.61016949152543</v>
      </c>
      <c r="P12" s="63">
        <f>J12/J$7*P$7</f>
        <v>120.49617207369386</v>
      </c>
    </row>
    <row r="13">
      <c r="B13" s="67"/>
      <c r="C13" s="22" t="s">
        <v>127</v>
      </c>
      <c r="D13" s="22" t="str">
        <f>TEXT(EDATE(D2,-12*11),"jj/mm/aaaa")</f>
        <v>31/12/2011</v>
      </c>
      <c r="E13" s="67"/>
      <c r="F13" s="61">
        <f>YEAR(D15)</f>
        <v>2009</v>
      </c>
      <c r="G13" s="40">
        <v>375</v>
      </c>
      <c r="H13" s="40">
        <v>568</v>
      </c>
      <c r="I13" s="40">
        <v>689</v>
      </c>
      <c r="J13" s="40">
        <v>852292</v>
      </c>
      <c r="L13" s="61">
        <f>F13</f>
        <v>2009</v>
      </c>
      <c r="M13" s="63">
        <f>G13/G$7*M$7</f>
        <v>198.41269841269843</v>
      </c>
      <c r="N13" s="63">
        <f>H13/H$7*N$7</f>
        <v>193.1972789115646</v>
      </c>
      <c r="O13" s="63">
        <f>I13/I$7*O$7</f>
        <v>194.63276836158192</v>
      </c>
      <c r="P13" s="63">
        <f>J13/J$7*P$7</f>
        <v>158.33588776122508</v>
      </c>
    </row>
    <row r="14">
      <c r="B14" s="67"/>
      <c r="C14" s="22" t="s">
        <v>128</v>
      </c>
      <c r="D14" s="22" t="str">
        <f>TEXT(EDATE(D2,-12*12),"jj/mm/aaaa")</f>
        <v>31/12/2010</v>
      </c>
      <c r="E14" s="67"/>
      <c r="F14" s="61">
        <f>YEAR(D14)</f>
        <v>2010</v>
      </c>
      <c r="G14" s="40">
        <v>425</v>
      </c>
      <c r="H14" s="40">
        <v>607</v>
      </c>
      <c r="I14" s="40">
        <v>739</v>
      </c>
      <c r="J14" s="40">
        <v>924757</v>
      </c>
      <c r="L14" s="61">
        <f>F14</f>
        <v>2010</v>
      </c>
      <c r="M14" s="63">
        <f>G14/G$7*M$7</f>
        <v>224.8677248677249</v>
      </c>
      <c r="N14" s="63">
        <f>H14/H$7*N$7</f>
        <v>206.4625850340136</v>
      </c>
      <c r="O14" s="63">
        <f>I14/I$7*O$7</f>
        <v>208.75706214689265</v>
      </c>
      <c r="P14" s="63">
        <f>J14/J$7*P$7</f>
        <v>171.79818719219145</v>
      </c>
    </row>
    <row r="15">
      <c r="B15" s="67"/>
      <c r="C15" s="22" t="s">
        <v>129</v>
      </c>
      <c r="D15" s="22" t="str">
        <f>TEXT(EDATE(D2,-12*13),"jj/mm/aaaa")</f>
        <v>31/12/2009</v>
      </c>
      <c r="E15" s="67"/>
      <c r="F15" s="61">
        <f>YEAR(D13)</f>
        <v>2011</v>
      </c>
      <c r="G15" s="40">
        <v>372</v>
      </c>
      <c r="H15" s="40">
        <v>603</v>
      </c>
      <c r="I15" s="40">
        <v>734</v>
      </c>
      <c r="J15" s="40">
        <v>870335</v>
      </c>
      <c r="L15" s="61">
        <f>F15</f>
        <v>2011</v>
      </c>
      <c r="M15" s="63">
        <f>G15/G$7*M$7</f>
        <v>196.8253968253968</v>
      </c>
      <c r="N15" s="63">
        <f>H15/H$7*N$7</f>
        <v>205.10204081632654</v>
      </c>
      <c r="O15" s="63">
        <f>I15/I$7*O$7</f>
        <v>207.34463276836158</v>
      </c>
      <c r="P15" s="63">
        <f>J15/J$7*P$7</f>
        <v>161.68785448492514</v>
      </c>
    </row>
    <row r="16">
      <c r="B16" s="67"/>
      <c r="C16" s="22" t="s">
        <v>130</v>
      </c>
      <c r="D16" s="22" t="str">
        <f>TEXT(EDATE(D2,-12*14),"jj/mm/aaaa")</f>
        <v>31/12/2008</v>
      </c>
      <c r="E16" s="67"/>
      <c r="F16" s="61">
        <f>YEAR(D12)</f>
        <v>2012</v>
      </c>
      <c r="G16" s="40">
        <v>411</v>
      </c>
      <c r="H16" s="40">
        <v>638</v>
      </c>
      <c r="I16" s="40">
        <v>785</v>
      </c>
      <c r="J16" s="40">
        <v>883689</v>
      </c>
      <c r="L16" s="61">
        <f>F16</f>
        <v>2012</v>
      </c>
      <c r="M16" s="63">
        <f>G16/G$7*M$7</f>
        <v>217.46031746031744</v>
      </c>
      <c r="N16" s="63">
        <f>H16/H$7*N$7</f>
        <v>217.00680272108843</v>
      </c>
      <c r="O16" s="63">
        <f>I16/I$7*O$7</f>
        <v>221.75141242937855</v>
      </c>
      <c r="P16" s="63">
        <f>J16/J$7*P$7</f>
        <v>164.16871485339442</v>
      </c>
    </row>
    <row r="17">
      <c r="B17" s="67"/>
      <c r="C17" s="22" t="s">
        <v>131</v>
      </c>
      <c r="D17" s="22" t="str">
        <f>TEXT(EDATE(D2,-12*15),"jj/mm/aaaa")</f>
        <v>31/12/2007</v>
      </c>
      <c r="E17" s="67"/>
      <c r="F17" s="61">
        <f>YEAR(D11)</f>
        <v>2013</v>
      </c>
      <c r="G17" s="40">
        <v>392</v>
      </c>
      <c r="H17" s="40">
        <v>582</v>
      </c>
      <c r="I17" s="40">
        <v>706</v>
      </c>
      <c r="J17" s="40">
        <v>872870</v>
      </c>
      <c r="L17" s="61">
        <f>F17</f>
        <v>2013</v>
      </c>
      <c r="M17" s="63">
        <f>G17/G$7*M$7</f>
        <v>207.4074074074074</v>
      </c>
      <c r="N17" s="63">
        <f>H17/H$7*N$7</f>
        <v>197.9591836734694</v>
      </c>
      <c r="O17" s="63">
        <f>I17/I$7*O$7</f>
        <v>199.43502824858757</v>
      </c>
      <c r="P17" s="63">
        <f>J17/J$7*P$7</f>
        <v>162.1587980998772</v>
      </c>
    </row>
    <row r="18">
      <c r="B18" s="67"/>
      <c r="C18" s="22" t="s">
        <v>132</v>
      </c>
      <c r="D18" s="22" t="str">
        <f>TEXT(EDATE(D2,-12*16),"jj/mm/aaaa")</f>
        <v>31/12/2006</v>
      </c>
      <c r="E18" s="67"/>
      <c r="F18" s="61">
        <f>YEAR(D10)</f>
        <v>2014</v>
      </c>
      <c r="G18" s="40">
        <v>429</v>
      </c>
      <c r="H18" s="40">
        <v>629</v>
      </c>
      <c r="I18" s="40">
        <v>761</v>
      </c>
      <c r="J18" s="40">
        <v>896454</v>
      </c>
      <c r="L18" s="61">
        <f>F18</f>
        <v>2014</v>
      </c>
      <c r="M18" s="63">
        <f>G18/G$7*M$7</f>
        <v>226.984126984127</v>
      </c>
      <c r="N18" s="63">
        <f>H18/H$7*N$7</f>
        <v>213.9455782312925</v>
      </c>
      <c r="O18" s="63">
        <f>I18/I$7*O$7</f>
        <v>214.97175141242937</v>
      </c>
      <c r="P18" s="63">
        <f>J18/J$7*P$7</f>
        <v>166.54015281980972</v>
      </c>
    </row>
    <row r="19">
      <c r="B19" s="67"/>
      <c r="C19" s="22" t="s">
        <v>133</v>
      </c>
      <c r="D19" s="22" t="str">
        <f>TEXT(EDATE(D2,-12*17),"jj/mm/aaaa")</f>
        <v>31/12/2005</v>
      </c>
      <c r="E19" s="67"/>
      <c r="F19" s="61">
        <f>YEAR(D9)</f>
        <v>2015</v>
      </c>
      <c r="G19" s="40">
        <v>367</v>
      </c>
      <c r="H19" s="40">
        <v>562</v>
      </c>
      <c r="I19" s="40">
        <v>709</v>
      </c>
      <c r="J19" s="40">
        <v>884523</v>
      </c>
      <c r="L19" s="61">
        <f>F19</f>
        <v>2015</v>
      </c>
      <c r="M19" s="63">
        <f>G19/G$7*M$7</f>
        <v>194.17989417989418</v>
      </c>
      <c r="N19" s="63">
        <f>H19/H$7*N$7</f>
        <v>191.156462585034</v>
      </c>
      <c r="O19" s="63">
        <f>I19/I$7*O$7</f>
        <v>200.28248587570624</v>
      </c>
      <c r="P19" s="63">
        <f>J19/J$7*P$7</f>
        <v>164.323652516065</v>
      </c>
    </row>
    <row r="20">
      <c r="B20" s="67"/>
      <c r="C20" s="22" t="s">
        <v>134</v>
      </c>
      <c r="D20" s="22" t="str">
        <f>TEXT(EDATE(D2,-12*18),"jj/mm/aaaa")</f>
        <v>31/12/2004</v>
      </c>
      <c r="E20" s="67"/>
      <c r="F20" s="61">
        <f>YEAR(D8)</f>
        <v>2016</v>
      </c>
      <c r="G20" s="40">
        <v>442</v>
      </c>
      <c r="H20" s="40">
        <v>712</v>
      </c>
      <c r="I20" s="40">
        <v>838</v>
      </c>
      <c r="J20" s="40">
        <v>937634</v>
      </c>
      <c r="L20" s="61">
        <f>F20</f>
        <v>2016</v>
      </c>
      <c r="M20" s="63">
        <f>G20/G$7*M$7</f>
        <v>233.86243386243387</v>
      </c>
      <c r="N20" s="63">
        <f>H20/H$7*N$7</f>
        <v>242.17687074829934</v>
      </c>
      <c r="O20" s="63">
        <f>I20/I$7*O$7</f>
        <v>236.72316384180792</v>
      </c>
      <c r="P20" s="63">
        <f>J20/J$7*P$7</f>
        <v>174.19043213488865</v>
      </c>
    </row>
    <row r="21">
      <c r="B21" s="67"/>
      <c r="C21" s="22" t="s">
        <v>135</v>
      </c>
      <c r="D21" s="22" t="str">
        <f>TEXT(EDATE(D2,-12*19),"jj/mm/aaaa")</f>
        <v>31/12/2003</v>
      </c>
      <c r="E21" s="67"/>
      <c r="F21" s="61">
        <f>YEAR(D7)</f>
        <v>2017</v>
      </c>
      <c r="G21" s="40">
        <v>420</v>
      </c>
      <c r="H21" s="40">
        <v>674</v>
      </c>
      <c r="I21" s="40">
        <v>834</v>
      </c>
      <c r="J21" s="40">
        <v>896592</v>
      </c>
      <c r="L21" s="61">
        <f>F21</f>
        <v>2017</v>
      </c>
      <c r="M21" s="63">
        <f>G21/G$7*M$7</f>
        <v>222.22222222222223</v>
      </c>
      <c r="N21" s="63">
        <f>H21/H$7*N$7</f>
        <v>229.2517006802721</v>
      </c>
      <c r="O21" s="63">
        <f>I21/I$7*O$7</f>
        <v>235.59322033898303</v>
      </c>
      <c r="P21" s="63">
        <f>J21/J$7*P$7</f>
        <v>166.5657899870142</v>
      </c>
    </row>
    <row r="22">
      <c r="B22" s="67"/>
      <c r="C22" s="22"/>
      <c r="D22" s="22"/>
      <c r="E22" s="67"/>
      <c r="F22" s="61">
        <f>YEAR(D6)</f>
        <v>2018</v>
      </c>
      <c r="G22" s="40">
        <v>470</v>
      </c>
      <c r="H22" s="40">
        <v>715</v>
      </c>
      <c r="I22" s="40">
        <v>880</v>
      </c>
      <c r="J22" s="40">
        <v>905617</v>
      </c>
      <c r="L22" s="61">
        <f>F22</f>
        <v>2018</v>
      </c>
      <c r="M22" s="63">
        <f>G22/G$7*M$7</f>
        <v>248.67724867724868</v>
      </c>
      <c r="N22" s="63">
        <f>H22/H$7*N$7</f>
        <v>243.1972789115646</v>
      </c>
      <c r="O22" s="63">
        <f>I22/I$7*O$7</f>
        <v>248.58757062146896</v>
      </c>
      <c r="P22" s="63">
        <f>J22/J$7*P$7</f>
        <v>168.24242356687307</v>
      </c>
    </row>
    <row r="23">
      <c r="E23" s="67"/>
      <c r="F23" s="61">
        <f>YEAR(D5)</f>
        <v>2019</v>
      </c>
      <c r="G23" s="40">
        <v>533</v>
      </c>
      <c r="H23" s="40">
        <v>825</v>
      </c>
      <c r="I23" s="40">
        <v>1023</v>
      </c>
      <c r="J23" s="40">
        <v>922012</v>
      </c>
      <c r="L23" s="61">
        <f>F23</f>
        <v>2019</v>
      </c>
      <c r="M23" s="63">
        <f>G23/G$7*M$7</f>
        <v>282.010582010582</v>
      </c>
      <c r="N23" s="63">
        <f>H23/H$7*N$7</f>
        <v>280.6122448979592</v>
      </c>
      <c r="O23" s="63">
        <f>I23/I$7*O$7</f>
        <v>288.9830508474576</v>
      </c>
      <c r="P23" s="63">
        <f>J23/J$7*P$7</f>
        <v>171.28823049671084</v>
      </c>
    </row>
    <row r="24">
      <c r="E24" s="67"/>
      <c r="F24" s="61">
        <f>YEAR(D4)</f>
        <v>2020</v>
      </c>
      <c r="G24" s="40">
        <v>432</v>
      </c>
      <c r="H24" s="40">
        <v>672</v>
      </c>
      <c r="I24" s="40">
        <v>827</v>
      </c>
      <c r="J24" s="40">
        <v>878825</v>
      </c>
      <c r="L24" s="61">
        <f>F24</f>
        <v>2020</v>
      </c>
      <c r="M24" s="63">
        <f>G24/G$7*M$7</f>
        <v>228.57142857142856</v>
      </c>
      <c r="N24" s="63">
        <f>H24/H$7*N$7</f>
        <v>228.57142857142856</v>
      </c>
      <c r="O24" s="63">
        <f>I24/I$7*O$7</f>
        <v>233.61581920903953</v>
      </c>
      <c r="P24" s="63">
        <f>J24/J$7*P$7</f>
        <v>163.26509759772313</v>
      </c>
    </row>
    <row r="25">
      <c r="E25" s="67"/>
      <c r="F25" s="61">
        <f>YEAR(D3)</f>
        <v>2021</v>
      </c>
      <c r="G25" s="40">
        <v>527</v>
      </c>
      <c r="H25" s="40">
        <v>860</v>
      </c>
      <c r="I25" s="40">
        <v>1082</v>
      </c>
      <c r="J25" s="40">
        <v>1151777</v>
      </c>
      <c r="L25" s="61">
        <f>F25</f>
        <v>2021</v>
      </c>
      <c r="M25" s="63">
        <f>G25/G$7*M$7</f>
        <v>278.83597883597884</v>
      </c>
      <c r="N25" s="63">
        <f>H25/H$7*N$7</f>
        <v>292.5170068027211</v>
      </c>
      <c r="O25" s="63">
        <f>I25/I$7*O$7</f>
        <v>305.6497175141243</v>
      </c>
      <c r="P25" s="63">
        <f>J25/J$7*P$7</f>
        <v>213.9731850093167</v>
      </c>
    </row>
    <row r="26">
      <c r="E26" s="67"/>
      <c r="F26" s="61">
        <f>YEAR(D2)</f>
        <v>2022</v>
      </c>
      <c r="G26" s="40">
        <v>485</v>
      </c>
      <c r="H26" s="40">
        <v>839</v>
      </c>
      <c r="I26" s="40">
        <v>1060</v>
      </c>
      <c r="J26" s="40">
        <v>1089509</v>
      </c>
      <c r="L26" s="61">
        <f>F26</f>
        <v>2022</v>
      </c>
      <c r="M26" s="63">
        <f>G26/G$7*M$7</f>
        <v>256.6137566137566</v>
      </c>
      <c r="N26" s="63">
        <f>H26/H$7*N$7</f>
        <v>285.3741496598639</v>
      </c>
      <c r="O26" s="63">
        <f>I26/I$7*O$7</f>
        <v>299.43502824858757</v>
      </c>
      <c r="P26" s="63">
        <f>J26/J$7*P$7</f>
        <v>202.40524930287341</v>
      </c>
    </row>
    <row r="27">
      <c r="G27" s="64"/>
      <c r="H27" s="64"/>
      <c r="I27" s="64"/>
      <c r="J27" s="64"/>
    </row>
    <row r="28">
      <c r="G28" s="65"/>
      <c r="H28" s="65"/>
      <c r="I28" s="65"/>
      <c r="J28" s="65"/>
    </row>
    <row r="30" ht="16">
      <c r="D30" s="54" t="s">
        <v>137</v>
      </c>
    </row>
    <row r="31">
      <c r="D31" s="113" t="str">
        <f>CONCATENATE("Source : Sirene "&amp;YEAR($D$2)&amp;" - Traitements © Compas")</f>
        <v>Source : Sirene 2022 - Traitements © Compas</v>
      </c>
    </row>
    <row r="32">
      <c r="O32" s="31"/>
    </row>
    <row r="62">
      <c r="C62" s="83" t="s">
        <v>138</v>
      </c>
      <c r="D62" s="84"/>
    </row>
    <row r="63">
      <c r="C63" s="99" t="str">
        <f>"Phrase "&amp;phrases!$A$5</f>
        <v>Phrase 4</v>
      </c>
      <c r="D63" s="84" t="str">
        <f>AFFICHERPHRASE(phrases!A5,S7,F7,F26,F3,TEXT(M26,"# ##0"),ABS(TEXT(R7,"0,0")))</f>
        <v>Lecture : De 2003 à 2022, le nombre de créations d’établissements participant au système productif à Portivechju passe de l'indice 100 à l'indice 257, il a augmenté de 156,6% pendant cette période.</v>
      </c>
    </row>
    <row r="64">
      <c r="C64" s="84"/>
      <c r="D64" s="84"/>
    </row>
    <row r="65">
      <c r="C65" s="80" t="str">
        <f>"Phrase "&amp;phrases!A12</f>
        <v>Phrase 11</v>
      </c>
      <c r="D65" s="84" t="str">
        <f>AFFICHERPHRASE(phrases!A12,S7,Infos!E6,TEXT(G26,"# ###"),F26,TEXT(G7,"# ###"),F7,TEXT(ABS(R8),"# ###"),TEXT(ROUND(R7,0),"+0;-0"))</f>
        <v>Sur Portivechju, 485 établissements ont été créés en 2022, contre 189 en 2003, soit 296 créations d'établissements en plus entre les deux années (+157%). </v>
      </c>
    </row>
    <row r="66">
      <c r="C66" s="80" t="str">
        <f>"Phrase "&amp;phrases!A13</f>
        <v>Phrase 12</v>
      </c>
      <c r="D66" s="84" t="str">
        <f>AFFICHERPHRASE(phrases!A13,T9,U9)</f>
        <v>Sur la dernière année, la création d'établissement s'est ralentie sur le territoire (42 créations en moins).</v>
      </c>
    </row>
    <row r="67">
      <c r="C67" s="83" t="s">
        <v>212</v>
      </c>
      <c r="D67" s="84"/>
    </row>
    <row r="68">
      <c r="C68" s="84"/>
      <c r="D68" s="84" t="str">
        <f>D65&amp;D66</f>
        <v>Sur Portivechju, 485 établissements ont été créés en 2022, contre 189 en 2003, soit 296 créations d'établissements en plus entre les deux années (+157%). Sur la dernière année, la création d'établissement s'est ralentie sur le territoire (42 créations en moins).</v>
      </c>
    </row>
  </sheetData>
  <mergeCells count="1">
    <mergeCell ref="C1:C2"/>
  </mergeCells>
  <pageMargins left="0.7" right="0.7" top="0.75" bottom="0.75" header="0.3" footer="0.3"/>
  <pageSetup orientation="portrait"/>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4"/>
  <sheetViews>
    <sheetView showGridLines="false" workbookViewId="0" topLeftCell="B1">
      <selection activeCell="B7" sqref="B7:G14"/>
    </sheetView>
  </sheetViews>
  <sheetFormatPr baseColWidth="10" defaultColWidth="11" defaultRowHeight="15" x14ac:dyDescent="0.25" outlineLevelRow="0" outlineLevelCol="0"/>
  <cols>
    <col min="1" max="1" width="15.125" customWidth="1"/>
    <col min="2" max="2" width="29.625" customWidth="1"/>
    <col min="3" max="3" width="13.75" customWidth="1"/>
    <col min="4" max="4" width="20.125" customWidth="1"/>
    <col min="5" max="5" width="16.625" customWidth="1"/>
    <col min="6" max="6" width="18.625" customWidth="1"/>
    <col min="7" max="7" width="16.625" customWidth="1"/>
    <col min="9" max="9" width="19.5" customWidth="1"/>
    <col min="10" max="10" width="11.375" customWidth="1"/>
    <col min="12" max="12" width="18.75" customWidth="1"/>
  </cols>
  <sheetData>
    <row r="1">
      <c r="C1" s="119" t="s">
        <v>50</v>
      </c>
      <c r="D1" s="21" t="str">
        <f>Infos!G3</f>
        <v>SIRENE Etablissements</v>
      </c>
      <c r="E1" s="21" t="s">
        <v>19</v>
      </c>
      <c r="F1" s="21" t="str">
        <f>Infos!G4</f>
        <v>SIRENE Créations</v>
      </c>
    </row>
    <row r="2">
      <c r="C2" s="119"/>
      <c r="D2" s="22" t="str">
        <f>Infos!H3</f>
        <v>01/01/2023</v>
      </c>
      <c r="E2" s="22" t="str">
        <f>Infos!H5</f>
        <v>01/01/2020</v>
      </c>
      <c r="F2" s="22" t="str">
        <f>Infos!H4</f>
        <v>31/12/2022</v>
      </c>
    </row>
    <row r="3" ht="16">
      <c r="C3" s="54"/>
      <c r="D3" s="54"/>
      <c r="E3" s="54"/>
    </row>
    <row r="4" ht="16">
      <c r="B4" s="54" t="s">
        <v>146</v>
      </c>
      <c r="C4" s="54"/>
      <c r="D4" s="68" t="str">
        <f>Infos!E7</f>
        <v>à Portivechju</v>
      </c>
      <c r="E4" s="54"/>
      <c r="F4" s="54"/>
      <c r="G4" s="54"/>
      <c r="H4" s="68"/>
      <c r="I4" s="68"/>
      <c r="J4" s="68"/>
    </row>
    <row r="5" ht="16">
      <c r="B5" s="30" t="str">
        <f>CONCATENATE("Source : Sirene "&amp;YEAR($D$2)&amp;" - Traitements © Compas")</f>
        <v>Source : Sirene 2023 - Traitements © Compas</v>
      </c>
      <c r="C5" s="54"/>
      <c r="D5" s="54"/>
      <c r="E5" s="54"/>
      <c r="F5" s="54"/>
      <c r="G5" s="54"/>
      <c r="H5" s="68"/>
      <c r="I5" s="68"/>
      <c r="J5" s="68"/>
    </row>
    <row r="6" ht="16">
      <c r="A6" s="83" t="s">
        <v>159</v>
      </c>
      <c r="B6" s="68"/>
      <c r="C6" s="68"/>
      <c r="D6" s="68"/>
      <c r="E6" s="68"/>
      <c r="F6" s="68"/>
      <c r="G6" s="68"/>
      <c r="H6" s="68"/>
      <c r="I6" s="68"/>
      <c r="J6" s="68"/>
      <c r="L6" s="112" t="s">
        <v>219</v>
      </c>
    </row>
    <row r="7" customHeight="1" ht="38">
      <c r="B7" s="69"/>
      <c r="C7" s="120" t="s">
        <v>147</v>
      </c>
      <c r="D7" s="120"/>
      <c r="E7" s="120"/>
      <c r="F7" s="120"/>
      <c r="G7" s="121"/>
      <c r="H7" s="68"/>
      <c r="I7" s="122" t="s">
        <v>64</v>
      </c>
      <c r="J7" s="122" t="s">
        <v>74</v>
      </c>
      <c r="K7" s="4"/>
      <c r="L7" s="122" t="str">
        <f>CONCATENATE("Nombre de créations d'établissements en ",YEAR(F2))</f>
        <v>Nombre de créations d'établissements en 2022</v>
      </c>
    </row>
    <row r="8" customHeight="1" ht="52">
      <c r="B8" s="70"/>
      <c r="C8" s="38" t="s">
        <v>148</v>
      </c>
      <c r="D8" s="38" t="s">
        <v>160</v>
      </c>
      <c r="E8" s="38" t="s">
        <v>149</v>
      </c>
      <c r="F8" s="38" t="str">
        <f>CONCATENATE("Nombre de créations d'établissements ESS en ",YEAR(F2))</f>
        <v>Nombre de créations d'établissements ESS en 2022</v>
      </c>
      <c r="G8" s="38" t="str">
        <f>CONCATENATE("Part de créations d'établissements ESS** en ",YEAR(F2),"(%)")</f>
        <v>Part de créations d'établissements ESS** en 2022(%)</v>
      </c>
      <c r="H8" s="68"/>
      <c r="I8" s="123"/>
      <c r="J8" s="120"/>
      <c r="K8" s="4"/>
      <c r="L8" s="123"/>
    </row>
    <row r="9" customHeight="1" ht="19">
      <c r="B9" s="39" t="str">
        <f>IF(Infos!C8="COM",Infos!C6,Infos!C5)</f>
        <v>Portivechju</v>
      </c>
      <c r="C9" s="116">
        <v>254</v>
      </c>
      <c r="D9" s="114">
        <f>C9/I9*100</f>
        <v>4.280417930569599</v>
      </c>
      <c r="E9" s="114">
        <f>C9/J9*1000</f>
        <v>23.007246376811594</v>
      </c>
      <c r="F9" s="116">
        <v>7</v>
      </c>
      <c r="G9" s="114">
        <f>F9/L9*100</f>
        <v>1.443298969072165</v>
      </c>
      <c r="H9" s="115"/>
      <c r="I9" s="40">
        <v>5934</v>
      </c>
      <c r="J9" s="40">
        <v>11040</v>
      </c>
      <c r="K9" s="4"/>
      <c r="L9" s="76">
        <v>485</v>
      </c>
    </row>
    <row r="10" customHeight="1" ht="19">
      <c r="B10" s="39" t="str">
        <f>IF(Infos!C16="COM",Infos!C14,Infos!C13)</f>
        <v>CC du Sud Corse</v>
      </c>
      <c r="C10" s="116">
        <v>412</v>
      </c>
      <c r="D10" s="114">
        <f>C10/I10*100</f>
        <v>4.320922915574201</v>
      </c>
      <c r="E10" s="114">
        <f>C10/J10*1000</f>
        <v>19.89569248599575</v>
      </c>
      <c r="F10" s="116">
        <v>11</v>
      </c>
      <c r="G10" s="114">
        <f>F10/L10*100</f>
        <v>1.3110846245530394</v>
      </c>
      <c r="H10" s="115"/>
      <c r="I10" s="40">
        <v>9535</v>
      </c>
      <c r="J10" s="40">
        <v>20708</v>
      </c>
      <c r="K10" s="4"/>
      <c r="L10" s="76">
        <v>839</v>
      </c>
    </row>
    <row r="11" customHeight="1" ht="19">
      <c r="B11" s="39" t="str">
        <f>IF(Infos!C41="COM",Infos!C39,Infos!C38)</f>
        <v>Zone d'emploi de Portivechju</v>
      </c>
      <c r="C11" s="116">
        <v>519</v>
      </c>
      <c r="D11" s="114">
        <f>C11/I11*100</f>
        <v>4.351106639839034</v>
      </c>
      <c r="E11" s="114">
        <f>C11/J11*1000</f>
        <v>19.069664902998234</v>
      </c>
      <c r="F11" s="116">
        <v>13</v>
      </c>
      <c r="G11" s="114">
        <f>F11/L11*100</f>
        <v>1.2264150943396228</v>
      </c>
      <c r="H11" s="115"/>
      <c r="I11" s="40">
        <v>11928</v>
      </c>
      <c r="J11" s="40">
        <v>27216</v>
      </c>
      <c r="K11" s="4"/>
      <c r="L11" s="76">
        <v>1060</v>
      </c>
    </row>
    <row r="12" customHeight="1" ht="19">
      <c r="B12" s="39" t="str">
        <f>IF(Infos!C32="COM",Infos!C30,Infos!C29)</f>
        <v>France métropolitaine</v>
      </c>
      <c r="C12" s="116">
        <v>1047133</v>
      </c>
      <c r="D12" s="114">
        <f>C12/I12*100</f>
        <v>8.720721107868949</v>
      </c>
      <c r="E12" s="114">
        <f>C12/J12*1000</f>
        <v>16.04330584704683</v>
      </c>
      <c r="F12" s="116">
        <v>26025</v>
      </c>
      <c r="G12" s="114">
        <f>F12/L12*100</f>
        <v>2.3886906854372016</v>
      </c>
      <c r="H12" s="115"/>
      <c r="I12" s="40">
        <v>12007413</v>
      </c>
      <c r="J12" s="40">
        <v>65269154</v>
      </c>
      <c r="K12" s="4"/>
      <c r="L12" s="76">
        <v>1089509</v>
      </c>
    </row>
    <row r="13" customHeight="1" ht="19">
      <c r="B13" s="13" t="str">
        <f>CONCATENATE("*Insee RP "&amp;YEAR(E2))</f>
        <v>*Insee RP 2020</v>
      </c>
      <c r="E13" s="71"/>
      <c r="F13" s="71"/>
      <c r="G13" s="71"/>
    </row>
    <row r="14" customHeight="1" ht="19">
      <c r="B14" s="13" t="s">
        <v>150</v>
      </c>
    </row>
    <row r="17">
      <c r="B17" s="83" t="s">
        <v>161</v>
      </c>
      <c r="C17" s="84"/>
    </row>
    <row r="18">
      <c r="B18" s="99" t="str">
        <f>"Phrase "&amp;phrases!$A$6</f>
        <v>Phrase 5</v>
      </c>
      <c r="C18" s="84" t="str">
        <f>AFFICHERPHRASE(phrases!$A$6,0,TEXT(C9,"# ###"),D4,YEAR(D2),TEXT(D9,"0,0"),TEXT(ROUND(E9,1),"0,0"),TEXT(F9,"# ###"),YEAR(F2),TEXT(ROUND(G9,1),"0,0"))</f>
        <v>Lecture : L’Economie Sociale et Solidaire regroupe 254 établissements à Portivechju en 2023, soit 4,3% de l’ensemble des établissements actifs. Cela représente 23,0 établissements ESS pour 1000 habitants. 7 établissements ESS ont été créés en 2022, soit 1,4% de l'ensemble des créations d'établissements.</v>
      </c>
    </row>
    <row r="24">
      <c r="G24" s="31"/>
      <c r="H24" s="31"/>
      <c r="I24" s="31"/>
      <c r="J24" s="31"/>
    </row>
  </sheetData>
  <mergeCells count="5">
    <mergeCell ref="C1:C2"/>
    <mergeCell ref="C7:G7"/>
    <mergeCell ref="I7:I8"/>
    <mergeCell ref="J7:J8"/>
    <mergeCell ref="L7:L8"/>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Feuilles de calcul</vt:lpstr>
      </vt:variant>
      <vt:variant>
        <vt:i4>11</vt:i4>
      </vt:variant>
      <vt:variant>
        <vt:lpstr>Plages nommées</vt:lpstr>
      </vt:variant>
      <vt:variant>
        <vt:i4>14</vt:i4>
      </vt:variant>
    </vt:vector>
  </HeadingPairs>
  <TitlesOfParts>
    <vt:vector size="25" baseType="lpstr">
      <vt:lpstr>Référencement</vt:lpstr>
      <vt:lpstr>Suivi modif</vt:lpstr>
      <vt:lpstr>Infos</vt:lpstr>
      <vt:lpstr>phrases</vt:lpstr>
      <vt:lpstr>Etablissements</vt:lpstr>
      <vt:lpstr>Secteur_Activité</vt:lpstr>
      <vt:lpstr>Effectifs_salariés</vt:lpstr>
      <vt:lpstr>Evolution_Créations</vt:lpstr>
      <vt:lpstr>Etablissements_ESS</vt:lpstr>
      <vt:lpstr>Secteur_activité_ESS</vt:lpstr>
      <vt:lpstr>Evaluation Warning</vt:lpstr>
      <vt:lpstr>__SIRENE_001</vt:lpstr>
      <vt:lpstr>__SIRENE_005</vt:lpstr>
      <vt:lpstr>__T_SIRENE_001</vt:lpstr>
      <vt:lpstr>__T_SIRENE_002</vt:lpstr>
      <vt:lpstr>__T_SIRENE_003</vt:lpstr>
      <vt:lpstr>__T_SIRENE_004</vt:lpstr>
      <vt:lpstr>__T_SIRENE_005</vt:lpstr>
      <vt:lpstr>__T_SIRENE_006</vt:lpstr>
      <vt:lpstr>__T_SIRENE_007</vt:lpstr>
      <vt:lpstr>__T_SIRENE_008</vt:lpstr>
      <vt:lpstr>__T_SIRENE_009</vt:lpstr>
      <vt:lpstr>__T_SIRENE_010</vt:lpstr>
      <vt:lpstr>Etablissements!Zone_d_impression</vt:lpstr>
      <vt:lpstr>Etablissements_ESS!Zone_d_impression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veronique</dc:creator>
  <cp:keywords/>
  <dc:description/>
  <cp:lastModifiedBy>Denez</cp:lastModifiedBy>
  <cp:lastPrinted>2023-08-02T09:44:40Z</cp:lastPrinted>
  <dcterms:created xsi:type="dcterms:W3CDTF">2020-03-31T12:36:53Z</dcterms:created>
  <dcterms:modified xsi:type="dcterms:W3CDTF">2024-05-22T12:46:04Z</dcterms:modified>
  <cp:category/>
  <cp:contentStatus/>
</cp:coreProperties>
</file>